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tables/table3.xml" ContentType="application/vnd.openxmlformats-officedocument.spreadsheetml.table+xml"/>
  <Override PartName="/xl/drawings/drawing5.xml" ContentType="application/vnd.openxmlformats-officedocument.drawing+xml"/>
  <Override PartName="/xl/tables/table4.xml" ContentType="application/vnd.openxmlformats-officedocument.spreadsheetml.tab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lvibjornsson/Documents/GitHub/engx-project-group20/"/>
    </mc:Choice>
  </mc:AlternateContent>
  <xr:revisionPtr revIDLastSave="0" documentId="13_ncr:1_{CAB7CBAB-D734-6543-9909-BFFFDCA7DEA3}" xr6:coauthVersionLast="47" xr6:coauthVersionMax="47" xr10:uidLastSave="{00000000-0000-0000-0000-000000000000}"/>
  <bookViews>
    <workbookView xWindow="0" yWindow="0" windowWidth="28800" windowHeight="18000" activeTab="7" xr2:uid="{B916E79C-5A17-0943-B253-A91E4E782123}"/>
  </bookViews>
  <sheets>
    <sheet name="Sheet2" sheetId="2" r:id="rId1"/>
    <sheet name="kostnaður" sheetId="3" r:id="rId2"/>
    <sheet name="Sheet1" sheetId="5" r:id="rId3"/>
    <sheet name="eignir + avö" sheetId="6" r:id="rId4"/>
    <sheet name="Eignir " sheetId="7" r:id="rId5"/>
    <sheet name="VIS01004 (2)" sheetId="4" r:id="rId6"/>
    <sheet name="copy" sheetId="8" r:id="rId7"/>
    <sheet name="Eignir  (2)" sheetId="9" r:id="rId8"/>
    <sheet name="Eignir  new vísitala" sheetId="10" r:id="rId9"/>
  </sheets>
  <definedNames>
    <definedName name="_xlchart.v1.0" hidden="1">'Eignir '!$N$3:$N$27</definedName>
    <definedName name="_xlchart.v1.1" hidden="1">'Eignir '!$T$2</definedName>
    <definedName name="_xlchart.v1.10" hidden="1">'Eignir '!$A$2:$A$939</definedName>
    <definedName name="_xlchart.v1.11" hidden="1">'Eignir '!$B$2:$B$939</definedName>
    <definedName name="_xlchart.v1.12" hidden="1">'Eignir '!$I$2:$I$939</definedName>
    <definedName name="_xlchart.v1.13" hidden="1">'Eignir '!$A$2:$A$939</definedName>
    <definedName name="_xlchart.v1.14" hidden="1">'Eignir '!$I$2:$I$939</definedName>
    <definedName name="_xlchart.v1.15" hidden="1">'Eignir '!$A$2:$A$939</definedName>
    <definedName name="_xlchart.v1.16" hidden="1">'Eignir '!$B$2:$B$939</definedName>
    <definedName name="_xlchart.v1.17" hidden="1">'Eignir '!$H$2</definedName>
    <definedName name="_xlchart.v1.18" hidden="1">'Eignir '!$H$3:$H$939</definedName>
    <definedName name="_xlchart.v1.19" hidden="1">'Eignir '!$A$2:$A$939</definedName>
    <definedName name="_xlchart.v1.2" hidden="1">'Eignir '!$T$3:$T$27</definedName>
    <definedName name="_xlchart.v1.20" hidden="1">'Eignir '!$B$2:$B$939</definedName>
    <definedName name="_xlchart.v1.21" hidden="1">'Eignir '!$I$2:$I$939</definedName>
    <definedName name="_xlchart.v1.22" hidden="1">'Eignir '!$A$2:$A$939</definedName>
    <definedName name="_xlchart.v1.23" hidden="1">'Eignir '!$B$2:$B$939</definedName>
    <definedName name="_xlchart.v1.24" hidden="1">'Eignir '!$H$2</definedName>
    <definedName name="_xlchart.v1.25" hidden="1">'Eignir '!$H$3:$H$939</definedName>
    <definedName name="_xlchart.v1.26" hidden="1">'Eignir '!$A$2:$A$939</definedName>
    <definedName name="_xlchart.v1.27" hidden="1">'Eignir '!$B$2:$B$939</definedName>
    <definedName name="_xlchart.v1.28" hidden="1">'Eignir '!$I$2:$I$939</definedName>
    <definedName name="_xlchart.v1.29" hidden="1">'Eignir '!$A$2:$A$939</definedName>
    <definedName name="_xlchart.v1.3" hidden="1">'Eignir '!$U$2</definedName>
    <definedName name="_xlchart.v1.30" hidden="1">'Eignir '!$I$2:$I$939</definedName>
    <definedName name="_xlchart.v1.31" hidden="1">'Eignir '!$A$2:$A$939</definedName>
    <definedName name="_xlchart.v1.32" hidden="1">'Eignir '!$B$2:$B$939</definedName>
    <definedName name="_xlchart.v1.33" hidden="1">'Eignir '!$H$2</definedName>
    <definedName name="_xlchart.v1.34" hidden="1">'Eignir '!$H$3:$H$939</definedName>
    <definedName name="_xlchart.v1.4" hidden="1">'Eignir '!$U$3:$U$27</definedName>
    <definedName name="_xlchart.v1.5" hidden="1">'Eignir '!$V$2</definedName>
    <definedName name="_xlchart.v1.6" hidden="1">'Eignir '!$V$3:$V$27</definedName>
    <definedName name="_xlchart.v1.7" hidden="1">'Eignir '!$A$2:$A$939</definedName>
    <definedName name="_xlchart.v1.8" hidden="1">'Eignir '!$B$2:$B$939</definedName>
    <definedName name="_xlchart.v1.9" hidden="1">'Eignir '!$I$2:$I$939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7" i="10" l="1"/>
  <c r="Q27" i="10" a="1"/>
  <c r="Q27" i="10" s="1"/>
  <c r="Q8" i="10" a="1"/>
  <c r="Q8" i="10" s="1"/>
  <c r="Q3" i="10" a="1"/>
  <c r="Q3" i="10" s="1"/>
  <c r="I3" i="10" a="1"/>
  <c r="I3" i="10" s="1"/>
  <c r="I4" i="10" s="1" a="1"/>
  <c r="I4" i="10" s="1"/>
  <c r="I5" i="10" s="1" a="1"/>
  <c r="I5" i="10" s="1"/>
  <c r="I6" i="10" s="1" a="1"/>
  <c r="I6" i="10" s="1"/>
  <c r="I7" i="10" s="1" a="1"/>
  <c r="I7" i="10" s="1"/>
  <c r="I8" i="10" s="1" a="1"/>
  <c r="I8" i="10" s="1"/>
  <c r="I9" i="10" s="1" a="1"/>
  <c r="I9" i="10" s="1"/>
  <c r="I10" i="10" s="1" a="1"/>
  <c r="I10" i="10" s="1"/>
  <c r="I11" i="10" s="1" a="1"/>
  <c r="I11" i="10" s="1"/>
  <c r="I12" i="10" s="1" a="1"/>
  <c r="I12" i="10" s="1"/>
  <c r="I13" i="10" s="1" a="1"/>
  <c r="I13" i="10" s="1"/>
  <c r="I14" i="10" s="1" a="1"/>
  <c r="I14" i="10" s="1"/>
  <c r="I15" i="10" s="1" a="1"/>
  <c r="I15" i="10" s="1"/>
  <c r="I16" i="10" s="1" a="1"/>
  <c r="I16" i="10" s="1"/>
  <c r="I17" i="10" s="1" a="1"/>
  <c r="I17" i="10" s="1"/>
  <c r="I18" i="10" s="1" a="1"/>
  <c r="I18" i="10" s="1"/>
  <c r="I19" i="10" s="1" a="1"/>
  <c r="I19" i="10" s="1"/>
  <c r="I20" i="10" s="1" a="1"/>
  <c r="I20" i="10" s="1"/>
  <c r="I21" i="10" s="1" a="1"/>
  <c r="I21" i="10" s="1"/>
  <c r="I22" i="10" s="1" a="1"/>
  <c r="I22" i="10" s="1"/>
  <c r="I23" i="10" s="1" a="1"/>
  <c r="I23" i="10" s="1"/>
  <c r="I24" i="10" s="1" a="1"/>
  <c r="I24" i="10" s="1"/>
  <c r="I25" i="10" s="1" a="1"/>
  <c r="I25" i="10" s="1"/>
  <c r="I26" i="10" s="1" a="1"/>
  <c r="I26" i="10" s="1"/>
  <c r="I27" i="10" s="1" a="1"/>
  <c r="I27" i="10" s="1"/>
  <c r="I28" i="10" s="1" a="1"/>
  <c r="I28" i="10" s="1"/>
  <c r="I29" i="10" s="1" a="1"/>
  <c r="I29" i="10" s="1"/>
  <c r="I30" i="10" s="1" a="1"/>
  <c r="I30" i="10" s="1"/>
  <c r="I31" i="10" s="1" a="1"/>
  <c r="I31" i="10" s="1"/>
  <c r="I32" i="10" s="1" a="1"/>
  <c r="I32" i="10" s="1"/>
  <c r="I33" i="10" s="1" a="1"/>
  <c r="I33" i="10" s="1"/>
  <c r="I34" i="10" s="1" a="1"/>
  <c r="I34" i="10" s="1"/>
  <c r="I35" i="10" s="1" a="1"/>
  <c r="I35" i="10" s="1"/>
  <c r="I36" i="10" s="1" a="1"/>
  <c r="I36" i="10" s="1"/>
  <c r="I37" i="10" s="1" a="1"/>
  <c r="I37" i="10" s="1"/>
  <c r="I38" i="10" s="1" a="1"/>
  <c r="I38" i="10" s="1"/>
  <c r="I39" i="10" s="1" a="1"/>
  <c r="I39" i="10" s="1"/>
  <c r="I40" i="10" s="1" a="1"/>
  <c r="I40" i="10" s="1"/>
  <c r="I41" i="10" s="1" a="1"/>
  <c r="I41" i="10" s="1"/>
  <c r="I42" i="10" s="1" a="1"/>
  <c r="I42" i="10" s="1"/>
  <c r="I43" i="10" s="1" a="1"/>
  <c r="I43" i="10" s="1"/>
  <c r="I44" i="10" s="1" a="1"/>
  <c r="I44" i="10" s="1"/>
  <c r="I45" i="10" s="1" a="1"/>
  <c r="I45" i="10" s="1"/>
  <c r="I46" i="10" s="1" a="1"/>
  <c r="I46" i="10" s="1"/>
  <c r="I47" i="10" s="1" a="1"/>
  <c r="I47" i="10" s="1"/>
  <c r="I48" i="10" s="1" a="1"/>
  <c r="I48" i="10" s="1"/>
  <c r="I49" i="10" s="1" a="1"/>
  <c r="I49" i="10" s="1"/>
  <c r="I50" i="10" s="1" a="1"/>
  <c r="I50" i="10" s="1"/>
  <c r="I51" i="10" s="1" a="1"/>
  <c r="I51" i="10" s="1"/>
  <c r="I52" i="10" s="1" a="1"/>
  <c r="I52" i="10" s="1"/>
  <c r="I53" i="10" s="1" a="1"/>
  <c r="I53" i="10" s="1"/>
  <c r="I54" i="10" s="1" a="1"/>
  <c r="I54" i="10" s="1"/>
  <c r="I55" i="10" s="1" a="1"/>
  <c r="I55" i="10" s="1"/>
  <c r="I56" i="10" s="1" a="1"/>
  <c r="I56" i="10" s="1"/>
  <c r="I57" i="10" s="1" a="1"/>
  <c r="I57" i="10" s="1"/>
  <c r="I58" i="10" s="1" a="1"/>
  <c r="I58" i="10" s="1"/>
  <c r="I59" i="10" s="1" a="1"/>
  <c r="I59" i="10" s="1"/>
  <c r="I60" i="10" s="1" a="1"/>
  <c r="I60" i="10" s="1"/>
  <c r="I61" i="10" s="1" a="1"/>
  <c r="I61" i="10" s="1"/>
  <c r="I62" i="10" s="1" a="1"/>
  <c r="I62" i="10" s="1"/>
  <c r="I63" i="10" s="1" a="1"/>
  <c r="I63" i="10" s="1"/>
  <c r="I64" i="10" s="1" a="1"/>
  <c r="I64" i="10" s="1"/>
  <c r="I65" i="10" s="1" a="1"/>
  <c r="I65" i="10" s="1"/>
  <c r="I66" i="10" s="1" a="1"/>
  <c r="I66" i="10" s="1"/>
  <c r="I67" i="10" s="1" a="1"/>
  <c r="I67" i="10" s="1"/>
  <c r="I68" i="10" s="1" a="1"/>
  <c r="I68" i="10" s="1"/>
  <c r="I69" i="10" s="1" a="1"/>
  <c r="I69" i="10" s="1"/>
  <c r="I70" i="10" s="1" a="1"/>
  <c r="I70" i="10" s="1"/>
  <c r="I71" i="10" s="1" a="1"/>
  <c r="I71" i="10" s="1"/>
  <c r="I72" i="10" s="1" a="1"/>
  <c r="I72" i="10" s="1"/>
  <c r="I73" i="10" s="1" a="1"/>
  <c r="I73" i="10" s="1"/>
  <c r="I74" i="10" s="1" a="1"/>
  <c r="I74" i="10" s="1"/>
  <c r="I75" i="10" s="1" a="1"/>
  <c r="I75" i="10" s="1"/>
  <c r="I76" i="10" s="1" a="1"/>
  <c r="I76" i="10" s="1"/>
  <c r="I77" i="10" s="1" a="1"/>
  <c r="I77" i="10" s="1"/>
  <c r="I78" i="10" s="1" a="1"/>
  <c r="I78" i="10" s="1"/>
  <c r="I79" i="10" s="1" a="1"/>
  <c r="I79" i="10" s="1"/>
  <c r="I80" i="10" s="1" a="1"/>
  <c r="I80" i="10" s="1"/>
  <c r="I81" i="10" s="1" a="1"/>
  <c r="I81" i="10" s="1"/>
  <c r="I82" i="10" s="1" a="1"/>
  <c r="I82" i="10" s="1"/>
  <c r="I83" i="10" s="1" a="1"/>
  <c r="I83" i="10" s="1"/>
  <c r="I84" i="10" s="1" a="1"/>
  <c r="I84" i="10" s="1"/>
  <c r="I85" i="10" s="1" a="1"/>
  <c r="I85" i="10" s="1"/>
  <c r="I86" i="10" s="1" a="1"/>
  <c r="I86" i="10" s="1"/>
  <c r="I87" i="10" s="1" a="1"/>
  <c r="I87" i="10" s="1"/>
  <c r="I88" i="10" s="1" a="1"/>
  <c r="I88" i="10" s="1"/>
  <c r="I89" i="10" s="1" a="1"/>
  <c r="I89" i="10" s="1"/>
  <c r="I90" i="10" s="1" a="1"/>
  <c r="I90" i="10" s="1"/>
  <c r="I91" i="10" s="1" a="1"/>
  <c r="I91" i="10" s="1"/>
  <c r="I92" i="10" s="1" a="1"/>
  <c r="I92" i="10" s="1"/>
  <c r="I93" i="10" s="1" a="1"/>
  <c r="I93" i="10" s="1"/>
  <c r="I94" i="10" s="1" a="1"/>
  <c r="I94" i="10" s="1"/>
  <c r="I95" i="10" s="1" a="1"/>
  <c r="I95" i="10" s="1"/>
  <c r="I96" i="10" s="1" a="1"/>
  <c r="I96" i="10" s="1"/>
  <c r="I97" i="10" s="1" a="1"/>
  <c r="I97" i="10" s="1"/>
  <c r="I98" i="10" s="1" a="1"/>
  <c r="I98" i="10" s="1"/>
  <c r="I99" i="10" s="1" a="1"/>
  <c r="I99" i="10" s="1"/>
  <c r="I100" i="10" s="1" a="1"/>
  <c r="I100" i="10" s="1"/>
  <c r="I101" i="10" s="1" a="1"/>
  <c r="I101" i="10" s="1"/>
  <c r="I102" i="10" s="1" a="1"/>
  <c r="I102" i="10" s="1"/>
  <c r="I103" i="10" s="1" a="1"/>
  <c r="I103" i="10" s="1"/>
  <c r="I104" i="10" s="1" a="1"/>
  <c r="I104" i="10" s="1"/>
  <c r="I105" i="10" s="1" a="1"/>
  <c r="I105" i="10" s="1"/>
  <c r="I106" i="10" s="1" a="1"/>
  <c r="I106" i="10" s="1"/>
  <c r="I107" i="10" s="1" a="1"/>
  <c r="I107" i="10" s="1"/>
  <c r="I108" i="10" s="1" a="1"/>
  <c r="I108" i="10" s="1"/>
  <c r="I109" i="10" s="1" a="1"/>
  <c r="I109" i="10" s="1"/>
  <c r="I110" i="10" s="1" a="1"/>
  <c r="I110" i="10" s="1"/>
  <c r="I111" i="10" s="1" a="1"/>
  <c r="I111" i="10" s="1"/>
  <c r="I112" i="10" s="1" a="1"/>
  <c r="I112" i="10" s="1"/>
  <c r="I113" i="10" s="1" a="1"/>
  <c r="I113" i="10" s="1"/>
  <c r="I114" i="10" s="1" a="1"/>
  <c r="I114" i="10" s="1"/>
  <c r="I115" i="10" s="1" a="1"/>
  <c r="I115" i="10" s="1"/>
  <c r="I116" i="10" s="1" a="1"/>
  <c r="I116" i="10" s="1"/>
  <c r="I117" i="10" s="1" a="1"/>
  <c r="I117" i="10" s="1"/>
  <c r="I118" i="10" s="1" a="1"/>
  <c r="I118" i="10" s="1"/>
  <c r="I119" i="10" s="1" a="1"/>
  <c r="I119" i="10" s="1"/>
  <c r="I120" i="10" s="1" a="1"/>
  <c r="I120" i="10" s="1"/>
  <c r="I121" i="10" s="1" a="1"/>
  <c r="I121" i="10" s="1"/>
  <c r="I122" i="10" s="1" a="1"/>
  <c r="I122" i="10" s="1"/>
  <c r="I123" i="10" s="1" a="1"/>
  <c r="I123" i="10" s="1"/>
  <c r="I124" i="10" s="1" a="1"/>
  <c r="I124" i="10" s="1"/>
  <c r="I125" i="10" s="1" a="1"/>
  <c r="I125" i="10" s="1"/>
  <c r="I126" i="10" s="1" a="1"/>
  <c r="I126" i="10" s="1"/>
  <c r="I127" i="10" s="1" a="1"/>
  <c r="I127" i="10" s="1"/>
  <c r="I128" i="10" s="1" a="1"/>
  <c r="I128" i="10" s="1"/>
  <c r="I129" i="10" s="1" a="1"/>
  <c r="I129" i="10" s="1"/>
  <c r="I130" i="10" s="1" a="1"/>
  <c r="I130" i="10" s="1"/>
  <c r="I131" i="10" s="1" a="1"/>
  <c r="I131" i="10" s="1"/>
  <c r="I132" i="10" s="1" a="1"/>
  <c r="I132" i="10" s="1"/>
  <c r="I133" i="10" s="1" a="1"/>
  <c r="I133" i="10" s="1"/>
  <c r="I134" i="10" s="1" a="1"/>
  <c r="I134" i="10" s="1"/>
  <c r="I135" i="10" s="1" a="1"/>
  <c r="I135" i="10" s="1"/>
  <c r="I136" i="10" s="1" a="1"/>
  <c r="I136" i="10" s="1"/>
  <c r="I137" i="10" s="1" a="1"/>
  <c r="I137" i="10" s="1"/>
  <c r="I138" i="10" s="1" a="1"/>
  <c r="I138" i="10" s="1"/>
  <c r="I139" i="10" s="1" a="1"/>
  <c r="I139" i="10" s="1"/>
  <c r="I140" i="10" s="1" a="1"/>
  <c r="I140" i="10" s="1"/>
  <c r="I141" i="10" s="1" a="1"/>
  <c r="I141" i="10" s="1"/>
  <c r="I142" i="10" s="1" a="1"/>
  <c r="I142" i="10" s="1"/>
  <c r="I143" i="10" s="1" a="1"/>
  <c r="I143" i="10" s="1"/>
  <c r="I144" i="10" s="1" a="1"/>
  <c r="I144" i="10" s="1"/>
  <c r="I145" i="10" s="1" a="1"/>
  <c r="I145" i="10" s="1"/>
  <c r="I146" i="10" s="1" a="1"/>
  <c r="I146" i="10" s="1"/>
  <c r="I147" i="10" s="1" a="1"/>
  <c r="I147" i="10" s="1"/>
  <c r="I148" i="10" s="1" a="1"/>
  <c r="I148" i="10" s="1"/>
  <c r="I149" i="10" s="1" a="1"/>
  <c r="I149" i="10" s="1"/>
  <c r="I150" i="10" s="1" a="1"/>
  <c r="I150" i="10" s="1"/>
  <c r="I151" i="10" s="1" a="1"/>
  <c r="I151" i="10" s="1"/>
  <c r="I152" i="10" s="1" a="1"/>
  <c r="I152" i="10" s="1"/>
  <c r="I153" i="10" s="1" a="1"/>
  <c r="I153" i="10" s="1"/>
  <c r="I154" i="10" s="1" a="1"/>
  <c r="I154" i="10" s="1"/>
  <c r="I155" i="10" s="1" a="1"/>
  <c r="I155" i="10" s="1"/>
  <c r="I156" i="10" s="1" a="1"/>
  <c r="I156" i="10" s="1"/>
  <c r="I157" i="10" s="1" a="1"/>
  <c r="I157" i="10" s="1"/>
  <c r="I158" i="10" s="1" a="1"/>
  <c r="I158" i="10" s="1"/>
  <c r="I159" i="10" s="1" a="1"/>
  <c r="I159" i="10" s="1"/>
  <c r="I160" i="10" s="1" a="1"/>
  <c r="I160" i="10" s="1"/>
  <c r="I161" i="10" s="1" a="1"/>
  <c r="I161" i="10" s="1"/>
  <c r="I162" i="10" s="1" a="1"/>
  <c r="I162" i="10" s="1"/>
  <c r="I163" i="10" s="1" a="1"/>
  <c r="I163" i="10" s="1"/>
  <c r="I164" i="10" s="1" a="1"/>
  <c r="I164" i="10" s="1"/>
  <c r="I165" i="10" s="1" a="1"/>
  <c r="I165" i="10" s="1"/>
  <c r="I166" i="10" s="1" a="1"/>
  <c r="I166" i="10" s="1"/>
  <c r="I167" i="10" s="1" a="1"/>
  <c r="I167" i="10" s="1"/>
  <c r="I168" i="10" s="1" a="1"/>
  <c r="I168" i="10" s="1"/>
  <c r="I169" i="10" s="1" a="1"/>
  <c r="I169" i="10" s="1"/>
  <c r="I170" i="10" s="1" a="1"/>
  <c r="I170" i="10" s="1"/>
  <c r="I171" i="10" s="1" a="1"/>
  <c r="I171" i="10" s="1"/>
  <c r="I172" i="10" s="1" a="1"/>
  <c r="I172" i="10" s="1"/>
  <c r="I173" i="10" s="1" a="1"/>
  <c r="I173" i="10" s="1"/>
  <c r="I174" i="10" s="1" a="1"/>
  <c r="I174" i="10" s="1"/>
  <c r="I175" i="10" s="1" a="1"/>
  <c r="I175" i="10" s="1"/>
  <c r="I176" i="10" s="1" a="1"/>
  <c r="I176" i="10" s="1"/>
  <c r="I177" i="10" s="1" a="1"/>
  <c r="I177" i="10" s="1"/>
  <c r="I178" i="10" s="1" a="1"/>
  <c r="I178" i="10" s="1"/>
  <c r="I179" i="10" s="1" a="1"/>
  <c r="I179" i="10" s="1"/>
  <c r="I180" i="10" s="1" a="1"/>
  <c r="I180" i="10" s="1"/>
  <c r="I181" i="10" s="1" a="1"/>
  <c r="I181" i="10" s="1"/>
  <c r="I182" i="10" s="1" a="1"/>
  <c r="I182" i="10" s="1"/>
  <c r="I183" i="10" s="1" a="1"/>
  <c r="I183" i="10" s="1"/>
  <c r="I184" i="10" s="1" a="1"/>
  <c r="I184" i="10" s="1"/>
  <c r="I185" i="10" s="1" a="1"/>
  <c r="I185" i="10" s="1"/>
  <c r="I186" i="10" s="1" a="1"/>
  <c r="I186" i="10" s="1"/>
  <c r="I187" i="10" s="1" a="1"/>
  <c r="I187" i="10" s="1"/>
  <c r="I188" i="10" s="1" a="1"/>
  <c r="I188" i="10" s="1"/>
  <c r="I189" i="10" s="1" a="1"/>
  <c r="I189" i="10" s="1"/>
  <c r="I190" i="10" s="1" a="1"/>
  <c r="I190" i="10" s="1"/>
  <c r="I191" i="10" s="1" a="1"/>
  <c r="I191" i="10" s="1"/>
  <c r="I192" i="10" s="1" a="1"/>
  <c r="I192" i="10" s="1"/>
  <c r="I193" i="10" s="1" a="1"/>
  <c r="I193" i="10" s="1"/>
  <c r="I194" i="10" s="1" a="1"/>
  <c r="I194" i="10" s="1"/>
  <c r="I195" i="10" s="1" a="1"/>
  <c r="I195" i="10" s="1"/>
  <c r="I196" i="10" s="1" a="1"/>
  <c r="I196" i="10" s="1"/>
  <c r="I197" i="10" s="1" a="1"/>
  <c r="I197" i="10" s="1"/>
  <c r="I198" i="10" s="1" a="1"/>
  <c r="I198" i="10" s="1"/>
  <c r="I199" i="10" s="1" a="1"/>
  <c r="I199" i="10" s="1"/>
  <c r="I200" i="10" s="1" a="1"/>
  <c r="I200" i="10" s="1"/>
  <c r="I201" i="10" s="1" a="1"/>
  <c r="I201" i="10" s="1"/>
  <c r="I202" i="10" s="1" a="1"/>
  <c r="I202" i="10" s="1"/>
  <c r="I203" i="10" s="1" a="1"/>
  <c r="I203" i="10" s="1"/>
  <c r="I204" i="10" s="1" a="1"/>
  <c r="I204" i="10" s="1"/>
  <c r="I205" i="10" s="1" a="1"/>
  <c r="I205" i="10" s="1"/>
  <c r="I206" i="10" s="1" a="1"/>
  <c r="I206" i="10" s="1"/>
  <c r="I207" i="10" s="1" a="1"/>
  <c r="I207" i="10" s="1"/>
  <c r="I208" i="10" s="1" a="1"/>
  <c r="I208" i="10" s="1"/>
  <c r="I209" i="10" s="1" a="1"/>
  <c r="I209" i="10" s="1"/>
  <c r="I210" i="10" s="1" a="1"/>
  <c r="I210" i="10" s="1"/>
  <c r="I211" i="10" s="1" a="1"/>
  <c r="I211" i="10" s="1"/>
  <c r="I212" i="10" s="1" a="1"/>
  <c r="I212" i="10" s="1"/>
  <c r="I213" i="10" s="1" a="1"/>
  <c r="I213" i="10" s="1"/>
  <c r="I214" i="10" s="1" a="1"/>
  <c r="I214" i="10" s="1"/>
  <c r="I215" i="10" s="1" a="1"/>
  <c r="I215" i="10" s="1"/>
  <c r="I216" i="10" s="1" a="1"/>
  <c r="I216" i="10" s="1"/>
  <c r="I217" i="10" s="1" a="1"/>
  <c r="I217" i="10" s="1"/>
  <c r="I218" i="10" s="1" a="1"/>
  <c r="I218" i="10" s="1"/>
  <c r="I219" i="10" s="1" a="1"/>
  <c r="I219" i="10" s="1"/>
  <c r="I220" i="10" s="1" a="1"/>
  <c r="I220" i="10" s="1"/>
  <c r="I221" i="10" s="1" a="1"/>
  <c r="I221" i="10" s="1"/>
  <c r="I222" i="10" s="1" a="1"/>
  <c r="I222" i="10" s="1"/>
  <c r="I223" i="10" s="1" a="1"/>
  <c r="I223" i="10" s="1"/>
  <c r="I224" i="10" s="1" a="1"/>
  <c r="I224" i="10" s="1"/>
  <c r="I225" i="10" s="1" a="1"/>
  <c r="I225" i="10" s="1"/>
  <c r="I226" i="10" s="1" a="1"/>
  <c r="I226" i="10" s="1"/>
  <c r="I227" i="10" s="1" a="1"/>
  <c r="I227" i="10" s="1"/>
  <c r="I228" i="10" s="1" a="1"/>
  <c r="I228" i="10" s="1"/>
  <c r="I229" i="10" s="1" a="1"/>
  <c r="I229" i="10" s="1"/>
  <c r="I230" i="10" s="1" a="1"/>
  <c r="I230" i="10" s="1"/>
  <c r="I231" i="10" s="1" a="1"/>
  <c r="I231" i="10" s="1"/>
  <c r="I232" i="10" s="1" a="1"/>
  <c r="I232" i="10" s="1"/>
  <c r="I233" i="10" s="1" a="1"/>
  <c r="I233" i="10" s="1"/>
  <c r="I234" i="10" s="1" a="1"/>
  <c r="I234" i="10" s="1"/>
  <c r="I235" i="10" s="1" a="1"/>
  <c r="I235" i="10" s="1"/>
  <c r="I236" i="10" s="1" a="1"/>
  <c r="I236" i="10" s="1"/>
  <c r="I237" i="10" s="1" a="1"/>
  <c r="I237" i="10" s="1"/>
  <c r="I238" i="10" s="1" a="1"/>
  <c r="I238" i="10" s="1"/>
  <c r="I239" i="10" s="1" a="1"/>
  <c r="I239" i="10" s="1"/>
  <c r="I240" i="10" s="1" a="1"/>
  <c r="I240" i="10" s="1"/>
  <c r="I241" i="10" s="1" a="1"/>
  <c r="I241" i="10" s="1"/>
  <c r="I242" i="10" s="1" a="1"/>
  <c r="I242" i="10" s="1"/>
  <c r="I243" i="10" s="1" a="1"/>
  <c r="I243" i="10" s="1"/>
  <c r="I244" i="10" s="1" a="1"/>
  <c r="I244" i="10" s="1"/>
  <c r="I245" i="10" s="1" a="1"/>
  <c r="I245" i="10" s="1"/>
  <c r="I246" i="10" s="1" a="1"/>
  <c r="I246" i="10" s="1"/>
  <c r="I247" i="10" s="1" a="1"/>
  <c r="I247" i="10" s="1"/>
  <c r="I248" i="10" s="1" a="1"/>
  <c r="I248" i="10" s="1"/>
  <c r="I249" i="10" s="1" a="1"/>
  <c r="I249" i="10" s="1"/>
  <c r="I250" i="10" s="1" a="1"/>
  <c r="I250" i="10" s="1"/>
  <c r="I251" i="10" s="1" a="1"/>
  <c r="I251" i="10" s="1"/>
  <c r="I252" i="10" s="1" a="1"/>
  <c r="I252" i="10" s="1"/>
  <c r="I253" i="10" s="1" a="1"/>
  <c r="I253" i="10" s="1"/>
  <c r="I254" i="10" s="1" a="1"/>
  <c r="I254" i="10" s="1"/>
  <c r="I255" i="10" s="1" a="1"/>
  <c r="I255" i="10" s="1"/>
  <c r="I256" i="10" s="1" a="1"/>
  <c r="I256" i="10" s="1"/>
  <c r="I257" i="10" s="1" a="1"/>
  <c r="I257" i="10" s="1"/>
  <c r="I258" i="10" s="1" a="1"/>
  <c r="I258" i="10" s="1"/>
  <c r="I259" i="10" s="1" a="1"/>
  <c r="I259" i="10" s="1"/>
  <c r="I260" i="10" s="1" a="1"/>
  <c r="I260" i="10" s="1"/>
  <c r="I261" i="10" s="1" a="1"/>
  <c r="I261" i="10" s="1"/>
  <c r="I262" i="10" s="1" a="1"/>
  <c r="I262" i="10" s="1"/>
  <c r="I263" i="10" s="1" a="1"/>
  <c r="I263" i="10" s="1"/>
  <c r="I264" i="10" s="1" a="1"/>
  <c r="I264" i="10" s="1"/>
  <c r="I265" i="10" s="1" a="1"/>
  <c r="I265" i="10" s="1"/>
  <c r="I266" i="10" s="1" a="1"/>
  <c r="I266" i="10" s="1"/>
  <c r="I267" i="10" s="1" a="1"/>
  <c r="I267" i="10" s="1"/>
  <c r="I268" i="10" s="1" a="1"/>
  <c r="I268" i="10" s="1"/>
  <c r="I269" i="10" s="1" a="1"/>
  <c r="I269" i="10" s="1"/>
  <c r="I270" i="10" s="1" a="1"/>
  <c r="I270" i="10" s="1"/>
  <c r="I271" i="10" s="1" a="1"/>
  <c r="I271" i="10" s="1"/>
  <c r="I272" i="10" s="1" a="1"/>
  <c r="I272" i="10" s="1"/>
  <c r="I273" i="10" s="1" a="1"/>
  <c r="I273" i="10" s="1"/>
  <c r="I274" i="10" s="1" a="1"/>
  <c r="I274" i="10" s="1"/>
  <c r="I275" i="10" s="1" a="1"/>
  <c r="I275" i="10" s="1"/>
  <c r="I276" i="10" s="1" a="1"/>
  <c r="I276" i="10" s="1"/>
  <c r="I277" i="10" s="1" a="1"/>
  <c r="I277" i="10" s="1"/>
  <c r="I278" i="10" s="1" a="1"/>
  <c r="I278" i="10" s="1"/>
  <c r="I279" i="10" s="1" a="1"/>
  <c r="I279" i="10" s="1"/>
  <c r="I280" i="10" s="1" a="1"/>
  <c r="I280" i="10" s="1"/>
  <c r="I281" i="10" s="1" a="1"/>
  <c r="I281" i="10" s="1"/>
  <c r="I282" i="10" s="1" a="1"/>
  <c r="I282" i="10" s="1"/>
  <c r="I283" i="10" s="1" a="1"/>
  <c r="I283" i="10" s="1"/>
  <c r="I284" i="10" s="1" a="1"/>
  <c r="I284" i="10" s="1"/>
  <c r="I285" i="10" s="1" a="1"/>
  <c r="I285" i="10" s="1"/>
  <c r="I286" i="10" s="1" a="1"/>
  <c r="I286" i="10" s="1"/>
  <c r="I287" i="10" s="1" a="1"/>
  <c r="I287" i="10" s="1"/>
  <c r="I288" i="10" s="1" a="1"/>
  <c r="I288" i="10" s="1"/>
  <c r="I289" i="10" s="1" a="1"/>
  <c r="I289" i="10" s="1"/>
  <c r="I290" i="10" s="1" a="1"/>
  <c r="I290" i="10" s="1"/>
  <c r="I291" i="10" s="1" a="1"/>
  <c r="I291" i="10" s="1"/>
  <c r="I292" i="10" s="1" a="1"/>
  <c r="I292" i="10" s="1"/>
  <c r="I293" i="10" s="1" a="1"/>
  <c r="I293" i="10" s="1"/>
  <c r="I294" i="10" s="1" a="1"/>
  <c r="I294" i="10" s="1"/>
  <c r="I295" i="10" s="1" a="1"/>
  <c r="I295" i="10" s="1"/>
  <c r="I296" i="10" s="1" a="1"/>
  <c r="I296" i="10" s="1"/>
  <c r="I297" i="10" s="1" a="1"/>
  <c r="I297" i="10" s="1"/>
  <c r="I298" i="10" s="1" a="1"/>
  <c r="I298" i="10" s="1"/>
  <c r="I299" i="10" s="1" a="1"/>
  <c r="I299" i="10" s="1"/>
  <c r="I300" i="10" s="1" a="1"/>
  <c r="I300" i="10" s="1"/>
  <c r="I301" i="10" s="1" a="1"/>
  <c r="I301" i="10" s="1"/>
  <c r="I302" i="10" s="1" a="1"/>
  <c r="I302" i="10" s="1"/>
  <c r="I303" i="10" s="1" a="1"/>
  <c r="I303" i="10" s="1"/>
  <c r="I304" i="10" s="1" a="1"/>
  <c r="I304" i="10" s="1"/>
  <c r="I305" i="10" s="1" a="1"/>
  <c r="I305" i="10" s="1"/>
  <c r="I306" i="10" s="1" a="1"/>
  <c r="I306" i="10" s="1"/>
  <c r="I307" i="10" s="1" a="1"/>
  <c r="I307" i="10" s="1"/>
  <c r="I308" i="10" s="1" a="1"/>
  <c r="I308" i="10" s="1"/>
  <c r="I309" i="10" s="1" a="1"/>
  <c r="I309" i="10" s="1"/>
  <c r="I310" i="10" s="1" a="1"/>
  <c r="I310" i="10" s="1"/>
  <c r="I311" i="10" s="1" a="1"/>
  <c r="I311" i="10" s="1"/>
  <c r="I312" i="10" s="1" a="1"/>
  <c r="I312" i="10" s="1"/>
  <c r="I313" i="10" s="1" a="1"/>
  <c r="I313" i="10" s="1"/>
  <c r="I314" i="10" s="1" a="1"/>
  <c r="I314" i="10" s="1"/>
  <c r="I315" i="10" s="1" a="1"/>
  <c r="I315" i="10" s="1"/>
  <c r="I316" i="10" s="1" a="1"/>
  <c r="I316" i="10" s="1"/>
  <c r="I317" i="10" s="1" a="1"/>
  <c r="I317" i="10" s="1"/>
  <c r="I318" i="10" s="1" a="1"/>
  <c r="I318" i="10" s="1"/>
  <c r="I319" i="10" s="1" a="1"/>
  <c r="I319" i="10" s="1"/>
  <c r="I320" i="10" s="1" a="1"/>
  <c r="I320" i="10" s="1"/>
  <c r="I321" i="10" s="1" a="1"/>
  <c r="I321" i="10" s="1"/>
  <c r="I322" i="10" s="1" a="1"/>
  <c r="I322" i="10" s="1"/>
  <c r="I323" i="10" s="1" a="1"/>
  <c r="I323" i="10" s="1"/>
  <c r="I324" i="10" s="1" a="1"/>
  <c r="I324" i="10" s="1"/>
  <c r="I325" i="10" s="1" a="1"/>
  <c r="I325" i="10" s="1"/>
  <c r="I326" i="10" s="1" a="1"/>
  <c r="I326" i="10" s="1"/>
  <c r="I327" i="10" s="1" a="1"/>
  <c r="I327" i="10" s="1"/>
  <c r="I328" i="10" s="1" a="1"/>
  <c r="I328" i="10" s="1"/>
  <c r="I329" i="10" s="1" a="1"/>
  <c r="I329" i="10" s="1"/>
  <c r="I330" i="10" s="1" a="1"/>
  <c r="I330" i="10" s="1"/>
  <c r="I331" i="10" s="1" a="1"/>
  <c r="I331" i="10" s="1"/>
  <c r="I332" i="10" s="1" a="1"/>
  <c r="I332" i="10" s="1"/>
  <c r="I333" i="10" s="1" a="1"/>
  <c r="I333" i="10" s="1"/>
  <c r="I334" i="10" s="1" a="1"/>
  <c r="I334" i="10" s="1"/>
  <c r="I335" i="10" s="1" a="1"/>
  <c r="I335" i="10" s="1"/>
  <c r="I336" i="10" s="1" a="1"/>
  <c r="I336" i="10" s="1"/>
  <c r="I337" i="10" s="1" a="1"/>
  <c r="I337" i="10" s="1"/>
  <c r="I338" i="10" s="1" a="1"/>
  <c r="I338" i="10" s="1"/>
  <c r="I339" i="10" s="1" a="1"/>
  <c r="I339" i="10" s="1"/>
  <c r="I340" i="10" s="1" a="1"/>
  <c r="I340" i="10" s="1"/>
  <c r="I341" i="10" s="1" a="1"/>
  <c r="I341" i="10" s="1"/>
  <c r="I342" i="10" s="1" a="1"/>
  <c r="I342" i="10" s="1"/>
  <c r="I343" i="10" s="1" a="1"/>
  <c r="I343" i="10" s="1"/>
  <c r="I344" i="10" s="1" a="1"/>
  <c r="I344" i="10" s="1"/>
  <c r="I345" i="10" s="1" a="1"/>
  <c r="I345" i="10" s="1"/>
  <c r="I346" i="10" s="1" a="1"/>
  <c r="I346" i="10" s="1"/>
  <c r="I347" i="10" s="1" a="1"/>
  <c r="I347" i="10" s="1"/>
  <c r="I348" i="10" s="1" a="1"/>
  <c r="I348" i="10" s="1"/>
  <c r="I349" i="10" s="1" a="1"/>
  <c r="I349" i="10" s="1"/>
  <c r="I350" i="10" s="1" a="1"/>
  <c r="I350" i="10" s="1"/>
  <c r="I351" i="10" s="1" a="1"/>
  <c r="I351" i="10" s="1"/>
  <c r="I352" i="10" s="1" a="1"/>
  <c r="I352" i="10" s="1"/>
  <c r="I353" i="10" s="1" a="1"/>
  <c r="I353" i="10" s="1"/>
  <c r="I354" i="10" s="1" a="1"/>
  <c r="I354" i="10" s="1"/>
  <c r="I355" i="10" s="1" a="1"/>
  <c r="I355" i="10" s="1"/>
  <c r="I356" i="10" s="1" a="1"/>
  <c r="I356" i="10" s="1"/>
  <c r="I357" i="10" s="1" a="1"/>
  <c r="I357" i="10" s="1"/>
  <c r="I358" i="10" s="1" a="1"/>
  <c r="I358" i="10" s="1"/>
  <c r="I359" i="10" s="1" a="1"/>
  <c r="I359" i="10" s="1"/>
  <c r="I360" i="10" s="1" a="1"/>
  <c r="I360" i="10" s="1"/>
  <c r="I361" i="10" s="1" a="1"/>
  <c r="I361" i="10" s="1"/>
  <c r="I362" i="10" s="1" a="1"/>
  <c r="I362" i="10" s="1"/>
  <c r="I363" i="10" s="1" a="1"/>
  <c r="I363" i="10" s="1"/>
  <c r="I364" i="10" s="1" a="1"/>
  <c r="I364" i="10" s="1"/>
  <c r="I365" i="10" s="1" a="1"/>
  <c r="I365" i="10" s="1"/>
  <c r="I366" i="10" s="1" a="1"/>
  <c r="I366" i="10" s="1"/>
  <c r="I367" i="10" s="1" a="1"/>
  <c r="I367" i="10" s="1"/>
  <c r="I368" i="10" s="1" a="1"/>
  <c r="I368" i="10" s="1"/>
  <c r="I369" i="10" s="1" a="1"/>
  <c r="I369" i="10" s="1"/>
  <c r="I370" i="10" s="1" a="1"/>
  <c r="I370" i="10" s="1"/>
  <c r="I371" i="10" s="1" a="1"/>
  <c r="I371" i="10" s="1"/>
  <c r="I372" i="10" s="1" a="1"/>
  <c r="I372" i="10" s="1"/>
  <c r="I373" i="10" s="1" a="1"/>
  <c r="I373" i="10" s="1"/>
  <c r="I374" i="10" s="1" a="1"/>
  <c r="I374" i="10" s="1"/>
  <c r="I375" i="10" s="1" a="1"/>
  <c r="I375" i="10" s="1"/>
  <c r="I376" i="10" s="1" a="1"/>
  <c r="I376" i="10" s="1"/>
  <c r="I377" i="10" s="1" a="1"/>
  <c r="I377" i="10" s="1"/>
  <c r="I378" i="10" s="1" a="1"/>
  <c r="I378" i="10" s="1"/>
  <c r="I379" i="10" s="1" a="1"/>
  <c r="I379" i="10" s="1"/>
  <c r="I380" i="10" s="1" a="1"/>
  <c r="I380" i="10" s="1"/>
  <c r="I381" i="10" s="1" a="1"/>
  <c r="I381" i="10" s="1"/>
  <c r="I382" i="10" s="1" a="1"/>
  <c r="I382" i="10" s="1"/>
  <c r="I383" i="10" s="1" a="1"/>
  <c r="I383" i="10" s="1"/>
  <c r="I384" i="10" s="1" a="1"/>
  <c r="I384" i="10" s="1"/>
  <c r="I385" i="10" s="1" a="1"/>
  <c r="I385" i="10" s="1"/>
  <c r="I386" i="10" s="1" a="1"/>
  <c r="I386" i="10" s="1"/>
  <c r="I387" i="10" s="1" a="1"/>
  <c r="I387" i="10" s="1"/>
  <c r="I388" i="10" s="1" a="1"/>
  <c r="I388" i="10" s="1"/>
  <c r="I389" i="10" s="1" a="1"/>
  <c r="I389" i="10" s="1"/>
  <c r="I390" i="10" s="1" a="1"/>
  <c r="I390" i="10" s="1"/>
  <c r="I391" i="10" s="1" a="1"/>
  <c r="I391" i="10" s="1"/>
  <c r="I392" i="10" s="1" a="1"/>
  <c r="I392" i="10" s="1"/>
  <c r="I393" i="10" s="1" a="1"/>
  <c r="I393" i="10" s="1"/>
  <c r="I394" i="10" s="1" a="1"/>
  <c r="I394" i="10" s="1"/>
  <c r="I395" i="10" s="1" a="1"/>
  <c r="I395" i="10" s="1"/>
  <c r="I396" i="10" s="1" a="1"/>
  <c r="I396" i="10" s="1"/>
  <c r="I397" i="10" s="1" a="1"/>
  <c r="I397" i="10" s="1"/>
  <c r="I398" i="10" s="1" a="1"/>
  <c r="I398" i="10" s="1"/>
  <c r="I399" i="10" s="1" a="1"/>
  <c r="I399" i="10" s="1"/>
  <c r="I400" i="10" s="1" a="1"/>
  <c r="I400" i="10" s="1"/>
  <c r="I401" i="10" s="1" a="1"/>
  <c r="I401" i="10" s="1"/>
  <c r="I402" i="10" s="1" a="1"/>
  <c r="I402" i="10" s="1"/>
  <c r="I403" i="10" s="1" a="1"/>
  <c r="I403" i="10" s="1"/>
  <c r="I404" i="10" s="1" a="1"/>
  <c r="I404" i="10" s="1"/>
  <c r="I405" i="10" s="1" a="1"/>
  <c r="I405" i="10" s="1"/>
  <c r="I406" i="10" s="1" a="1"/>
  <c r="I406" i="10" s="1"/>
  <c r="I407" i="10" s="1" a="1"/>
  <c r="I407" i="10" s="1"/>
  <c r="I408" i="10" s="1" a="1"/>
  <c r="I408" i="10" s="1"/>
  <c r="I409" i="10" s="1" a="1"/>
  <c r="I409" i="10" s="1"/>
  <c r="I410" i="10" s="1" a="1"/>
  <c r="I410" i="10" s="1"/>
  <c r="I411" i="10" s="1" a="1"/>
  <c r="I411" i="10" s="1"/>
  <c r="I412" i="10" s="1" a="1"/>
  <c r="I412" i="10" s="1"/>
  <c r="I413" i="10" s="1" a="1"/>
  <c r="I413" i="10" s="1"/>
  <c r="I414" i="10" s="1" a="1"/>
  <c r="I414" i="10" s="1"/>
  <c r="I415" i="10" s="1" a="1"/>
  <c r="I415" i="10" s="1"/>
  <c r="I416" i="10" s="1" a="1"/>
  <c r="I416" i="10" s="1"/>
  <c r="I417" i="10" s="1" a="1"/>
  <c r="I417" i="10" s="1"/>
  <c r="I418" i="10" s="1" a="1"/>
  <c r="I418" i="10" s="1"/>
  <c r="I419" i="10" s="1" a="1"/>
  <c r="I419" i="10" s="1"/>
  <c r="I420" i="10" s="1" a="1"/>
  <c r="I420" i="10" s="1"/>
  <c r="I421" i="10" s="1" a="1"/>
  <c r="I421" i="10" s="1"/>
  <c r="I422" i="10" s="1" a="1"/>
  <c r="I422" i="10" s="1"/>
  <c r="I423" i="10" s="1" a="1"/>
  <c r="I423" i="10" s="1"/>
  <c r="I424" i="10" s="1" a="1"/>
  <c r="I424" i="10" s="1"/>
  <c r="I425" i="10" s="1" a="1"/>
  <c r="I425" i="10" s="1"/>
  <c r="I426" i="10" s="1" a="1"/>
  <c r="I426" i="10" s="1"/>
  <c r="I427" i="10" s="1" a="1"/>
  <c r="I427" i="10" s="1"/>
  <c r="I428" i="10" s="1" a="1"/>
  <c r="I428" i="10" s="1"/>
  <c r="I429" i="10" s="1" a="1"/>
  <c r="I429" i="10" s="1"/>
  <c r="I430" i="10" s="1" a="1"/>
  <c r="I430" i="10" s="1"/>
  <c r="I431" i="10" s="1" a="1"/>
  <c r="I431" i="10" s="1"/>
  <c r="I432" i="10" s="1" a="1"/>
  <c r="I432" i="10" s="1"/>
  <c r="I433" i="10" s="1" a="1"/>
  <c r="I433" i="10" s="1"/>
  <c r="I434" i="10" s="1" a="1"/>
  <c r="I434" i="10" s="1"/>
  <c r="I435" i="10" s="1" a="1"/>
  <c r="I435" i="10" s="1"/>
  <c r="I436" i="10" s="1" a="1"/>
  <c r="I436" i="10" s="1"/>
  <c r="I437" i="10" s="1" a="1"/>
  <c r="I437" i="10" s="1"/>
  <c r="I438" i="10" s="1" a="1"/>
  <c r="I438" i="10" s="1"/>
  <c r="I439" i="10" s="1" a="1"/>
  <c r="I439" i="10" s="1"/>
  <c r="I440" i="10" s="1" a="1"/>
  <c r="I440" i="10" s="1"/>
  <c r="I441" i="10" s="1" a="1"/>
  <c r="I441" i="10" s="1"/>
  <c r="I442" i="10" s="1" a="1"/>
  <c r="I442" i="10" s="1"/>
  <c r="I443" i="10" s="1" a="1"/>
  <c r="I443" i="10" s="1"/>
  <c r="I444" i="10" s="1" a="1"/>
  <c r="I444" i="10" s="1"/>
  <c r="I445" i="10" s="1" a="1"/>
  <c r="I445" i="10" s="1"/>
  <c r="I446" i="10" s="1" a="1"/>
  <c r="I446" i="10" s="1"/>
  <c r="I447" i="10" s="1" a="1"/>
  <c r="I447" i="10" s="1"/>
  <c r="I448" i="10" s="1" a="1"/>
  <c r="I448" i="10" s="1"/>
  <c r="I449" i="10" s="1" a="1"/>
  <c r="I449" i="10" s="1"/>
  <c r="I450" i="10" s="1" a="1"/>
  <c r="I450" i="10" s="1"/>
  <c r="I451" i="10" s="1" a="1"/>
  <c r="I451" i="10" s="1"/>
  <c r="I452" i="10" s="1" a="1"/>
  <c r="I452" i="10" s="1"/>
  <c r="I453" i="10" s="1" a="1"/>
  <c r="I453" i="10" s="1"/>
  <c r="I454" i="10" s="1" a="1"/>
  <c r="I454" i="10" s="1"/>
  <c r="I455" i="10" s="1" a="1"/>
  <c r="I455" i="10" s="1"/>
  <c r="I456" i="10" s="1" a="1"/>
  <c r="I456" i="10" s="1"/>
  <c r="I457" i="10" s="1" a="1"/>
  <c r="I457" i="10" s="1"/>
  <c r="I458" i="10" s="1" a="1"/>
  <c r="I458" i="10" s="1"/>
  <c r="I459" i="10" s="1" a="1"/>
  <c r="I459" i="10" s="1"/>
  <c r="I460" i="10" s="1" a="1"/>
  <c r="I460" i="10" s="1"/>
  <c r="I461" i="10" s="1" a="1"/>
  <c r="I461" i="10" s="1"/>
  <c r="I462" i="10" s="1" a="1"/>
  <c r="I462" i="10" s="1"/>
  <c r="I463" i="10" s="1" a="1"/>
  <c r="I463" i="10" s="1"/>
  <c r="I464" i="10" s="1" a="1"/>
  <c r="I464" i="10" s="1"/>
  <c r="I465" i="10" s="1" a="1"/>
  <c r="I465" i="10" s="1"/>
  <c r="I466" i="10" s="1" a="1"/>
  <c r="I466" i="10" s="1"/>
  <c r="I467" i="10" s="1" a="1"/>
  <c r="I467" i="10" s="1"/>
  <c r="I468" i="10" s="1" a="1"/>
  <c r="I468" i="10" s="1"/>
  <c r="I469" i="10" s="1" a="1"/>
  <c r="I469" i="10" s="1"/>
  <c r="I470" i="10" s="1" a="1"/>
  <c r="I470" i="10" s="1"/>
  <c r="I471" i="10" s="1" a="1"/>
  <c r="I471" i="10" s="1"/>
  <c r="I472" i="10" s="1" a="1"/>
  <c r="I472" i="10" s="1"/>
  <c r="I473" i="10" s="1" a="1"/>
  <c r="I473" i="10" s="1"/>
  <c r="I474" i="10" s="1" a="1"/>
  <c r="I474" i="10" s="1"/>
  <c r="I475" i="10" s="1" a="1"/>
  <c r="I475" i="10" s="1"/>
  <c r="I476" i="10" s="1" a="1"/>
  <c r="I476" i="10" s="1"/>
  <c r="I477" i="10" s="1" a="1"/>
  <c r="I477" i="10" s="1"/>
  <c r="I478" i="10" s="1" a="1"/>
  <c r="I478" i="10" s="1"/>
  <c r="I479" i="10" s="1" a="1"/>
  <c r="I479" i="10" s="1"/>
  <c r="I480" i="10" s="1" a="1"/>
  <c r="I480" i="10" s="1"/>
  <c r="I481" i="10" s="1" a="1"/>
  <c r="I481" i="10" s="1"/>
  <c r="I482" i="10" s="1" a="1"/>
  <c r="I482" i="10" s="1"/>
  <c r="I483" i="10" s="1" a="1"/>
  <c r="I483" i="10" s="1"/>
  <c r="I484" i="10" s="1" a="1"/>
  <c r="I484" i="10" s="1"/>
  <c r="I485" i="10" s="1" a="1"/>
  <c r="I485" i="10" s="1"/>
  <c r="I486" i="10" s="1" a="1"/>
  <c r="I486" i="10" s="1"/>
  <c r="I487" i="10" s="1" a="1"/>
  <c r="I487" i="10" s="1"/>
  <c r="I488" i="10" s="1" a="1"/>
  <c r="I488" i="10" s="1"/>
  <c r="I489" i="10" s="1" a="1"/>
  <c r="I489" i="10" s="1"/>
  <c r="I490" i="10" s="1" a="1"/>
  <c r="I490" i="10" s="1"/>
  <c r="I491" i="10" s="1" a="1"/>
  <c r="I491" i="10" s="1"/>
  <c r="I492" i="10" s="1" a="1"/>
  <c r="I492" i="10" s="1"/>
  <c r="I493" i="10" s="1" a="1"/>
  <c r="I493" i="10" s="1"/>
  <c r="I494" i="10" s="1" a="1"/>
  <c r="I494" i="10" s="1"/>
  <c r="I495" i="10" s="1" a="1"/>
  <c r="I495" i="10" s="1"/>
  <c r="I496" i="10" s="1" a="1"/>
  <c r="I496" i="10" s="1"/>
  <c r="I497" i="10" s="1" a="1"/>
  <c r="I497" i="10" s="1"/>
  <c r="I498" i="10" s="1" a="1"/>
  <c r="I498" i="10" s="1"/>
  <c r="I499" i="10" s="1" a="1"/>
  <c r="I499" i="10" s="1"/>
  <c r="I500" i="10" s="1" a="1"/>
  <c r="I500" i="10" s="1"/>
  <c r="I501" i="10" s="1" a="1"/>
  <c r="I501" i="10" s="1"/>
  <c r="I502" i="10" s="1" a="1"/>
  <c r="I502" i="10" s="1"/>
  <c r="I503" i="10" s="1" a="1"/>
  <c r="I503" i="10" s="1"/>
  <c r="I504" i="10" s="1" a="1"/>
  <c r="I504" i="10" s="1"/>
  <c r="I505" i="10" s="1" a="1"/>
  <c r="I505" i="10" s="1"/>
  <c r="I506" i="10" s="1" a="1"/>
  <c r="I506" i="10" s="1"/>
  <c r="I507" i="10" s="1" a="1"/>
  <c r="I507" i="10" s="1"/>
  <c r="I508" i="10" s="1" a="1"/>
  <c r="I508" i="10" s="1"/>
  <c r="I509" i="10" s="1" a="1"/>
  <c r="I509" i="10" s="1"/>
  <c r="I510" i="10" s="1" a="1"/>
  <c r="I510" i="10" s="1"/>
  <c r="I511" i="10" s="1" a="1"/>
  <c r="I511" i="10" s="1"/>
  <c r="I512" i="10" s="1" a="1"/>
  <c r="I512" i="10" s="1"/>
  <c r="I513" i="10" s="1" a="1"/>
  <c r="I513" i="10" s="1"/>
  <c r="I514" i="10" s="1" a="1"/>
  <c r="I514" i="10" s="1"/>
  <c r="I515" i="10" s="1" a="1"/>
  <c r="I515" i="10" s="1"/>
  <c r="I516" i="10" s="1" a="1"/>
  <c r="I516" i="10" s="1"/>
  <c r="I517" i="10" s="1" a="1"/>
  <c r="I517" i="10" s="1"/>
  <c r="I518" i="10" s="1" a="1"/>
  <c r="I518" i="10" s="1"/>
  <c r="I519" i="10" s="1" a="1"/>
  <c r="I519" i="10" s="1"/>
  <c r="I520" i="10" s="1" a="1"/>
  <c r="I520" i="10" s="1"/>
  <c r="I521" i="10" s="1" a="1"/>
  <c r="I521" i="10" s="1"/>
  <c r="I522" i="10" s="1" a="1"/>
  <c r="I522" i="10" s="1"/>
  <c r="I523" i="10" s="1" a="1"/>
  <c r="I523" i="10" s="1"/>
  <c r="I524" i="10" s="1" a="1"/>
  <c r="I524" i="10" s="1"/>
  <c r="I525" i="10" s="1" a="1"/>
  <c r="I525" i="10" s="1"/>
  <c r="I526" i="10" s="1" a="1"/>
  <c r="I526" i="10" s="1"/>
  <c r="I527" i="10" s="1" a="1"/>
  <c r="I527" i="10" s="1"/>
  <c r="I528" i="10" s="1" a="1"/>
  <c r="I528" i="10" s="1"/>
  <c r="I529" i="10" s="1" a="1"/>
  <c r="I529" i="10" s="1"/>
  <c r="I530" i="10" s="1" a="1"/>
  <c r="I530" i="10" s="1"/>
  <c r="I531" i="10" s="1" a="1"/>
  <c r="I531" i="10" s="1"/>
  <c r="I532" i="10" s="1" a="1"/>
  <c r="I532" i="10" s="1"/>
  <c r="I533" i="10" s="1" a="1"/>
  <c r="I533" i="10" s="1"/>
  <c r="I534" i="10" s="1" a="1"/>
  <c r="I534" i="10" s="1"/>
  <c r="I535" i="10" s="1" a="1"/>
  <c r="I535" i="10" s="1"/>
  <c r="I536" i="10" s="1" a="1"/>
  <c r="I536" i="10" s="1"/>
  <c r="I537" i="10" s="1" a="1"/>
  <c r="I537" i="10" s="1"/>
  <c r="I538" i="10" s="1" a="1"/>
  <c r="I538" i="10" s="1"/>
  <c r="I539" i="10" s="1" a="1"/>
  <c r="I539" i="10" s="1"/>
  <c r="I540" i="10" s="1" a="1"/>
  <c r="I540" i="10" s="1"/>
  <c r="I541" i="10" s="1" a="1"/>
  <c r="I541" i="10" s="1"/>
  <c r="I542" i="10" s="1" a="1"/>
  <c r="I542" i="10" s="1"/>
  <c r="I543" i="10" s="1" a="1"/>
  <c r="I543" i="10" s="1"/>
  <c r="I544" i="10" s="1" a="1"/>
  <c r="I544" i="10" s="1"/>
  <c r="I545" i="10" s="1" a="1"/>
  <c r="I545" i="10" s="1"/>
  <c r="I546" i="10" s="1" a="1"/>
  <c r="I546" i="10" s="1"/>
  <c r="I547" i="10" s="1" a="1"/>
  <c r="I547" i="10" s="1"/>
  <c r="I548" i="10" s="1" a="1"/>
  <c r="I548" i="10" s="1"/>
  <c r="I549" i="10" s="1" a="1"/>
  <c r="I549" i="10" s="1"/>
  <c r="I550" i="10" s="1" a="1"/>
  <c r="I550" i="10" s="1"/>
  <c r="I551" i="10" s="1" a="1"/>
  <c r="I551" i="10" s="1"/>
  <c r="I552" i="10" s="1" a="1"/>
  <c r="I552" i="10" s="1"/>
  <c r="I553" i="10" s="1" a="1"/>
  <c r="I553" i="10" s="1"/>
  <c r="I554" i="10" s="1" a="1"/>
  <c r="I554" i="10" s="1"/>
  <c r="I555" i="10" s="1" a="1"/>
  <c r="I555" i="10" s="1"/>
  <c r="I556" i="10" s="1" a="1"/>
  <c r="I556" i="10" s="1"/>
  <c r="I557" i="10" s="1" a="1"/>
  <c r="I557" i="10" s="1"/>
  <c r="I558" i="10" s="1" a="1"/>
  <c r="I558" i="10" s="1"/>
  <c r="I559" i="10" s="1" a="1"/>
  <c r="I559" i="10" s="1"/>
  <c r="I560" i="10" s="1" a="1"/>
  <c r="I560" i="10" s="1"/>
  <c r="I561" i="10" s="1" a="1"/>
  <c r="I561" i="10" s="1"/>
  <c r="I562" i="10" s="1" a="1"/>
  <c r="I562" i="10" s="1"/>
  <c r="I563" i="10" s="1" a="1"/>
  <c r="I563" i="10" s="1"/>
  <c r="I564" i="10" s="1" a="1"/>
  <c r="I564" i="10" s="1"/>
  <c r="I565" i="10" s="1" a="1"/>
  <c r="I565" i="10" s="1"/>
  <c r="I566" i="10" s="1" a="1"/>
  <c r="I566" i="10" s="1"/>
  <c r="I567" i="10" s="1" a="1"/>
  <c r="I567" i="10" s="1"/>
  <c r="I568" i="10" s="1" a="1"/>
  <c r="I568" i="10" s="1"/>
  <c r="I569" i="10" s="1" a="1"/>
  <c r="I569" i="10" s="1"/>
  <c r="I570" i="10" s="1" a="1"/>
  <c r="I570" i="10" s="1"/>
  <c r="I571" i="10" s="1" a="1"/>
  <c r="I571" i="10" s="1"/>
  <c r="I572" i="10" s="1" a="1"/>
  <c r="I572" i="10" s="1"/>
  <c r="I573" i="10" s="1" a="1"/>
  <c r="I573" i="10" s="1"/>
  <c r="I574" i="10" s="1" a="1"/>
  <c r="I574" i="10" s="1"/>
  <c r="I575" i="10" s="1" a="1"/>
  <c r="I575" i="10" s="1"/>
  <c r="I576" i="10" s="1" a="1"/>
  <c r="I576" i="10" s="1"/>
  <c r="I577" i="10" s="1" a="1"/>
  <c r="I577" i="10" s="1"/>
  <c r="I578" i="10" s="1" a="1"/>
  <c r="I578" i="10" s="1"/>
  <c r="I579" i="10" s="1" a="1"/>
  <c r="I579" i="10" s="1"/>
  <c r="I580" i="10" s="1" a="1"/>
  <c r="I580" i="10" s="1"/>
  <c r="I581" i="10" s="1" a="1"/>
  <c r="I581" i="10" s="1"/>
  <c r="I582" i="10" s="1" a="1"/>
  <c r="I582" i="10" s="1"/>
  <c r="I583" i="10" s="1" a="1"/>
  <c r="I583" i="10" s="1"/>
  <c r="I584" i="10" s="1" a="1"/>
  <c r="I584" i="10" s="1"/>
  <c r="I585" i="10" s="1" a="1"/>
  <c r="I585" i="10" s="1"/>
  <c r="I586" i="10" s="1" a="1"/>
  <c r="I586" i="10" s="1"/>
  <c r="I587" i="10" s="1" a="1"/>
  <c r="I587" i="10" s="1"/>
  <c r="I588" i="10" s="1" a="1"/>
  <c r="I588" i="10" s="1"/>
  <c r="I589" i="10" s="1" a="1"/>
  <c r="I589" i="10" s="1"/>
  <c r="I590" i="10" s="1" a="1"/>
  <c r="I590" i="10" s="1"/>
  <c r="I591" i="10" s="1" a="1"/>
  <c r="I591" i="10" s="1"/>
  <c r="I592" i="10" s="1" a="1"/>
  <c r="I592" i="10" s="1"/>
  <c r="I593" i="10" s="1" a="1"/>
  <c r="I593" i="10" s="1"/>
  <c r="I594" i="10" s="1" a="1"/>
  <c r="I594" i="10" s="1"/>
  <c r="I595" i="10" s="1" a="1"/>
  <c r="I595" i="10" s="1"/>
  <c r="I596" i="10" s="1" a="1"/>
  <c r="I596" i="10" s="1"/>
  <c r="I597" i="10" s="1" a="1"/>
  <c r="I597" i="10" s="1"/>
  <c r="I598" i="10" s="1" a="1"/>
  <c r="I598" i="10" s="1"/>
  <c r="I599" i="10" s="1" a="1"/>
  <c r="I599" i="10" s="1"/>
  <c r="I600" i="10" s="1" a="1"/>
  <c r="I600" i="10" s="1"/>
  <c r="I601" i="10" s="1" a="1"/>
  <c r="I601" i="10" s="1"/>
  <c r="I602" i="10" s="1" a="1"/>
  <c r="I602" i="10" s="1"/>
  <c r="I603" i="10" s="1" a="1"/>
  <c r="I603" i="10" s="1"/>
  <c r="I604" i="10" s="1" a="1"/>
  <c r="I604" i="10" s="1"/>
  <c r="I605" i="10" s="1" a="1"/>
  <c r="I605" i="10" s="1"/>
  <c r="I606" i="10" s="1" a="1"/>
  <c r="I606" i="10" s="1"/>
  <c r="I607" i="10" s="1" a="1"/>
  <c r="I607" i="10" s="1"/>
  <c r="I608" i="10" s="1" a="1"/>
  <c r="I608" i="10" s="1"/>
  <c r="I609" i="10" s="1" a="1"/>
  <c r="I609" i="10" s="1"/>
  <c r="I610" i="10" s="1" a="1"/>
  <c r="I610" i="10" s="1"/>
  <c r="I611" i="10" s="1" a="1"/>
  <c r="I611" i="10" s="1"/>
  <c r="I612" i="10" s="1" a="1"/>
  <c r="I612" i="10" s="1"/>
  <c r="I613" i="10" s="1" a="1"/>
  <c r="I613" i="10" s="1"/>
  <c r="I614" i="10" s="1" a="1"/>
  <c r="I614" i="10" s="1"/>
  <c r="I615" i="10" s="1" a="1"/>
  <c r="I615" i="10" s="1"/>
  <c r="I616" i="10" s="1" a="1"/>
  <c r="I616" i="10" s="1"/>
  <c r="I617" i="10" s="1" a="1"/>
  <c r="I617" i="10" s="1"/>
  <c r="I618" i="10" s="1" a="1"/>
  <c r="I618" i="10" s="1"/>
  <c r="I619" i="10" s="1" a="1"/>
  <c r="I619" i="10" s="1"/>
  <c r="I620" i="10" s="1" a="1"/>
  <c r="I620" i="10" s="1"/>
  <c r="I621" i="10" s="1" a="1"/>
  <c r="I621" i="10" s="1"/>
  <c r="I622" i="10" s="1" a="1"/>
  <c r="I622" i="10" s="1"/>
  <c r="I623" i="10" s="1" a="1"/>
  <c r="I623" i="10" s="1"/>
  <c r="I624" i="10" s="1" a="1"/>
  <c r="I624" i="10" s="1"/>
  <c r="I625" i="10" s="1" a="1"/>
  <c r="I625" i="10" s="1"/>
  <c r="I626" i="10" s="1" a="1"/>
  <c r="I626" i="10" s="1"/>
  <c r="I627" i="10" s="1" a="1"/>
  <c r="I627" i="10" s="1"/>
  <c r="I628" i="10" s="1" a="1"/>
  <c r="I628" i="10" s="1"/>
  <c r="I629" i="10" s="1" a="1"/>
  <c r="I629" i="10" s="1"/>
  <c r="I630" i="10" s="1" a="1"/>
  <c r="I630" i="10" s="1"/>
  <c r="I631" i="10" s="1" a="1"/>
  <c r="I631" i="10" s="1"/>
  <c r="I632" i="10" s="1" a="1"/>
  <c r="I632" i="10" s="1"/>
  <c r="I633" i="10" s="1" a="1"/>
  <c r="I633" i="10" s="1"/>
  <c r="I634" i="10" s="1" a="1"/>
  <c r="I634" i="10" s="1"/>
  <c r="I635" i="10" s="1" a="1"/>
  <c r="I635" i="10" s="1"/>
  <c r="I636" i="10" s="1" a="1"/>
  <c r="I636" i="10" s="1"/>
  <c r="I637" i="10" s="1" a="1"/>
  <c r="I637" i="10" s="1"/>
  <c r="I638" i="10" s="1" a="1"/>
  <c r="I638" i="10" s="1"/>
  <c r="I639" i="10" s="1" a="1"/>
  <c r="I639" i="10" s="1"/>
  <c r="I640" i="10" s="1" a="1"/>
  <c r="I640" i="10" s="1"/>
  <c r="I641" i="10" s="1" a="1"/>
  <c r="I641" i="10" s="1"/>
  <c r="I642" i="10" s="1" a="1"/>
  <c r="I642" i="10" s="1"/>
  <c r="I643" i="10" s="1" a="1"/>
  <c r="I643" i="10" s="1"/>
  <c r="I644" i="10" s="1" a="1"/>
  <c r="I644" i="10" s="1"/>
  <c r="I645" i="10" s="1" a="1"/>
  <c r="I645" i="10" s="1"/>
  <c r="I646" i="10" s="1" a="1"/>
  <c r="I646" i="10" s="1"/>
  <c r="I647" i="10" s="1" a="1"/>
  <c r="I647" i="10" s="1"/>
  <c r="I648" i="10" s="1" a="1"/>
  <c r="I648" i="10" s="1"/>
  <c r="I649" i="10" s="1" a="1"/>
  <c r="I649" i="10" s="1"/>
  <c r="I650" i="10" s="1" a="1"/>
  <c r="I650" i="10" s="1"/>
  <c r="I651" i="10" s="1" a="1"/>
  <c r="I651" i="10" s="1"/>
  <c r="I652" i="10" s="1" a="1"/>
  <c r="I652" i="10" s="1"/>
  <c r="I653" i="10" s="1" a="1"/>
  <c r="I653" i="10" s="1"/>
  <c r="I654" i="10" s="1" a="1"/>
  <c r="I654" i="10" s="1"/>
  <c r="I655" i="10" s="1" a="1"/>
  <c r="I655" i="10" s="1"/>
  <c r="I656" i="10" s="1" a="1"/>
  <c r="I656" i="10" s="1"/>
  <c r="I657" i="10" s="1" a="1"/>
  <c r="I657" i="10" s="1"/>
  <c r="I658" i="10" s="1" a="1"/>
  <c r="I658" i="10" s="1"/>
  <c r="I659" i="10" s="1" a="1"/>
  <c r="I659" i="10" s="1"/>
  <c r="I660" i="10" s="1" a="1"/>
  <c r="I660" i="10" s="1"/>
  <c r="I661" i="10" s="1" a="1"/>
  <c r="I661" i="10" s="1"/>
  <c r="I662" i="10" s="1" a="1"/>
  <c r="I662" i="10" s="1"/>
  <c r="I663" i="10" s="1" a="1"/>
  <c r="I663" i="10" s="1"/>
  <c r="I664" i="10" s="1" a="1"/>
  <c r="I664" i="10" s="1"/>
  <c r="I665" i="10" s="1" a="1"/>
  <c r="I665" i="10" s="1"/>
  <c r="I666" i="10" s="1" a="1"/>
  <c r="I666" i="10" s="1"/>
  <c r="I667" i="10" s="1" a="1"/>
  <c r="I667" i="10" s="1"/>
  <c r="I668" i="10" s="1" a="1"/>
  <c r="I668" i="10" s="1"/>
  <c r="I669" i="10" s="1" a="1"/>
  <c r="I669" i="10" s="1"/>
  <c r="I670" i="10" s="1" a="1"/>
  <c r="I670" i="10" s="1"/>
  <c r="I671" i="10" s="1" a="1"/>
  <c r="I671" i="10" s="1"/>
  <c r="I672" i="10" s="1" a="1"/>
  <c r="I672" i="10" s="1"/>
  <c r="I673" i="10" s="1" a="1"/>
  <c r="I673" i="10" s="1"/>
  <c r="I674" i="10" s="1" a="1"/>
  <c r="I674" i="10" s="1"/>
  <c r="I675" i="10" s="1" a="1"/>
  <c r="I675" i="10" s="1"/>
  <c r="I676" i="10" s="1" a="1"/>
  <c r="I676" i="10" s="1"/>
  <c r="I677" i="10" s="1" a="1"/>
  <c r="I677" i="10" s="1"/>
  <c r="I678" i="10" s="1" a="1"/>
  <c r="I678" i="10" s="1"/>
  <c r="I679" i="10" s="1" a="1"/>
  <c r="I679" i="10" s="1"/>
  <c r="I680" i="10" s="1" a="1"/>
  <c r="I680" i="10" s="1"/>
  <c r="I681" i="10" s="1" a="1"/>
  <c r="I681" i="10" s="1"/>
  <c r="I682" i="10" s="1" a="1"/>
  <c r="I682" i="10" s="1"/>
  <c r="I683" i="10" s="1" a="1"/>
  <c r="I683" i="10" s="1"/>
  <c r="I684" i="10" s="1" a="1"/>
  <c r="I684" i="10" s="1"/>
  <c r="I685" i="10" s="1" a="1"/>
  <c r="I685" i="10" s="1"/>
  <c r="I686" i="10" s="1" a="1"/>
  <c r="I686" i="10" s="1"/>
  <c r="I687" i="10" s="1" a="1"/>
  <c r="I687" i="10" s="1"/>
  <c r="I688" i="10" s="1" a="1"/>
  <c r="I688" i="10" s="1"/>
  <c r="I689" i="10" s="1" a="1"/>
  <c r="I689" i="10" s="1"/>
  <c r="I690" i="10" s="1" a="1"/>
  <c r="I690" i="10" s="1"/>
  <c r="I691" i="10" s="1" a="1"/>
  <c r="I691" i="10" s="1"/>
  <c r="I692" i="10" s="1" a="1"/>
  <c r="I692" i="10" s="1"/>
  <c r="I693" i="10" s="1" a="1"/>
  <c r="I693" i="10" s="1"/>
  <c r="I694" i="10" s="1" a="1"/>
  <c r="I694" i="10" s="1"/>
  <c r="I695" i="10" s="1" a="1"/>
  <c r="I695" i="10" s="1"/>
  <c r="I696" i="10" s="1" a="1"/>
  <c r="I696" i="10" s="1"/>
  <c r="I697" i="10" s="1" a="1"/>
  <c r="I697" i="10" s="1"/>
  <c r="I698" i="10" s="1" a="1"/>
  <c r="I698" i="10" s="1"/>
  <c r="I699" i="10" s="1" a="1"/>
  <c r="I699" i="10" s="1"/>
  <c r="I700" i="10" s="1" a="1"/>
  <c r="I700" i="10" s="1"/>
  <c r="I701" i="10" s="1" a="1"/>
  <c r="I701" i="10" s="1"/>
  <c r="I702" i="10" s="1" a="1"/>
  <c r="I702" i="10" s="1"/>
  <c r="I703" i="10" s="1" a="1"/>
  <c r="I703" i="10" s="1"/>
  <c r="I704" i="10" s="1" a="1"/>
  <c r="I704" i="10" s="1"/>
  <c r="I705" i="10" s="1" a="1"/>
  <c r="I705" i="10" s="1"/>
  <c r="I706" i="10" s="1" a="1"/>
  <c r="I706" i="10" s="1"/>
  <c r="I707" i="10" s="1" a="1"/>
  <c r="I707" i="10" s="1"/>
  <c r="I708" i="10" s="1" a="1"/>
  <c r="I708" i="10" s="1"/>
  <c r="I709" i="10" s="1" a="1"/>
  <c r="I709" i="10" s="1"/>
  <c r="I710" i="10" s="1" a="1"/>
  <c r="I710" i="10" s="1"/>
  <c r="I711" i="10" s="1" a="1"/>
  <c r="I711" i="10" s="1"/>
  <c r="I712" i="10" s="1" a="1"/>
  <c r="I712" i="10" s="1"/>
  <c r="I713" i="10" s="1" a="1"/>
  <c r="I713" i="10" s="1"/>
  <c r="I714" i="10" s="1" a="1"/>
  <c r="I714" i="10" s="1"/>
  <c r="I715" i="10" s="1" a="1"/>
  <c r="I715" i="10" s="1"/>
  <c r="I716" i="10" s="1" a="1"/>
  <c r="I716" i="10" s="1"/>
  <c r="I717" i="10" s="1" a="1"/>
  <c r="I717" i="10" s="1"/>
  <c r="I718" i="10" s="1" a="1"/>
  <c r="I718" i="10" s="1"/>
  <c r="I719" i="10" s="1" a="1"/>
  <c r="I719" i="10" s="1"/>
  <c r="I720" i="10" s="1" a="1"/>
  <c r="I720" i="10" s="1"/>
  <c r="I721" i="10" s="1" a="1"/>
  <c r="I721" i="10" s="1"/>
  <c r="I722" i="10" s="1" a="1"/>
  <c r="I722" i="10" s="1"/>
  <c r="I723" i="10" s="1" a="1"/>
  <c r="I723" i="10" s="1"/>
  <c r="I724" i="10" s="1" a="1"/>
  <c r="I724" i="10" s="1"/>
  <c r="I725" i="10" s="1" a="1"/>
  <c r="I725" i="10" s="1"/>
  <c r="I726" i="10" s="1" a="1"/>
  <c r="I726" i="10" s="1"/>
  <c r="I727" i="10" s="1" a="1"/>
  <c r="I727" i="10" s="1"/>
  <c r="I728" i="10" s="1" a="1"/>
  <c r="I728" i="10" s="1"/>
  <c r="I729" i="10" s="1" a="1"/>
  <c r="I729" i="10" s="1"/>
  <c r="I730" i="10" s="1" a="1"/>
  <c r="I730" i="10" s="1"/>
  <c r="I731" i="10" s="1" a="1"/>
  <c r="I731" i="10" s="1"/>
  <c r="I732" i="10" s="1" a="1"/>
  <c r="I732" i="10" s="1"/>
  <c r="I733" i="10" s="1" a="1"/>
  <c r="I733" i="10" s="1"/>
  <c r="I734" i="10" s="1" a="1"/>
  <c r="I734" i="10" s="1"/>
  <c r="I735" i="10" s="1" a="1"/>
  <c r="I735" i="10" s="1"/>
  <c r="I736" i="10" s="1" a="1"/>
  <c r="I736" i="10" s="1"/>
  <c r="I737" i="10" s="1" a="1"/>
  <c r="I737" i="10" s="1"/>
  <c r="I738" i="10" s="1" a="1"/>
  <c r="I738" i="10" s="1"/>
  <c r="I739" i="10" s="1" a="1"/>
  <c r="I739" i="10" s="1"/>
  <c r="I740" i="10" s="1" a="1"/>
  <c r="I740" i="10" s="1"/>
  <c r="I741" i="10" s="1" a="1"/>
  <c r="I741" i="10" s="1"/>
  <c r="I742" i="10" s="1" a="1"/>
  <c r="I742" i="10" s="1"/>
  <c r="I743" i="10" s="1" a="1"/>
  <c r="I743" i="10" s="1"/>
  <c r="I744" i="10" s="1" a="1"/>
  <c r="I744" i="10" s="1"/>
  <c r="I745" i="10" s="1" a="1"/>
  <c r="I745" i="10" s="1"/>
  <c r="I746" i="10" s="1" a="1"/>
  <c r="I746" i="10" s="1"/>
  <c r="I747" i="10" s="1" a="1"/>
  <c r="I747" i="10" s="1"/>
  <c r="I748" i="10" s="1" a="1"/>
  <c r="I748" i="10" s="1"/>
  <c r="I749" i="10" s="1" a="1"/>
  <c r="I749" i="10" s="1"/>
  <c r="I750" i="10" s="1" a="1"/>
  <c r="I750" i="10" s="1"/>
  <c r="I751" i="10" s="1" a="1"/>
  <c r="I751" i="10" s="1"/>
  <c r="I752" i="10" s="1" a="1"/>
  <c r="I752" i="10" s="1"/>
  <c r="I753" i="10" s="1" a="1"/>
  <c r="I753" i="10" s="1"/>
  <c r="I754" i="10" s="1" a="1"/>
  <c r="I754" i="10" s="1"/>
  <c r="I755" i="10" s="1" a="1"/>
  <c r="I755" i="10" s="1"/>
  <c r="I756" i="10" s="1" a="1"/>
  <c r="I756" i="10" s="1"/>
  <c r="I757" i="10" s="1" a="1"/>
  <c r="I757" i="10" s="1"/>
  <c r="I758" i="10" s="1" a="1"/>
  <c r="I758" i="10" s="1"/>
  <c r="I759" i="10" s="1" a="1"/>
  <c r="I759" i="10" s="1"/>
  <c r="I760" i="10" s="1" a="1"/>
  <c r="I760" i="10" s="1"/>
  <c r="I761" i="10" s="1" a="1"/>
  <c r="I761" i="10" s="1"/>
  <c r="I762" i="10" s="1" a="1"/>
  <c r="I762" i="10" s="1"/>
  <c r="I763" i="10" s="1" a="1"/>
  <c r="I763" i="10" s="1"/>
  <c r="I764" i="10" s="1" a="1"/>
  <c r="I764" i="10" s="1"/>
  <c r="I765" i="10" s="1" a="1"/>
  <c r="I765" i="10" s="1"/>
  <c r="I766" i="10" s="1" a="1"/>
  <c r="I766" i="10" s="1"/>
  <c r="I767" i="10" s="1" a="1"/>
  <c r="I767" i="10" s="1"/>
  <c r="I768" i="10" s="1" a="1"/>
  <c r="I768" i="10" s="1"/>
  <c r="I769" i="10" s="1" a="1"/>
  <c r="I769" i="10" s="1"/>
  <c r="I770" i="10" s="1" a="1"/>
  <c r="I770" i="10" s="1"/>
  <c r="I771" i="10" s="1" a="1"/>
  <c r="I771" i="10" s="1"/>
  <c r="I772" i="10" s="1" a="1"/>
  <c r="I772" i="10" s="1"/>
  <c r="I773" i="10" s="1" a="1"/>
  <c r="I773" i="10" s="1"/>
  <c r="I774" i="10" s="1" a="1"/>
  <c r="I774" i="10" s="1"/>
  <c r="I775" i="10" s="1" a="1"/>
  <c r="I775" i="10" s="1"/>
  <c r="I776" i="10" s="1" a="1"/>
  <c r="I776" i="10" s="1"/>
  <c r="I777" i="10" s="1" a="1"/>
  <c r="I777" i="10" s="1"/>
  <c r="I778" i="10" s="1" a="1"/>
  <c r="I778" i="10" s="1"/>
  <c r="I779" i="10" s="1" a="1"/>
  <c r="I779" i="10" s="1"/>
  <c r="I780" i="10" s="1" a="1"/>
  <c r="I780" i="10" s="1"/>
  <c r="I781" i="10" s="1" a="1"/>
  <c r="I781" i="10" s="1"/>
  <c r="I782" i="10" s="1" a="1"/>
  <c r="I782" i="10" s="1"/>
  <c r="I783" i="10" s="1" a="1"/>
  <c r="I783" i="10" s="1"/>
  <c r="I784" i="10" s="1" a="1"/>
  <c r="I784" i="10" s="1"/>
  <c r="I785" i="10" s="1" a="1"/>
  <c r="I785" i="10" s="1"/>
  <c r="I786" i="10" s="1" a="1"/>
  <c r="I786" i="10" s="1"/>
  <c r="I787" i="10" s="1" a="1"/>
  <c r="I787" i="10" s="1"/>
  <c r="I788" i="10" s="1" a="1"/>
  <c r="I788" i="10" s="1"/>
  <c r="I789" i="10" s="1" a="1"/>
  <c r="I789" i="10" s="1"/>
  <c r="I790" i="10" s="1" a="1"/>
  <c r="I790" i="10" s="1"/>
  <c r="I791" i="10" s="1" a="1"/>
  <c r="I791" i="10" s="1"/>
  <c r="I792" i="10" s="1" a="1"/>
  <c r="I792" i="10" s="1"/>
  <c r="I793" i="10" s="1" a="1"/>
  <c r="I793" i="10" s="1"/>
  <c r="I794" i="10" s="1" a="1"/>
  <c r="I794" i="10" s="1"/>
  <c r="I795" i="10" s="1" a="1"/>
  <c r="I795" i="10" s="1"/>
  <c r="I796" i="10" s="1" a="1"/>
  <c r="I796" i="10" s="1"/>
  <c r="I797" i="10" s="1" a="1"/>
  <c r="I797" i="10" s="1"/>
  <c r="I798" i="10" s="1" a="1"/>
  <c r="I798" i="10" s="1"/>
  <c r="I799" i="10" s="1" a="1"/>
  <c r="I799" i="10" s="1"/>
  <c r="I800" i="10" s="1" a="1"/>
  <c r="I800" i="10" s="1"/>
  <c r="I801" i="10" s="1" a="1"/>
  <c r="I801" i="10" s="1"/>
  <c r="I802" i="10" s="1" a="1"/>
  <c r="I802" i="10" s="1"/>
  <c r="I803" i="10" s="1" a="1"/>
  <c r="I803" i="10" s="1"/>
  <c r="I804" i="10" s="1" a="1"/>
  <c r="I804" i="10" s="1"/>
  <c r="I805" i="10" s="1" a="1"/>
  <c r="I805" i="10" s="1"/>
  <c r="I806" i="10" s="1" a="1"/>
  <c r="I806" i="10" s="1"/>
  <c r="I807" i="10" s="1" a="1"/>
  <c r="I807" i="10" s="1"/>
  <c r="I808" i="10" s="1" a="1"/>
  <c r="I808" i="10" s="1"/>
  <c r="I809" i="10" s="1" a="1"/>
  <c r="I809" i="10" s="1"/>
  <c r="I810" i="10" s="1" a="1"/>
  <c r="I810" i="10" s="1"/>
  <c r="I811" i="10" s="1" a="1"/>
  <c r="I811" i="10" s="1"/>
  <c r="I812" i="10" s="1" a="1"/>
  <c r="I812" i="10" s="1"/>
  <c r="I813" i="10" s="1" a="1"/>
  <c r="I813" i="10" s="1"/>
  <c r="I814" i="10" s="1" a="1"/>
  <c r="I814" i="10" s="1"/>
  <c r="I815" i="10" s="1" a="1"/>
  <c r="I815" i="10" s="1"/>
  <c r="I816" i="10" s="1" a="1"/>
  <c r="I816" i="10" s="1"/>
  <c r="I817" i="10" s="1" a="1"/>
  <c r="I817" i="10" s="1"/>
  <c r="I818" i="10" s="1" a="1"/>
  <c r="I818" i="10" s="1"/>
  <c r="I819" i="10" s="1" a="1"/>
  <c r="I819" i="10" s="1"/>
  <c r="I820" i="10" s="1" a="1"/>
  <c r="I820" i="10" s="1"/>
  <c r="I821" i="10" s="1" a="1"/>
  <c r="I821" i="10" s="1"/>
  <c r="I822" i="10" s="1" a="1"/>
  <c r="I822" i="10" s="1"/>
  <c r="I823" i="10" s="1" a="1"/>
  <c r="I823" i="10" s="1"/>
  <c r="I824" i="10" s="1" a="1"/>
  <c r="I824" i="10" s="1"/>
  <c r="I825" i="10" s="1" a="1"/>
  <c r="I825" i="10" s="1"/>
  <c r="I826" i="10" s="1" a="1"/>
  <c r="I826" i="10" s="1"/>
  <c r="I827" i="10" s="1" a="1"/>
  <c r="I827" i="10" s="1"/>
  <c r="I828" i="10" s="1" a="1"/>
  <c r="I828" i="10" s="1"/>
  <c r="I829" i="10" s="1" a="1"/>
  <c r="I829" i="10" s="1"/>
  <c r="I830" i="10" s="1" a="1"/>
  <c r="I830" i="10" s="1"/>
  <c r="I831" i="10" s="1" a="1"/>
  <c r="I831" i="10" s="1"/>
  <c r="I832" i="10" s="1" a="1"/>
  <c r="I832" i="10" s="1"/>
  <c r="I833" i="10" s="1" a="1"/>
  <c r="I833" i="10" s="1"/>
  <c r="I834" i="10" s="1" a="1"/>
  <c r="I834" i="10" s="1"/>
  <c r="I835" i="10" s="1" a="1"/>
  <c r="I835" i="10" s="1"/>
  <c r="I836" i="10" s="1" a="1"/>
  <c r="I836" i="10" s="1"/>
  <c r="I837" i="10" s="1" a="1"/>
  <c r="I837" i="10" s="1"/>
  <c r="I838" i="10" s="1" a="1"/>
  <c r="I838" i="10" s="1"/>
  <c r="I839" i="10" s="1" a="1"/>
  <c r="I839" i="10" s="1"/>
  <c r="I840" i="10" s="1" a="1"/>
  <c r="I840" i="10" s="1"/>
  <c r="I841" i="10" s="1" a="1"/>
  <c r="I841" i="10" s="1"/>
  <c r="I842" i="10" s="1" a="1"/>
  <c r="I842" i="10" s="1"/>
  <c r="I843" i="10" s="1" a="1"/>
  <c r="I843" i="10" s="1"/>
  <c r="I844" i="10" s="1" a="1"/>
  <c r="I844" i="10" s="1"/>
  <c r="I845" i="10" s="1" a="1"/>
  <c r="I845" i="10" s="1"/>
  <c r="I846" i="10" s="1" a="1"/>
  <c r="I846" i="10" s="1"/>
  <c r="I847" i="10" s="1" a="1"/>
  <c r="I847" i="10" s="1"/>
  <c r="I848" i="10" s="1" a="1"/>
  <c r="I848" i="10" s="1"/>
  <c r="I849" i="10" s="1" a="1"/>
  <c r="I849" i="10" s="1"/>
  <c r="I850" i="10" s="1" a="1"/>
  <c r="I850" i="10" s="1"/>
  <c r="I851" i="10" s="1" a="1"/>
  <c r="I851" i="10" s="1"/>
  <c r="I852" i="10" s="1" a="1"/>
  <c r="I852" i="10" s="1"/>
  <c r="I853" i="10" s="1" a="1"/>
  <c r="I853" i="10" s="1"/>
  <c r="I854" i="10" s="1" a="1"/>
  <c r="I854" i="10" s="1"/>
  <c r="I855" i="10" s="1" a="1"/>
  <c r="I855" i="10" s="1"/>
  <c r="I856" i="10" s="1" a="1"/>
  <c r="I856" i="10" s="1"/>
  <c r="I857" i="10" s="1" a="1"/>
  <c r="I857" i="10" s="1"/>
  <c r="I858" i="10" s="1" a="1"/>
  <c r="I858" i="10" s="1"/>
  <c r="I859" i="10" s="1" a="1"/>
  <c r="I859" i="10" s="1"/>
  <c r="I860" i="10" s="1" a="1"/>
  <c r="I860" i="10" s="1"/>
  <c r="I861" i="10" s="1" a="1"/>
  <c r="I861" i="10" s="1"/>
  <c r="I862" i="10" s="1" a="1"/>
  <c r="I862" i="10" s="1"/>
  <c r="I863" i="10" s="1" a="1"/>
  <c r="I863" i="10" s="1"/>
  <c r="I864" i="10" s="1" a="1"/>
  <c r="I864" i="10" s="1"/>
  <c r="I865" i="10" s="1" a="1"/>
  <c r="I865" i="10" s="1"/>
  <c r="I866" i="10" s="1" a="1"/>
  <c r="I866" i="10" s="1"/>
  <c r="I867" i="10" s="1" a="1"/>
  <c r="I867" i="10" s="1"/>
  <c r="I868" i="10" s="1" a="1"/>
  <c r="I868" i="10" s="1"/>
  <c r="I869" i="10" s="1" a="1"/>
  <c r="I869" i="10" s="1"/>
  <c r="I870" i="10" s="1" a="1"/>
  <c r="I870" i="10" s="1"/>
  <c r="I871" i="10" s="1" a="1"/>
  <c r="I871" i="10" s="1"/>
  <c r="I872" i="10" s="1" a="1"/>
  <c r="I872" i="10" s="1"/>
  <c r="I873" i="10" s="1" a="1"/>
  <c r="I873" i="10" s="1"/>
  <c r="I874" i="10" s="1" a="1"/>
  <c r="I874" i="10" s="1"/>
  <c r="I875" i="10" s="1" a="1"/>
  <c r="I875" i="10" s="1"/>
  <c r="I876" i="10" s="1" a="1"/>
  <c r="I876" i="10" s="1"/>
  <c r="I877" i="10" s="1" a="1"/>
  <c r="I877" i="10" s="1"/>
  <c r="I878" i="10" s="1" a="1"/>
  <c r="I878" i="10" s="1"/>
  <c r="I879" i="10" s="1" a="1"/>
  <c r="I879" i="10" s="1"/>
  <c r="I880" i="10" s="1" a="1"/>
  <c r="I880" i="10" s="1"/>
  <c r="I881" i="10" s="1" a="1"/>
  <c r="I881" i="10" s="1"/>
  <c r="I882" i="10" s="1" a="1"/>
  <c r="I882" i="10" s="1"/>
  <c r="I883" i="10" s="1" a="1"/>
  <c r="I883" i="10" s="1"/>
  <c r="I884" i="10" s="1" a="1"/>
  <c r="I884" i="10" s="1"/>
  <c r="I885" i="10" s="1" a="1"/>
  <c r="I885" i="10" s="1"/>
  <c r="I886" i="10" s="1" a="1"/>
  <c r="I886" i="10" s="1"/>
  <c r="I887" i="10" s="1" a="1"/>
  <c r="I887" i="10" s="1"/>
  <c r="I888" i="10" s="1" a="1"/>
  <c r="I888" i="10" s="1"/>
  <c r="I889" i="10" s="1" a="1"/>
  <c r="I889" i="10" s="1"/>
  <c r="I890" i="10" s="1" a="1"/>
  <c r="I890" i="10" s="1"/>
  <c r="I891" i="10" s="1" a="1"/>
  <c r="I891" i="10" s="1"/>
  <c r="I892" i="10" s="1" a="1"/>
  <c r="I892" i="10" s="1"/>
  <c r="I893" i="10" s="1" a="1"/>
  <c r="I893" i="10" s="1"/>
  <c r="I894" i="10" s="1" a="1"/>
  <c r="I894" i="10" s="1"/>
  <c r="I895" i="10" s="1" a="1"/>
  <c r="I895" i="10" s="1"/>
  <c r="I896" i="10" s="1" a="1"/>
  <c r="I896" i="10" s="1"/>
  <c r="I897" i="10" s="1" a="1"/>
  <c r="I897" i="10" s="1"/>
  <c r="I898" i="10" s="1" a="1"/>
  <c r="I898" i="10" s="1"/>
  <c r="I899" i="10" s="1" a="1"/>
  <c r="I899" i="10" s="1"/>
  <c r="I900" i="10" s="1" a="1"/>
  <c r="I900" i="10" s="1"/>
  <c r="I901" i="10" s="1" a="1"/>
  <c r="I901" i="10" s="1"/>
  <c r="I902" i="10" s="1" a="1"/>
  <c r="I902" i="10" s="1"/>
  <c r="I903" i="10" s="1" a="1"/>
  <c r="I903" i="10" s="1"/>
  <c r="I904" i="10" s="1" a="1"/>
  <c r="I904" i="10" s="1"/>
  <c r="I905" i="10" s="1" a="1"/>
  <c r="I905" i="10" s="1"/>
  <c r="I906" i="10" s="1" a="1"/>
  <c r="I906" i="10" s="1"/>
  <c r="I907" i="10" s="1" a="1"/>
  <c r="I907" i="10" s="1"/>
  <c r="I908" i="10" s="1" a="1"/>
  <c r="I908" i="10" s="1"/>
  <c r="I909" i="10" s="1" a="1"/>
  <c r="I909" i="10" s="1"/>
  <c r="I910" i="10" s="1" a="1"/>
  <c r="I910" i="10" s="1"/>
  <c r="I911" i="10" s="1" a="1"/>
  <c r="I911" i="10" s="1"/>
  <c r="I912" i="10" s="1" a="1"/>
  <c r="I912" i="10" s="1"/>
  <c r="I913" i="10" s="1" a="1"/>
  <c r="I913" i="10" s="1"/>
  <c r="I914" i="10" s="1" a="1"/>
  <c r="I914" i="10" s="1"/>
  <c r="I915" i="10" s="1" a="1"/>
  <c r="I915" i="10" s="1"/>
  <c r="I916" i="10" s="1" a="1"/>
  <c r="I916" i="10" s="1"/>
  <c r="I917" i="10" s="1" a="1"/>
  <c r="I917" i="10" s="1"/>
  <c r="I918" i="10" s="1" a="1"/>
  <c r="I918" i="10" s="1"/>
  <c r="I919" i="10" s="1" a="1"/>
  <c r="I919" i="10" s="1"/>
  <c r="I920" i="10" s="1" a="1"/>
  <c r="I920" i="10" s="1"/>
  <c r="I921" i="10" s="1" a="1"/>
  <c r="I921" i="10" s="1"/>
  <c r="I922" i="10" s="1" a="1"/>
  <c r="I922" i="10" s="1"/>
  <c r="I923" i="10" s="1" a="1"/>
  <c r="I923" i="10" s="1"/>
  <c r="I924" i="10" s="1" a="1"/>
  <c r="I924" i="10" s="1"/>
  <c r="I925" i="10" s="1" a="1"/>
  <c r="I925" i="10" s="1"/>
  <c r="I926" i="10" s="1" a="1"/>
  <c r="I926" i="10" s="1"/>
  <c r="I927" i="10" s="1" a="1"/>
  <c r="I927" i="10" s="1"/>
  <c r="I928" i="10" s="1" a="1"/>
  <c r="I928" i="10" s="1"/>
  <c r="I929" i="10" s="1" a="1"/>
  <c r="I929" i="10" s="1"/>
  <c r="I930" i="10" s="1" a="1"/>
  <c r="I930" i="10" s="1"/>
  <c r="I931" i="10" s="1" a="1"/>
  <c r="I931" i="10" s="1"/>
  <c r="I932" i="10" s="1" a="1"/>
  <c r="I932" i="10" s="1"/>
  <c r="I933" i="10" s="1" a="1"/>
  <c r="I933" i="10" s="1"/>
  <c r="I934" i="10" s="1" a="1"/>
  <c r="I934" i="10" s="1"/>
  <c r="I935" i="10" s="1" a="1"/>
  <c r="I935" i="10" s="1"/>
  <c r="I936" i="10" s="1" a="1"/>
  <c r="I936" i="10" s="1"/>
  <c r="I937" i="10" s="1" a="1"/>
  <c r="I937" i="10" s="1"/>
  <c r="I938" i="10" s="1" a="1"/>
  <c r="I938" i="10" s="1"/>
  <c r="I939" i="10" s="1" a="1"/>
  <c r="I939" i="10" s="1"/>
  <c r="I2" i="10" a="1"/>
  <c r="I2" i="10" s="1"/>
  <c r="D940" i="10"/>
  <c r="E939" i="10"/>
  <c r="E938" i="10"/>
  <c r="F937" i="10"/>
  <c r="G937" i="10" s="1" a="1"/>
  <c r="G937" i="10" s="1"/>
  <c r="E937" i="10"/>
  <c r="E936" i="10"/>
  <c r="E935" i="10"/>
  <c r="E934" i="10"/>
  <c r="E933" i="10"/>
  <c r="E932" i="10"/>
  <c r="E931" i="10"/>
  <c r="E930" i="10"/>
  <c r="E929" i="10"/>
  <c r="E928" i="10"/>
  <c r="E927" i="10"/>
  <c r="E926" i="10"/>
  <c r="E925" i="10"/>
  <c r="E924" i="10"/>
  <c r="E923" i="10"/>
  <c r="G922" i="10"/>
  <c r="F922" i="10"/>
  <c r="G922" i="10" s="1" a="1"/>
  <c r="E922" i="10"/>
  <c r="E921" i="10"/>
  <c r="E920" i="10"/>
  <c r="E919" i="10"/>
  <c r="E918" i="10"/>
  <c r="E917" i="10"/>
  <c r="E916" i="10"/>
  <c r="E915" i="10"/>
  <c r="E914" i="10"/>
  <c r="E913" i="10"/>
  <c r="G912" i="10" a="1"/>
  <c r="G912" i="10" s="1"/>
  <c r="F912" i="10"/>
  <c r="F913" i="10" s="1"/>
  <c r="E912" i="10"/>
  <c r="E911" i="10"/>
  <c r="E910" i="10"/>
  <c r="E909" i="10"/>
  <c r="E908" i="10"/>
  <c r="E907" i="10"/>
  <c r="E906" i="10"/>
  <c r="E905" i="10"/>
  <c r="E904" i="10"/>
  <c r="E903" i="10"/>
  <c r="E902" i="10"/>
  <c r="E901" i="10"/>
  <c r="E900" i="10"/>
  <c r="E899" i="10"/>
  <c r="E898" i="10"/>
  <c r="E897" i="10"/>
  <c r="E896" i="10"/>
  <c r="E895" i="10"/>
  <c r="E894" i="10"/>
  <c r="E893" i="10"/>
  <c r="E892" i="10"/>
  <c r="E891" i="10"/>
  <c r="E890" i="10"/>
  <c r="E889" i="10"/>
  <c r="F888" i="10"/>
  <c r="F889" i="10" s="1"/>
  <c r="F890" i="10" s="1"/>
  <c r="E888" i="10"/>
  <c r="F887" i="10"/>
  <c r="G887" i="10" s="1" a="1"/>
  <c r="G887" i="10" s="1"/>
  <c r="E887" i="10"/>
  <c r="E886" i="10"/>
  <c r="E885" i="10"/>
  <c r="E884" i="10"/>
  <c r="E883" i="10"/>
  <c r="F882" i="10"/>
  <c r="F883" i="10" s="1"/>
  <c r="E882" i="10"/>
  <c r="E881" i="10"/>
  <c r="E880" i="10"/>
  <c r="E879" i="10"/>
  <c r="E878" i="10"/>
  <c r="E877" i="10"/>
  <c r="E876" i="10"/>
  <c r="E875" i="10"/>
  <c r="F874" i="10"/>
  <c r="F875" i="10" s="1"/>
  <c r="E874" i="10"/>
  <c r="G873" i="10" a="1"/>
  <c r="G873" i="10" s="1"/>
  <c r="F873" i="10"/>
  <c r="E873" i="10"/>
  <c r="E872" i="10"/>
  <c r="E871" i="10"/>
  <c r="E870" i="10"/>
  <c r="E869" i="10"/>
  <c r="E868" i="10"/>
  <c r="E867" i="10"/>
  <c r="E866" i="10"/>
  <c r="E865" i="10"/>
  <c r="E864" i="10"/>
  <c r="E863" i="10"/>
  <c r="E862" i="10"/>
  <c r="E861" i="10"/>
  <c r="E860" i="10"/>
  <c r="E859" i="10"/>
  <c r="E858" i="10"/>
  <c r="E857" i="10"/>
  <c r="E856" i="10"/>
  <c r="E855" i="10"/>
  <c r="G854" i="10" a="1"/>
  <c r="G854" i="10" s="1"/>
  <c r="F854" i="10"/>
  <c r="F855" i="10" s="1"/>
  <c r="E854" i="10"/>
  <c r="E853" i="10"/>
  <c r="E852" i="10"/>
  <c r="E851" i="10"/>
  <c r="E850" i="10"/>
  <c r="E849" i="10"/>
  <c r="E848" i="10"/>
  <c r="E847" i="10"/>
  <c r="F846" i="10"/>
  <c r="G846" i="10" s="1" a="1"/>
  <c r="G846" i="10" s="1"/>
  <c r="E846" i="10"/>
  <c r="E845" i="10"/>
  <c r="E844" i="10"/>
  <c r="E843" i="10"/>
  <c r="E842" i="10"/>
  <c r="E841" i="10"/>
  <c r="E840" i="10"/>
  <c r="E839" i="10"/>
  <c r="E838" i="10"/>
  <c r="F837" i="10"/>
  <c r="E837" i="10"/>
  <c r="E836" i="10"/>
  <c r="E835" i="10"/>
  <c r="E834" i="10"/>
  <c r="E833" i="10"/>
  <c r="E832" i="10"/>
  <c r="F831" i="10"/>
  <c r="G831" i="10" s="1" a="1"/>
  <c r="G831" i="10" s="1"/>
  <c r="E831" i="10"/>
  <c r="F830" i="10"/>
  <c r="G830" i="10" s="1" a="1"/>
  <c r="G830" i="10" s="1"/>
  <c r="E830" i="10"/>
  <c r="G829" i="10"/>
  <c r="G829" i="10" a="1"/>
  <c r="F829" i="10"/>
  <c r="E829" i="10"/>
  <c r="E828" i="10"/>
  <c r="E827" i="10"/>
  <c r="E826" i="10"/>
  <c r="E825" i="10"/>
  <c r="E824" i="10"/>
  <c r="E823" i="10"/>
  <c r="E822" i="10"/>
  <c r="E821" i="10"/>
  <c r="G820" i="10" a="1"/>
  <c r="G820" i="10" s="1"/>
  <c r="F820" i="10"/>
  <c r="F821" i="10" s="1"/>
  <c r="E820" i="10"/>
  <c r="E819" i="10"/>
  <c r="E818" i="10"/>
  <c r="E817" i="10"/>
  <c r="E816" i="10"/>
  <c r="E815" i="10"/>
  <c r="E814" i="10"/>
  <c r="E813" i="10"/>
  <c r="E812" i="10"/>
  <c r="E811" i="10"/>
  <c r="E810" i="10"/>
  <c r="E809" i="10"/>
  <c r="E808" i="10"/>
  <c r="E807" i="10"/>
  <c r="E806" i="10"/>
  <c r="E805" i="10"/>
  <c r="E804" i="10"/>
  <c r="E803" i="10"/>
  <c r="E802" i="10"/>
  <c r="E801" i="10"/>
  <c r="E800" i="10"/>
  <c r="E799" i="10"/>
  <c r="E798" i="10"/>
  <c r="E797" i="10"/>
  <c r="E796" i="10"/>
  <c r="F795" i="10"/>
  <c r="E795" i="10"/>
  <c r="E794" i="10"/>
  <c r="E793" i="10"/>
  <c r="E792" i="10"/>
  <c r="E791" i="10"/>
  <c r="E790" i="10"/>
  <c r="E789" i="10"/>
  <c r="E788" i="10"/>
  <c r="E787" i="10"/>
  <c r="E786" i="10"/>
  <c r="E785" i="10"/>
  <c r="E784" i="10"/>
  <c r="E783" i="10"/>
  <c r="E782" i="10"/>
  <c r="E781" i="10"/>
  <c r="E780" i="10"/>
  <c r="E779" i="10"/>
  <c r="F778" i="10"/>
  <c r="G778" i="10" s="1" a="1"/>
  <c r="G778" i="10" s="1"/>
  <c r="E778" i="10"/>
  <c r="F777" i="10"/>
  <c r="G777" i="10" s="1" a="1"/>
  <c r="G777" i="10" s="1"/>
  <c r="E777" i="10"/>
  <c r="E776" i="10"/>
  <c r="E775" i="10"/>
  <c r="E774" i="10"/>
  <c r="E773" i="10"/>
  <c r="E772" i="10"/>
  <c r="E771" i="10"/>
  <c r="E770" i="10"/>
  <c r="E769" i="10"/>
  <c r="E768" i="10"/>
  <c r="E767" i="10"/>
  <c r="E766" i="10"/>
  <c r="E765" i="10"/>
  <c r="E764" i="10"/>
  <c r="E763" i="10"/>
  <c r="E762" i="10"/>
  <c r="E761" i="10"/>
  <c r="E760" i="10"/>
  <c r="E759" i="10"/>
  <c r="E758" i="10"/>
  <c r="E757" i="10"/>
  <c r="E756" i="10"/>
  <c r="F755" i="10"/>
  <c r="G755" i="10" s="1" a="1"/>
  <c r="G755" i="10" s="1"/>
  <c r="E755" i="10"/>
  <c r="F754" i="10"/>
  <c r="G754" i="10" s="1" a="1"/>
  <c r="G754" i="10" s="1"/>
  <c r="E754" i="10"/>
  <c r="F753" i="10"/>
  <c r="G753" i="10" s="1" a="1"/>
  <c r="G753" i="10" s="1"/>
  <c r="E753" i="10"/>
  <c r="G752" i="10"/>
  <c r="F752" i="10"/>
  <c r="G752" i="10" s="1" a="1"/>
  <c r="E752" i="10"/>
  <c r="E751" i="10"/>
  <c r="E750" i="10"/>
  <c r="E749" i="10"/>
  <c r="E748" i="10"/>
  <c r="E747" i="10"/>
  <c r="E746" i="10"/>
  <c r="E745" i="10"/>
  <c r="E744" i="10"/>
  <c r="E743" i="10"/>
  <c r="E742" i="10"/>
  <c r="E741" i="10"/>
  <c r="E740" i="10"/>
  <c r="E739" i="10"/>
  <c r="E738" i="10"/>
  <c r="F737" i="10"/>
  <c r="F738" i="10" s="1"/>
  <c r="E737" i="10"/>
  <c r="F736" i="10"/>
  <c r="G736" i="10" s="1" a="1"/>
  <c r="G736" i="10" s="1"/>
  <c r="E736" i="10"/>
  <c r="F735" i="10"/>
  <c r="G735" i="10" s="1" a="1"/>
  <c r="G735" i="10" s="1"/>
  <c r="E735" i="10"/>
  <c r="G734" i="10" a="1"/>
  <c r="G734" i="10" s="1"/>
  <c r="F734" i="10"/>
  <c r="E734" i="10"/>
  <c r="E733" i="10"/>
  <c r="E732" i="10"/>
  <c r="F731" i="10"/>
  <c r="G731" i="10" s="1" a="1"/>
  <c r="G731" i="10" s="1"/>
  <c r="E731" i="10"/>
  <c r="E730" i="10"/>
  <c r="E729" i="10"/>
  <c r="E728" i="10"/>
  <c r="E727" i="10"/>
  <c r="E726" i="10"/>
  <c r="E725" i="10"/>
  <c r="E724" i="10"/>
  <c r="E723" i="10"/>
  <c r="E722" i="10"/>
  <c r="E721" i="10"/>
  <c r="E720" i="10"/>
  <c r="E719" i="10"/>
  <c r="E718" i="10"/>
  <c r="E717" i="10"/>
  <c r="E716" i="10"/>
  <c r="E715" i="10"/>
  <c r="E714" i="10"/>
  <c r="E713" i="10"/>
  <c r="E712" i="10"/>
  <c r="E711" i="10"/>
  <c r="E710" i="10"/>
  <c r="F709" i="10"/>
  <c r="G709" i="10" s="1" a="1"/>
  <c r="G709" i="10" s="1"/>
  <c r="E709" i="10"/>
  <c r="F708" i="10"/>
  <c r="G708" i="10" s="1" a="1"/>
  <c r="G708" i="10" s="1"/>
  <c r="E708" i="10"/>
  <c r="E707" i="10"/>
  <c r="E706" i="10"/>
  <c r="E705" i="10"/>
  <c r="E704" i="10"/>
  <c r="E703" i="10"/>
  <c r="E702" i="10"/>
  <c r="F701" i="10"/>
  <c r="G701" i="10" s="1" a="1"/>
  <c r="G701" i="10" s="1"/>
  <c r="E701" i="10"/>
  <c r="G700" i="10" a="1"/>
  <c r="G700" i="10" s="1"/>
  <c r="F700" i="10"/>
  <c r="E700" i="10"/>
  <c r="E699" i="10"/>
  <c r="E698" i="10"/>
  <c r="E697" i="10"/>
  <c r="E696" i="10"/>
  <c r="E695" i="10"/>
  <c r="E694" i="10"/>
  <c r="E693" i="10"/>
  <c r="E692" i="10"/>
  <c r="F691" i="10"/>
  <c r="G691" i="10" s="1" a="1"/>
  <c r="G691" i="10" s="1"/>
  <c r="E691" i="10"/>
  <c r="G690" i="10" a="1"/>
  <c r="G690" i="10" s="1"/>
  <c r="F690" i="10"/>
  <c r="E690" i="10"/>
  <c r="E689" i="10"/>
  <c r="E688" i="10"/>
  <c r="E687" i="10"/>
  <c r="E686" i="10"/>
  <c r="E685" i="10"/>
  <c r="E684" i="10"/>
  <c r="E683" i="10"/>
  <c r="E682" i="10"/>
  <c r="E681" i="10"/>
  <c r="E680" i="10"/>
  <c r="E679" i="10"/>
  <c r="E678" i="10"/>
  <c r="E677" i="10"/>
  <c r="E676" i="10"/>
  <c r="E675" i="10"/>
  <c r="E674" i="10"/>
  <c r="F673" i="10"/>
  <c r="F674" i="10" s="1"/>
  <c r="E673" i="10"/>
  <c r="F672" i="10"/>
  <c r="G672" i="10" s="1" a="1"/>
  <c r="G672" i="10" s="1"/>
  <c r="E672" i="10"/>
  <c r="F671" i="10"/>
  <c r="G671" i="10" s="1" a="1"/>
  <c r="G671" i="10" s="1"/>
  <c r="E671" i="10"/>
  <c r="E670" i="10"/>
  <c r="E669" i="10"/>
  <c r="E668" i="10"/>
  <c r="E667" i="10"/>
  <c r="E666" i="10"/>
  <c r="E665" i="10"/>
  <c r="E664" i="10"/>
  <c r="E663" i="10"/>
  <c r="E662" i="10"/>
  <c r="E661" i="10"/>
  <c r="E660" i="10"/>
  <c r="E659" i="10"/>
  <c r="E658" i="10"/>
  <c r="E657" i="10"/>
  <c r="E656" i="10"/>
  <c r="E655" i="10"/>
  <c r="E654" i="10"/>
  <c r="E653" i="10"/>
  <c r="E652" i="10"/>
  <c r="E651" i="10"/>
  <c r="E650" i="10"/>
  <c r="F649" i="10"/>
  <c r="F650" i="10" s="1"/>
  <c r="E649" i="10"/>
  <c r="F648" i="10"/>
  <c r="G648" i="10" s="1" a="1"/>
  <c r="G648" i="10" s="1"/>
  <c r="E648" i="10"/>
  <c r="G647" i="10"/>
  <c r="F647" i="10"/>
  <c r="G647" i="10" s="1" a="1"/>
  <c r="E647" i="10"/>
  <c r="G646" i="10" a="1"/>
  <c r="G646" i="10" s="1"/>
  <c r="F646" i="10"/>
  <c r="E646" i="10"/>
  <c r="E645" i="10"/>
  <c r="E644" i="10"/>
  <c r="E643" i="10"/>
  <c r="E642" i="10"/>
  <c r="E641" i="10"/>
  <c r="E640" i="10"/>
  <c r="E639" i="10"/>
  <c r="E638" i="10"/>
  <c r="E637" i="10"/>
  <c r="E636" i="10"/>
  <c r="E635" i="10"/>
  <c r="E634" i="10"/>
  <c r="E633" i="10"/>
  <c r="E632" i="10"/>
  <c r="E631" i="10"/>
  <c r="E630" i="10"/>
  <c r="E629" i="10"/>
  <c r="E628" i="10"/>
  <c r="E627" i="10"/>
  <c r="E626" i="10"/>
  <c r="E625" i="10"/>
  <c r="E624" i="10"/>
  <c r="E623" i="10"/>
  <c r="E622" i="10"/>
  <c r="F621" i="10"/>
  <c r="F622" i="10" s="1"/>
  <c r="G622" i="10" s="1" a="1"/>
  <c r="G622" i="10" s="1"/>
  <c r="E621" i="10"/>
  <c r="E620" i="10"/>
  <c r="E619" i="10"/>
  <c r="E618" i="10"/>
  <c r="E617" i="10"/>
  <c r="E616" i="10"/>
  <c r="E615" i="10"/>
  <c r="E614" i="10"/>
  <c r="E613" i="10"/>
  <c r="E612" i="10"/>
  <c r="E611" i="10"/>
  <c r="E610" i="10"/>
  <c r="E609" i="10"/>
  <c r="E608" i="10"/>
  <c r="E607" i="10"/>
  <c r="E606" i="10"/>
  <c r="E605" i="10"/>
  <c r="E604" i="10"/>
  <c r="E603" i="10"/>
  <c r="E602" i="10"/>
  <c r="E601" i="10"/>
  <c r="F600" i="10"/>
  <c r="G600" i="10" s="1" a="1"/>
  <c r="G600" i="10" s="1"/>
  <c r="E600" i="10"/>
  <c r="E599" i="10"/>
  <c r="E598" i="10"/>
  <c r="E597" i="10"/>
  <c r="E596" i="10"/>
  <c r="E595" i="10"/>
  <c r="E594" i="10"/>
  <c r="E593" i="10"/>
  <c r="E592" i="10"/>
  <c r="E591" i="10"/>
  <c r="E590" i="10"/>
  <c r="E589" i="10"/>
  <c r="E588" i="10"/>
  <c r="E587" i="10"/>
  <c r="E586" i="10"/>
  <c r="E585" i="10"/>
  <c r="E584" i="10"/>
  <c r="E583" i="10"/>
  <c r="E582" i="10"/>
  <c r="E581" i="10"/>
  <c r="E580" i="10"/>
  <c r="E579" i="10"/>
  <c r="E578" i="10"/>
  <c r="E577" i="10"/>
  <c r="F576" i="10"/>
  <c r="G576" i="10" s="1" a="1"/>
  <c r="G576" i="10" s="1"/>
  <c r="E576" i="10"/>
  <c r="F575" i="10"/>
  <c r="G575" i="10" s="1" a="1"/>
  <c r="G575" i="10" s="1"/>
  <c r="E575" i="10"/>
  <c r="E574" i="10"/>
  <c r="E573" i="10"/>
  <c r="E572" i="10"/>
  <c r="E571" i="10"/>
  <c r="E570" i="10"/>
  <c r="E569" i="10"/>
  <c r="E568" i="10"/>
  <c r="E567" i="10"/>
  <c r="E566" i="10"/>
  <c r="E565" i="10"/>
  <c r="E564" i="10"/>
  <c r="E563" i="10"/>
  <c r="E562" i="10"/>
  <c r="E561" i="10"/>
  <c r="E560" i="10"/>
  <c r="E559" i="10"/>
  <c r="E558" i="10"/>
  <c r="E557" i="10"/>
  <c r="E556" i="10"/>
  <c r="E555" i="10"/>
  <c r="E554" i="10"/>
  <c r="E553" i="10"/>
  <c r="F552" i="10"/>
  <c r="G552" i="10" s="1" a="1"/>
  <c r="G552" i="10" s="1"/>
  <c r="E552" i="10"/>
  <c r="F551" i="10"/>
  <c r="G551" i="10" s="1" a="1"/>
  <c r="G551" i="10" s="1"/>
  <c r="E551" i="10"/>
  <c r="F550" i="10"/>
  <c r="G550" i="10" s="1" a="1"/>
  <c r="G550" i="10" s="1"/>
  <c r="E550" i="10"/>
  <c r="E549" i="10"/>
  <c r="E548" i="10"/>
  <c r="G547" i="10" a="1"/>
  <c r="G547" i="10" s="1"/>
  <c r="F547" i="10"/>
  <c r="F548" i="10" s="1"/>
  <c r="E547" i="10"/>
  <c r="E546" i="10"/>
  <c r="E545" i="10"/>
  <c r="E544" i="10"/>
  <c r="E543" i="10"/>
  <c r="E542" i="10"/>
  <c r="E541" i="10"/>
  <c r="F540" i="10"/>
  <c r="F541" i="10" s="1"/>
  <c r="E540" i="10"/>
  <c r="G539" i="10" a="1"/>
  <c r="G539" i="10" s="1"/>
  <c r="F539" i="10"/>
  <c r="E539" i="10"/>
  <c r="E538" i="10"/>
  <c r="E537" i="10"/>
  <c r="E536" i="10"/>
  <c r="E535" i="10"/>
  <c r="E534" i="10"/>
  <c r="E533" i="10"/>
  <c r="E532" i="10"/>
  <c r="E531" i="10"/>
  <c r="E530" i="10"/>
  <c r="E529" i="10"/>
  <c r="E528" i="10"/>
  <c r="E527" i="10"/>
  <c r="E526" i="10"/>
  <c r="E525" i="10"/>
  <c r="E524" i="10"/>
  <c r="E523" i="10"/>
  <c r="E522" i="10"/>
  <c r="E521" i="10"/>
  <c r="E520" i="10"/>
  <c r="E519" i="10"/>
  <c r="E518" i="10"/>
  <c r="E517" i="10"/>
  <c r="E516" i="10"/>
  <c r="E515" i="10"/>
  <c r="F514" i="10"/>
  <c r="E514" i="10"/>
  <c r="E513" i="10"/>
  <c r="F512" i="10"/>
  <c r="F513" i="10" s="1"/>
  <c r="G513" i="10" s="1" a="1"/>
  <c r="G513" i="10" s="1"/>
  <c r="E512" i="10"/>
  <c r="E511" i="10"/>
  <c r="E510" i="10"/>
  <c r="E509" i="10"/>
  <c r="E508" i="10"/>
  <c r="E507" i="10"/>
  <c r="F506" i="10"/>
  <c r="E506" i="10"/>
  <c r="G505" i="10" a="1"/>
  <c r="G505" i="10" s="1"/>
  <c r="E505" i="10"/>
  <c r="G504" i="10" a="1"/>
  <c r="G504" i="10" s="1"/>
  <c r="F504" i="10"/>
  <c r="F505" i="10" s="1"/>
  <c r="E504" i="10"/>
  <c r="F503" i="10"/>
  <c r="G503" i="10" s="1" a="1"/>
  <c r="G503" i="10" s="1"/>
  <c r="E503" i="10"/>
  <c r="G502" i="10" a="1"/>
  <c r="G502" i="10" s="1"/>
  <c r="F502" i="10"/>
  <c r="E502" i="10"/>
  <c r="E501" i="10"/>
  <c r="E500" i="10"/>
  <c r="E499" i="10"/>
  <c r="E498" i="10"/>
  <c r="E497" i="10"/>
  <c r="E496" i="10"/>
  <c r="E495" i="10"/>
  <c r="E494" i="10"/>
  <c r="E493" i="10"/>
  <c r="F492" i="10"/>
  <c r="E492" i="10"/>
  <c r="E491" i="10"/>
  <c r="E490" i="10"/>
  <c r="F489" i="10"/>
  <c r="E489" i="10"/>
  <c r="E488" i="10"/>
  <c r="E487" i="10"/>
  <c r="E486" i="10"/>
  <c r="E485" i="10"/>
  <c r="E484" i="10"/>
  <c r="E483" i="10"/>
  <c r="E482" i="10"/>
  <c r="E481" i="10"/>
  <c r="E480" i="10"/>
  <c r="E479" i="10"/>
  <c r="E478" i="10"/>
  <c r="E477" i="10"/>
  <c r="E476" i="10"/>
  <c r="E475" i="10"/>
  <c r="E474" i="10"/>
  <c r="E473" i="10"/>
  <c r="E472" i="10"/>
  <c r="F471" i="10"/>
  <c r="G471" i="10" s="1" a="1"/>
  <c r="G471" i="10" s="1"/>
  <c r="E471" i="10"/>
  <c r="F470" i="10"/>
  <c r="G470" i="10" s="1" a="1"/>
  <c r="G470" i="10" s="1"/>
  <c r="E470" i="10"/>
  <c r="F469" i="10"/>
  <c r="G469" i="10" s="1" a="1"/>
  <c r="G469" i="10" s="1"/>
  <c r="E469" i="10"/>
  <c r="G468" i="10" a="1"/>
  <c r="G468" i="10" s="1"/>
  <c r="F468" i="10"/>
  <c r="E468" i="10"/>
  <c r="E467" i="10"/>
  <c r="E466" i="10"/>
  <c r="E465" i="10"/>
  <c r="E464" i="10"/>
  <c r="E463" i="10"/>
  <c r="E462" i="10"/>
  <c r="E461" i="10"/>
  <c r="E460" i="10"/>
  <c r="E459" i="10"/>
  <c r="F458" i="10"/>
  <c r="G458" i="10" s="1" a="1"/>
  <c r="G458" i="10" s="1"/>
  <c r="E458" i="10"/>
  <c r="E457" i="10"/>
  <c r="E456" i="10"/>
  <c r="F455" i="10"/>
  <c r="G455" i="10" s="1" a="1"/>
  <c r="G455" i="10" s="1"/>
  <c r="E455" i="10"/>
  <c r="E454" i="10"/>
  <c r="E453" i="10"/>
  <c r="E452" i="10"/>
  <c r="E451" i="10"/>
  <c r="E450" i="10"/>
  <c r="E449" i="10"/>
  <c r="E448" i="10"/>
  <c r="E447" i="10"/>
  <c r="E446" i="10"/>
  <c r="E445" i="10"/>
  <c r="E444" i="10"/>
  <c r="E443" i="10"/>
  <c r="E442" i="10"/>
  <c r="E441" i="10"/>
  <c r="E440" i="10"/>
  <c r="E439" i="10"/>
  <c r="E438" i="10"/>
  <c r="E437" i="10"/>
  <c r="E436" i="10"/>
  <c r="E435" i="10"/>
  <c r="E434" i="10"/>
  <c r="E433" i="10"/>
  <c r="E432" i="10"/>
  <c r="F431" i="10"/>
  <c r="G431" i="10" s="1" a="1"/>
  <c r="G431" i="10" s="1"/>
  <c r="E431" i="10"/>
  <c r="E430" i="10"/>
  <c r="E429" i="10"/>
  <c r="E428" i="10"/>
  <c r="E427" i="10"/>
  <c r="E426" i="10"/>
  <c r="E425" i="10"/>
  <c r="E424" i="10"/>
  <c r="E423" i="10"/>
  <c r="E422" i="10"/>
  <c r="E421" i="10"/>
  <c r="E420" i="10"/>
  <c r="E419" i="10"/>
  <c r="E418" i="10"/>
  <c r="E417" i="10"/>
  <c r="E416" i="10"/>
  <c r="E415" i="10"/>
  <c r="E414" i="10"/>
  <c r="E413" i="10"/>
  <c r="E412" i="10"/>
  <c r="E411" i="10"/>
  <c r="E410" i="10"/>
  <c r="E409" i="10"/>
  <c r="E408" i="10"/>
  <c r="F407" i="10"/>
  <c r="G407" i="10" s="1" a="1"/>
  <c r="G407" i="10" s="1"/>
  <c r="E407" i="10"/>
  <c r="F406" i="10"/>
  <c r="G406" i="10" s="1" a="1"/>
  <c r="G406" i="10" s="1"/>
  <c r="E406" i="10"/>
  <c r="E405" i="10"/>
  <c r="E404" i="10"/>
  <c r="E403" i="10"/>
  <c r="E402" i="10"/>
  <c r="E401" i="10"/>
  <c r="E400" i="10"/>
  <c r="E399" i="10"/>
  <c r="E398" i="10"/>
  <c r="F397" i="10"/>
  <c r="G397" i="10" s="1" a="1"/>
  <c r="G397" i="10" s="1"/>
  <c r="E397" i="10"/>
  <c r="G396" i="10" a="1"/>
  <c r="G396" i="10" s="1"/>
  <c r="F396" i="10"/>
  <c r="E396" i="10"/>
  <c r="G395" i="10" a="1"/>
  <c r="G395" i="10" s="1"/>
  <c r="F395" i="10"/>
  <c r="E395" i="10"/>
  <c r="F394" i="10"/>
  <c r="G394" i="10" s="1" a="1"/>
  <c r="G394" i="10" s="1"/>
  <c r="E394" i="10"/>
  <c r="G393" i="10" a="1"/>
  <c r="G393" i="10" s="1"/>
  <c r="F393" i="10"/>
  <c r="E393" i="10"/>
  <c r="E392" i="10"/>
  <c r="F391" i="10"/>
  <c r="G391" i="10" s="1" a="1"/>
  <c r="G391" i="10" s="1"/>
  <c r="E391" i="10"/>
  <c r="F390" i="10"/>
  <c r="G390" i="10" s="1" a="1"/>
  <c r="G390" i="10" s="1"/>
  <c r="E390" i="10"/>
  <c r="F389" i="10"/>
  <c r="G389" i="10" s="1" a="1"/>
  <c r="G389" i="10" s="1"/>
  <c r="E389" i="10"/>
  <c r="E388" i="10"/>
  <c r="E387" i="10"/>
  <c r="F386" i="10"/>
  <c r="E386" i="10"/>
  <c r="G385" i="10" a="1"/>
  <c r="G385" i="10" s="1"/>
  <c r="F385" i="10"/>
  <c r="E385" i="10"/>
  <c r="E384" i="10"/>
  <c r="F383" i="10"/>
  <c r="G383" i="10" s="1" a="1"/>
  <c r="G383" i="10" s="1"/>
  <c r="E383" i="10"/>
  <c r="F382" i="10"/>
  <c r="G382" i="10" s="1" a="1"/>
  <c r="G382" i="10" s="1"/>
  <c r="E382" i="10"/>
  <c r="F381" i="10"/>
  <c r="G381" i="10" s="1" a="1"/>
  <c r="G381" i="10" s="1"/>
  <c r="E381" i="10"/>
  <c r="G380" i="10" a="1"/>
  <c r="G380" i="10" s="1"/>
  <c r="F380" i="10"/>
  <c r="E380" i="10"/>
  <c r="E379" i="10"/>
  <c r="E378" i="10"/>
  <c r="E377" i="10"/>
  <c r="E376" i="10"/>
  <c r="E375" i="10"/>
  <c r="E374" i="10"/>
  <c r="E373" i="10"/>
  <c r="E372" i="10"/>
  <c r="E371" i="10"/>
  <c r="E370" i="10"/>
  <c r="E369" i="10"/>
  <c r="E368" i="10"/>
  <c r="F367" i="10"/>
  <c r="G367" i="10" s="1" a="1"/>
  <c r="G367" i="10" s="1"/>
  <c r="E367" i="10"/>
  <c r="F366" i="10"/>
  <c r="G366" i="10" s="1" a="1"/>
  <c r="G366" i="10" s="1"/>
  <c r="E366" i="10"/>
  <c r="F365" i="10"/>
  <c r="G365" i="10" s="1" a="1"/>
  <c r="G365" i="10" s="1"/>
  <c r="E365" i="10"/>
  <c r="G364" i="10" a="1"/>
  <c r="G364" i="10" s="1"/>
  <c r="F364" i="10"/>
  <c r="E364" i="10"/>
  <c r="E363" i="10"/>
  <c r="E362" i="10"/>
  <c r="E361" i="10"/>
  <c r="E360" i="10"/>
  <c r="E359" i="10"/>
  <c r="E358" i="10"/>
  <c r="E357" i="10"/>
  <c r="E356" i="10"/>
  <c r="G355" i="10" a="1"/>
  <c r="G355" i="10" s="1"/>
  <c r="F355" i="10"/>
  <c r="F356" i="10" s="1"/>
  <c r="E355" i="10"/>
  <c r="E354" i="10"/>
  <c r="E353" i="10"/>
  <c r="E352" i="10"/>
  <c r="E351" i="10"/>
  <c r="E350" i="10"/>
  <c r="E349" i="10"/>
  <c r="E348" i="10"/>
  <c r="E347" i="10"/>
  <c r="E346" i="10"/>
  <c r="E345" i="10"/>
  <c r="E344" i="10"/>
  <c r="E343" i="10"/>
  <c r="E342" i="10"/>
  <c r="E341" i="10"/>
  <c r="G340" i="10" a="1"/>
  <c r="G340" i="10" s="1"/>
  <c r="E340" i="10"/>
  <c r="F339" i="10"/>
  <c r="F340" i="10" s="1"/>
  <c r="F341" i="10" s="1"/>
  <c r="E339" i="10"/>
  <c r="E338" i="10"/>
  <c r="E337" i="10"/>
  <c r="E336" i="10"/>
  <c r="E335" i="10"/>
  <c r="E334" i="10"/>
  <c r="E333" i="10"/>
  <c r="E332" i="10"/>
  <c r="E331" i="10"/>
  <c r="E330" i="10"/>
  <c r="E329" i="10"/>
  <c r="E328" i="10"/>
  <c r="E327" i="10"/>
  <c r="E326" i="10"/>
  <c r="E325" i="10"/>
  <c r="G324" i="10" a="1"/>
  <c r="G324" i="10" s="1"/>
  <c r="E324" i="10"/>
  <c r="G323" i="10" a="1"/>
  <c r="G323" i="10" s="1"/>
  <c r="F323" i="10"/>
  <c r="F324" i="10" s="1"/>
  <c r="F325" i="10" s="1"/>
  <c r="E323" i="10"/>
  <c r="E322" i="10"/>
  <c r="E321" i="10"/>
  <c r="E320" i="10"/>
  <c r="E319" i="10"/>
  <c r="E318" i="10"/>
  <c r="E317" i="10"/>
  <c r="E316" i="10"/>
  <c r="E315" i="10"/>
  <c r="E314" i="10"/>
  <c r="E313" i="10"/>
  <c r="F312" i="10"/>
  <c r="F313" i="10" s="1"/>
  <c r="G313" i="10" s="1" a="1"/>
  <c r="G313" i="10" s="1"/>
  <c r="E312" i="10"/>
  <c r="F311" i="10"/>
  <c r="G311" i="10" s="1" a="1"/>
  <c r="G311" i="10" s="1"/>
  <c r="E311" i="10"/>
  <c r="G310" i="10" a="1"/>
  <c r="G310" i="10" s="1"/>
  <c r="F310" i="10"/>
  <c r="E310" i="10"/>
  <c r="E309" i="10"/>
  <c r="E308" i="10"/>
  <c r="E307" i="10"/>
  <c r="E306" i="10"/>
  <c r="E305" i="10"/>
  <c r="E304" i="10"/>
  <c r="F303" i="10"/>
  <c r="G303" i="10" s="1" a="1"/>
  <c r="G303" i="10" s="1"/>
  <c r="E303" i="10"/>
  <c r="F302" i="10"/>
  <c r="G302" i="10" s="1" a="1"/>
  <c r="G302" i="10" s="1"/>
  <c r="E302" i="10"/>
  <c r="F301" i="10"/>
  <c r="G301" i="10" s="1" a="1"/>
  <c r="G301" i="10" s="1"/>
  <c r="E301" i="10"/>
  <c r="E300" i="10"/>
  <c r="E299" i="10"/>
  <c r="E298" i="10"/>
  <c r="E297" i="10"/>
  <c r="E296" i="10"/>
  <c r="E295" i="10"/>
  <c r="E294" i="10"/>
  <c r="E293" i="10"/>
  <c r="E292" i="10"/>
  <c r="E291" i="10"/>
  <c r="E290" i="10"/>
  <c r="E289" i="10"/>
  <c r="E288" i="10"/>
  <c r="E287" i="10"/>
  <c r="F286" i="10"/>
  <c r="F287" i="10" s="1"/>
  <c r="E286" i="10"/>
  <c r="G285" i="10" a="1"/>
  <c r="G285" i="10" s="1"/>
  <c r="F285" i="10"/>
  <c r="E285" i="10"/>
  <c r="E284" i="10"/>
  <c r="E283" i="10"/>
  <c r="E282" i="10"/>
  <c r="E281" i="10"/>
  <c r="F280" i="10"/>
  <c r="E280" i="10"/>
  <c r="E279" i="10"/>
  <c r="F278" i="10"/>
  <c r="F279" i="10" s="1"/>
  <c r="G279" i="10" s="1" a="1"/>
  <c r="G279" i="10" s="1"/>
  <c r="E278" i="10"/>
  <c r="G277" i="10" a="1"/>
  <c r="G277" i="10" s="1"/>
  <c r="F277" i="10"/>
  <c r="E277" i="10"/>
  <c r="E276" i="10"/>
  <c r="E275" i="10"/>
  <c r="E274" i="10"/>
  <c r="E273" i="10"/>
  <c r="E272" i="10"/>
  <c r="E271" i="10"/>
  <c r="E270" i="10"/>
  <c r="E269" i="10"/>
  <c r="E268" i="10"/>
  <c r="E267" i="10"/>
  <c r="E266" i="10"/>
  <c r="E265" i="10"/>
  <c r="F264" i="10"/>
  <c r="E264" i="10"/>
  <c r="E263" i="10"/>
  <c r="E262" i="10"/>
  <c r="E261" i="10"/>
  <c r="E260" i="10"/>
  <c r="E259" i="10"/>
  <c r="E258" i="10"/>
  <c r="E257" i="10"/>
  <c r="F256" i="10"/>
  <c r="E256" i="10"/>
  <c r="E255" i="10"/>
  <c r="E254" i="10"/>
  <c r="E253" i="10"/>
  <c r="E252" i="10"/>
  <c r="E251" i="10"/>
  <c r="E250" i="10"/>
  <c r="E249" i="10"/>
  <c r="F248" i="10"/>
  <c r="E248" i="10"/>
  <c r="G247" i="10" a="1"/>
  <c r="G247" i="10" s="1"/>
  <c r="F247" i="10"/>
  <c r="E247" i="10"/>
  <c r="E246" i="10"/>
  <c r="E245" i="10"/>
  <c r="E244" i="10"/>
  <c r="E243" i="10"/>
  <c r="F242" i="10"/>
  <c r="G242" i="10" s="1" a="1"/>
  <c r="G242" i="10" s="1"/>
  <c r="E242" i="10"/>
  <c r="E241" i="10"/>
  <c r="E240" i="10"/>
  <c r="E239" i="10"/>
  <c r="E238" i="10"/>
  <c r="E237" i="10"/>
  <c r="E236" i="10"/>
  <c r="E235" i="10"/>
  <c r="E234" i="10"/>
  <c r="E233" i="10"/>
  <c r="E232" i="10"/>
  <c r="E231" i="10"/>
  <c r="E230" i="10"/>
  <c r="E229" i="10"/>
  <c r="E228" i="10"/>
  <c r="E227" i="10"/>
  <c r="E226" i="10"/>
  <c r="E225" i="10"/>
  <c r="E224" i="10"/>
  <c r="E223" i="10"/>
  <c r="E222" i="10"/>
  <c r="E221" i="10"/>
  <c r="E220" i="10"/>
  <c r="F219" i="10"/>
  <c r="E219" i="10"/>
  <c r="E218" i="10"/>
  <c r="E217" i="10"/>
  <c r="E216" i="10"/>
  <c r="E215" i="10"/>
  <c r="E214" i="10"/>
  <c r="E213" i="10"/>
  <c r="E212" i="10"/>
  <c r="E211" i="10"/>
  <c r="E210" i="10"/>
  <c r="E209" i="10"/>
  <c r="E208" i="10"/>
  <c r="E207" i="10"/>
  <c r="E206" i="10"/>
  <c r="E205" i="10"/>
  <c r="E204" i="10"/>
  <c r="F203" i="10"/>
  <c r="E203" i="10"/>
  <c r="G202" i="10" a="1"/>
  <c r="G202" i="10" s="1"/>
  <c r="F202" i="10"/>
  <c r="E202" i="10"/>
  <c r="E201" i="10"/>
  <c r="E200" i="10"/>
  <c r="E199" i="10"/>
  <c r="E198" i="10"/>
  <c r="E197" i="10"/>
  <c r="E196" i="10"/>
  <c r="E195" i="10"/>
  <c r="E194" i="10"/>
  <c r="E193" i="10"/>
  <c r="E192" i="10"/>
  <c r="E191" i="10"/>
  <c r="E190" i="10"/>
  <c r="E189" i="10"/>
  <c r="E188" i="10"/>
  <c r="E187" i="10"/>
  <c r="E186" i="10"/>
  <c r="E185" i="10"/>
  <c r="E184" i="10"/>
  <c r="E183" i="10"/>
  <c r="E182" i="10"/>
  <c r="E181" i="10"/>
  <c r="E180" i="10"/>
  <c r="F179" i="10"/>
  <c r="E179" i="10"/>
  <c r="E178" i="10"/>
  <c r="E177" i="10"/>
  <c r="E176" i="10"/>
  <c r="E175" i="10"/>
  <c r="E174" i="10"/>
  <c r="E173" i="10"/>
  <c r="E172" i="10"/>
  <c r="E171" i="10"/>
  <c r="E170" i="10"/>
  <c r="E169" i="10"/>
  <c r="E168" i="10"/>
  <c r="E167" i="10"/>
  <c r="E166" i="10"/>
  <c r="E165" i="10"/>
  <c r="E164" i="10"/>
  <c r="F163" i="10"/>
  <c r="G163" i="10" s="1" a="1"/>
  <c r="G163" i="10" s="1"/>
  <c r="E163" i="10"/>
  <c r="E162" i="10"/>
  <c r="E161" i="10"/>
  <c r="E160" i="10"/>
  <c r="E159" i="10"/>
  <c r="E158" i="10"/>
  <c r="E157" i="10"/>
  <c r="E156" i="10"/>
  <c r="E155" i="10"/>
  <c r="E154" i="10"/>
  <c r="E153" i="10"/>
  <c r="E152" i="10"/>
  <c r="E151" i="10"/>
  <c r="E150" i="10"/>
  <c r="E149" i="10"/>
  <c r="E148" i="10"/>
  <c r="E147" i="10"/>
  <c r="E146" i="10"/>
  <c r="E145" i="10"/>
  <c r="F144" i="10"/>
  <c r="F145" i="10" s="1"/>
  <c r="E144" i="10"/>
  <c r="F143" i="10"/>
  <c r="G143" i="10" s="1" a="1"/>
  <c r="G143" i="10" s="1"/>
  <c r="E143" i="10"/>
  <c r="G142" i="10"/>
  <c r="G142" i="10" a="1"/>
  <c r="F142" i="10"/>
  <c r="E142" i="10"/>
  <c r="E141" i="10"/>
  <c r="E140" i="10"/>
  <c r="E139" i="10"/>
  <c r="E138" i="10"/>
  <c r="E137" i="10"/>
  <c r="F136" i="10"/>
  <c r="F137" i="10" s="1"/>
  <c r="E136" i="10"/>
  <c r="F135" i="10"/>
  <c r="G135" i="10" s="1" a="1"/>
  <c r="G135" i="10" s="1"/>
  <c r="E135" i="10"/>
  <c r="E134" i="10"/>
  <c r="E133" i="10"/>
  <c r="E132" i="10"/>
  <c r="E131" i="10"/>
  <c r="E130" i="10"/>
  <c r="E129" i="10"/>
  <c r="E128" i="10"/>
  <c r="E127" i="10"/>
  <c r="E126" i="10"/>
  <c r="E125" i="10"/>
  <c r="E124" i="10"/>
  <c r="E123" i="10"/>
  <c r="E122" i="10"/>
  <c r="E121" i="10"/>
  <c r="E120" i="10"/>
  <c r="E119" i="10"/>
  <c r="E118" i="10"/>
  <c r="E117" i="10"/>
  <c r="F116" i="10"/>
  <c r="E116" i="10"/>
  <c r="F115" i="10"/>
  <c r="G115" i="10" s="1" a="1"/>
  <c r="G115" i="10" s="1"/>
  <c r="E115" i="10"/>
  <c r="E114" i="10"/>
  <c r="E113" i="10"/>
  <c r="E112" i="10"/>
  <c r="E111" i="10"/>
  <c r="E110" i="10"/>
  <c r="E109" i="10"/>
  <c r="E108" i="10"/>
  <c r="E107" i="10"/>
  <c r="E106" i="10"/>
  <c r="E105" i="10"/>
  <c r="E104" i="10"/>
  <c r="E103" i="10"/>
  <c r="E102" i="10"/>
  <c r="E101" i="10"/>
  <c r="E100" i="10"/>
  <c r="E99" i="10"/>
  <c r="E98" i="10"/>
  <c r="E97" i="10"/>
  <c r="E96" i="10"/>
  <c r="E95" i="10"/>
  <c r="E94" i="10"/>
  <c r="E93" i="10"/>
  <c r="F92" i="10"/>
  <c r="E92" i="10"/>
  <c r="F91" i="10"/>
  <c r="G91" i="10" s="1" a="1"/>
  <c r="G91" i="10" s="1"/>
  <c r="E91" i="10"/>
  <c r="G90" i="10"/>
  <c r="G90" i="10" a="1"/>
  <c r="F90" i="10"/>
  <c r="E90" i="10"/>
  <c r="E89" i="10"/>
  <c r="E88" i="10"/>
  <c r="E87" i="10"/>
  <c r="E86" i="10"/>
  <c r="E85" i="10"/>
  <c r="E84" i="10"/>
  <c r="E83" i="10"/>
  <c r="E82" i="10"/>
  <c r="E81" i="10"/>
  <c r="F80" i="10"/>
  <c r="E80" i="10"/>
  <c r="E79" i="10"/>
  <c r="E78" i="10"/>
  <c r="E77" i="10"/>
  <c r="E76" i="10"/>
  <c r="E75" i="10"/>
  <c r="E74" i="10"/>
  <c r="E73" i="10"/>
  <c r="E72" i="10"/>
  <c r="E71" i="10"/>
  <c r="E70" i="10"/>
  <c r="E69" i="10"/>
  <c r="E68" i="10"/>
  <c r="E67" i="10"/>
  <c r="E66" i="10"/>
  <c r="E65" i="10"/>
  <c r="F64" i="10"/>
  <c r="E64" i="10"/>
  <c r="G63" i="10"/>
  <c r="E63" i="10"/>
  <c r="E62" i="10"/>
  <c r="F61" i="10"/>
  <c r="F62" i="10" s="1"/>
  <c r="F63" i="10" s="1"/>
  <c r="G63" i="10" s="1" a="1"/>
  <c r="E61" i="10"/>
  <c r="F60" i="10"/>
  <c r="G60" i="10" s="1" a="1"/>
  <c r="G60" i="10" s="1"/>
  <c r="E60" i="10"/>
  <c r="E59" i="10"/>
  <c r="E58" i="10"/>
  <c r="E57" i="10"/>
  <c r="E56" i="10"/>
  <c r="E55" i="10"/>
  <c r="E54" i="10"/>
  <c r="E53" i="10"/>
  <c r="F52" i="10"/>
  <c r="G52" i="10" s="1" a="1"/>
  <c r="G52" i="10" s="1"/>
  <c r="E52" i="10"/>
  <c r="F51" i="10"/>
  <c r="G51" i="10" s="1" a="1"/>
  <c r="G51" i="10" s="1"/>
  <c r="E51" i="10"/>
  <c r="E50" i="10"/>
  <c r="E49" i="10"/>
  <c r="E48" i="10"/>
  <c r="E47" i="10"/>
  <c r="E46" i="10"/>
  <c r="E45" i="10"/>
  <c r="E44" i="10"/>
  <c r="E43" i="10"/>
  <c r="E42" i="10"/>
  <c r="E41" i="10"/>
  <c r="E40" i="10"/>
  <c r="E39" i="10"/>
  <c r="G38" i="10" a="1"/>
  <c r="G38" i="10" s="1"/>
  <c r="F38" i="10"/>
  <c r="F39" i="10" s="1"/>
  <c r="F40" i="10" s="1"/>
  <c r="F41" i="10" s="1"/>
  <c r="F42" i="10" s="1"/>
  <c r="F43" i="10" s="1"/>
  <c r="F44" i="10" s="1"/>
  <c r="F45" i="10" s="1"/>
  <c r="F46" i="10" s="1"/>
  <c r="F47" i="10" s="1"/>
  <c r="F48" i="10" s="1"/>
  <c r="F49" i="10" s="1"/>
  <c r="F50" i="10" s="1"/>
  <c r="G50" i="10" s="1" a="1"/>
  <c r="G50" i="10" s="1"/>
  <c r="E38" i="10"/>
  <c r="G37" i="10" a="1"/>
  <c r="G37" i="10" s="1"/>
  <c r="F37" i="10"/>
  <c r="E37" i="10"/>
  <c r="G36" i="10" a="1"/>
  <c r="G36" i="10" s="1"/>
  <c r="E36" i="10"/>
  <c r="G35" i="10" a="1"/>
  <c r="G35" i="10" s="1"/>
  <c r="E35" i="10"/>
  <c r="G34" i="10" a="1"/>
  <c r="G34" i="10" s="1"/>
  <c r="E34" i="10"/>
  <c r="G33" i="10" a="1"/>
  <c r="G33" i="10" s="1"/>
  <c r="E33" i="10"/>
  <c r="G32" i="10" a="1"/>
  <c r="G32" i="10" s="1"/>
  <c r="E32" i="10"/>
  <c r="G31" i="10" a="1"/>
  <c r="G31" i="10" s="1"/>
  <c r="F31" i="10"/>
  <c r="F32" i="10" s="1"/>
  <c r="F33" i="10" s="1"/>
  <c r="F34" i="10" s="1"/>
  <c r="F35" i="10" s="1"/>
  <c r="F36" i="10" s="1"/>
  <c r="E31" i="10"/>
  <c r="E30" i="10"/>
  <c r="E29" i="10"/>
  <c r="E28" i="10"/>
  <c r="V27" i="10" a="1"/>
  <c r="V27" i="10" s="1"/>
  <c r="U27" i="10"/>
  <c r="U27" i="10" a="1"/>
  <c r="T27" i="10" a="1"/>
  <c r="T27" i="10" s="1"/>
  <c r="E27" i="10"/>
  <c r="V26" i="10" a="1"/>
  <c r="V26" i="10" s="1"/>
  <c r="U26" i="10" a="1"/>
  <c r="U26" i="10" s="1"/>
  <c r="T26" i="10"/>
  <c r="T26" i="10" a="1"/>
  <c r="G26" i="10" a="1"/>
  <c r="G26" i="10" s="1"/>
  <c r="F26" i="10"/>
  <c r="F27" i="10" s="1"/>
  <c r="E26" i="10"/>
  <c r="V25" i="10" a="1"/>
  <c r="V25" i="10" s="1"/>
  <c r="U25" i="10" a="1"/>
  <c r="U25" i="10" s="1"/>
  <c r="T25" i="10" a="1"/>
  <c r="T25" i="10" s="1"/>
  <c r="G25" i="10" a="1"/>
  <c r="G25" i="10" s="1"/>
  <c r="F25" i="10"/>
  <c r="E25" i="10"/>
  <c r="V24" i="10" a="1"/>
  <c r="V24" i="10" s="1"/>
  <c r="U24" i="10" a="1"/>
  <c r="U24" i="10" s="1"/>
  <c r="T24" i="10" a="1"/>
  <c r="T24" i="10" s="1"/>
  <c r="E24" i="10"/>
  <c r="V23" i="10" a="1"/>
  <c r="V23" i="10" s="1"/>
  <c r="U23" i="10" a="1"/>
  <c r="U23" i="10" s="1"/>
  <c r="T23" i="10" a="1"/>
  <c r="T23" i="10" s="1"/>
  <c r="E23" i="10"/>
  <c r="V22" i="10" a="1"/>
  <c r="V22" i="10" s="1"/>
  <c r="U22" i="10" a="1"/>
  <c r="U22" i="10" s="1"/>
  <c r="T22" i="10"/>
  <c r="T22" i="10" a="1"/>
  <c r="F22" i="10"/>
  <c r="F23" i="10" s="1"/>
  <c r="F24" i="10" s="1"/>
  <c r="G24" i="10" s="1" a="1"/>
  <c r="G24" i="10" s="1"/>
  <c r="E22" i="10"/>
  <c r="V21" i="10" a="1"/>
  <c r="V21" i="10" s="1"/>
  <c r="U21" i="10" a="1"/>
  <c r="U21" i="10" s="1"/>
  <c r="T21" i="10" a="1"/>
  <c r="T21" i="10" s="1"/>
  <c r="G21" i="10" a="1"/>
  <c r="G21" i="10" s="1"/>
  <c r="F21" i="10"/>
  <c r="E21" i="10"/>
  <c r="V20" i="10" a="1"/>
  <c r="V20" i="10" s="1"/>
  <c r="U20" i="10" a="1"/>
  <c r="U20" i="10" s="1"/>
  <c r="T20" i="10" a="1"/>
  <c r="T20" i="10" s="1"/>
  <c r="O20" i="10"/>
  <c r="E20" i="10"/>
  <c r="O27" i="10" s="1"/>
  <c r="V19" i="10" a="1"/>
  <c r="V19" i="10" s="1"/>
  <c r="U19" i="10" a="1"/>
  <c r="U19" i="10" s="1"/>
  <c r="T19" i="10" a="1"/>
  <c r="T19" i="10" s="1"/>
  <c r="E19" i="10"/>
  <c r="O26" i="10" s="1"/>
  <c r="V18" i="10" a="1"/>
  <c r="V18" i="10" s="1"/>
  <c r="U18" i="10" a="1"/>
  <c r="U18" i="10" s="1"/>
  <c r="T18" i="10"/>
  <c r="T18" i="10" a="1"/>
  <c r="O18" i="10"/>
  <c r="E18" i="10"/>
  <c r="O25" i="10" s="1"/>
  <c r="V17" i="10" a="1"/>
  <c r="V17" i="10" s="1"/>
  <c r="U17" i="10" a="1"/>
  <c r="U17" i="10" s="1"/>
  <c r="T17" i="10" a="1"/>
  <c r="T17" i="10" s="1"/>
  <c r="O17" i="10"/>
  <c r="E17" i="10"/>
  <c r="O24" i="10" s="1"/>
  <c r="V16" i="10" a="1"/>
  <c r="V16" i="10" s="1"/>
  <c r="U16" i="10" a="1"/>
  <c r="U16" i="10" s="1"/>
  <c r="T16" i="10" a="1"/>
  <c r="T16" i="10" s="1"/>
  <c r="E16" i="10"/>
  <c r="O23" i="10" s="1"/>
  <c r="V15" i="10" a="1"/>
  <c r="V15" i="10" s="1"/>
  <c r="U15" i="10"/>
  <c r="U15" i="10" a="1"/>
  <c r="T15" i="10" a="1"/>
  <c r="T15" i="10" s="1"/>
  <c r="E15" i="10"/>
  <c r="O22" i="10" s="1"/>
  <c r="V14" i="10" a="1"/>
  <c r="V14" i="10" s="1"/>
  <c r="U14" i="10" a="1"/>
  <c r="U14" i="10" s="1"/>
  <c r="T14" i="10" a="1"/>
  <c r="T14" i="10" s="1"/>
  <c r="O14" i="10"/>
  <c r="E14" i="10"/>
  <c r="O21" i="10" s="1"/>
  <c r="V13" i="10" a="1"/>
  <c r="V13" i="10" s="1"/>
  <c r="U13" i="10" a="1"/>
  <c r="U13" i="10" s="1"/>
  <c r="T13" i="10" a="1"/>
  <c r="T13" i="10" s="1"/>
  <c r="E13" i="10"/>
  <c r="V12" i="10" a="1"/>
  <c r="V12" i="10" s="1"/>
  <c r="U12" i="10"/>
  <c r="U12" i="10" a="1"/>
  <c r="T12" i="10" a="1"/>
  <c r="T12" i="10" s="1"/>
  <c r="E12" i="10"/>
  <c r="O19" i="10" s="1"/>
  <c r="V11" i="10" a="1"/>
  <c r="V11" i="10" s="1"/>
  <c r="U11" i="10"/>
  <c r="U11" i="10" a="1"/>
  <c r="T11" i="10" a="1"/>
  <c r="T11" i="10" s="1"/>
  <c r="E11" i="10"/>
  <c r="V10" i="10" a="1"/>
  <c r="V10" i="10" s="1"/>
  <c r="U10" i="10" a="1"/>
  <c r="U10" i="10" s="1"/>
  <c r="T10" i="10" a="1"/>
  <c r="T10" i="10" s="1"/>
  <c r="E10" i="10"/>
  <c r="V9" i="10"/>
  <c r="V9" i="10" a="1"/>
  <c r="U9" i="10" a="1"/>
  <c r="U9" i="10" s="1"/>
  <c r="T9" i="10" a="1"/>
  <c r="T9" i="10" s="1"/>
  <c r="E9" i="10"/>
  <c r="O16" i="10" s="1"/>
  <c r="V8" i="10"/>
  <c r="V8" i="10" a="1"/>
  <c r="U8" i="10" a="1"/>
  <c r="U8" i="10" s="1"/>
  <c r="T8" i="10" a="1"/>
  <c r="T8" i="10" s="1"/>
  <c r="O8" i="10"/>
  <c r="E8" i="10"/>
  <c r="O15" i="10" s="1"/>
  <c r="V7" i="10" a="1"/>
  <c r="V7" i="10" s="1"/>
  <c r="U7" i="10" a="1"/>
  <c r="U7" i="10" s="1"/>
  <c r="T7" i="10" a="1"/>
  <c r="T7" i="10" s="1"/>
  <c r="O7" i="10"/>
  <c r="E7" i="10"/>
  <c r="V6" i="10" a="1"/>
  <c r="V6" i="10" s="1"/>
  <c r="U6" i="10" a="1"/>
  <c r="U6" i="10" s="1"/>
  <c r="T6" i="10" a="1"/>
  <c r="T6" i="10" s="1"/>
  <c r="O6" i="10"/>
  <c r="E6" i="10"/>
  <c r="O13" i="10" s="1"/>
  <c r="V5" i="10" a="1"/>
  <c r="V5" i="10" s="1"/>
  <c r="U5" i="10" a="1"/>
  <c r="U5" i="10" s="1"/>
  <c r="T5" i="10" a="1"/>
  <c r="T5" i="10" s="1"/>
  <c r="O5" i="10"/>
  <c r="E5" i="10"/>
  <c r="O12" i="10" s="1"/>
  <c r="V4" i="10" a="1"/>
  <c r="V4" i="10" s="1"/>
  <c r="U4" i="10" a="1"/>
  <c r="U4" i="10" s="1"/>
  <c r="T4" i="10" a="1"/>
  <c r="T4" i="10" s="1"/>
  <c r="O4" i="10"/>
  <c r="P4" i="10" s="1"/>
  <c r="E4" i="10"/>
  <c r="O11" i="10" s="1"/>
  <c r="V3" i="10" a="1"/>
  <c r="V3" i="10" s="1"/>
  <c r="U3" i="10" a="1"/>
  <c r="U3" i="10" s="1"/>
  <c r="T3" i="10" a="1"/>
  <c r="T3" i="10" s="1"/>
  <c r="O3" i="10"/>
  <c r="F3" i="10"/>
  <c r="F4" i="10" s="1"/>
  <c r="F5" i="10" s="1"/>
  <c r="F6" i="10" s="1"/>
  <c r="E3" i="10"/>
  <c r="O10" i="10" s="1"/>
  <c r="F2" i="10"/>
  <c r="G2" i="10" s="1" a="1"/>
  <c r="G2" i="10" s="1"/>
  <c r="E2" i="10"/>
  <c r="O9" i="10" s="1"/>
  <c r="I2" i="7" a="1"/>
  <c r="I2" i="7" s="1"/>
  <c r="K2" i="7"/>
  <c r="AO58" i="9" a="1"/>
  <c r="AO58" i="9" s="1"/>
  <c r="Y58" i="9" a="1"/>
  <c r="Y58" i="9" s="1"/>
  <c r="Y4" i="9"/>
  <c r="Y5" i="9"/>
  <c r="Y6" i="9"/>
  <c r="Y7" i="9"/>
  <c r="Y8" i="9"/>
  <c r="Y9" i="9"/>
  <c r="Y38" i="9" s="1"/>
  <c r="Y10" i="9"/>
  <c r="Y11" i="9"/>
  <c r="Y40" i="9" s="1"/>
  <c r="Y12" i="9"/>
  <c r="Y13" i="9"/>
  <c r="Y14" i="9"/>
  <c r="Y15" i="9"/>
  <c r="Y16" i="9"/>
  <c r="Y17" i="9"/>
  <c r="Y46" i="9" s="1"/>
  <c r="Y18" i="9"/>
  <c r="Y19" i="9"/>
  <c r="Y48" i="9" s="1"/>
  <c r="Y20" i="9"/>
  <c r="Y21" i="9"/>
  <c r="Y22" i="9"/>
  <c r="Y23" i="9"/>
  <c r="Y24" i="9"/>
  <c r="Y25" i="9"/>
  <c r="Y54" i="9" s="1"/>
  <c r="Y26" i="9"/>
  <c r="Y27" i="9"/>
  <c r="Y3" i="9"/>
  <c r="Y33" i="9"/>
  <c r="Y34" i="9"/>
  <c r="Y35" i="9"/>
  <c r="Y36" i="9"/>
  <c r="Y37" i="9"/>
  <c r="Y39" i="9"/>
  <c r="Y41" i="9"/>
  <c r="Y42" i="9"/>
  <c r="Y43" i="9"/>
  <c r="Y44" i="9"/>
  <c r="Y45" i="9"/>
  <c r="Y47" i="9"/>
  <c r="Y49" i="9"/>
  <c r="Y50" i="9"/>
  <c r="Y51" i="9"/>
  <c r="Y52" i="9"/>
  <c r="Y53" i="9"/>
  <c r="Y55" i="9"/>
  <c r="Y32" i="9"/>
  <c r="AU56" i="9"/>
  <c r="DF58" i="9" a="1"/>
  <c r="DF58" i="9" s="1"/>
  <c r="DE58" i="9" a="1"/>
  <c r="DE58" i="9" s="1"/>
  <c r="DD58" i="9" a="1"/>
  <c r="DD58" i="9" s="1"/>
  <c r="DC58" i="9" a="1"/>
  <c r="DC58" i="9" s="1"/>
  <c r="DB58" i="9" a="1"/>
  <c r="DB58" i="9" s="1"/>
  <c r="DA58" i="9" a="1"/>
  <c r="DA58" i="9" s="1"/>
  <c r="CZ58" i="9" a="1"/>
  <c r="CZ58" i="9" s="1"/>
  <c r="CY58" i="9" a="1"/>
  <c r="CY58" i="9" s="1"/>
  <c r="CW58" i="9" a="1"/>
  <c r="CW58" i="9" s="1"/>
  <c r="CV58" i="9" a="1"/>
  <c r="CV58" i="9" s="1"/>
  <c r="CU58" i="9" a="1"/>
  <c r="CU58" i="9" s="1"/>
  <c r="CT58" i="9" a="1"/>
  <c r="CT58" i="9" s="1"/>
  <c r="CS58" i="9" a="1"/>
  <c r="CS58" i="9" s="1"/>
  <c r="CR58" i="9" a="1"/>
  <c r="CR58" i="9" s="1"/>
  <c r="CQ58" i="9" a="1"/>
  <c r="CQ58" i="9" s="1"/>
  <c r="CO58" i="9" a="1"/>
  <c r="CO58" i="9" s="1"/>
  <c r="CN58" i="9" a="1"/>
  <c r="CN58" i="9" s="1"/>
  <c r="CL58" i="9" a="1"/>
  <c r="CL58" i="9" s="1"/>
  <c r="CK58" i="9" a="1"/>
  <c r="CK58" i="9" s="1"/>
  <c r="CJ58" i="9" a="1"/>
  <c r="CJ58" i="9" s="1"/>
  <c r="CI58" i="9" a="1"/>
  <c r="CI58" i="9" s="1"/>
  <c r="CH58" i="9" a="1"/>
  <c r="CH58" i="9" s="1"/>
  <c r="CG58" i="9" a="1"/>
  <c r="CG58" i="9" s="1"/>
  <c r="CF58" i="9" a="1"/>
  <c r="CF58" i="9" s="1"/>
  <c r="CE58" i="9" a="1"/>
  <c r="CE58" i="9" s="1"/>
  <c r="CD58" i="9" a="1"/>
  <c r="CD58" i="9" s="1"/>
  <c r="CC58" i="9" a="1"/>
  <c r="CC58" i="9" s="1"/>
  <c r="CB58" i="9" a="1"/>
  <c r="CB58" i="9" s="1"/>
  <c r="CA58" i="9" a="1"/>
  <c r="CA58" i="9" s="1"/>
  <c r="BZ58" i="9" a="1"/>
  <c r="BZ58" i="9" s="1"/>
  <c r="BY58" i="9" a="1"/>
  <c r="BY58" i="9" s="1"/>
  <c r="BX58" i="9" a="1"/>
  <c r="BX58" i="9" s="1"/>
  <c r="BV58" i="9" a="1"/>
  <c r="BV58" i="9" s="1"/>
  <c r="BU58" i="9" a="1"/>
  <c r="BU58" i="9" s="1"/>
  <c r="BS58" i="9" a="1"/>
  <c r="BS58" i="9" s="1"/>
  <c r="BR58" i="9" a="1"/>
  <c r="BR58" i="9" s="1"/>
  <c r="BQ58" i="9" a="1"/>
  <c r="BQ58" i="9" s="1"/>
  <c r="BP58" i="9" a="1"/>
  <c r="BP58" i="9" s="1"/>
  <c r="BN58" i="9" a="1"/>
  <c r="BN58" i="9" s="1"/>
  <c r="BM58" i="9" a="1"/>
  <c r="BM58" i="9" s="1"/>
  <c r="BL58" i="9" a="1"/>
  <c r="BL58" i="9" s="1"/>
  <c r="BK58" i="9" a="1"/>
  <c r="BK58" i="9" s="1"/>
  <c r="BJ58" i="9" a="1"/>
  <c r="BJ58" i="9" s="1"/>
  <c r="BI58" i="9" a="1"/>
  <c r="BI58" i="9" s="1"/>
  <c r="BH58" i="9" a="1"/>
  <c r="BH58" i="9" s="1"/>
  <c r="BG58" i="9" a="1"/>
  <c r="BG58" i="9" s="1"/>
  <c r="BE58" i="9" a="1"/>
  <c r="BE58" i="9" s="1"/>
  <c r="BD58" i="9" a="1"/>
  <c r="BD58" i="9" s="1"/>
  <c r="BC58" i="9" a="1"/>
  <c r="BC58" i="9" s="1"/>
  <c r="BB58" i="9" a="1"/>
  <c r="BB58" i="9" s="1"/>
  <c r="BA58" i="9" a="1"/>
  <c r="BA58" i="9" s="1"/>
  <c r="AZ58" i="9" a="1"/>
  <c r="AZ58" i="9" s="1"/>
  <c r="AY58" i="9" a="1"/>
  <c r="AY58" i="9" s="1"/>
  <c r="AX58" i="9" a="1"/>
  <c r="AX58" i="9" s="1"/>
  <c r="AU58" i="9" a="1"/>
  <c r="AU58" i="9" s="1"/>
  <c r="AT58" i="9" a="1"/>
  <c r="AT58" i="9" s="1"/>
  <c r="AR58" i="9" a="1"/>
  <c r="AR58" i="9" s="1"/>
  <c r="AQ58" i="9" a="1"/>
  <c r="AQ58" i="9" s="1"/>
  <c r="AP58" i="9" a="1"/>
  <c r="AP58" i="9" s="1"/>
  <c r="AN58" i="9" a="1"/>
  <c r="AN58" i="9" s="1"/>
  <c r="AM58" i="9" a="1"/>
  <c r="AM58" i="9" s="1"/>
  <c r="AL58" i="9" a="1"/>
  <c r="AL58" i="9" s="1"/>
  <c r="AK58" i="9" a="1"/>
  <c r="AK58" i="9" s="1"/>
  <c r="AJ58" i="9" a="1"/>
  <c r="AJ58" i="9" s="1"/>
  <c r="AI58" i="9" a="1"/>
  <c r="AI58" i="9" s="1"/>
  <c r="AH58" i="9" a="1"/>
  <c r="AH58" i="9" s="1"/>
  <c r="AG58" i="9" a="1"/>
  <c r="AG58" i="9" s="1"/>
  <c r="AE58" i="9" a="1"/>
  <c r="AE58" i="9" s="1"/>
  <c r="AD58" i="9" a="1"/>
  <c r="AD58" i="9" s="1"/>
  <c r="Z58" i="9" a="1"/>
  <c r="Z58" i="9" s="1"/>
  <c r="AA58" i="9" a="1"/>
  <c r="AA58" i="9" s="1"/>
  <c r="Z56" i="9"/>
  <c r="G6" i="10" l="1" a="1"/>
  <c r="G6" i="10" s="1"/>
  <c r="F7" i="10"/>
  <c r="G92" i="10" a="1"/>
  <c r="G92" i="10" s="1"/>
  <c r="F93" i="10"/>
  <c r="G4" i="10" a="1"/>
  <c r="G4" i="10" s="1"/>
  <c r="G23" i="10" a="1"/>
  <c r="G23" i="10" s="1"/>
  <c r="G39" i="10" a="1"/>
  <c r="G39" i="10" s="1"/>
  <c r="G41" i="10" a="1"/>
  <c r="G41" i="10" s="1"/>
  <c r="G43" i="10" a="1"/>
  <c r="G43" i="10" s="1"/>
  <c r="G45" i="10" a="1"/>
  <c r="G45" i="10" s="1"/>
  <c r="G47" i="10" a="1"/>
  <c r="G47" i="10" s="1"/>
  <c r="G49" i="10" a="1"/>
  <c r="G49" i="10" s="1"/>
  <c r="G61" i="10" a="1"/>
  <c r="G61" i="10" s="1"/>
  <c r="G5" i="10" a="1"/>
  <c r="G5" i="10" s="1"/>
  <c r="F65" i="10"/>
  <c r="G64" i="10" a="1"/>
  <c r="G64" i="10" s="1"/>
  <c r="F28" i="10"/>
  <c r="G27" i="10" a="1"/>
  <c r="G27" i="10" s="1"/>
  <c r="F146" i="10"/>
  <c r="G145" i="10" a="1"/>
  <c r="G145" i="10" s="1"/>
  <c r="G3" i="10" a="1"/>
  <c r="G3" i="10" s="1"/>
  <c r="G22" i="10" a="1"/>
  <c r="G22" i="10" s="1"/>
  <c r="G62" i="10" a="1"/>
  <c r="G62" i="10" s="1"/>
  <c r="G40" i="10" a="1"/>
  <c r="G40" i="10" s="1"/>
  <c r="G42" i="10" a="1"/>
  <c r="G42" i="10" s="1"/>
  <c r="G44" i="10" a="1"/>
  <c r="G44" i="10" s="1"/>
  <c r="G46" i="10" a="1"/>
  <c r="G46" i="10" s="1"/>
  <c r="G48" i="10" a="1"/>
  <c r="G48" i="10" s="1"/>
  <c r="G116" i="10" a="1"/>
  <c r="G116" i="10" s="1"/>
  <c r="F117" i="10"/>
  <c r="P5" i="10"/>
  <c r="P6" i="10" s="1"/>
  <c r="P7" i="10" s="1"/>
  <c r="P8" i="10" s="1"/>
  <c r="F53" i="10"/>
  <c r="F81" i="10"/>
  <c r="G80" i="10" a="1"/>
  <c r="G80" i="10" s="1"/>
  <c r="F138" i="10"/>
  <c r="G137" i="10" a="1"/>
  <c r="G137" i="10" s="1"/>
  <c r="G203" i="10" a="1"/>
  <c r="G203" i="10" s="1"/>
  <c r="F204" i="10"/>
  <c r="G136" i="10" a="1"/>
  <c r="G136" i="10" s="1"/>
  <c r="G144" i="10" a="1"/>
  <c r="G144" i="10" s="1"/>
  <c r="F164" i="10"/>
  <c r="G219" i="10" a="1"/>
  <c r="G219" i="10" s="1"/>
  <c r="F220" i="10"/>
  <c r="G179" i="10" a="1"/>
  <c r="G179" i="10" s="1"/>
  <c r="F180" i="10"/>
  <c r="G264" i="10" a="1"/>
  <c r="G264" i="10" s="1"/>
  <c r="F265" i="10"/>
  <c r="G248" i="10" a="1"/>
  <c r="G248" i="10" s="1"/>
  <c r="F249" i="10"/>
  <c r="F288" i="10"/>
  <c r="G287" i="10" a="1"/>
  <c r="G287" i="10" s="1"/>
  <c r="G256" i="10" a="1"/>
  <c r="G256" i="10" s="1"/>
  <c r="F257" i="10"/>
  <c r="G280" i="10" a="1"/>
  <c r="G280" i="10" s="1"/>
  <c r="F281" i="10"/>
  <c r="F357" i="10"/>
  <c r="G356" i="10" a="1"/>
  <c r="G356" i="10" s="1"/>
  <c r="G278" i="10" a="1"/>
  <c r="G278" i="10" s="1"/>
  <c r="G286" i="10" a="1"/>
  <c r="G286" i="10" s="1"/>
  <c r="F314" i="10"/>
  <c r="F243" i="10"/>
  <c r="G386" i="10" a="1"/>
  <c r="G386" i="10" s="1"/>
  <c r="F387" i="10"/>
  <c r="F304" i="10"/>
  <c r="G325" i="10" a="1"/>
  <c r="G325" i="10" s="1"/>
  <c r="F326" i="10"/>
  <c r="G341" i="10" a="1"/>
  <c r="G341" i="10" s="1"/>
  <c r="F342" i="10"/>
  <c r="G312" i="10" a="1"/>
  <c r="G312" i="10" s="1"/>
  <c r="G339" i="10" a="1"/>
  <c r="G339" i="10" s="1"/>
  <c r="F368" i="10"/>
  <c r="F459" i="10"/>
  <c r="F384" i="10"/>
  <c r="G384" i="10" s="1" a="1"/>
  <c r="G384" i="10" s="1"/>
  <c r="F392" i="10"/>
  <c r="G392" i="10" s="1" a="1"/>
  <c r="G392" i="10" s="1"/>
  <c r="F408" i="10"/>
  <c r="F432" i="10"/>
  <c r="F456" i="10"/>
  <c r="F472" i="10"/>
  <c r="G489" i="10" a="1"/>
  <c r="G489" i="10" s="1"/>
  <c r="F490" i="10"/>
  <c r="G492" i="10" a="1"/>
  <c r="G492" i="10" s="1"/>
  <c r="F493" i="10"/>
  <c r="F398" i="10"/>
  <c r="G514" i="10" a="1"/>
  <c r="G514" i="10" s="1"/>
  <c r="F515" i="10"/>
  <c r="G506" i="10" a="1"/>
  <c r="G506" i="10" s="1"/>
  <c r="F507" i="10"/>
  <c r="G512" i="10" a="1"/>
  <c r="G512" i="10" s="1"/>
  <c r="G541" i="10" a="1"/>
  <c r="G541" i="10" s="1"/>
  <c r="F542" i="10"/>
  <c r="F549" i="10"/>
  <c r="G549" i="10" s="1" a="1"/>
  <c r="G549" i="10" s="1"/>
  <c r="G548" i="10" a="1"/>
  <c r="G548" i="10" s="1"/>
  <c r="G540" i="10" a="1"/>
  <c r="G540" i="10" s="1"/>
  <c r="G650" i="10" a="1"/>
  <c r="G650" i="10" s="1"/>
  <c r="F651" i="10"/>
  <c r="F553" i="10"/>
  <c r="F577" i="10"/>
  <c r="F601" i="10"/>
  <c r="G621" i="10" a="1"/>
  <c r="G621" i="10" s="1"/>
  <c r="G649" i="10" a="1"/>
  <c r="G649" i="10" s="1"/>
  <c r="F623" i="10"/>
  <c r="G674" i="10" a="1"/>
  <c r="G674" i="10" s="1"/>
  <c r="F675" i="10"/>
  <c r="G738" i="10" a="1"/>
  <c r="G738" i="10" s="1"/>
  <c r="F739" i="10"/>
  <c r="G673" i="10" a="1"/>
  <c r="G673" i="10" s="1"/>
  <c r="G737" i="10" a="1"/>
  <c r="G737" i="10" s="1"/>
  <c r="F702" i="10"/>
  <c r="F710" i="10"/>
  <c r="F692" i="10"/>
  <c r="F732" i="10"/>
  <c r="F756" i="10"/>
  <c r="F779" i="10"/>
  <c r="F822" i="10"/>
  <c r="G821" i="10" a="1"/>
  <c r="G821" i="10" s="1"/>
  <c r="G795" i="10" a="1"/>
  <c r="G795" i="10" s="1"/>
  <c r="F796" i="10"/>
  <c r="F847" i="10"/>
  <c r="F832" i="10"/>
  <c r="F856" i="10"/>
  <c r="G855" i="10" a="1"/>
  <c r="G855" i="10" s="1"/>
  <c r="G837" i="10" a="1"/>
  <c r="G837" i="10" s="1"/>
  <c r="F838" i="10"/>
  <c r="G889" i="10" a="1"/>
  <c r="G889" i="10" s="1"/>
  <c r="F914" i="10"/>
  <c r="G913" i="10" a="1"/>
  <c r="G913" i="10" s="1"/>
  <c r="G875" i="10" a="1"/>
  <c r="G875" i="10" s="1"/>
  <c r="F876" i="10"/>
  <c r="F891" i="10"/>
  <c r="G890" i="10" a="1"/>
  <c r="G890" i="10" s="1"/>
  <c r="G883" i="10" a="1"/>
  <c r="G883" i="10" s="1"/>
  <c r="F884" i="10"/>
  <c r="G888" i="10" a="1"/>
  <c r="G888" i="10" s="1"/>
  <c r="G874" i="10" a="1"/>
  <c r="G874" i="10" s="1"/>
  <c r="G882" i="10" a="1"/>
  <c r="G882" i="10" s="1"/>
  <c r="F938" i="10"/>
  <c r="F923" i="10"/>
  <c r="Y56" i="9"/>
  <c r="G507" i="10" l="1" a="1"/>
  <c r="G507" i="10" s="1"/>
  <c r="F508" i="10"/>
  <c r="G408" i="10" a="1"/>
  <c r="G408" i="10" s="1"/>
  <c r="F409" i="10"/>
  <c r="F181" i="10"/>
  <c r="G180" i="10" a="1"/>
  <c r="G180" i="10" s="1"/>
  <c r="G146" i="10" a="1"/>
  <c r="G146" i="10" s="1"/>
  <c r="F147" i="10"/>
  <c r="F8" i="10"/>
  <c r="G7" i="10" a="1"/>
  <c r="G7" i="10" s="1"/>
  <c r="G710" i="10" a="1"/>
  <c r="G710" i="10" s="1"/>
  <c r="F711" i="10"/>
  <c r="G822" i="10" a="1"/>
  <c r="G822" i="10" s="1"/>
  <c r="F823" i="10"/>
  <c r="G702" i="10" a="1"/>
  <c r="G702" i="10" s="1"/>
  <c r="F703" i="10"/>
  <c r="G342" i="10" a="1"/>
  <c r="G342" i="10" s="1"/>
  <c r="F343" i="10"/>
  <c r="G357" i="10" a="1"/>
  <c r="G357" i="10" s="1"/>
  <c r="F358" i="10"/>
  <c r="F258" i="10"/>
  <c r="G257" i="10" a="1"/>
  <c r="G257" i="10" s="1"/>
  <c r="G204" i="10" a="1"/>
  <c r="G204" i="10" s="1"/>
  <c r="F205" i="10"/>
  <c r="F54" i="10"/>
  <c r="G53" i="10" a="1"/>
  <c r="G53" i="10" s="1"/>
  <c r="G847" i="10" a="1"/>
  <c r="G847" i="10" s="1"/>
  <c r="F848" i="10"/>
  <c r="F516" i="10"/>
  <c r="G515" i="10" a="1"/>
  <c r="G515" i="10" s="1"/>
  <c r="F388" i="10"/>
  <c r="G388" i="10" s="1" a="1"/>
  <c r="G388" i="10" s="1"/>
  <c r="G387" i="10" a="1"/>
  <c r="G387" i="10" s="1"/>
  <c r="G314" i="10" a="1"/>
  <c r="G314" i="10" s="1"/>
  <c r="F315" i="10"/>
  <c r="G675" i="10" a="1"/>
  <c r="G675" i="10" s="1"/>
  <c r="F676" i="10"/>
  <c r="F915" i="10"/>
  <c r="G914" i="10" a="1"/>
  <c r="G914" i="10" s="1"/>
  <c r="F857" i="10"/>
  <c r="G856" i="10" a="1"/>
  <c r="G856" i="10" s="1"/>
  <c r="G577" i="10" a="1"/>
  <c r="G577" i="10" s="1"/>
  <c r="F578" i="10"/>
  <c r="G542" i="10" a="1"/>
  <c r="G542" i="10" s="1"/>
  <c r="F543" i="10"/>
  <c r="F491" i="10"/>
  <c r="G491" i="10" s="1" a="1"/>
  <c r="G491" i="10" s="1"/>
  <c r="G490" i="10" a="1"/>
  <c r="G490" i="10" s="1"/>
  <c r="F266" i="10"/>
  <c r="G265" i="10" a="1"/>
  <c r="G265" i="10" s="1"/>
  <c r="F221" i="10"/>
  <c r="G220" i="10" a="1"/>
  <c r="G220" i="10" s="1"/>
  <c r="P9" i="10"/>
  <c r="K2" i="10"/>
  <c r="G838" i="10" a="1"/>
  <c r="G838" i="10" s="1"/>
  <c r="F839" i="10"/>
  <c r="F797" i="10"/>
  <c r="G796" i="10" a="1"/>
  <c r="G796" i="10" s="1"/>
  <c r="G553" i="10" a="1"/>
  <c r="G553" i="10" s="1"/>
  <c r="F554" i="10"/>
  <c r="G138" i="10" a="1"/>
  <c r="G138" i="10" s="1"/>
  <c r="F139" i="10"/>
  <c r="F118" i="10"/>
  <c r="G117" i="10" a="1"/>
  <c r="G117" i="10" s="1"/>
  <c r="F66" i="10"/>
  <c r="G65" i="10" a="1"/>
  <c r="G65" i="10" s="1"/>
  <c r="G756" i="10" a="1"/>
  <c r="G756" i="10" s="1"/>
  <c r="F757" i="10"/>
  <c r="G601" i="10" a="1"/>
  <c r="G601" i="10" s="1"/>
  <c r="F602" i="10"/>
  <c r="G923" i="10" a="1"/>
  <c r="G923" i="10" s="1"/>
  <c r="F924" i="10"/>
  <c r="F939" i="10"/>
  <c r="G939" i="10" s="1" a="1"/>
  <c r="G939" i="10" s="1"/>
  <c r="G938" i="10" a="1"/>
  <c r="G938" i="10" s="1"/>
  <c r="G732" i="10" a="1"/>
  <c r="G732" i="10" s="1"/>
  <c r="F733" i="10"/>
  <c r="G733" i="10" s="1" a="1"/>
  <c r="G733" i="10" s="1"/>
  <c r="G651" i="10" a="1"/>
  <c r="G651" i="10" s="1"/>
  <c r="F652" i="10"/>
  <c r="G472" i="10" a="1"/>
  <c r="G472" i="10" s="1"/>
  <c r="F473" i="10"/>
  <c r="F282" i="10"/>
  <c r="G281" i="10" a="1"/>
  <c r="G281" i="10" s="1"/>
  <c r="G884" i="10" a="1"/>
  <c r="G884" i="10" s="1"/>
  <c r="F885" i="10"/>
  <c r="G832" i="10" a="1"/>
  <c r="G832" i="10" s="1"/>
  <c r="F833" i="10"/>
  <c r="G891" i="10" a="1"/>
  <c r="G891" i="10" s="1"/>
  <c r="F892" i="10"/>
  <c r="G692" i="10" a="1"/>
  <c r="G692" i="10" s="1"/>
  <c r="F693" i="10"/>
  <c r="G398" i="10" a="1"/>
  <c r="G398" i="10" s="1"/>
  <c r="F399" i="10"/>
  <c r="G456" i="10" a="1"/>
  <c r="G456" i="10" s="1"/>
  <c r="F457" i="10"/>
  <c r="G457" i="10" s="1" a="1"/>
  <c r="G457" i="10" s="1"/>
  <c r="F369" i="10"/>
  <c r="G368" i="10" a="1"/>
  <c r="G368" i="10" s="1"/>
  <c r="G326" i="10" a="1"/>
  <c r="G326" i="10" s="1"/>
  <c r="F327" i="10"/>
  <c r="G288" i="10" a="1"/>
  <c r="G288" i="10" s="1"/>
  <c r="F289" i="10"/>
  <c r="F250" i="10"/>
  <c r="G249" i="10" a="1"/>
  <c r="G249" i="10" s="1"/>
  <c r="G164" i="10" a="1"/>
  <c r="G164" i="10" s="1"/>
  <c r="F165" i="10"/>
  <c r="F94" i="10"/>
  <c r="G93" i="10" a="1"/>
  <c r="G93" i="10" s="1"/>
  <c r="G739" i="10" a="1"/>
  <c r="G739" i="10" s="1"/>
  <c r="F740" i="10"/>
  <c r="G779" i="10" a="1"/>
  <c r="G779" i="10" s="1"/>
  <c r="F780" i="10"/>
  <c r="G876" i="10" a="1"/>
  <c r="G876" i="10" s="1"/>
  <c r="F877" i="10"/>
  <c r="G623" i="10" a="1"/>
  <c r="G623" i="10" s="1"/>
  <c r="F624" i="10"/>
  <c r="G493" i="10" a="1"/>
  <c r="G493" i="10" s="1"/>
  <c r="F494" i="10"/>
  <c r="G432" i="10" a="1"/>
  <c r="G432" i="10" s="1"/>
  <c r="F433" i="10"/>
  <c r="F460" i="10"/>
  <c r="G459" i="10" a="1"/>
  <c r="G459" i="10" s="1"/>
  <c r="G304" i="10" a="1"/>
  <c r="G304" i="10" s="1"/>
  <c r="F305" i="10"/>
  <c r="G243" i="10" a="1"/>
  <c r="G243" i="10" s="1"/>
  <c r="F244" i="10"/>
  <c r="F82" i="10"/>
  <c r="G81" i="10" a="1"/>
  <c r="G81" i="10" s="1"/>
  <c r="F29" i="10"/>
  <c r="G28" i="10" a="1"/>
  <c r="G28" i="10" s="1"/>
  <c r="F798" i="10" l="1"/>
  <c r="G797" i="10" a="1"/>
  <c r="G797" i="10" s="1"/>
  <c r="G915" i="10" a="1"/>
  <c r="G915" i="10" s="1"/>
  <c r="F916" i="10"/>
  <c r="G358" i="10" a="1"/>
  <c r="G358" i="10" s="1"/>
  <c r="F359" i="10"/>
  <c r="G147" i="10" a="1"/>
  <c r="G147" i="10" s="1"/>
  <c r="F148" i="10"/>
  <c r="G508" i="10" a="1"/>
  <c r="G508" i="10" s="1"/>
  <c r="F509" i="10"/>
  <c r="G602" i="10" a="1"/>
  <c r="G602" i="10" s="1"/>
  <c r="F603" i="10"/>
  <c r="G433" i="10" a="1"/>
  <c r="G433" i="10" s="1"/>
  <c r="F434" i="10"/>
  <c r="G780" i="10" a="1"/>
  <c r="G780" i="10" s="1"/>
  <c r="F781" i="10"/>
  <c r="F370" i="10"/>
  <c r="G369" i="10" a="1"/>
  <c r="G369" i="10" s="1"/>
  <c r="G282" i="10" a="1"/>
  <c r="G282" i="10" s="1"/>
  <c r="F283" i="10"/>
  <c r="G139" i="10" a="1"/>
  <c r="G139" i="10" s="1"/>
  <c r="F140" i="10"/>
  <c r="G266" i="10" a="1"/>
  <c r="G266" i="10" s="1"/>
  <c r="F267" i="10"/>
  <c r="F55" i="10"/>
  <c r="G54" i="10" a="1"/>
  <c r="G54" i="10" s="1"/>
  <c r="F9" i="10"/>
  <c r="G8" i="10" a="1"/>
  <c r="G8" i="10" s="1"/>
  <c r="G885" i="10" a="1"/>
  <c r="G885" i="10" s="1"/>
  <c r="F886" i="10"/>
  <c r="G886" i="10" s="1" a="1"/>
  <c r="G886" i="10" s="1"/>
  <c r="F758" i="10"/>
  <c r="G757" i="10" a="1"/>
  <c r="G757" i="10" s="1"/>
  <c r="F316" i="10"/>
  <c r="G315" i="10" a="1"/>
  <c r="G315" i="10" s="1"/>
  <c r="G205" i="10" a="1"/>
  <c r="G205" i="10" s="1"/>
  <c r="F206" i="10"/>
  <c r="G703" i="10" a="1"/>
  <c r="G703" i="10" s="1"/>
  <c r="F704" i="10"/>
  <c r="G494" i="10" a="1"/>
  <c r="G494" i="10" s="1"/>
  <c r="F495" i="10"/>
  <c r="G740" i="10" a="1"/>
  <c r="G740" i="10" s="1"/>
  <c r="F741" i="10"/>
  <c r="G66" i="10" a="1"/>
  <c r="G66" i="10" s="1"/>
  <c r="F67" i="10"/>
  <c r="P10" i="10"/>
  <c r="P11" i="10" s="1"/>
  <c r="P12" i="10" s="1"/>
  <c r="P13" i="10" s="1"/>
  <c r="P14" i="10" s="1"/>
  <c r="P15" i="10" s="1"/>
  <c r="P16" i="10" s="1"/>
  <c r="P17" i="10" s="1"/>
  <c r="P18" i="10" s="1"/>
  <c r="P19" i="10" s="1"/>
  <c r="P20" i="10" s="1"/>
  <c r="P21" i="10" s="1"/>
  <c r="P22" i="10" s="1"/>
  <c r="P23" i="10" s="1"/>
  <c r="P24" i="10" s="1"/>
  <c r="P25" i="10" s="1"/>
  <c r="P26" i="10" s="1"/>
  <c r="G676" i="10" a="1"/>
  <c r="G676" i="10" s="1"/>
  <c r="F677" i="10"/>
  <c r="G343" i="10" a="1"/>
  <c r="G343" i="10" s="1"/>
  <c r="F344" i="10"/>
  <c r="G624" i="10" a="1"/>
  <c r="G624" i="10" s="1"/>
  <c r="F625" i="10"/>
  <c r="G118" i="10" a="1"/>
  <c r="G118" i="10" s="1"/>
  <c r="F119" i="10"/>
  <c r="G693" i="10" a="1"/>
  <c r="G693" i="10" s="1"/>
  <c r="F694" i="10"/>
  <c r="G554" i="10" a="1"/>
  <c r="G554" i="10" s="1"/>
  <c r="F555" i="10"/>
  <c r="F517" i="10"/>
  <c r="G516" i="10" a="1"/>
  <c r="G516" i="10" s="1"/>
  <c r="G823" i="10" a="1"/>
  <c r="G823" i="10" s="1"/>
  <c r="F824" i="10"/>
  <c r="G409" i="10" a="1"/>
  <c r="G409" i="10" s="1"/>
  <c r="F410" i="10"/>
  <c r="G94" i="10" a="1"/>
  <c r="G94" i="10" s="1"/>
  <c r="F95" i="10"/>
  <c r="G399" i="10" a="1"/>
  <c r="G399" i="10" s="1"/>
  <c r="F400" i="10"/>
  <c r="G848" i="10" a="1"/>
  <c r="G848" i="10" s="1"/>
  <c r="F849" i="10"/>
  <c r="G877" i="10" a="1"/>
  <c r="G877" i="10" s="1"/>
  <c r="F878" i="10"/>
  <c r="F474" i="10"/>
  <c r="G473" i="10" a="1"/>
  <c r="G473" i="10" s="1"/>
  <c r="G289" i="10" a="1"/>
  <c r="G289" i="10" s="1"/>
  <c r="F290" i="10"/>
  <c r="G833" i="10" a="1"/>
  <c r="G833" i="10" s="1"/>
  <c r="F834" i="10"/>
  <c r="G543" i="10" a="1"/>
  <c r="G543" i="10" s="1"/>
  <c r="F544" i="10"/>
  <c r="G327" i="10" a="1"/>
  <c r="G327" i="10" s="1"/>
  <c r="F328" i="10"/>
  <c r="G924" i="10" a="1"/>
  <c r="G924" i="10" s="1"/>
  <c r="F925" i="10"/>
  <c r="G857" i="10" a="1"/>
  <c r="G857" i="10" s="1"/>
  <c r="F858" i="10"/>
  <c r="G711" i="10" a="1"/>
  <c r="G711" i="10" s="1"/>
  <c r="F712" i="10"/>
  <c r="F461" i="10"/>
  <c r="G460" i="10" a="1"/>
  <c r="G460" i="10" s="1"/>
  <c r="G892" i="10" a="1"/>
  <c r="G892" i="10" s="1"/>
  <c r="F893" i="10"/>
  <c r="G305" i="10" a="1"/>
  <c r="G305" i="10" s="1"/>
  <c r="F306" i="10"/>
  <c r="F30" i="10"/>
  <c r="G30" i="10" s="1" a="1"/>
  <c r="G30" i="10" s="1"/>
  <c r="G29" i="10" a="1"/>
  <c r="G29" i="10" s="1"/>
  <c r="F166" i="10"/>
  <c r="G165" i="10" a="1"/>
  <c r="G165" i="10" s="1"/>
  <c r="G82" i="10" a="1"/>
  <c r="G82" i="10" s="1"/>
  <c r="F83" i="10"/>
  <c r="G244" i="10" a="1"/>
  <c r="G244" i="10" s="1"/>
  <c r="F245" i="10"/>
  <c r="G250" i="10" a="1"/>
  <c r="G250" i="10" s="1"/>
  <c r="F251" i="10"/>
  <c r="G652" i="10" a="1"/>
  <c r="G652" i="10" s="1"/>
  <c r="F653" i="10"/>
  <c r="F840" i="10"/>
  <c r="G839" i="10" a="1"/>
  <c r="G839" i="10" s="1"/>
  <c r="F222" i="10"/>
  <c r="G221" i="10" a="1"/>
  <c r="G221" i="10" s="1"/>
  <c r="G578" i="10" a="1"/>
  <c r="G578" i="10" s="1"/>
  <c r="F579" i="10"/>
  <c r="G258" i="10" a="1"/>
  <c r="G258" i="10" s="1"/>
  <c r="F259" i="10"/>
  <c r="G181" i="10" a="1"/>
  <c r="G181" i="10" s="1"/>
  <c r="F182" i="10"/>
  <c r="G544" i="10" l="1" a="1"/>
  <c r="G544" i="10" s="1"/>
  <c r="F545" i="10"/>
  <c r="F742" i="10"/>
  <c r="G741" i="10" a="1"/>
  <c r="G741" i="10" s="1"/>
  <c r="G206" i="10" a="1"/>
  <c r="G206" i="10" s="1"/>
  <c r="F207" i="10"/>
  <c r="F10" i="10"/>
  <c r="G9" i="10" a="1"/>
  <c r="G9" i="10" s="1"/>
  <c r="G267" i="10" a="1"/>
  <c r="G267" i="10" s="1"/>
  <c r="F268" i="10"/>
  <c r="G359" i="10" a="1"/>
  <c r="G359" i="10" s="1"/>
  <c r="F360" i="10"/>
  <c r="G251" i="10" a="1"/>
  <c r="G251" i="10" s="1"/>
  <c r="F252" i="10"/>
  <c r="F695" i="10"/>
  <c r="G694" i="10" a="1"/>
  <c r="G694" i="10" s="1"/>
  <c r="F782" i="10"/>
  <c r="G781" i="10" a="1"/>
  <c r="G781" i="10" s="1"/>
  <c r="F510" i="10"/>
  <c r="G509" i="10" a="1"/>
  <c r="G509" i="10" s="1"/>
  <c r="G461" i="10" a="1"/>
  <c r="G461" i="10" s="1"/>
  <c r="F462" i="10"/>
  <c r="F825" i="10"/>
  <c r="G824" i="10" a="1"/>
  <c r="G824" i="10" s="1"/>
  <c r="G222" i="10" a="1"/>
  <c r="G222" i="10" s="1"/>
  <c r="F223" i="10"/>
  <c r="F307" i="10"/>
  <c r="G306" i="10" a="1"/>
  <c r="G306" i="10" s="1"/>
  <c r="F859" i="10"/>
  <c r="G858" i="10" a="1"/>
  <c r="G858" i="10" s="1"/>
  <c r="F879" i="10"/>
  <c r="G878" i="10" a="1"/>
  <c r="G878" i="10" s="1"/>
  <c r="F345" i="10"/>
  <c r="G344" i="10" a="1"/>
  <c r="G344" i="10" s="1"/>
  <c r="G677" i="10" a="1"/>
  <c r="G677" i="10" s="1"/>
  <c r="F678" i="10"/>
  <c r="G495" i="10" a="1"/>
  <c r="G495" i="10" s="1"/>
  <c r="F496" i="10"/>
  <c r="F713" i="10"/>
  <c r="G712" i="10" a="1"/>
  <c r="G712" i="10" s="1"/>
  <c r="G119" i="10" a="1"/>
  <c r="G119" i="10" s="1"/>
  <c r="F120" i="10"/>
  <c r="F317" i="10"/>
  <c r="G316" i="10" a="1"/>
  <c r="G316" i="10" s="1"/>
  <c r="G140" i="10" a="1"/>
  <c r="G140" i="10" s="1"/>
  <c r="F141" i="10"/>
  <c r="G141" i="10" s="1" a="1"/>
  <c r="G141" i="10" s="1"/>
  <c r="G916" i="10" a="1"/>
  <c r="G916" i="10" s="1"/>
  <c r="F917" i="10"/>
  <c r="G840" i="10" a="1"/>
  <c r="G840" i="10" s="1"/>
  <c r="F841" i="10"/>
  <c r="G893" i="10" a="1"/>
  <c r="G893" i="10" s="1"/>
  <c r="F894" i="10"/>
  <c r="G834" i="10" a="1"/>
  <c r="G834" i="10" s="1"/>
  <c r="F835" i="10"/>
  <c r="G517" i="10" a="1"/>
  <c r="G517" i="10" s="1"/>
  <c r="F518" i="10"/>
  <c r="G55" i="10" a="1"/>
  <c r="G55" i="10" s="1"/>
  <c r="F56" i="10"/>
  <c r="G148" i="10" a="1"/>
  <c r="G148" i="10" s="1"/>
  <c r="F149" i="10"/>
  <c r="G259" i="10" a="1"/>
  <c r="G259" i="10" s="1"/>
  <c r="F260" i="10"/>
  <c r="G925" i="10" a="1"/>
  <c r="G925" i="10" s="1"/>
  <c r="F926" i="10"/>
  <c r="F475" i="10"/>
  <c r="G474" i="10" a="1"/>
  <c r="G474" i="10" s="1"/>
  <c r="G95" i="10" a="1"/>
  <c r="G95" i="10" s="1"/>
  <c r="F96" i="10"/>
  <c r="G182" i="10" a="1"/>
  <c r="G182" i="10" s="1"/>
  <c r="F183" i="10"/>
  <c r="G400" i="10" a="1"/>
  <c r="G400" i="10" s="1"/>
  <c r="F401" i="10"/>
  <c r="G410" i="10" a="1"/>
  <c r="G410" i="10" s="1"/>
  <c r="F411" i="10"/>
  <c r="G625" i="10" a="1"/>
  <c r="G625" i="10" s="1"/>
  <c r="F626" i="10"/>
  <c r="F705" i="10"/>
  <c r="G704" i="10" a="1"/>
  <c r="G704" i="10" s="1"/>
  <c r="G434" i="10" a="1"/>
  <c r="G434" i="10" s="1"/>
  <c r="F435" i="10"/>
  <c r="G83" i="10" a="1"/>
  <c r="G83" i="10" s="1"/>
  <c r="F84" i="10"/>
  <c r="G653" i="10" a="1"/>
  <c r="G653" i="10" s="1"/>
  <c r="F654" i="10"/>
  <c r="G166" i="10" a="1"/>
  <c r="G166" i="10" s="1"/>
  <c r="F167" i="10"/>
  <c r="G245" i="10" a="1"/>
  <c r="G245" i="10" s="1"/>
  <c r="F246" i="10"/>
  <c r="G246" i="10" s="1" a="1"/>
  <c r="G246" i="10" s="1"/>
  <c r="F580" i="10"/>
  <c r="G579" i="10" a="1"/>
  <c r="G579" i="10" s="1"/>
  <c r="F329" i="10"/>
  <c r="G328" i="10" a="1"/>
  <c r="G328" i="10" s="1"/>
  <c r="G290" i="10" a="1"/>
  <c r="G290" i="10" s="1"/>
  <c r="F291" i="10"/>
  <c r="G370" i="10" a="1"/>
  <c r="G370" i="10" s="1"/>
  <c r="F371" i="10"/>
  <c r="G798" i="10" a="1"/>
  <c r="G798" i="10" s="1"/>
  <c r="F799" i="10"/>
  <c r="G849" i="10" a="1"/>
  <c r="G849" i="10" s="1"/>
  <c r="F850" i="10"/>
  <c r="F556" i="10"/>
  <c r="G555" i="10" a="1"/>
  <c r="G555" i="10" s="1"/>
  <c r="G67" i="10" a="1"/>
  <c r="G67" i="10" s="1"/>
  <c r="F68" i="10"/>
  <c r="F759" i="10"/>
  <c r="G758" i="10" a="1"/>
  <c r="G758" i="10" s="1"/>
  <c r="G283" i="10" a="1"/>
  <c r="G283" i="10" s="1"/>
  <c r="F284" i="10"/>
  <c r="G284" i="10" s="1" a="1"/>
  <c r="G284" i="10" s="1"/>
  <c r="F604" i="10"/>
  <c r="G603" i="10" a="1"/>
  <c r="G603" i="10" s="1"/>
  <c r="G894" i="10" l="1" a="1"/>
  <c r="G894" i="10" s="1"/>
  <c r="F895" i="10"/>
  <c r="F121" i="10"/>
  <c r="G120" i="10" a="1"/>
  <c r="G120" i="10" s="1"/>
  <c r="F860" i="10"/>
  <c r="G859" i="10" a="1"/>
  <c r="G859" i="10" s="1"/>
  <c r="F436" i="10"/>
  <c r="G435" i="10" a="1"/>
  <c r="G435" i="10" s="1"/>
  <c r="G317" i="10" a="1"/>
  <c r="G317" i="10" s="1"/>
  <c r="F318" i="10"/>
  <c r="F679" i="10"/>
  <c r="G678" i="10" a="1"/>
  <c r="G678" i="10" s="1"/>
  <c r="F361" i="10"/>
  <c r="G360" i="10" a="1"/>
  <c r="G360" i="10" s="1"/>
  <c r="F308" i="10"/>
  <c r="G307" i="10" a="1"/>
  <c r="G307" i="10" s="1"/>
  <c r="G825" i="10" a="1"/>
  <c r="G825" i="10" s="1"/>
  <c r="F826" i="10"/>
  <c r="G695" i="10" a="1"/>
  <c r="G695" i="10" s="1"/>
  <c r="F696" i="10"/>
  <c r="G10" i="10" a="1"/>
  <c r="G10" i="10" s="1"/>
  <c r="F11" i="10"/>
  <c r="F714" i="10"/>
  <c r="G713" i="10" a="1"/>
  <c r="G713" i="10" s="1"/>
  <c r="G149" i="10" a="1"/>
  <c r="G149" i="10" s="1"/>
  <c r="F150" i="10"/>
  <c r="F292" i="10"/>
  <c r="G291" i="10" a="1"/>
  <c r="G291" i="10" s="1"/>
  <c r="G167" i="10" a="1"/>
  <c r="G167" i="10" s="1"/>
  <c r="F168" i="10"/>
  <c r="G926" i="10" a="1"/>
  <c r="G926" i="10" s="1"/>
  <c r="F927" i="10"/>
  <c r="F836" i="10"/>
  <c r="G836" i="10" s="1" a="1"/>
  <c r="G836" i="10" s="1"/>
  <c r="G835" i="10" a="1"/>
  <c r="G835" i="10" s="1"/>
  <c r="G841" i="10" a="1"/>
  <c r="G841" i="10" s="1"/>
  <c r="F842" i="10"/>
  <c r="G345" i="10" a="1"/>
  <c r="G345" i="10" s="1"/>
  <c r="F346" i="10"/>
  <c r="F880" i="10"/>
  <c r="G879" i="10" a="1"/>
  <c r="G879" i="10" s="1"/>
  <c r="G207" i="10" a="1"/>
  <c r="G207" i="10" s="1"/>
  <c r="F208" i="10"/>
  <c r="G183" i="10" a="1"/>
  <c r="G183" i="10" s="1"/>
  <c r="F184" i="10"/>
  <c r="F372" i="10"/>
  <c r="G371" i="10" a="1"/>
  <c r="G371" i="10" s="1"/>
  <c r="F412" i="10"/>
  <c r="G411" i="10" a="1"/>
  <c r="G411" i="10" s="1"/>
  <c r="F97" i="10"/>
  <c r="G96" i="10" a="1"/>
  <c r="G96" i="10" s="1"/>
  <c r="G260" i="10" a="1"/>
  <c r="G260" i="10" s="1"/>
  <c r="F261" i="10"/>
  <c r="G850" i="10" a="1"/>
  <c r="G850" i="10" s="1"/>
  <c r="F851" i="10"/>
  <c r="F655" i="10"/>
  <c r="G654" i="10" a="1"/>
  <c r="G654" i="10" s="1"/>
  <c r="G401" i="10" a="1"/>
  <c r="G401" i="10" s="1"/>
  <c r="F402" i="10"/>
  <c r="G510" i="10" a="1"/>
  <c r="G510" i="10" s="1"/>
  <c r="F511" i="10"/>
  <c r="G511" i="10" s="1" a="1"/>
  <c r="G511" i="10" s="1"/>
  <c r="G252" i="10" a="1"/>
  <c r="G252" i="10" s="1"/>
  <c r="F253" i="10"/>
  <c r="G545" i="10" a="1"/>
  <c r="G545" i="10" s="1"/>
  <c r="F546" i="10"/>
  <c r="G546" i="10" s="1" a="1"/>
  <c r="G546" i="10" s="1"/>
  <c r="G68" i="10" a="1"/>
  <c r="G68" i="10" s="1"/>
  <c r="F69" i="10"/>
  <c r="F627" i="10"/>
  <c r="G626" i="10" a="1"/>
  <c r="G626" i="10" s="1"/>
  <c r="F557" i="10"/>
  <c r="G556" i="10" a="1"/>
  <c r="G556" i="10" s="1"/>
  <c r="G799" i="10" a="1"/>
  <c r="G799" i="10" s="1"/>
  <c r="F800" i="10"/>
  <c r="F581" i="10"/>
  <c r="G580" i="10" a="1"/>
  <c r="G580" i="10" s="1"/>
  <c r="G329" i="10" a="1"/>
  <c r="G329" i="10" s="1"/>
  <c r="F330" i="10"/>
  <c r="F476" i="10"/>
  <c r="G475" i="10" a="1"/>
  <c r="G475" i="10" s="1"/>
  <c r="F57" i="10"/>
  <c r="G56" i="10" a="1"/>
  <c r="G56" i="10" s="1"/>
  <c r="G917" i="10" a="1"/>
  <c r="G917" i="10" s="1"/>
  <c r="F918" i="10"/>
  <c r="F224" i="10"/>
  <c r="G223" i="10" a="1"/>
  <c r="G223" i="10" s="1"/>
  <c r="F605" i="10"/>
  <c r="G604" i="10" a="1"/>
  <c r="G604" i="10" s="1"/>
  <c r="F760" i="10"/>
  <c r="G759" i="10" a="1"/>
  <c r="G759" i="10" s="1"/>
  <c r="G84" i="10" a="1"/>
  <c r="G84" i="10" s="1"/>
  <c r="F85" i="10"/>
  <c r="F706" i="10"/>
  <c r="G705" i="10" a="1"/>
  <c r="G705" i="10" s="1"/>
  <c r="G518" i="10" a="1"/>
  <c r="G518" i="10" s="1"/>
  <c r="F519" i="10"/>
  <c r="F497" i="10"/>
  <c r="G496" i="10" a="1"/>
  <c r="G496" i="10" s="1"/>
  <c r="G462" i="10" a="1"/>
  <c r="G462" i="10" s="1"/>
  <c r="F463" i="10"/>
  <c r="F783" i="10"/>
  <c r="G782" i="10" a="1"/>
  <c r="G782" i="10" s="1"/>
  <c r="G268" i="10" a="1"/>
  <c r="G268" i="10" s="1"/>
  <c r="F269" i="10"/>
  <c r="F743" i="10"/>
  <c r="G742" i="10" a="1"/>
  <c r="G742" i="10" s="1"/>
  <c r="G150" i="10" l="1" a="1"/>
  <c r="G150" i="10" s="1"/>
  <c r="F151" i="10"/>
  <c r="F12" i="10"/>
  <c r="G11" i="10" a="1"/>
  <c r="G11" i="10" s="1"/>
  <c r="F437" i="10"/>
  <c r="G436" i="10" a="1"/>
  <c r="G436" i="10" s="1"/>
  <c r="F896" i="10"/>
  <c r="G895" i="10" a="1"/>
  <c r="G895" i="10" s="1"/>
  <c r="G842" i="10" a="1"/>
  <c r="G842" i="10" s="1"/>
  <c r="F843" i="10"/>
  <c r="F169" i="10"/>
  <c r="G168" i="10" a="1"/>
  <c r="G168" i="10" s="1"/>
  <c r="G308" i="10" a="1"/>
  <c r="G308" i="10" s="1"/>
  <c r="F309" i="10"/>
  <c r="G309" i="10" s="1" a="1"/>
  <c r="G309" i="10" s="1"/>
  <c r="G706" i="10" a="1"/>
  <c r="G706" i="10" s="1"/>
  <c r="F707" i="10"/>
  <c r="G707" i="10" s="1" a="1"/>
  <c r="G707" i="10" s="1"/>
  <c r="F225" i="10"/>
  <c r="G224" i="10" a="1"/>
  <c r="G224" i="10" s="1"/>
  <c r="F784" i="10"/>
  <c r="G783" i="10" a="1"/>
  <c r="G783" i="10" s="1"/>
  <c r="F86" i="10"/>
  <c r="G85" i="10" a="1"/>
  <c r="G85" i="10" s="1"/>
  <c r="F58" i="10"/>
  <c r="G57" i="10" a="1"/>
  <c r="G57" i="10" s="1"/>
  <c r="G581" i="10" a="1"/>
  <c r="G581" i="10" s="1"/>
  <c r="F582" i="10"/>
  <c r="G627" i="10" a="1"/>
  <c r="G627" i="10" s="1"/>
  <c r="F628" i="10"/>
  <c r="G655" i="10" a="1"/>
  <c r="G655" i="10" s="1"/>
  <c r="F656" i="10"/>
  <c r="F98" i="10"/>
  <c r="G97" i="10" a="1"/>
  <c r="G97" i="10" s="1"/>
  <c r="F881" i="10"/>
  <c r="G881" i="10" s="1" a="1"/>
  <c r="G881" i="10" s="1"/>
  <c r="G880" i="10" a="1"/>
  <c r="G880" i="10" s="1"/>
  <c r="G519" i="10" a="1"/>
  <c r="G519" i="10" s="1"/>
  <c r="F520" i="10"/>
  <c r="F852" i="10"/>
  <c r="G851" i="10" a="1"/>
  <c r="G851" i="10" s="1"/>
  <c r="G184" i="10" a="1"/>
  <c r="G184" i="10" s="1"/>
  <c r="F185" i="10"/>
  <c r="G346" i="10" a="1"/>
  <c r="G346" i="10" s="1"/>
  <c r="F347" i="10"/>
  <c r="G318" i="10" a="1"/>
  <c r="G318" i="10" s="1"/>
  <c r="F319" i="10"/>
  <c r="F122" i="10"/>
  <c r="G121" i="10" a="1"/>
  <c r="G121" i="10" s="1"/>
  <c r="G463" i="10" a="1"/>
  <c r="G463" i="10" s="1"/>
  <c r="F464" i="10"/>
  <c r="G292" i="10" a="1"/>
  <c r="G292" i="10" s="1"/>
  <c r="F293" i="10"/>
  <c r="F697" i="10"/>
  <c r="G696" i="10" a="1"/>
  <c r="G696" i="10" s="1"/>
  <c r="G497" i="10" a="1"/>
  <c r="G497" i="10" s="1"/>
  <c r="F498" i="10"/>
  <c r="G330" i="10" a="1"/>
  <c r="G330" i="10" s="1"/>
  <c r="F331" i="10"/>
  <c r="G760" i="10" a="1"/>
  <c r="G760" i="10" s="1"/>
  <c r="F761" i="10"/>
  <c r="F801" i="10"/>
  <c r="G800" i="10" a="1"/>
  <c r="G800" i="10" s="1"/>
  <c r="G557" i="10" a="1"/>
  <c r="G557" i="10" s="1"/>
  <c r="F558" i="10"/>
  <c r="F70" i="10"/>
  <c r="G69" i="10" a="1"/>
  <c r="G69" i="10" s="1"/>
  <c r="F209" i="10"/>
  <c r="G208" i="10" a="1"/>
  <c r="G208" i="10" s="1"/>
  <c r="G918" i="10" a="1"/>
  <c r="G918" i="10" s="1"/>
  <c r="F919" i="10"/>
  <c r="G402" i="10" a="1"/>
  <c r="G402" i="10" s="1"/>
  <c r="F403" i="10"/>
  <c r="G714" i="10" a="1"/>
  <c r="G714" i="10" s="1"/>
  <c r="F715" i="10"/>
  <c r="G826" i="10" a="1"/>
  <c r="G826" i="10" s="1"/>
  <c r="F827" i="10"/>
  <c r="F362" i="10"/>
  <c r="G361" i="10" a="1"/>
  <c r="G361" i="10" s="1"/>
  <c r="G860" i="10" a="1"/>
  <c r="G860" i="10" s="1"/>
  <c r="F861" i="10"/>
  <c r="G253" i="10" a="1"/>
  <c r="G253" i="10" s="1"/>
  <c r="F254" i="10"/>
  <c r="G476" i="10" a="1"/>
  <c r="G476" i="10" s="1"/>
  <c r="F477" i="10"/>
  <c r="F413" i="10"/>
  <c r="G412" i="10" a="1"/>
  <c r="G412" i="10" s="1"/>
  <c r="F744" i="10"/>
  <c r="G743" i="10" a="1"/>
  <c r="G743" i="10" s="1"/>
  <c r="G269" i="10" a="1"/>
  <c r="G269" i="10" s="1"/>
  <c r="F270" i="10"/>
  <c r="G605" i="10" a="1"/>
  <c r="G605" i="10" s="1"/>
  <c r="F606" i="10"/>
  <c r="G261" i="10" a="1"/>
  <c r="G261" i="10" s="1"/>
  <c r="F262" i="10"/>
  <c r="F373" i="10"/>
  <c r="G372" i="10" a="1"/>
  <c r="G372" i="10" s="1"/>
  <c r="G927" i="10" a="1"/>
  <c r="G927" i="10" s="1"/>
  <c r="F928" i="10"/>
  <c r="G679" i="10" a="1"/>
  <c r="G679" i="10" s="1"/>
  <c r="F680" i="10"/>
  <c r="G801" i="10" l="1" a="1"/>
  <c r="G801" i="10" s="1"/>
  <c r="F802" i="10"/>
  <c r="F698" i="10"/>
  <c r="G697" i="10" a="1"/>
  <c r="G697" i="10" s="1"/>
  <c r="F897" i="10"/>
  <c r="G896" i="10" a="1"/>
  <c r="G896" i="10" s="1"/>
  <c r="G151" i="10" a="1"/>
  <c r="G151" i="10" s="1"/>
  <c r="F152" i="10"/>
  <c r="G744" i="10" a="1"/>
  <c r="G744" i="10" s="1"/>
  <c r="F745" i="10"/>
  <c r="F255" i="10"/>
  <c r="G255" i="10" s="1" a="1"/>
  <c r="G255" i="10" s="1"/>
  <c r="G254" i="10" a="1"/>
  <c r="G254" i="10" s="1"/>
  <c r="G293" i="10" a="1"/>
  <c r="G293" i="10" s="1"/>
  <c r="F294" i="10"/>
  <c r="G628" i="10" a="1"/>
  <c r="G628" i="10" s="1"/>
  <c r="F629" i="10"/>
  <c r="F87" i="10"/>
  <c r="G86" i="10" a="1"/>
  <c r="G86" i="10" s="1"/>
  <c r="G784" i="10" a="1"/>
  <c r="G784" i="10" s="1"/>
  <c r="F785" i="10"/>
  <c r="F226" i="10"/>
  <c r="G225" i="10" a="1"/>
  <c r="G225" i="10" s="1"/>
  <c r="G827" i="10" a="1"/>
  <c r="G827" i="10" s="1"/>
  <c r="F828" i="10"/>
  <c r="G828" i="10" s="1" a="1"/>
  <c r="G828" i="10" s="1"/>
  <c r="F853" i="10"/>
  <c r="G853" i="10" s="1" a="1"/>
  <c r="G853" i="10" s="1"/>
  <c r="G852" i="10" a="1"/>
  <c r="G852" i="10" s="1"/>
  <c r="F170" i="10"/>
  <c r="G169" i="10" a="1"/>
  <c r="G169" i="10" s="1"/>
  <c r="G437" i="10" a="1"/>
  <c r="G437" i="10" s="1"/>
  <c r="F438" i="10"/>
  <c r="G606" i="10" a="1"/>
  <c r="G606" i="10" s="1"/>
  <c r="F607" i="10"/>
  <c r="G464" i="10" a="1"/>
  <c r="G464" i="10" s="1"/>
  <c r="F465" i="10"/>
  <c r="G843" i="10" a="1"/>
  <c r="G843" i="10" s="1"/>
  <c r="F844" i="10"/>
  <c r="G498" i="10" a="1"/>
  <c r="G498" i="10" s="1"/>
  <c r="F499" i="10"/>
  <c r="G919" i="10" a="1"/>
  <c r="G919" i="10" s="1"/>
  <c r="F920" i="10"/>
  <c r="G582" i="10" a="1"/>
  <c r="G582" i="10" s="1"/>
  <c r="F583" i="10"/>
  <c r="F478" i="10"/>
  <c r="G477" i="10" a="1"/>
  <c r="G477" i="10" s="1"/>
  <c r="G362" i="10" a="1"/>
  <c r="G362" i="10" s="1"/>
  <c r="F363" i="10"/>
  <c r="G363" i="10" s="1" a="1"/>
  <c r="G363" i="10" s="1"/>
  <c r="F320" i="10"/>
  <c r="G319" i="10" a="1"/>
  <c r="G319" i="10" s="1"/>
  <c r="G928" i="10" a="1"/>
  <c r="G928" i="10" s="1"/>
  <c r="F929" i="10"/>
  <c r="G861" i="10" a="1"/>
  <c r="G861" i="10" s="1"/>
  <c r="F862" i="10"/>
  <c r="F348" i="10"/>
  <c r="G347" i="10" a="1"/>
  <c r="G347" i="10" s="1"/>
  <c r="F404" i="10"/>
  <c r="G403" i="10" a="1"/>
  <c r="G403" i="10" s="1"/>
  <c r="G558" i="10" a="1"/>
  <c r="G558" i="10" s="1"/>
  <c r="F559" i="10"/>
  <c r="F332" i="10"/>
  <c r="G331" i="10" a="1"/>
  <c r="G331" i="10" s="1"/>
  <c r="F186" i="10"/>
  <c r="G185" i="10" a="1"/>
  <c r="G185" i="10" s="1"/>
  <c r="F681" i="10"/>
  <c r="G680" i="10" a="1"/>
  <c r="G680" i="10" s="1"/>
  <c r="G520" i="10" a="1"/>
  <c r="G520" i="10" s="1"/>
  <c r="F521" i="10"/>
  <c r="G715" i="10" a="1"/>
  <c r="G715" i="10" s="1"/>
  <c r="F716" i="10"/>
  <c r="G373" i="10" a="1"/>
  <c r="G373" i="10" s="1"/>
  <c r="F374" i="10"/>
  <c r="F271" i="10"/>
  <c r="G270" i="10" a="1"/>
  <c r="G270" i="10" s="1"/>
  <c r="G98" i="10" a="1"/>
  <c r="G98" i="10" s="1"/>
  <c r="F99" i="10"/>
  <c r="F13" i="10"/>
  <c r="G12" i="10" a="1"/>
  <c r="G12" i="10" s="1"/>
  <c r="G761" i="10" a="1"/>
  <c r="G761" i="10" s="1"/>
  <c r="F762" i="10"/>
  <c r="F71" i="10"/>
  <c r="G70" i="10" a="1"/>
  <c r="G70" i="10" s="1"/>
  <c r="F263" i="10"/>
  <c r="G263" i="10" s="1" a="1"/>
  <c r="G263" i="10" s="1"/>
  <c r="G262" i="10" a="1"/>
  <c r="G262" i="10" s="1"/>
  <c r="G413" i="10" a="1"/>
  <c r="G413" i="10" s="1"/>
  <c r="F414" i="10"/>
  <c r="F210" i="10"/>
  <c r="G209" i="10" a="1"/>
  <c r="G209" i="10" s="1"/>
  <c r="G122" i="10" a="1"/>
  <c r="G122" i="10" s="1"/>
  <c r="F123" i="10"/>
  <c r="G656" i="10" a="1"/>
  <c r="G656" i="10" s="1"/>
  <c r="F657" i="10"/>
  <c r="G58" i="10" a="1"/>
  <c r="G58" i="10" s="1"/>
  <c r="F59" i="10"/>
  <c r="G59" i="10" s="1" a="1"/>
  <c r="G59" i="10" s="1"/>
  <c r="F321" i="10" l="1"/>
  <c r="G320" i="10" a="1"/>
  <c r="G320" i="10" s="1"/>
  <c r="F630" i="10"/>
  <c r="G629" i="10" a="1"/>
  <c r="G629" i="10" s="1"/>
  <c r="G745" i="10" a="1"/>
  <c r="G745" i="10" s="1"/>
  <c r="F746" i="10"/>
  <c r="G374" i="10" a="1"/>
  <c r="G374" i="10" s="1"/>
  <c r="F375" i="10"/>
  <c r="F349" i="10"/>
  <c r="G348" i="10" a="1"/>
  <c r="G348" i="10" s="1"/>
  <c r="G920" i="10" a="1"/>
  <c r="G920" i="10" s="1"/>
  <c r="F921" i="10"/>
  <c r="G921" i="10" s="1" a="1"/>
  <c r="G921" i="10" s="1"/>
  <c r="G170" i="10" a="1"/>
  <c r="G170" i="10" s="1"/>
  <c r="F171" i="10"/>
  <c r="G226" i="10" a="1"/>
  <c r="G226" i="10" s="1"/>
  <c r="F227" i="10"/>
  <c r="G716" i="10" a="1"/>
  <c r="G716" i="10" s="1"/>
  <c r="F717" i="10"/>
  <c r="H2" i="10" a="1"/>
  <c r="H2" i="10" s="1"/>
  <c r="G521" i="10" a="1"/>
  <c r="G521" i="10" s="1"/>
  <c r="F522" i="10"/>
  <c r="F682" i="10"/>
  <c r="G681" i="10" a="1"/>
  <c r="G681" i="10" s="1"/>
  <c r="F333" i="10"/>
  <c r="G332" i="10" a="1"/>
  <c r="G332" i="10" s="1"/>
  <c r="G465" i="10" a="1"/>
  <c r="G465" i="10" s="1"/>
  <c r="F466" i="10"/>
  <c r="G294" i="10" a="1"/>
  <c r="G294" i="10" s="1"/>
  <c r="F295" i="10"/>
  <c r="F153" i="10"/>
  <c r="G152" i="10" a="1"/>
  <c r="G152" i="10" s="1"/>
  <c r="F658" i="10"/>
  <c r="G657" i="10" a="1"/>
  <c r="G657" i="10" s="1"/>
  <c r="F500" i="10"/>
  <c r="G499" i="10" a="1"/>
  <c r="G499" i="10" s="1"/>
  <c r="G698" i="10" a="1"/>
  <c r="G698" i="10" s="1"/>
  <c r="F699" i="10"/>
  <c r="G699" i="10" s="1" a="1"/>
  <c r="G699" i="10" s="1"/>
  <c r="G929" i="10" a="1"/>
  <c r="G929" i="10" s="1"/>
  <c r="F930" i="10"/>
  <c r="G802" i="10" a="1"/>
  <c r="G802" i="10" s="1"/>
  <c r="F803" i="10"/>
  <c r="G271" i="10" a="1"/>
  <c r="G271" i="10" s="1"/>
  <c r="F272" i="10"/>
  <c r="F863" i="10"/>
  <c r="G862" i="10" a="1"/>
  <c r="G862" i="10" s="1"/>
  <c r="G607" i="10" a="1"/>
  <c r="G607" i="10" s="1"/>
  <c r="F608" i="10"/>
  <c r="G785" i="10" a="1"/>
  <c r="G785" i="10" s="1"/>
  <c r="F786" i="10"/>
  <c r="F211" i="10"/>
  <c r="G210" i="10" a="1"/>
  <c r="G210" i="10" s="1"/>
  <c r="F898" i="10"/>
  <c r="G897" i="10" a="1"/>
  <c r="G897" i="10" s="1"/>
  <c r="G13" i="10" a="1"/>
  <c r="G13" i="10" s="1"/>
  <c r="F14" i="10"/>
  <c r="G123" i="10" a="1"/>
  <c r="G123" i="10" s="1"/>
  <c r="F124" i="10"/>
  <c r="G71" i="10" a="1"/>
  <c r="G71" i="10" s="1"/>
  <c r="F72" i="10"/>
  <c r="G99" i="10" a="1"/>
  <c r="G99" i="10" s="1"/>
  <c r="F100" i="10"/>
  <c r="F405" i="10"/>
  <c r="G405" i="10" s="1" a="1"/>
  <c r="G405" i="10" s="1"/>
  <c r="G404" i="10" a="1"/>
  <c r="G404" i="10" s="1"/>
  <c r="F479" i="10"/>
  <c r="G478" i="10" a="1"/>
  <c r="G478" i="10" s="1"/>
  <c r="G844" i="10" a="1"/>
  <c r="G844" i="10" s="1"/>
  <c r="F845" i="10"/>
  <c r="G845" i="10" s="1" a="1"/>
  <c r="G845" i="10" s="1"/>
  <c r="G438" i="10" a="1"/>
  <c r="G438" i="10" s="1"/>
  <c r="F439" i="10"/>
  <c r="G762" i="10" a="1"/>
  <c r="G762" i="10" s="1"/>
  <c r="F763" i="10"/>
  <c r="G559" i="10" a="1"/>
  <c r="G559" i="10" s="1"/>
  <c r="F560" i="10"/>
  <c r="G414" i="10" a="1"/>
  <c r="G414" i="10" s="1"/>
  <c r="F415" i="10"/>
  <c r="G186" i="10" a="1"/>
  <c r="G186" i="10" s="1"/>
  <c r="F187" i="10"/>
  <c r="G583" i="10" a="1"/>
  <c r="G583" i="10" s="1"/>
  <c r="F584" i="10"/>
  <c r="G87" i="10" a="1"/>
  <c r="G87" i="10" s="1"/>
  <c r="F88" i="10"/>
  <c r="G500" i="10" l="1" a="1"/>
  <c r="G500" i="10" s="1"/>
  <c r="F501" i="10"/>
  <c r="G501" i="10" s="1" a="1"/>
  <c r="G501" i="10" s="1"/>
  <c r="H3" i="10" a="1"/>
  <c r="H3" i="10" s="1"/>
  <c r="G227" i="10" a="1"/>
  <c r="G227" i="10" s="1"/>
  <c r="F228" i="10"/>
  <c r="F631" i="10"/>
  <c r="G630" i="10" a="1"/>
  <c r="G630" i="10" s="1"/>
  <c r="G803" i="10" a="1"/>
  <c r="G803" i="10" s="1"/>
  <c r="F804" i="10"/>
  <c r="G349" i="10" a="1"/>
  <c r="G349" i="10" s="1"/>
  <c r="F350" i="10"/>
  <c r="G321" i="10" a="1"/>
  <c r="G321" i="10" s="1"/>
  <c r="F322" i="10"/>
  <c r="G322" i="10" s="1" a="1"/>
  <c r="G322" i="10" s="1"/>
  <c r="G439" i="10" a="1"/>
  <c r="G439" i="10" s="1"/>
  <c r="F440" i="10"/>
  <c r="G100" i="10" a="1"/>
  <c r="G100" i="10" s="1"/>
  <c r="F101" i="10"/>
  <c r="G930" i="10" a="1"/>
  <c r="G930" i="10" s="1"/>
  <c r="F931" i="10"/>
  <c r="F154" i="10"/>
  <c r="G153" i="10" a="1"/>
  <c r="G153" i="10" s="1"/>
  <c r="G466" i="10" a="1"/>
  <c r="G466" i="10" s="1"/>
  <c r="F467" i="10"/>
  <c r="G467" i="10" s="1" a="1"/>
  <c r="G467" i="10" s="1"/>
  <c r="G333" i="10" a="1"/>
  <c r="G333" i="10" s="1"/>
  <c r="F334" i="10"/>
  <c r="G682" i="10" a="1"/>
  <c r="G682" i="10" s="1"/>
  <c r="F683" i="10"/>
  <c r="G717" i="10" a="1"/>
  <c r="G717" i="10" s="1"/>
  <c r="F718" i="10"/>
  <c r="G171" i="10" a="1"/>
  <c r="G171" i="10" s="1"/>
  <c r="F172" i="10"/>
  <c r="G295" i="10" a="1"/>
  <c r="G295" i="10" s="1"/>
  <c r="F296" i="10"/>
  <c r="G522" i="10" a="1"/>
  <c r="G522" i="10" s="1"/>
  <c r="F523" i="10"/>
  <c r="G375" i="10" a="1"/>
  <c r="G375" i="10" s="1"/>
  <c r="F376" i="10"/>
  <c r="G187" i="10" a="1"/>
  <c r="G187" i="10" s="1"/>
  <c r="F188" i="10"/>
  <c r="F15" i="10"/>
  <c r="G14" i="10" a="1"/>
  <c r="G14" i="10" s="1"/>
  <c r="F73" i="10"/>
  <c r="G72" i="10" a="1"/>
  <c r="G72" i="10" s="1"/>
  <c r="F89" i="10"/>
  <c r="G89" i="10" s="1" a="1"/>
  <c r="G89" i="10" s="1"/>
  <c r="G88" i="10" a="1"/>
  <c r="G88" i="10" s="1"/>
  <c r="G124" i="10" a="1"/>
  <c r="G124" i="10" s="1"/>
  <c r="F125" i="10"/>
  <c r="G786" i="10" a="1"/>
  <c r="G786" i="10" s="1"/>
  <c r="F787" i="10"/>
  <c r="G746" i="10" a="1"/>
  <c r="G746" i="10" s="1"/>
  <c r="F747" i="10"/>
  <c r="G763" i="10" a="1"/>
  <c r="G763" i="10" s="1"/>
  <c r="F764" i="10"/>
  <c r="G584" i="10" a="1"/>
  <c r="G584" i="10" s="1"/>
  <c r="F585" i="10"/>
  <c r="G560" i="10" a="1"/>
  <c r="G560" i="10" s="1"/>
  <c r="F561" i="10"/>
  <c r="G479" i="10" a="1"/>
  <c r="G479" i="10" s="1"/>
  <c r="F480" i="10"/>
  <c r="G863" i="10" a="1"/>
  <c r="G863" i="10" s="1"/>
  <c r="F864" i="10"/>
  <c r="F659" i="10"/>
  <c r="G658" i="10" a="1"/>
  <c r="G658" i="10" s="1"/>
  <c r="G415" i="10" a="1"/>
  <c r="G415" i="10" s="1"/>
  <c r="F416" i="10"/>
  <c r="F899" i="10"/>
  <c r="G898" i="10" a="1"/>
  <c r="G898" i="10" s="1"/>
  <c r="G211" i="10" a="1"/>
  <c r="G211" i="10" s="1"/>
  <c r="F212" i="10"/>
  <c r="G608" i="10" a="1"/>
  <c r="G608" i="10" s="1"/>
  <c r="F609" i="10"/>
  <c r="G272" i="10" a="1"/>
  <c r="G272" i="10" s="1"/>
  <c r="F273" i="10"/>
  <c r="F748" i="10" l="1"/>
  <c r="G747" i="10" a="1"/>
  <c r="G747" i="10" s="1"/>
  <c r="F274" i="10"/>
  <c r="G273" i="10" a="1"/>
  <c r="G273" i="10" s="1"/>
  <c r="F805" i="10"/>
  <c r="G804" i="10" a="1"/>
  <c r="G804" i="10" s="1"/>
  <c r="F229" i="10"/>
  <c r="G228" i="10" a="1"/>
  <c r="G228" i="10" s="1"/>
  <c r="G416" i="10" a="1"/>
  <c r="G416" i="10" s="1"/>
  <c r="F417" i="10"/>
  <c r="G609" i="10" a="1"/>
  <c r="G609" i="10" s="1"/>
  <c r="F610" i="10"/>
  <c r="G718" i="10" a="1"/>
  <c r="G718" i="10" s="1"/>
  <c r="F719" i="10"/>
  <c r="G561" i="10" a="1"/>
  <c r="G561" i="10" s="1"/>
  <c r="F562" i="10"/>
  <c r="F189" i="10"/>
  <c r="G188" i="10" a="1"/>
  <c r="G188" i="10" s="1"/>
  <c r="G296" i="10" a="1"/>
  <c r="G296" i="10" s="1"/>
  <c r="F297" i="10"/>
  <c r="F102" i="10"/>
  <c r="G101" i="10" a="1"/>
  <c r="G101" i="10" s="1"/>
  <c r="G585" i="10" a="1"/>
  <c r="G585" i="10" s="1"/>
  <c r="F586" i="10"/>
  <c r="G440" i="10" a="1"/>
  <c r="G440" i="10" s="1"/>
  <c r="F441" i="10"/>
  <c r="G350" i="10" a="1"/>
  <c r="G350" i="10" s="1"/>
  <c r="F351" i="10"/>
  <c r="G787" i="10" a="1"/>
  <c r="G787" i="10" s="1"/>
  <c r="F788" i="10"/>
  <c r="F865" i="10"/>
  <c r="G864" i="10" a="1"/>
  <c r="G864" i="10" s="1"/>
  <c r="F377" i="10"/>
  <c r="G376" i="10" a="1"/>
  <c r="G376" i="10" s="1"/>
  <c r="G683" i="10" a="1"/>
  <c r="G683" i="10" s="1"/>
  <c r="F684" i="10"/>
  <c r="G931" i="10" a="1"/>
  <c r="G931" i="10" s="1"/>
  <c r="F932" i="10"/>
  <c r="G480" i="10" a="1"/>
  <c r="G480" i="10" s="1"/>
  <c r="F481" i="10"/>
  <c r="G212" i="10" a="1"/>
  <c r="G212" i="10" s="1"/>
  <c r="F213" i="10"/>
  <c r="G154" i="10" a="1"/>
  <c r="G154" i="10" s="1"/>
  <c r="F155" i="10"/>
  <c r="G764" i="10" a="1"/>
  <c r="G764" i="10" s="1"/>
  <c r="F765" i="10"/>
  <c r="G125" i="10" a="1"/>
  <c r="G125" i="10" s="1"/>
  <c r="F126" i="10"/>
  <c r="H4" i="10" a="1"/>
  <c r="H4" i="10" s="1"/>
  <c r="G631" i="10" a="1"/>
  <c r="G631" i="10" s="1"/>
  <c r="F632" i="10"/>
  <c r="G659" i="10" a="1"/>
  <c r="G659" i="10" s="1"/>
  <c r="F660" i="10"/>
  <c r="F524" i="10"/>
  <c r="G523" i="10" a="1"/>
  <c r="G523" i="10" s="1"/>
  <c r="G899" i="10" a="1"/>
  <c r="G899" i="10" s="1"/>
  <c r="F900" i="10"/>
  <c r="F74" i="10"/>
  <c r="G73" i="10" a="1"/>
  <c r="G73" i="10" s="1"/>
  <c r="F16" i="10"/>
  <c r="G15" i="10" a="1"/>
  <c r="G15" i="10" s="1"/>
  <c r="G172" i="10" a="1"/>
  <c r="G172" i="10" s="1"/>
  <c r="F173" i="10"/>
  <c r="G334" i="10" a="1"/>
  <c r="G334" i="10" s="1"/>
  <c r="F335" i="10"/>
  <c r="G351" i="10" l="1" a="1"/>
  <c r="G351" i="10" s="1"/>
  <c r="F352" i="10"/>
  <c r="G660" i="10" a="1"/>
  <c r="G660" i="10" s="1"/>
  <c r="F661" i="10"/>
  <c r="F866" i="10"/>
  <c r="G865" i="10" a="1"/>
  <c r="G865" i="10" s="1"/>
  <c r="F298" i="10"/>
  <c r="G297" i="10" a="1"/>
  <c r="G297" i="10" s="1"/>
  <c r="G610" i="10" a="1"/>
  <c r="G610" i="10" s="1"/>
  <c r="F611" i="10"/>
  <c r="G900" i="10" a="1"/>
  <c r="G900" i="10" s="1"/>
  <c r="F901" i="10"/>
  <c r="F482" i="10"/>
  <c r="G481" i="10" a="1"/>
  <c r="G481" i="10" s="1"/>
  <c r="G441" i="10" a="1"/>
  <c r="G441" i="10" s="1"/>
  <c r="F442" i="10"/>
  <c r="G719" i="10" a="1"/>
  <c r="G719" i="10" s="1"/>
  <c r="F720" i="10"/>
  <c r="F806" i="10"/>
  <c r="G805" i="10" a="1"/>
  <c r="G805" i="10" s="1"/>
  <c r="G126" i="10" a="1"/>
  <c r="G126" i="10" s="1"/>
  <c r="F127" i="10"/>
  <c r="F17" i="10"/>
  <c r="G16" i="10" a="1"/>
  <c r="G16" i="10" s="1"/>
  <c r="G377" i="10" a="1"/>
  <c r="G377" i="10" s="1"/>
  <c r="F378" i="10"/>
  <c r="G417" i="10" a="1"/>
  <c r="G417" i="10" s="1"/>
  <c r="F418" i="10"/>
  <c r="H5" i="10" a="1"/>
  <c r="H5" i="10" s="1"/>
  <c r="F789" i="10"/>
  <c r="G788" i="10" a="1"/>
  <c r="G788" i="10" s="1"/>
  <c r="G586" i="10" a="1"/>
  <c r="G586" i="10" s="1"/>
  <c r="F587" i="10"/>
  <c r="G102" i="10" a="1"/>
  <c r="G102" i="10" s="1"/>
  <c r="F103" i="10"/>
  <c r="G189" i="10" a="1"/>
  <c r="G189" i="10" s="1"/>
  <c r="F190" i="10"/>
  <c r="G274" i="10" a="1"/>
  <c r="G274" i="10" s="1"/>
  <c r="F275" i="10"/>
  <c r="F749" i="10"/>
  <c r="G748" i="10" a="1"/>
  <c r="G748" i="10" s="1"/>
  <c r="F174" i="10"/>
  <c r="G173" i="10" a="1"/>
  <c r="G173" i="10" s="1"/>
  <c r="G213" i="10" a="1"/>
  <c r="G213" i="10" s="1"/>
  <c r="F214" i="10"/>
  <c r="F633" i="10"/>
  <c r="G632" i="10" a="1"/>
  <c r="G632" i="10" s="1"/>
  <c r="G335" i="10" a="1"/>
  <c r="G335" i="10" s="1"/>
  <c r="F336" i="10"/>
  <c r="G74" i="10" a="1"/>
  <c r="G74" i="10" s="1"/>
  <c r="F75" i="10"/>
  <c r="G155" i="10" a="1"/>
  <c r="G155" i="10" s="1"/>
  <c r="F156" i="10"/>
  <c r="G562" i="10" a="1"/>
  <c r="G562" i="10" s="1"/>
  <c r="F563" i="10"/>
  <c r="F525" i="10"/>
  <c r="G524" i="10" a="1"/>
  <c r="G524" i="10" s="1"/>
  <c r="G684" i="10" a="1"/>
  <c r="G684" i="10" s="1"/>
  <c r="F685" i="10"/>
  <c r="F766" i="10"/>
  <c r="G765" i="10" a="1"/>
  <c r="G765" i="10" s="1"/>
  <c r="G932" i="10" a="1"/>
  <c r="G932" i="10" s="1"/>
  <c r="F933" i="10"/>
  <c r="F230" i="10"/>
  <c r="G229" i="10" a="1"/>
  <c r="G229" i="10" s="1"/>
  <c r="F564" i="10" l="1"/>
  <c r="G563" i="10" a="1"/>
  <c r="G563" i="10" s="1"/>
  <c r="G806" i="10" a="1"/>
  <c r="G806" i="10" s="1"/>
  <c r="F807" i="10"/>
  <c r="G442" i="10" a="1"/>
  <c r="G442" i="10" s="1"/>
  <c r="F443" i="10"/>
  <c r="G901" i="10" a="1"/>
  <c r="G901" i="10" s="1"/>
  <c r="F902" i="10"/>
  <c r="F867" i="10"/>
  <c r="G866" i="10" a="1"/>
  <c r="G866" i="10" s="1"/>
  <c r="G156" i="10" a="1"/>
  <c r="G156" i="10" s="1"/>
  <c r="F157" i="10"/>
  <c r="F175" i="10"/>
  <c r="G174" i="10" a="1"/>
  <c r="G174" i="10" s="1"/>
  <c r="G103" i="10" a="1"/>
  <c r="G103" i="10" s="1"/>
  <c r="F104" i="10"/>
  <c r="G633" i="10" a="1"/>
  <c r="G633" i="10" s="1"/>
  <c r="F634" i="10"/>
  <c r="G418" i="10" a="1"/>
  <c r="G418" i="10" s="1"/>
  <c r="F419" i="10"/>
  <c r="G378" i="10" a="1"/>
  <c r="G378" i="10" s="1"/>
  <c r="F379" i="10"/>
  <c r="G379" i="10" s="1" a="1"/>
  <c r="G379" i="10" s="1"/>
  <c r="F721" i="10"/>
  <c r="G720" i="10" a="1"/>
  <c r="G720" i="10" s="1"/>
  <c r="F612" i="10"/>
  <c r="G611" i="10" a="1"/>
  <c r="G611" i="10" s="1"/>
  <c r="G749" i="10" a="1"/>
  <c r="G749" i="10" s="1"/>
  <c r="F750" i="10"/>
  <c r="F588" i="10"/>
  <c r="G587" i="10" a="1"/>
  <c r="G587" i="10" s="1"/>
  <c r="F767" i="10"/>
  <c r="G766" i="10" a="1"/>
  <c r="G766" i="10" s="1"/>
  <c r="G525" i="10" a="1"/>
  <c r="G525" i="10" s="1"/>
  <c r="F526" i="10"/>
  <c r="G75" i="10" a="1"/>
  <c r="G75" i="10" s="1"/>
  <c r="F76" i="10"/>
  <c r="G298" i="10" a="1"/>
  <c r="G298" i="10" s="1"/>
  <c r="F299" i="10"/>
  <c r="G685" i="10" a="1"/>
  <c r="G685" i="10" s="1"/>
  <c r="F686" i="10"/>
  <c r="F231" i="10"/>
  <c r="G230" i="10" a="1"/>
  <c r="G230" i="10" s="1"/>
  <c r="H6" i="10" a="1"/>
  <c r="H6" i="10" s="1"/>
  <c r="G214" i="10" a="1"/>
  <c r="G214" i="10" s="1"/>
  <c r="F215" i="10"/>
  <c r="F790" i="10"/>
  <c r="G789" i="10" a="1"/>
  <c r="G789" i="10" s="1"/>
  <c r="F483" i="10"/>
  <c r="G482" i="10" a="1"/>
  <c r="G482" i="10" s="1"/>
  <c r="F353" i="10"/>
  <c r="G352" i="10" a="1"/>
  <c r="G352" i="10" s="1"/>
  <c r="G127" i="10" a="1"/>
  <c r="G127" i="10" s="1"/>
  <c r="F128" i="10"/>
  <c r="G933" i="10" a="1"/>
  <c r="G933" i="10" s="1"/>
  <c r="F934" i="10"/>
  <c r="G275" i="10" a="1"/>
  <c r="G275" i="10" s="1"/>
  <c r="F276" i="10"/>
  <c r="G276" i="10" s="1" a="1"/>
  <c r="G276" i="10" s="1"/>
  <c r="F337" i="10"/>
  <c r="G336" i="10" a="1"/>
  <c r="G336" i="10" s="1"/>
  <c r="F191" i="10"/>
  <c r="G190" i="10" a="1"/>
  <c r="G190" i="10" s="1"/>
  <c r="G17" i="10" a="1"/>
  <c r="G17" i="10" s="1"/>
  <c r="F18" i="10"/>
  <c r="G661" i="10" a="1"/>
  <c r="G661" i="10" s="1"/>
  <c r="F662" i="10"/>
  <c r="F589" i="10" l="1"/>
  <c r="G588" i="10" a="1"/>
  <c r="G588" i="10" s="1"/>
  <c r="G790" i="10" a="1"/>
  <c r="G790" i="10" s="1"/>
  <c r="F791" i="10"/>
  <c r="F444" i="10"/>
  <c r="G443" i="10" a="1"/>
  <c r="G443" i="10" s="1"/>
  <c r="F565" i="10"/>
  <c r="G564" i="10" a="1"/>
  <c r="G564" i="10" s="1"/>
  <c r="G807" i="10" a="1"/>
  <c r="G807" i="10" s="1"/>
  <c r="F808" i="10"/>
  <c r="F687" i="10"/>
  <c r="G686" i="10" a="1"/>
  <c r="G686" i="10" s="1"/>
  <c r="F722" i="10"/>
  <c r="G721" i="10" a="1"/>
  <c r="G721" i="10" s="1"/>
  <c r="G76" i="10" a="1"/>
  <c r="G76" i="10" s="1"/>
  <c r="F77" i="10"/>
  <c r="F129" i="10"/>
  <c r="G128" i="10" a="1"/>
  <c r="G128" i="10" s="1"/>
  <c r="F613" i="10"/>
  <c r="G612" i="10" a="1"/>
  <c r="G612" i="10" s="1"/>
  <c r="F105" i="10"/>
  <c r="G104" i="10" a="1"/>
  <c r="G104" i="10" s="1"/>
  <c r="G231" i="10" a="1"/>
  <c r="G231" i="10" s="1"/>
  <c r="F232" i="10"/>
  <c r="G337" i="10" a="1"/>
  <c r="G337" i="10" s="1"/>
  <c r="F338" i="10"/>
  <c r="G338" i="10" s="1" a="1"/>
  <c r="G338" i="10" s="1"/>
  <c r="F19" i="10"/>
  <c r="G18" i="10" a="1"/>
  <c r="G18" i="10" s="1"/>
  <c r="F158" i="10"/>
  <c r="G157" i="10" a="1"/>
  <c r="G157" i="10" s="1"/>
  <c r="F663" i="10"/>
  <c r="G662" i="10" a="1"/>
  <c r="G662" i="10" s="1"/>
  <c r="F300" i="10"/>
  <c r="G300" i="10" s="1" a="1"/>
  <c r="G300" i="10" s="1"/>
  <c r="G299" i="10" a="1"/>
  <c r="G299" i="10" s="1"/>
  <c r="G526" i="10" a="1"/>
  <c r="G526" i="10" s="1"/>
  <c r="F527" i="10"/>
  <c r="F420" i="10"/>
  <c r="G419" i="10" a="1"/>
  <c r="G419" i="10" s="1"/>
  <c r="F768" i="10"/>
  <c r="G767" i="10" a="1"/>
  <c r="G767" i="10" s="1"/>
  <c r="F751" i="10"/>
  <c r="G751" i="10" s="1" a="1"/>
  <c r="G751" i="10" s="1"/>
  <c r="G750" i="10" a="1"/>
  <c r="G750" i="10" s="1"/>
  <c r="G867" i="10" a="1"/>
  <c r="G867" i="10" s="1"/>
  <c r="F868" i="10"/>
  <c r="G483" i="10" a="1"/>
  <c r="G483" i="10" s="1"/>
  <c r="F484" i="10"/>
  <c r="G215" i="10" a="1"/>
  <c r="G215" i="10" s="1"/>
  <c r="F216" i="10"/>
  <c r="G934" i="10" a="1"/>
  <c r="G934" i="10" s="1"/>
  <c r="F935" i="10"/>
  <c r="G634" i="10" a="1"/>
  <c r="G634" i="10" s="1"/>
  <c r="F635" i="10"/>
  <c r="H7" i="10" a="1"/>
  <c r="H7" i="10" s="1"/>
  <c r="G191" i="10" a="1"/>
  <c r="G191" i="10" s="1"/>
  <c r="F192" i="10"/>
  <c r="F354" i="10"/>
  <c r="G354" i="10" s="1" a="1"/>
  <c r="G354" i="10" s="1"/>
  <c r="G353" i="10" a="1"/>
  <c r="G353" i="10" s="1"/>
  <c r="G175" i="10" a="1"/>
  <c r="G175" i="10" s="1"/>
  <c r="F176" i="10"/>
  <c r="G902" i="10" a="1"/>
  <c r="G902" i="10" s="1"/>
  <c r="F903" i="10"/>
  <c r="F193" i="10" l="1"/>
  <c r="G192" i="10" a="1"/>
  <c r="G192" i="10" s="1"/>
  <c r="F78" i="10"/>
  <c r="G77" i="10" a="1"/>
  <c r="G77" i="10" s="1"/>
  <c r="G791" i="10" a="1"/>
  <c r="G791" i="10" s="1"/>
  <c r="F792" i="10"/>
  <c r="F485" i="10"/>
  <c r="G484" i="10" a="1"/>
  <c r="G484" i="10" s="1"/>
  <c r="G663" i="10" a="1"/>
  <c r="G663" i="10" s="1"/>
  <c r="F664" i="10"/>
  <c r="F106" i="10"/>
  <c r="G105" i="10" a="1"/>
  <c r="G105" i="10" s="1"/>
  <c r="F130" i="10"/>
  <c r="G129" i="10" a="1"/>
  <c r="G129" i="10" s="1"/>
  <c r="H8" i="10" a="1"/>
  <c r="H8" i="10" s="1"/>
  <c r="G565" i="10" a="1"/>
  <c r="G565" i="10" s="1"/>
  <c r="F566" i="10"/>
  <c r="F421" i="10"/>
  <c r="G420" i="10" a="1"/>
  <c r="G420" i="10" s="1"/>
  <c r="G232" i="10" a="1"/>
  <c r="G232" i="10" s="1"/>
  <c r="F233" i="10"/>
  <c r="G722" i="10" a="1"/>
  <c r="G722" i="10" s="1"/>
  <c r="F723" i="10"/>
  <c r="G768" i="10" a="1"/>
  <c r="G768" i="10" s="1"/>
  <c r="F769" i="10"/>
  <c r="G527" i="10" a="1"/>
  <c r="G527" i="10" s="1"/>
  <c r="F528" i="10"/>
  <c r="G935" i="10" a="1"/>
  <c r="G935" i="10" s="1"/>
  <c r="F936" i="10"/>
  <c r="G936" i="10" s="1" a="1"/>
  <c r="G936" i="10" s="1"/>
  <c r="F159" i="10"/>
  <c r="G158" i="10" a="1"/>
  <c r="G158" i="10" s="1"/>
  <c r="G687" i="10" a="1"/>
  <c r="G687" i="10" s="1"/>
  <c r="F688" i="10"/>
  <c r="F445" i="10"/>
  <c r="G444" i="10" a="1"/>
  <c r="G444" i="10" s="1"/>
  <c r="G589" i="10" a="1"/>
  <c r="G589" i="10" s="1"/>
  <c r="F590" i="10"/>
  <c r="F904" i="10"/>
  <c r="G903" i="10" a="1"/>
  <c r="G903" i="10" s="1"/>
  <c r="G176" i="10" a="1"/>
  <c r="G176" i="10" s="1"/>
  <c r="F177" i="10"/>
  <c r="F809" i="10"/>
  <c r="G808" i="10" a="1"/>
  <c r="G808" i="10" s="1"/>
  <c r="F636" i="10"/>
  <c r="G635" i="10" a="1"/>
  <c r="G635" i="10" s="1"/>
  <c r="G216" i="10" a="1"/>
  <c r="G216" i="10" s="1"/>
  <c r="F217" i="10"/>
  <c r="G868" i="10" a="1"/>
  <c r="G868" i="10" s="1"/>
  <c r="F869" i="10"/>
  <c r="F20" i="10"/>
  <c r="G20" i="10" s="1" a="1"/>
  <c r="G20" i="10" s="1"/>
  <c r="G19" i="10" a="1"/>
  <c r="G19" i="10" s="1"/>
  <c r="F614" i="10"/>
  <c r="G613" i="10" a="1"/>
  <c r="G613" i="10" s="1"/>
  <c r="G769" i="10" l="1" a="1"/>
  <c r="G769" i="10" s="1"/>
  <c r="F770" i="10"/>
  <c r="H9" i="10" a="1"/>
  <c r="H9" i="10" s="1"/>
  <c r="G445" i="10" a="1"/>
  <c r="G445" i="10" s="1"/>
  <c r="F446" i="10"/>
  <c r="G421" i="10" a="1"/>
  <c r="G421" i="10" s="1"/>
  <c r="F422" i="10"/>
  <c r="F486" i="10"/>
  <c r="G485" i="10" a="1"/>
  <c r="G485" i="10" s="1"/>
  <c r="F79" i="10"/>
  <c r="G79" i="10" s="1" a="1"/>
  <c r="G79" i="10" s="1"/>
  <c r="G78" i="10" a="1"/>
  <c r="G78" i="10" s="1"/>
  <c r="G723" i="10" a="1"/>
  <c r="G723" i="10" s="1"/>
  <c r="F724" i="10"/>
  <c r="F637" i="10"/>
  <c r="G636" i="10" a="1"/>
  <c r="G636" i="10" s="1"/>
  <c r="F178" i="10"/>
  <c r="G178" i="10" s="1" a="1"/>
  <c r="G178" i="10" s="1"/>
  <c r="G177" i="10" a="1"/>
  <c r="G177" i="10" s="1"/>
  <c r="F665" i="10"/>
  <c r="G664" i="10" a="1"/>
  <c r="G664" i="10" s="1"/>
  <c r="F793" i="10"/>
  <c r="G792" i="10" a="1"/>
  <c r="G792" i="10" s="1"/>
  <c r="F689" i="10"/>
  <c r="G689" i="10" s="1" a="1"/>
  <c r="G689" i="10" s="1"/>
  <c r="G688" i="10" a="1"/>
  <c r="G688" i="10" s="1"/>
  <c r="F870" i="10"/>
  <c r="G869" i="10" a="1"/>
  <c r="G869" i="10" s="1"/>
  <c r="F905" i="10"/>
  <c r="G904" i="10" a="1"/>
  <c r="G904" i="10" s="1"/>
  <c r="G159" i="10" a="1"/>
  <c r="G159" i="10" s="1"/>
  <c r="F160" i="10"/>
  <c r="G233" i="10" a="1"/>
  <c r="G233" i="10" s="1"/>
  <c r="F234" i="10"/>
  <c r="G130" i="10" a="1"/>
  <c r="G130" i="10" s="1"/>
  <c r="F131" i="10"/>
  <c r="G590" i="10" a="1"/>
  <c r="G590" i="10" s="1"/>
  <c r="F591" i="10"/>
  <c r="G528" i="10" a="1"/>
  <c r="G528" i="10" s="1"/>
  <c r="F529" i="10"/>
  <c r="F194" i="10"/>
  <c r="G193" i="10" a="1"/>
  <c r="G193" i="10" s="1"/>
  <c r="F615" i="10"/>
  <c r="G614" i="10" a="1"/>
  <c r="G614" i="10" s="1"/>
  <c r="F218" i="10"/>
  <c r="G218" i="10" s="1" a="1"/>
  <c r="G218" i="10" s="1"/>
  <c r="G217" i="10" a="1"/>
  <c r="G217" i="10" s="1"/>
  <c r="G809" i="10" a="1"/>
  <c r="G809" i="10" s="1"/>
  <c r="F810" i="10"/>
  <c r="G566" i="10" a="1"/>
  <c r="G566" i="10" s="1"/>
  <c r="F567" i="10"/>
  <c r="G106" i="10" a="1"/>
  <c r="G106" i="10" s="1"/>
  <c r="F107" i="10"/>
  <c r="G131" i="10" l="1" a="1"/>
  <c r="G131" i="10" s="1"/>
  <c r="F132" i="10"/>
  <c r="H10" i="10" a="1"/>
  <c r="H10" i="10" s="1"/>
  <c r="F906" i="10"/>
  <c r="G905" i="10" a="1"/>
  <c r="G905" i="10" s="1"/>
  <c r="F638" i="10"/>
  <c r="G637" i="10" a="1"/>
  <c r="G637" i="10" s="1"/>
  <c r="G446" i="10" a="1"/>
  <c r="G446" i="10" s="1"/>
  <c r="F447" i="10"/>
  <c r="G194" i="10" a="1"/>
  <c r="G194" i="10" s="1"/>
  <c r="F195" i="10"/>
  <c r="G234" i="10" a="1"/>
  <c r="G234" i="10" s="1"/>
  <c r="F235" i="10"/>
  <c r="F487" i="10"/>
  <c r="G486" i="10" a="1"/>
  <c r="G486" i="10" s="1"/>
  <c r="G870" i="10" a="1"/>
  <c r="G870" i="10" s="1"/>
  <c r="F871" i="10"/>
  <c r="G422" i="10" a="1"/>
  <c r="G422" i="10" s="1"/>
  <c r="F423" i="10"/>
  <c r="G567" i="10" a="1"/>
  <c r="G567" i="10" s="1"/>
  <c r="F568" i="10"/>
  <c r="F794" i="10"/>
  <c r="G794" i="10" s="1" a="1"/>
  <c r="G794" i="10" s="1"/>
  <c r="G793" i="10" a="1"/>
  <c r="G793" i="10" s="1"/>
  <c r="G724" i="10" a="1"/>
  <c r="G724" i="10" s="1"/>
  <c r="F725" i="10"/>
  <c r="G770" i="10" a="1"/>
  <c r="G770" i="10" s="1"/>
  <c r="F771" i="10"/>
  <c r="G591" i="10" a="1"/>
  <c r="G591" i="10" s="1"/>
  <c r="F592" i="10"/>
  <c r="G160" i="10" a="1"/>
  <c r="G160" i="10" s="1"/>
  <c r="F161" i="10"/>
  <c r="F666" i="10"/>
  <c r="G665" i="10" a="1"/>
  <c r="G665" i="10" s="1"/>
  <c r="G810" i="10" a="1"/>
  <c r="G810" i="10" s="1"/>
  <c r="F811" i="10"/>
  <c r="G529" i="10" a="1"/>
  <c r="G529" i="10" s="1"/>
  <c r="F530" i="10"/>
  <c r="G107" i="10" a="1"/>
  <c r="G107" i="10" s="1"/>
  <c r="F108" i="10"/>
  <c r="G615" i="10" a="1"/>
  <c r="G615" i="10" s="1"/>
  <c r="F616" i="10"/>
  <c r="G132" i="10" l="1" a="1"/>
  <c r="G132" i="10" s="1"/>
  <c r="F133" i="10"/>
  <c r="G725" i="10" a="1"/>
  <c r="G725" i="10" s="1"/>
  <c r="F726" i="10"/>
  <c r="G592" i="10" a="1"/>
  <c r="G592" i="10" s="1"/>
  <c r="F593" i="10"/>
  <c r="G530" i="10" a="1"/>
  <c r="G530" i="10" s="1"/>
  <c r="F531" i="10"/>
  <c r="H11" i="10" a="1"/>
  <c r="H11" i="10" s="1"/>
  <c r="G447" i="10" a="1"/>
  <c r="G447" i="10" s="1"/>
  <c r="F448" i="10"/>
  <c r="F236" i="10"/>
  <c r="G235" i="10" a="1"/>
  <c r="G235" i="10" s="1"/>
  <c r="G771" i="10" a="1"/>
  <c r="G771" i="10" s="1"/>
  <c r="F772" i="10"/>
  <c r="G568" i="10" a="1"/>
  <c r="G568" i="10" s="1"/>
  <c r="F569" i="10"/>
  <c r="F872" i="10"/>
  <c r="G872" i="10" s="1" a="1"/>
  <c r="G872" i="10" s="1"/>
  <c r="G871" i="10" a="1"/>
  <c r="G871" i="10" s="1"/>
  <c r="G487" i="10" a="1"/>
  <c r="G487" i="10" s="1"/>
  <c r="F488" i="10"/>
  <c r="G488" i="10" s="1" a="1"/>
  <c r="G488" i="10" s="1"/>
  <c r="G638" i="10" a="1"/>
  <c r="G638" i="10" s="1"/>
  <c r="F639" i="10"/>
  <c r="G195" i="10" a="1"/>
  <c r="G195" i="10" s="1"/>
  <c r="F196" i="10"/>
  <c r="F162" i="10"/>
  <c r="G162" i="10" s="1" a="1"/>
  <c r="G162" i="10" s="1"/>
  <c r="G161" i="10" a="1"/>
  <c r="G161" i="10" s="1"/>
  <c r="G811" i="10" a="1"/>
  <c r="G811" i="10" s="1"/>
  <c r="F812" i="10"/>
  <c r="F907" i="10"/>
  <c r="G906" i="10" a="1"/>
  <c r="G906" i="10" s="1"/>
  <c r="F617" i="10"/>
  <c r="G616" i="10" a="1"/>
  <c r="G616" i="10" s="1"/>
  <c r="G108" i="10" a="1"/>
  <c r="G108" i="10" s="1"/>
  <c r="F109" i="10"/>
  <c r="G666" i="10" a="1"/>
  <c r="G666" i="10" s="1"/>
  <c r="F667" i="10"/>
  <c r="G423" i="10" a="1"/>
  <c r="G423" i="10" s="1"/>
  <c r="F424" i="10"/>
  <c r="F110" i="10" l="1"/>
  <c r="G109" i="10" a="1"/>
  <c r="G109" i="10" s="1"/>
  <c r="G236" i="10" a="1"/>
  <c r="G236" i="10" s="1"/>
  <c r="F237" i="10"/>
  <c r="F532" i="10"/>
  <c r="G531" i="10" a="1"/>
  <c r="G531" i="10" s="1"/>
  <c r="G726" i="10" a="1"/>
  <c r="G726" i="10" s="1"/>
  <c r="F727" i="10"/>
  <c r="G133" i="10" a="1"/>
  <c r="G133" i="10" s="1"/>
  <c r="F134" i="10"/>
  <c r="G134" i="10" s="1" a="1"/>
  <c r="G134" i="10" s="1"/>
  <c r="G196" i="10" a="1"/>
  <c r="G196" i="10" s="1"/>
  <c r="F197" i="10"/>
  <c r="H12" i="10" a="1"/>
  <c r="H12" i="10" s="1"/>
  <c r="G593" i="10" a="1"/>
  <c r="G593" i="10" s="1"/>
  <c r="F594" i="10"/>
  <c r="G617" i="10" a="1"/>
  <c r="G617" i="10" s="1"/>
  <c r="F618" i="10"/>
  <c r="G639" i="10" a="1"/>
  <c r="G639" i="10" s="1"/>
  <c r="F640" i="10"/>
  <c r="G569" i="10" a="1"/>
  <c r="G569" i="10" s="1"/>
  <c r="F570" i="10"/>
  <c r="G424" i="10" a="1"/>
  <c r="G424" i="10" s="1"/>
  <c r="F425" i="10"/>
  <c r="G448" i="10" a="1"/>
  <c r="G448" i="10" s="1"/>
  <c r="F449" i="10"/>
  <c r="G667" i="10" a="1"/>
  <c r="G667" i="10" s="1"/>
  <c r="F668" i="10"/>
  <c r="G907" i="10" a="1"/>
  <c r="G907" i="10" s="1"/>
  <c r="F908" i="10"/>
  <c r="F813" i="10"/>
  <c r="G812" i="10" a="1"/>
  <c r="G812" i="10" s="1"/>
  <c r="G772" i="10" a="1"/>
  <c r="G772" i="10" s="1"/>
  <c r="F773" i="10"/>
  <c r="H13" i="10" a="1"/>
  <c r="H13" i="10" s="1"/>
  <c r="G570" i="10" l="1" a="1"/>
  <c r="G570" i="10" s="1"/>
  <c r="F571" i="10"/>
  <c r="G449" i="10" a="1"/>
  <c r="G449" i="10" s="1"/>
  <c r="F450" i="10"/>
  <c r="G594" i="10" a="1"/>
  <c r="G594" i="10" s="1"/>
  <c r="F595" i="10"/>
  <c r="F533" i="10"/>
  <c r="G532" i="10" a="1"/>
  <c r="G532" i="10" s="1"/>
  <c r="G237" i="10" a="1"/>
  <c r="G237" i="10" s="1"/>
  <c r="F238" i="10"/>
  <c r="G668" i="10" a="1"/>
  <c r="G668" i="10" s="1"/>
  <c r="F669" i="10"/>
  <c r="F641" i="10"/>
  <c r="G640" i="10" a="1"/>
  <c r="G640" i="10" s="1"/>
  <c r="G110" i="10" a="1"/>
  <c r="G110" i="10" s="1"/>
  <c r="F111" i="10"/>
  <c r="F774" i="10"/>
  <c r="G773" i="10" a="1"/>
  <c r="G773" i="10" s="1"/>
  <c r="G727" i="10" a="1"/>
  <c r="G727" i="10" s="1"/>
  <c r="F728" i="10"/>
  <c r="G908" i="10" a="1"/>
  <c r="G908" i="10" s="1"/>
  <c r="F909" i="10"/>
  <c r="F814" i="10"/>
  <c r="G813" i="10" a="1"/>
  <c r="G813" i="10" s="1"/>
  <c r="G197" i="10" a="1"/>
  <c r="G197" i="10" s="1"/>
  <c r="F198" i="10"/>
  <c r="G618" i="10" a="1"/>
  <c r="G618" i="10" s="1"/>
  <c r="F619" i="10"/>
  <c r="G425" i="10" a="1"/>
  <c r="G425" i="10" s="1"/>
  <c r="F426" i="10"/>
  <c r="G111" i="10" l="1" a="1"/>
  <c r="G111" i="10" s="1"/>
  <c r="F112" i="10"/>
  <c r="G426" i="10" a="1"/>
  <c r="G426" i="10" s="1"/>
  <c r="F427" i="10"/>
  <c r="F199" i="10"/>
  <c r="G198" i="10" a="1"/>
  <c r="G198" i="10" s="1"/>
  <c r="H14" i="10" a="1"/>
  <c r="H14" i="10" s="1"/>
  <c r="G450" i="10" a="1"/>
  <c r="G450" i="10" s="1"/>
  <c r="F451" i="10"/>
  <c r="F620" i="10"/>
  <c r="G620" i="10" s="1" a="1"/>
  <c r="G620" i="10" s="1"/>
  <c r="G619" i="10" a="1"/>
  <c r="G619" i="10" s="1"/>
  <c r="F572" i="10"/>
  <c r="G571" i="10" a="1"/>
  <c r="G571" i="10" s="1"/>
  <c r="F729" i="10"/>
  <c r="G728" i="10" a="1"/>
  <c r="G728" i="10" s="1"/>
  <c r="G533" i="10" a="1"/>
  <c r="G533" i="10" s="1"/>
  <c r="F534" i="10"/>
  <c r="F239" i="10"/>
  <c r="G238" i="10" a="1"/>
  <c r="G238" i="10" s="1"/>
  <c r="F596" i="10"/>
  <c r="G595" i="10" a="1"/>
  <c r="G595" i="10" s="1"/>
  <c r="F642" i="10"/>
  <c r="G641" i="10" a="1"/>
  <c r="G641" i="10" s="1"/>
  <c r="F775" i="10"/>
  <c r="G774" i="10" a="1"/>
  <c r="G774" i="10" s="1"/>
  <c r="G669" i="10" a="1"/>
  <c r="G669" i="10" s="1"/>
  <c r="F670" i="10"/>
  <c r="G670" i="10" s="1" a="1"/>
  <c r="G670" i="10" s="1"/>
  <c r="G909" i="10" a="1"/>
  <c r="G909" i="10" s="1"/>
  <c r="F910" i="10"/>
  <c r="G814" i="10" a="1"/>
  <c r="G814" i="10" s="1"/>
  <c r="F815" i="10"/>
  <c r="F573" i="10" l="1"/>
  <c r="G572" i="10" a="1"/>
  <c r="G572" i="10" s="1"/>
  <c r="F428" i="10"/>
  <c r="G427" i="10" a="1"/>
  <c r="G427" i="10" s="1"/>
  <c r="F240" i="10"/>
  <c r="G239" i="10" a="1"/>
  <c r="G239" i="10" s="1"/>
  <c r="G815" i="10" a="1"/>
  <c r="G815" i="10" s="1"/>
  <c r="F816" i="10"/>
  <c r="F452" i="10"/>
  <c r="G451" i="10" a="1"/>
  <c r="G451" i="10" s="1"/>
  <c r="G642" i="10" a="1"/>
  <c r="G642" i="10" s="1"/>
  <c r="F643" i="10"/>
  <c r="H15" i="10" a="1"/>
  <c r="H15" i="10" s="1"/>
  <c r="F911" i="10"/>
  <c r="G911" i="10" s="1" a="1"/>
  <c r="G911" i="10" s="1"/>
  <c r="G910" i="10" a="1"/>
  <c r="G910" i="10" s="1"/>
  <c r="H16" i="10" a="1"/>
  <c r="H16" i="10" s="1"/>
  <c r="F597" i="10"/>
  <c r="G596" i="10" a="1"/>
  <c r="G596" i="10" s="1"/>
  <c r="F730" i="10"/>
  <c r="G730" i="10" s="1" a="1"/>
  <c r="G730" i="10" s="1"/>
  <c r="G729" i="10" a="1"/>
  <c r="G729" i="10" s="1"/>
  <c r="F113" i="10"/>
  <c r="G112" i="10" a="1"/>
  <c r="G112" i="10" s="1"/>
  <c r="F776" i="10"/>
  <c r="G776" i="10" s="1" a="1"/>
  <c r="G776" i="10" s="1"/>
  <c r="G775" i="10" a="1"/>
  <c r="G775" i="10" s="1"/>
  <c r="G534" i="10" a="1"/>
  <c r="G534" i="10" s="1"/>
  <c r="F535" i="10"/>
  <c r="G199" i="10" a="1"/>
  <c r="G199" i="10" s="1"/>
  <c r="F200" i="10"/>
  <c r="G535" i="10" l="1" a="1"/>
  <c r="G535" i="10" s="1"/>
  <c r="F536" i="10"/>
  <c r="F644" i="10"/>
  <c r="G643" i="10" a="1"/>
  <c r="G643" i="10" s="1"/>
  <c r="G240" i="10" a="1"/>
  <c r="G240" i="10" s="1"/>
  <c r="F241" i="10"/>
  <c r="G241" i="10" s="1" a="1"/>
  <c r="G241" i="10" s="1"/>
  <c r="F453" i="10"/>
  <c r="G452" i="10" a="1"/>
  <c r="G452" i="10" s="1"/>
  <c r="F114" i="10"/>
  <c r="G114" i="10" s="1" a="1"/>
  <c r="G114" i="10" s="1"/>
  <c r="G113" i="10" a="1"/>
  <c r="G113" i="10" s="1"/>
  <c r="G573" i="10" a="1"/>
  <c r="G573" i="10" s="1"/>
  <c r="F574" i="10"/>
  <c r="G574" i="10" s="1" a="1"/>
  <c r="G574" i="10" s="1"/>
  <c r="F201" i="10"/>
  <c r="G201" i="10" s="1" a="1"/>
  <c r="G201" i="10" s="1"/>
  <c r="G200" i="10" a="1"/>
  <c r="G200" i="10" s="1"/>
  <c r="G597" i="10" a="1"/>
  <c r="G597" i="10" s="1"/>
  <c r="F598" i="10"/>
  <c r="F817" i="10"/>
  <c r="G816" i="10" a="1"/>
  <c r="G816" i="10" s="1"/>
  <c r="F429" i="10"/>
  <c r="G428" i="10" a="1"/>
  <c r="G428" i="10" s="1"/>
  <c r="G598" i="10" l="1" a="1"/>
  <c r="G598" i="10" s="1"/>
  <c r="F599" i="10"/>
  <c r="G599" i="10" s="1" a="1"/>
  <c r="G599" i="10" s="1"/>
  <c r="G644" i="10" a="1"/>
  <c r="G644" i="10" s="1"/>
  <c r="F645" i="10"/>
  <c r="G645" i="10" s="1" a="1"/>
  <c r="G645" i="10" s="1"/>
  <c r="G536" i="10" a="1"/>
  <c r="G536" i="10" s="1"/>
  <c r="F537" i="10"/>
  <c r="H17" i="10" a="1"/>
  <c r="H17" i="10" s="1"/>
  <c r="G817" i="10" a="1"/>
  <c r="G817" i="10" s="1"/>
  <c r="F818" i="10"/>
  <c r="H18" i="10" a="1"/>
  <c r="H18" i="10" s="1"/>
  <c r="G453" i="10" a="1"/>
  <c r="G453" i="10" s="1"/>
  <c r="F454" i="10"/>
  <c r="G454" i="10" s="1" a="1"/>
  <c r="G454" i="10" s="1"/>
  <c r="G429" i="10" a="1"/>
  <c r="G429" i="10" s="1"/>
  <c r="F430" i="10"/>
  <c r="G430" i="10" s="1" a="1"/>
  <c r="G430" i="10" s="1"/>
  <c r="G537" i="10" l="1" a="1"/>
  <c r="G537" i="10" s="1"/>
  <c r="F538" i="10"/>
  <c r="G538" i="10" s="1" a="1"/>
  <c r="G538" i="10" s="1"/>
  <c r="G818" i="10" a="1"/>
  <c r="G818" i="10" s="1"/>
  <c r="F819" i="10"/>
  <c r="G819" i="10" s="1" a="1"/>
  <c r="G819" i="10" s="1"/>
  <c r="H19" i="10" l="1" a="1"/>
  <c r="H19" i="10" s="1"/>
  <c r="H20" i="10" s="1" a="1"/>
  <c r="H20" i="10" s="1"/>
  <c r="H21" i="10" s="1" a="1"/>
  <c r="H21" i="10" s="1"/>
  <c r="H22" i="10" s="1" a="1"/>
  <c r="H22" i="10" s="1"/>
  <c r="H23" i="10" s="1" a="1"/>
  <c r="H23" i="10" s="1"/>
  <c r="H24" i="10" s="1" a="1"/>
  <c r="H24" i="10" s="1"/>
  <c r="H25" i="10" s="1" a="1"/>
  <c r="H25" i="10" s="1"/>
  <c r="H26" i="10" s="1" a="1"/>
  <c r="H26" i="10" s="1"/>
  <c r="H27" i="10" s="1" a="1"/>
  <c r="H27" i="10" s="1"/>
  <c r="H28" i="10" s="1" a="1"/>
  <c r="H28" i="10" s="1"/>
  <c r="H29" i="10" s="1" a="1"/>
  <c r="H29" i="10" s="1"/>
  <c r="H30" i="10" s="1" a="1"/>
  <c r="H30" i="10" s="1"/>
  <c r="H31" i="10" s="1" a="1"/>
  <c r="H31" i="10" s="1"/>
  <c r="H32" i="10" s="1" a="1"/>
  <c r="H32" i="10" s="1"/>
  <c r="H33" i="10" s="1" a="1"/>
  <c r="H33" i="10" s="1"/>
  <c r="H34" i="10" s="1" a="1"/>
  <c r="H34" i="10" s="1"/>
  <c r="H35" i="10" s="1" a="1"/>
  <c r="H35" i="10" s="1"/>
  <c r="H36" i="10" s="1" a="1"/>
  <c r="H36" i="10" s="1"/>
  <c r="H37" i="10" s="1" a="1"/>
  <c r="H37" i="10" s="1"/>
  <c r="H38" i="10" s="1" a="1"/>
  <c r="H38" i="10" s="1"/>
  <c r="H39" i="10" s="1" a="1"/>
  <c r="H39" i="10" s="1"/>
  <c r="H40" i="10" s="1" a="1"/>
  <c r="H40" i="10" s="1"/>
  <c r="H41" i="10" s="1" a="1"/>
  <c r="H41" i="10" s="1"/>
  <c r="H42" i="10" s="1" a="1"/>
  <c r="H42" i="10" s="1"/>
  <c r="H43" i="10" s="1" a="1"/>
  <c r="H43" i="10" s="1"/>
  <c r="H44" i="10" s="1" a="1"/>
  <c r="H44" i="10" s="1"/>
  <c r="H45" i="10" s="1" a="1"/>
  <c r="H45" i="10" s="1"/>
  <c r="H46" i="10" s="1" a="1"/>
  <c r="H46" i="10" s="1"/>
  <c r="H47" i="10" s="1" a="1"/>
  <c r="H47" i="10" s="1"/>
  <c r="H48" i="10" s="1" a="1"/>
  <c r="H48" i="10" s="1"/>
  <c r="H49" i="10" s="1" a="1"/>
  <c r="H49" i="10" s="1"/>
  <c r="H50" i="10" s="1" a="1"/>
  <c r="H50" i="10" s="1"/>
  <c r="H51" i="10" s="1" a="1"/>
  <c r="H51" i="10" s="1"/>
  <c r="H52" i="10" s="1" a="1"/>
  <c r="H52" i="10" s="1"/>
  <c r="H53" i="10" s="1" a="1"/>
  <c r="H53" i="10" s="1"/>
  <c r="H54" i="10" s="1" a="1"/>
  <c r="H54" i="10" s="1"/>
  <c r="H55" i="10" s="1" a="1"/>
  <c r="H55" i="10" s="1"/>
  <c r="H56" i="10" s="1" a="1"/>
  <c r="H56" i="10" s="1"/>
  <c r="H57" i="10" s="1" a="1"/>
  <c r="H57" i="10" s="1"/>
  <c r="H58" i="10" s="1" a="1"/>
  <c r="H58" i="10" s="1"/>
  <c r="H59" i="10" s="1" a="1"/>
  <c r="H59" i="10" s="1"/>
  <c r="H60" i="10" s="1" a="1"/>
  <c r="H60" i="10" s="1"/>
  <c r="H61" i="10" s="1" a="1"/>
  <c r="H61" i="10" s="1"/>
  <c r="H62" i="10" s="1" a="1"/>
  <c r="H62" i="10" s="1"/>
  <c r="H63" i="10" s="1" a="1"/>
  <c r="H63" i="10" s="1"/>
  <c r="H64" i="10" s="1" a="1"/>
  <c r="H64" i="10" s="1"/>
  <c r="H65" i="10" s="1" a="1"/>
  <c r="H65" i="10" s="1"/>
  <c r="H66" i="10" s="1" a="1"/>
  <c r="H66" i="10" s="1"/>
  <c r="H67" i="10" s="1" a="1"/>
  <c r="H67" i="10" s="1"/>
  <c r="H68" i="10" s="1" a="1"/>
  <c r="H68" i="10" s="1"/>
  <c r="H69" i="10" s="1" a="1"/>
  <c r="H69" i="10" s="1"/>
  <c r="H70" i="10" s="1" a="1"/>
  <c r="H70" i="10" s="1"/>
  <c r="H71" i="10" s="1" a="1"/>
  <c r="H71" i="10" s="1"/>
  <c r="H72" i="10" s="1" a="1"/>
  <c r="H72" i="10" s="1"/>
  <c r="H73" i="10" s="1" a="1"/>
  <c r="H73" i="10" s="1"/>
  <c r="H74" i="10" s="1" a="1"/>
  <c r="H74" i="10" s="1"/>
  <c r="H75" i="10" s="1" a="1"/>
  <c r="H75" i="10" s="1"/>
  <c r="H76" i="10" s="1" a="1"/>
  <c r="H76" i="10" s="1"/>
  <c r="H77" i="10" s="1" a="1"/>
  <c r="H77" i="10" s="1"/>
  <c r="H78" i="10" s="1" a="1"/>
  <c r="H78" i="10" s="1"/>
  <c r="H79" i="10" s="1" a="1"/>
  <c r="H79" i="10" s="1"/>
  <c r="H80" i="10" s="1" a="1"/>
  <c r="H80" i="10" s="1"/>
  <c r="H81" i="10" s="1" a="1"/>
  <c r="H81" i="10" s="1"/>
  <c r="H82" i="10" s="1" a="1"/>
  <c r="H82" i="10" s="1"/>
  <c r="H83" i="10" s="1" a="1"/>
  <c r="H83" i="10" s="1"/>
  <c r="H84" i="10" s="1" a="1"/>
  <c r="H84" i="10" s="1"/>
  <c r="H85" i="10" s="1" a="1"/>
  <c r="H85" i="10" s="1"/>
  <c r="H86" i="10" s="1" a="1"/>
  <c r="H86" i="10" s="1"/>
  <c r="H87" i="10" s="1" a="1"/>
  <c r="H87" i="10" s="1"/>
  <c r="H88" i="10" s="1" a="1"/>
  <c r="H88" i="10" s="1"/>
  <c r="H89" i="10" s="1" a="1"/>
  <c r="H89" i="10" s="1"/>
  <c r="H90" i="10" s="1" a="1"/>
  <c r="H90" i="10" s="1"/>
  <c r="H91" i="10" s="1" a="1"/>
  <c r="H91" i="10" s="1"/>
  <c r="H92" i="10" s="1" a="1"/>
  <c r="H92" i="10" s="1"/>
  <c r="H93" i="10" s="1" a="1"/>
  <c r="H93" i="10" s="1"/>
  <c r="H94" i="10" s="1" a="1"/>
  <c r="H94" i="10" s="1"/>
  <c r="H95" i="10" s="1" a="1"/>
  <c r="H95" i="10" s="1"/>
  <c r="H96" i="10" s="1" a="1"/>
  <c r="H96" i="10" s="1"/>
  <c r="H97" i="10" s="1" a="1"/>
  <c r="H97" i="10" s="1"/>
  <c r="H98" i="10" s="1" a="1"/>
  <c r="H98" i="10" s="1"/>
  <c r="H99" i="10" s="1" a="1"/>
  <c r="H99" i="10" s="1"/>
  <c r="H100" i="10" s="1" a="1"/>
  <c r="H100" i="10" s="1"/>
  <c r="H101" i="10" s="1" a="1"/>
  <c r="H101" i="10" s="1"/>
  <c r="H102" i="10" s="1" a="1"/>
  <c r="H102" i="10" s="1"/>
  <c r="H103" i="10" s="1" a="1"/>
  <c r="H103" i="10" s="1"/>
  <c r="H104" i="10" s="1" a="1"/>
  <c r="H104" i="10" s="1"/>
  <c r="H105" i="10" s="1" a="1"/>
  <c r="H105" i="10" s="1"/>
  <c r="H106" i="10" s="1" a="1"/>
  <c r="H106" i="10" s="1"/>
  <c r="H107" i="10" s="1" a="1"/>
  <c r="H107" i="10" s="1"/>
  <c r="H108" i="10" s="1" a="1"/>
  <c r="H108" i="10" s="1"/>
  <c r="H109" i="10" s="1" a="1"/>
  <c r="H109" i="10" s="1"/>
  <c r="H110" i="10" s="1" a="1"/>
  <c r="H110" i="10" s="1"/>
  <c r="H111" i="10" s="1" a="1"/>
  <c r="H111" i="10" s="1"/>
  <c r="H112" i="10" s="1" a="1"/>
  <c r="H112" i="10" s="1"/>
  <c r="H113" i="10" s="1" a="1"/>
  <c r="H113" i="10" s="1"/>
  <c r="H114" i="10" s="1" a="1"/>
  <c r="H114" i="10" s="1"/>
  <c r="H115" i="10" s="1" a="1"/>
  <c r="H115" i="10" s="1"/>
  <c r="H116" i="10" s="1" a="1"/>
  <c r="H116" i="10" s="1"/>
  <c r="H117" i="10" s="1" a="1"/>
  <c r="H117" i="10" s="1"/>
  <c r="H118" i="10" s="1" a="1"/>
  <c r="H118" i="10" s="1"/>
  <c r="H119" i="10" s="1" a="1"/>
  <c r="H119" i="10" s="1"/>
  <c r="H120" i="10" s="1" a="1"/>
  <c r="H120" i="10" s="1"/>
  <c r="H121" i="10" s="1" a="1"/>
  <c r="H121" i="10" s="1"/>
  <c r="H122" i="10" s="1" a="1"/>
  <c r="H122" i="10" s="1"/>
  <c r="H123" i="10" s="1" a="1"/>
  <c r="H123" i="10" s="1"/>
  <c r="H124" i="10" s="1" a="1"/>
  <c r="H124" i="10" s="1"/>
  <c r="H125" i="10" s="1" a="1"/>
  <c r="H125" i="10" s="1"/>
  <c r="H126" i="10" s="1" a="1"/>
  <c r="H126" i="10" s="1"/>
  <c r="H127" i="10" s="1" a="1"/>
  <c r="H127" i="10" s="1"/>
  <c r="H128" i="10" s="1" a="1"/>
  <c r="H128" i="10" s="1"/>
  <c r="H129" i="10" s="1" a="1"/>
  <c r="H129" i="10" s="1"/>
  <c r="H130" i="10" s="1" a="1"/>
  <c r="H130" i="10" s="1"/>
  <c r="H131" i="10" s="1" a="1"/>
  <c r="H131" i="10" s="1"/>
  <c r="H132" i="10" s="1" a="1"/>
  <c r="H132" i="10" s="1"/>
  <c r="H133" i="10" s="1" a="1"/>
  <c r="H133" i="10" s="1"/>
  <c r="H134" i="10" s="1" a="1"/>
  <c r="H134" i="10" s="1"/>
  <c r="H135" i="10" s="1" a="1"/>
  <c r="H135" i="10" s="1"/>
  <c r="H136" i="10" s="1" a="1"/>
  <c r="H136" i="10" s="1"/>
  <c r="H137" i="10" s="1" a="1"/>
  <c r="H137" i="10" s="1"/>
  <c r="H138" i="10" s="1" a="1"/>
  <c r="H138" i="10" s="1"/>
  <c r="H139" i="10" s="1" a="1"/>
  <c r="H139" i="10" s="1"/>
  <c r="H140" i="10" s="1" a="1"/>
  <c r="H140" i="10" s="1"/>
  <c r="H141" i="10" s="1" a="1"/>
  <c r="H141" i="10" s="1"/>
  <c r="H142" i="10" s="1" a="1"/>
  <c r="H142" i="10" s="1"/>
  <c r="H143" i="10" s="1" a="1"/>
  <c r="H143" i="10" s="1"/>
  <c r="H144" i="10" s="1" a="1"/>
  <c r="H144" i="10" s="1"/>
  <c r="H145" i="10" s="1" a="1"/>
  <c r="H145" i="10" s="1"/>
  <c r="H146" i="10" s="1" a="1"/>
  <c r="H146" i="10" s="1"/>
  <c r="H147" i="10" s="1" a="1"/>
  <c r="H147" i="10" s="1"/>
  <c r="H148" i="10" s="1" a="1"/>
  <c r="H148" i="10" s="1"/>
  <c r="H149" i="10" s="1" a="1"/>
  <c r="H149" i="10" s="1"/>
  <c r="H150" i="10" s="1" a="1"/>
  <c r="H150" i="10" s="1"/>
  <c r="H151" i="10" s="1" a="1"/>
  <c r="H151" i="10" s="1"/>
  <c r="H152" i="10" s="1" a="1"/>
  <c r="H152" i="10" s="1"/>
  <c r="H153" i="10" s="1" a="1"/>
  <c r="H153" i="10" s="1"/>
  <c r="H154" i="10" s="1" a="1"/>
  <c r="H154" i="10" s="1"/>
  <c r="H155" i="10" s="1" a="1"/>
  <c r="H155" i="10" s="1"/>
  <c r="H156" i="10" s="1" a="1"/>
  <c r="H156" i="10" s="1"/>
  <c r="H157" i="10" s="1" a="1"/>
  <c r="H157" i="10" s="1"/>
  <c r="H158" i="10" s="1" a="1"/>
  <c r="H158" i="10" s="1"/>
  <c r="H159" i="10" s="1" a="1"/>
  <c r="H159" i="10" s="1"/>
  <c r="H160" i="10" s="1" a="1"/>
  <c r="H160" i="10" s="1"/>
  <c r="H161" i="10" s="1" a="1"/>
  <c r="H161" i="10" s="1"/>
  <c r="H162" i="10" s="1" a="1"/>
  <c r="H162" i="10" s="1"/>
  <c r="H163" i="10" s="1" a="1"/>
  <c r="H163" i="10" s="1"/>
  <c r="H164" i="10" s="1" a="1"/>
  <c r="H164" i="10" s="1"/>
  <c r="H165" i="10" s="1" a="1"/>
  <c r="H165" i="10" s="1"/>
  <c r="H166" i="10" s="1" a="1"/>
  <c r="H166" i="10" s="1"/>
  <c r="H167" i="10" s="1" a="1"/>
  <c r="H167" i="10" s="1"/>
  <c r="H168" i="10" s="1" a="1"/>
  <c r="H168" i="10" s="1"/>
  <c r="H169" i="10" s="1" a="1"/>
  <c r="H169" i="10" s="1"/>
  <c r="H170" i="10" s="1" a="1"/>
  <c r="H170" i="10" s="1"/>
  <c r="H171" i="10" s="1" a="1"/>
  <c r="H171" i="10" s="1"/>
  <c r="H172" i="10" s="1" a="1"/>
  <c r="H172" i="10" s="1"/>
  <c r="H173" i="10" s="1" a="1"/>
  <c r="H173" i="10" s="1"/>
  <c r="H174" i="10" s="1" a="1"/>
  <c r="H174" i="10" s="1"/>
  <c r="H175" i="10" s="1" a="1"/>
  <c r="H175" i="10" s="1"/>
  <c r="H176" i="10" s="1" a="1"/>
  <c r="H176" i="10" s="1"/>
  <c r="H177" i="10" s="1" a="1"/>
  <c r="H177" i="10" s="1"/>
  <c r="H178" i="10" s="1" a="1"/>
  <c r="H178" i="10" s="1"/>
  <c r="H179" i="10" s="1" a="1"/>
  <c r="H179" i="10" s="1"/>
  <c r="H180" i="10" s="1" a="1"/>
  <c r="H180" i="10" s="1"/>
  <c r="H181" i="10" s="1" a="1"/>
  <c r="H181" i="10" s="1"/>
  <c r="H182" i="10" s="1" a="1"/>
  <c r="H182" i="10" s="1"/>
  <c r="H183" i="10" s="1" a="1"/>
  <c r="H183" i="10" s="1"/>
  <c r="H184" i="10" s="1" a="1"/>
  <c r="H184" i="10" s="1"/>
  <c r="H185" i="10" s="1" a="1"/>
  <c r="H185" i="10" s="1"/>
  <c r="H186" i="10" s="1" a="1"/>
  <c r="H186" i="10" s="1"/>
  <c r="H187" i="10" s="1" a="1"/>
  <c r="H187" i="10" s="1"/>
  <c r="H188" i="10" s="1" a="1"/>
  <c r="H188" i="10" s="1"/>
  <c r="H189" i="10" s="1" a="1"/>
  <c r="H189" i="10" s="1"/>
  <c r="H190" i="10" s="1" a="1"/>
  <c r="H190" i="10" s="1"/>
  <c r="H191" i="10" s="1" a="1"/>
  <c r="H191" i="10" s="1"/>
  <c r="H192" i="10" s="1" a="1"/>
  <c r="H192" i="10" s="1"/>
  <c r="H193" i="10" s="1" a="1"/>
  <c r="H193" i="10" s="1"/>
  <c r="H194" i="10" s="1" a="1"/>
  <c r="H194" i="10" s="1"/>
  <c r="H195" i="10" s="1" a="1"/>
  <c r="H195" i="10" s="1"/>
  <c r="H196" i="10" s="1" a="1"/>
  <c r="H196" i="10" s="1"/>
  <c r="H197" i="10" s="1" a="1"/>
  <c r="H197" i="10" s="1"/>
  <c r="H198" i="10" s="1" a="1"/>
  <c r="H198" i="10" s="1"/>
  <c r="H199" i="10" s="1" a="1"/>
  <c r="H199" i="10" s="1"/>
  <c r="H200" i="10" s="1" a="1"/>
  <c r="H200" i="10" s="1"/>
  <c r="H201" i="10" s="1" a="1"/>
  <c r="H201" i="10" s="1"/>
  <c r="H202" i="10" s="1" a="1"/>
  <c r="H202" i="10" s="1"/>
  <c r="H203" i="10" s="1" a="1"/>
  <c r="H203" i="10" s="1"/>
  <c r="H204" i="10" s="1" a="1"/>
  <c r="H204" i="10" s="1"/>
  <c r="H205" i="10" s="1" a="1"/>
  <c r="H205" i="10" s="1"/>
  <c r="H206" i="10" s="1" a="1"/>
  <c r="H206" i="10" s="1"/>
  <c r="H207" i="10" s="1" a="1"/>
  <c r="H207" i="10" s="1"/>
  <c r="H208" i="10" s="1" a="1"/>
  <c r="H208" i="10" s="1"/>
  <c r="H209" i="10" s="1" a="1"/>
  <c r="H209" i="10" s="1"/>
  <c r="H210" i="10" s="1" a="1"/>
  <c r="H210" i="10" s="1"/>
  <c r="H211" i="10" s="1" a="1"/>
  <c r="H211" i="10" s="1"/>
  <c r="H212" i="10" s="1" a="1"/>
  <c r="H212" i="10" s="1"/>
  <c r="H213" i="10" s="1" a="1"/>
  <c r="H213" i="10" s="1"/>
  <c r="H214" i="10" s="1" a="1"/>
  <c r="H214" i="10" s="1"/>
  <c r="H215" i="10" s="1" a="1"/>
  <c r="H215" i="10" s="1"/>
  <c r="H216" i="10" s="1" a="1"/>
  <c r="H216" i="10" s="1"/>
  <c r="H217" i="10" s="1" a="1"/>
  <c r="H217" i="10" s="1"/>
  <c r="H218" i="10" s="1" a="1"/>
  <c r="H218" i="10" s="1"/>
  <c r="H219" i="10" s="1" a="1"/>
  <c r="H219" i="10" s="1"/>
  <c r="H220" i="10" s="1" a="1"/>
  <c r="H220" i="10" s="1"/>
  <c r="H221" i="10" s="1" a="1"/>
  <c r="H221" i="10" s="1"/>
  <c r="H222" i="10" s="1" a="1"/>
  <c r="H222" i="10" s="1"/>
  <c r="H223" i="10" s="1" a="1"/>
  <c r="H223" i="10" s="1"/>
  <c r="H224" i="10" s="1" a="1"/>
  <c r="H224" i="10" s="1"/>
  <c r="H225" i="10" s="1" a="1"/>
  <c r="H225" i="10" s="1"/>
  <c r="H226" i="10" s="1" a="1"/>
  <c r="H226" i="10" s="1"/>
  <c r="H227" i="10" s="1" a="1"/>
  <c r="H227" i="10" s="1"/>
  <c r="H228" i="10" s="1" a="1"/>
  <c r="H228" i="10" s="1"/>
  <c r="H229" i="10" s="1" a="1"/>
  <c r="H229" i="10" s="1"/>
  <c r="H230" i="10" s="1" a="1"/>
  <c r="H230" i="10" s="1"/>
  <c r="H231" i="10" s="1" a="1"/>
  <c r="H231" i="10" s="1"/>
  <c r="H232" i="10" s="1" a="1"/>
  <c r="H232" i="10" s="1"/>
  <c r="H233" i="10" s="1" a="1"/>
  <c r="H233" i="10" s="1"/>
  <c r="H234" i="10" s="1" a="1"/>
  <c r="H234" i="10" s="1"/>
  <c r="H235" i="10" s="1" a="1"/>
  <c r="H235" i="10" s="1"/>
  <c r="H236" i="10" s="1" a="1"/>
  <c r="H236" i="10" s="1"/>
  <c r="H237" i="10" s="1" a="1"/>
  <c r="H237" i="10" s="1"/>
  <c r="H238" i="10" s="1" a="1"/>
  <c r="H238" i="10" s="1"/>
  <c r="H239" i="10" s="1" a="1"/>
  <c r="H239" i="10" s="1"/>
  <c r="H240" i="10" s="1" a="1"/>
  <c r="H240" i="10" s="1"/>
  <c r="H241" i="10" s="1" a="1"/>
  <c r="H241" i="10" s="1"/>
  <c r="H242" i="10" s="1" a="1"/>
  <c r="H242" i="10" s="1"/>
  <c r="H243" i="10" s="1" a="1"/>
  <c r="H243" i="10" s="1"/>
  <c r="H244" i="10" s="1" a="1"/>
  <c r="H244" i="10" s="1"/>
  <c r="H245" i="10" s="1" a="1"/>
  <c r="H245" i="10" s="1"/>
  <c r="H246" i="10" s="1" a="1"/>
  <c r="H246" i="10" s="1"/>
  <c r="H247" i="10" s="1" a="1"/>
  <c r="H247" i="10" s="1"/>
  <c r="H248" i="10" s="1" a="1"/>
  <c r="H248" i="10" s="1"/>
  <c r="H249" i="10" s="1" a="1"/>
  <c r="H249" i="10" s="1"/>
  <c r="H250" i="10" s="1" a="1"/>
  <c r="H250" i="10" s="1"/>
  <c r="H251" i="10" s="1" a="1"/>
  <c r="H251" i="10" s="1"/>
  <c r="H252" i="10" s="1" a="1"/>
  <c r="H252" i="10" s="1"/>
  <c r="H253" i="10" s="1" a="1"/>
  <c r="H253" i="10" s="1"/>
  <c r="H254" i="10" s="1" a="1"/>
  <c r="H254" i="10" s="1"/>
  <c r="H255" i="10" s="1" a="1"/>
  <c r="H255" i="10" s="1"/>
  <c r="H256" i="10" s="1" a="1"/>
  <c r="H256" i="10" s="1"/>
  <c r="H257" i="10" s="1" a="1"/>
  <c r="H257" i="10" s="1"/>
  <c r="H258" i="10" s="1" a="1"/>
  <c r="H258" i="10" s="1"/>
  <c r="H259" i="10" s="1" a="1"/>
  <c r="H259" i="10" s="1"/>
  <c r="H260" i="10" s="1" a="1"/>
  <c r="H260" i="10" s="1"/>
  <c r="H261" i="10" s="1" a="1"/>
  <c r="H261" i="10" s="1"/>
  <c r="H262" i="10" s="1" a="1"/>
  <c r="H262" i="10" s="1"/>
  <c r="H263" i="10" s="1" a="1"/>
  <c r="H263" i="10" s="1"/>
  <c r="H264" i="10" s="1" a="1"/>
  <c r="H264" i="10" s="1"/>
  <c r="H265" i="10" s="1" a="1"/>
  <c r="H265" i="10" s="1"/>
  <c r="H266" i="10" s="1" a="1"/>
  <c r="H266" i="10" s="1"/>
  <c r="H267" i="10" s="1" a="1"/>
  <c r="H267" i="10" s="1"/>
  <c r="H268" i="10" s="1" a="1"/>
  <c r="H268" i="10" s="1"/>
  <c r="H269" i="10" s="1" a="1"/>
  <c r="H269" i="10" s="1"/>
  <c r="H270" i="10" s="1" a="1"/>
  <c r="H270" i="10" s="1"/>
  <c r="H271" i="10" s="1" a="1"/>
  <c r="H271" i="10" s="1"/>
  <c r="H272" i="10" s="1" a="1"/>
  <c r="H272" i="10" s="1"/>
  <c r="H273" i="10" s="1" a="1"/>
  <c r="H273" i="10" s="1"/>
  <c r="H274" i="10" s="1" a="1"/>
  <c r="H274" i="10" s="1"/>
  <c r="H275" i="10" s="1" a="1"/>
  <c r="H275" i="10" s="1"/>
  <c r="H276" i="10" s="1" a="1"/>
  <c r="H276" i="10" s="1"/>
  <c r="H277" i="10" s="1" a="1"/>
  <c r="H277" i="10" s="1"/>
  <c r="H278" i="10" s="1" a="1"/>
  <c r="H278" i="10" s="1"/>
  <c r="H279" i="10" s="1" a="1"/>
  <c r="H279" i="10" s="1"/>
  <c r="H280" i="10" s="1" a="1"/>
  <c r="H280" i="10" s="1"/>
  <c r="H281" i="10" s="1" a="1"/>
  <c r="H281" i="10" s="1"/>
  <c r="H282" i="10" s="1" a="1"/>
  <c r="H282" i="10" s="1"/>
  <c r="H283" i="10" s="1" a="1"/>
  <c r="H283" i="10" s="1"/>
  <c r="H284" i="10" s="1" a="1"/>
  <c r="H284" i="10" s="1"/>
  <c r="H285" i="10" s="1" a="1"/>
  <c r="H285" i="10" s="1"/>
  <c r="H286" i="10" s="1" a="1"/>
  <c r="H286" i="10" s="1"/>
  <c r="H287" i="10" s="1" a="1"/>
  <c r="H287" i="10" s="1"/>
  <c r="H288" i="10" s="1" a="1"/>
  <c r="H288" i="10" s="1"/>
  <c r="H289" i="10" s="1" a="1"/>
  <c r="H289" i="10" s="1"/>
  <c r="H290" i="10" s="1" a="1"/>
  <c r="H290" i="10" s="1"/>
  <c r="H291" i="10" s="1" a="1"/>
  <c r="H291" i="10" s="1"/>
  <c r="H292" i="10" s="1" a="1"/>
  <c r="H292" i="10" s="1"/>
  <c r="H293" i="10" s="1" a="1"/>
  <c r="H293" i="10" s="1"/>
  <c r="H294" i="10" s="1" a="1"/>
  <c r="H294" i="10" s="1"/>
  <c r="H295" i="10" s="1" a="1"/>
  <c r="H295" i="10" s="1"/>
  <c r="H296" i="10" s="1" a="1"/>
  <c r="H296" i="10" s="1"/>
  <c r="H297" i="10" s="1" a="1"/>
  <c r="H297" i="10" s="1"/>
  <c r="H298" i="10" s="1" a="1"/>
  <c r="H298" i="10" s="1"/>
  <c r="H299" i="10" s="1" a="1"/>
  <c r="H299" i="10" s="1"/>
  <c r="H300" i="10" s="1" a="1"/>
  <c r="H300" i="10" s="1"/>
  <c r="H301" i="10" s="1" a="1"/>
  <c r="H301" i="10" s="1"/>
  <c r="H302" i="10" s="1" a="1"/>
  <c r="H302" i="10" s="1"/>
  <c r="H303" i="10" s="1" a="1"/>
  <c r="H303" i="10" s="1"/>
  <c r="H304" i="10" s="1" a="1"/>
  <c r="H304" i="10" s="1"/>
  <c r="H305" i="10" s="1" a="1"/>
  <c r="H305" i="10" s="1"/>
  <c r="H306" i="10" s="1" a="1"/>
  <c r="H306" i="10" s="1"/>
  <c r="H307" i="10" s="1" a="1"/>
  <c r="H307" i="10" s="1"/>
  <c r="H308" i="10" s="1" a="1"/>
  <c r="H308" i="10" s="1"/>
  <c r="H309" i="10" s="1" a="1"/>
  <c r="H309" i="10" s="1"/>
  <c r="H310" i="10" s="1" a="1"/>
  <c r="H310" i="10" s="1"/>
  <c r="H311" i="10" s="1" a="1"/>
  <c r="H311" i="10" s="1"/>
  <c r="H312" i="10" s="1" a="1"/>
  <c r="H312" i="10" s="1"/>
  <c r="H313" i="10" s="1" a="1"/>
  <c r="H313" i="10" s="1"/>
  <c r="H314" i="10" s="1" a="1"/>
  <c r="H314" i="10" s="1"/>
  <c r="H315" i="10" s="1" a="1"/>
  <c r="H315" i="10" s="1"/>
  <c r="H316" i="10" s="1" a="1"/>
  <c r="H316" i="10" s="1"/>
  <c r="H317" i="10" s="1" a="1"/>
  <c r="H317" i="10" s="1"/>
  <c r="H318" i="10" s="1" a="1"/>
  <c r="H318" i="10" s="1"/>
  <c r="H319" i="10" s="1" a="1"/>
  <c r="H319" i="10" s="1"/>
  <c r="H320" i="10" s="1" a="1"/>
  <c r="H320" i="10" s="1"/>
  <c r="H321" i="10" s="1" a="1"/>
  <c r="H321" i="10" s="1"/>
  <c r="H322" i="10" s="1" a="1"/>
  <c r="H322" i="10" s="1"/>
  <c r="H323" i="10" s="1" a="1"/>
  <c r="H323" i="10" s="1"/>
  <c r="H324" i="10" s="1" a="1"/>
  <c r="H324" i="10" s="1"/>
  <c r="H325" i="10" s="1" a="1"/>
  <c r="H325" i="10" s="1"/>
  <c r="H326" i="10" s="1" a="1"/>
  <c r="H326" i="10" s="1"/>
  <c r="H327" i="10" s="1" a="1"/>
  <c r="H327" i="10" s="1"/>
  <c r="H328" i="10" s="1" a="1"/>
  <c r="H328" i="10" s="1"/>
  <c r="H329" i="10" s="1" a="1"/>
  <c r="H329" i="10" s="1"/>
  <c r="H330" i="10" s="1" a="1"/>
  <c r="H330" i="10" s="1"/>
  <c r="H331" i="10" s="1" a="1"/>
  <c r="H331" i="10" s="1"/>
  <c r="H332" i="10" s="1" a="1"/>
  <c r="H332" i="10" s="1"/>
  <c r="H333" i="10" s="1" a="1"/>
  <c r="H333" i="10" s="1"/>
  <c r="H334" i="10" s="1" a="1"/>
  <c r="H334" i="10" s="1"/>
  <c r="H335" i="10" s="1" a="1"/>
  <c r="H335" i="10" s="1"/>
  <c r="H336" i="10" s="1" a="1"/>
  <c r="H336" i="10" s="1"/>
  <c r="H337" i="10" s="1" a="1"/>
  <c r="H337" i="10" s="1"/>
  <c r="H338" i="10" s="1" a="1"/>
  <c r="H338" i="10" s="1"/>
  <c r="H339" i="10" s="1" a="1"/>
  <c r="H339" i="10" s="1"/>
  <c r="H340" i="10" s="1" a="1"/>
  <c r="H340" i="10" s="1"/>
  <c r="H341" i="10" s="1" a="1"/>
  <c r="H341" i="10" s="1"/>
  <c r="H342" i="10" s="1" a="1"/>
  <c r="H342" i="10" s="1"/>
  <c r="H343" i="10" s="1" a="1"/>
  <c r="H343" i="10" s="1"/>
  <c r="H344" i="10" s="1" a="1"/>
  <c r="H344" i="10" s="1"/>
  <c r="H345" i="10" s="1" a="1"/>
  <c r="H345" i="10" s="1"/>
  <c r="H346" i="10" s="1" a="1"/>
  <c r="H346" i="10" s="1"/>
  <c r="H347" i="10" s="1" a="1"/>
  <c r="H347" i="10" s="1"/>
  <c r="H348" i="10" s="1" a="1"/>
  <c r="H348" i="10" s="1"/>
  <c r="H349" i="10" s="1" a="1"/>
  <c r="H349" i="10" s="1"/>
  <c r="H350" i="10" s="1" a="1"/>
  <c r="H350" i="10" s="1"/>
  <c r="H351" i="10" s="1" a="1"/>
  <c r="H351" i="10" s="1"/>
  <c r="H352" i="10" s="1" a="1"/>
  <c r="H352" i="10" s="1"/>
  <c r="H353" i="10" s="1" a="1"/>
  <c r="H353" i="10" s="1"/>
  <c r="H354" i="10" s="1" a="1"/>
  <c r="H354" i="10" s="1"/>
  <c r="H355" i="10" s="1" a="1"/>
  <c r="H355" i="10" s="1"/>
  <c r="H356" i="10" s="1" a="1"/>
  <c r="H356" i="10" s="1"/>
  <c r="H357" i="10" s="1" a="1"/>
  <c r="H357" i="10" s="1"/>
  <c r="H358" i="10" s="1" a="1"/>
  <c r="H358" i="10" s="1"/>
  <c r="H359" i="10" s="1" a="1"/>
  <c r="H359" i="10" s="1"/>
  <c r="H360" i="10" s="1" a="1"/>
  <c r="H360" i="10" s="1"/>
  <c r="H361" i="10" s="1" a="1"/>
  <c r="H361" i="10" s="1"/>
  <c r="H362" i="10" s="1" a="1"/>
  <c r="H362" i="10" s="1"/>
  <c r="H363" i="10" s="1" a="1"/>
  <c r="H363" i="10" s="1"/>
  <c r="H364" i="10" s="1" a="1"/>
  <c r="H364" i="10" s="1"/>
  <c r="H365" i="10" s="1" a="1"/>
  <c r="H365" i="10" s="1"/>
  <c r="H366" i="10" s="1" a="1"/>
  <c r="H366" i="10" s="1"/>
  <c r="H367" i="10" s="1" a="1"/>
  <c r="H367" i="10" s="1"/>
  <c r="H368" i="10" s="1" a="1"/>
  <c r="H368" i="10" s="1"/>
  <c r="H369" i="10" s="1" a="1"/>
  <c r="H369" i="10" s="1"/>
  <c r="H370" i="10" s="1" a="1"/>
  <c r="H370" i="10" s="1"/>
  <c r="H371" i="10" s="1" a="1"/>
  <c r="H371" i="10" s="1"/>
  <c r="H372" i="10" s="1" a="1"/>
  <c r="H372" i="10" s="1"/>
  <c r="H373" i="10" s="1" a="1"/>
  <c r="H373" i="10" s="1"/>
  <c r="H374" i="10" s="1" a="1"/>
  <c r="H374" i="10" s="1"/>
  <c r="H375" i="10" s="1" a="1"/>
  <c r="H375" i="10" s="1"/>
  <c r="H376" i="10" s="1" a="1"/>
  <c r="H376" i="10" s="1"/>
  <c r="H377" i="10" s="1" a="1"/>
  <c r="H377" i="10" s="1"/>
  <c r="H378" i="10" s="1" a="1"/>
  <c r="H378" i="10" s="1"/>
  <c r="H379" i="10" s="1" a="1"/>
  <c r="H379" i="10" s="1"/>
  <c r="H380" i="10" s="1" a="1"/>
  <c r="H380" i="10" s="1"/>
  <c r="H381" i="10" s="1" a="1"/>
  <c r="H381" i="10" s="1"/>
  <c r="H382" i="10" s="1" a="1"/>
  <c r="H382" i="10" s="1"/>
  <c r="H383" i="10" s="1" a="1"/>
  <c r="H383" i="10" s="1"/>
  <c r="H384" i="10" s="1" a="1"/>
  <c r="H384" i="10" s="1"/>
  <c r="H385" i="10" s="1" a="1"/>
  <c r="H385" i="10" s="1"/>
  <c r="H386" i="10" s="1" a="1"/>
  <c r="H386" i="10" s="1"/>
  <c r="H387" i="10" s="1" a="1"/>
  <c r="H387" i="10" s="1"/>
  <c r="H388" i="10" s="1" a="1"/>
  <c r="H388" i="10" s="1"/>
  <c r="H389" i="10" s="1" a="1"/>
  <c r="H389" i="10" s="1"/>
  <c r="H390" i="10" s="1" a="1"/>
  <c r="H390" i="10" s="1"/>
  <c r="H391" i="10" s="1" a="1"/>
  <c r="H391" i="10" s="1"/>
  <c r="H392" i="10" s="1" a="1"/>
  <c r="H392" i="10" s="1"/>
  <c r="H393" i="10" s="1" a="1"/>
  <c r="H393" i="10" s="1"/>
  <c r="H394" i="10" s="1" a="1"/>
  <c r="H394" i="10" s="1"/>
  <c r="H395" i="10" s="1" a="1"/>
  <c r="H395" i="10" s="1"/>
  <c r="H396" i="10" s="1" a="1"/>
  <c r="H396" i="10" s="1"/>
  <c r="H397" i="10" s="1" a="1"/>
  <c r="H397" i="10" s="1"/>
  <c r="H398" i="10" s="1" a="1"/>
  <c r="H398" i="10" s="1"/>
  <c r="H399" i="10" s="1" a="1"/>
  <c r="H399" i="10" s="1"/>
  <c r="H400" i="10" s="1" a="1"/>
  <c r="H400" i="10" s="1"/>
  <c r="H401" i="10" s="1" a="1"/>
  <c r="H401" i="10" s="1"/>
  <c r="H402" i="10" s="1" a="1"/>
  <c r="H402" i="10" s="1"/>
  <c r="H403" i="10" s="1" a="1"/>
  <c r="H403" i="10" s="1"/>
  <c r="H404" i="10" s="1" a="1"/>
  <c r="H404" i="10" s="1"/>
  <c r="H405" i="10" s="1" a="1"/>
  <c r="H405" i="10" s="1"/>
  <c r="H406" i="10" s="1" a="1"/>
  <c r="H406" i="10" s="1"/>
  <c r="H407" i="10" s="1" a="1"/>
  <c r="H407" i="10" s="1"/>
  <c r="H408" i="10" s="1" a="1"/>
  <c r="H408" i="10" s="1"/>
  <c r="H409" i="10" s="1" a="1"/>
  <c r="H409" i="10" s="1"/>
  <c r="H410" i="10" s="1" a="1"/>
  <c r="H410" i="10" s="1"/>
  <c r="H411" i="10" s="1" a="1"/>
  <c r="H411" i="10" s="1"/>
  <c r="H412" i="10" s="1" a="1"/>
  <c r="H412" i="10" s="1"/>
  <c r="H413" i="10" s="1" a="1"/>
  <c r="H413" i="10" s="1"/>
  <c r="H414" i="10" s="1" a="1"/>
  <c r="H414" i="10" s="1"/>
  <c r="H415" i="10" s="1" a="1"/>
  <c r="H415" i="10" s="1"/>
  <c r="H416" i="10" s="1" a="1"/>
  <c r="H416" i="10" s="1"/>
  <c r="H417" i="10" s="1" a="1"/>
  <c r="H417" i="10" s="1"/>
  <c r="H418" i="10" s="1" a="1"/>
  <c r="H418" i="10" s="1"/>
  <c r="H419" i="10" s="1" a="1"/>
  <c r="H419" i="10" s="1"/>
  <c r="H420" i="10" s="1" a="1"/>
  <c r="H420" i="10" s="1"/>
  <c r="H421" i="10" s="1" a="1"/>
  <c r="H421" i="10" s="1"/>
  <c r="H422" i="10" s="1" a="1"/>
  <c r="H422" i="10" s="1"/>
  <c r="H423" i="10" s="1" a="1"/>
  <c r="H423" i="10" s="1"/>
  <c r="H424" i="10" s="1" a="1"/>
  <c r="H424" i="10" s="1"/>
  <c r="H425" i="10" s="1" a="1"/>
  <c r="H425" i="10" s="1"/>
  <c r="H426" i="10" s="1" a="1"/>
  <c r="H426" i="10" s="1"/>
  <c r="H427" i="10" s="1" a="1"/>
  <c r="H427" i="10" s="1"/>
  <c r="H428" i="10" s="1" a="1"/>
  <c r="H428" i="10" s="1"/>
  <c r="H429" i="10" s="1" a="1"/>
  <c r="H429" i="10" s="1"/>
  <c r="H430" i="10" s="1" a="1"/>
  <c r="H430" i="10" s="1"/>
  <c r="H431" i="10" s="1" a="1"/>
  <c r="H431" i="10" s="1"/>
  <c r="H432" i="10" s="1" a="1"/>
  <c r="H432" i="10" s="1"/>
  <c r="H433" i="10" s="1" a="1"/>
  <c r="H433" i="10" s="1"/>
  <c r="H434" i="10" s="1" a="1"/>
  <c r="H434" i="10" s="1"/>
  <c r="H435" i="10" s="1" a="1"/>
  <c r="H435" i="10" s="1"/>
  <c r="H436" i="10" s="1" a="1"/>
  <c r="H436" i="10" s="1"/>
  <c r="H437" i="10" s="1" a="1"/>
  <c r="H437" i="10" s="1"/>
  <c r="H438" i="10" s="1" a="1"/>
  <c r="H438" i="10" s="1"/>
  <c r="H439" i="10" s="1" a="1"/>
  <c r="H439" i="10" s="1"/>
  <c r="H440" i="10" s="1" a="1"/>
  <c r="H440" i="10" s="1"/>
  <c r="H441" i="10" s="1" a="1"/>
  <c r="H441" i="10" s="1"/>
  <c r="H442" i="10" s="1" a="1"/>
  <c r="H442" i="10" s="1"/>
  <c r="H443" i="10" s="1" a="1"/>
  <c r="H443" i="10" s="1"/>
  <c r="H444" i="10" s="1" a="1"/>
  <c r="H444" i="10" s="1"/>
  <c r="H445" i="10" s="1" a="1"/>
  <c r="H445" i="10" s="1"/>
  <c r="H446" i="10" s="1" a="1"/>
  <c r="H446" i="10" s="1"/>
  <c r="H447" i="10" s="1" a="1"/>
  <c r="H447" i="10" s="1"/>
  <c r="H448" i="10" s="1" a="1"/>
  <c r="H448" i="10" s="1"/>
  <c r="H449" i="10" s="1" a="1"/>
  <c r="H449" i="10" s="1"/>
  <c r="H450" i="10" s="1" a="1"/>
  <c r="H450" i="10" s="1"/>
  <c r="H451" i="10" s="1" a="1"/>
  <c r="H451" i="10" s="1"/>
  <c r="H452" i="10" s="1" a="1"/>
  <c r="H452" i="10" s="1"/>
  <c r="H453" i="10" s="1" a="1"/>
  <c r="H453" i="10" s="1"/>
  <c r="H454" i="10" s="1" a="1"/>
  <c r="H454" i="10" s="1"/>
  <c r="H455" i="10" s="1" a="1"/>
  <c r="H455" i="10" s="1"/>
  <c r="H456" i="10" s="1" a="1"/>
  <c r="H456" i="10" s="1"/>
  <c r="H457" i="10" s="1" a="1"/>
  <c r="H457" i="10" s="1"/>
  <c r="H458" i="10" s="1" a="1"/>
  <c r="H458" i="10" s="1"/>
  <c r="H459" i="10" s="1" a="1"/>
  <c r="H459" i="10" s="1"/>
  <c r="H460" i="10" s="1" a="1"/>
  <c r="H460" i="10" s="1"/>
  <c r="H461" i="10" s="1" a="1"/>
  <c r="H461" i="10" s="1"/>
  <c r="H462" i="10" s="1" a="1"/>
  <c r="H462" i="10" s="1"/>
  <c r="H463" i="10" s="1" a="1"/>
  <c r="H463" i="10" s="1"/>
  <c r="H464" i="10" s="1" a="1"/>
  <c r="H464" i="10" s="1"/>
  <c r="H465" i="10" s="1" a="1"/>
  <c r="H465" i="10" s="1"/>
  <c r="H466" i="10" s="1" a="1"/>
  <c r="H466" i="10" s="1"/>
  <c r="H467" i="10" s="1" a="1"/>
  <c r="H467" i="10" s="1"/>
  <c r="H468" i="10" s="1" a="1"/>
  <c r="H468" i="10" s="1"/>
  <c r="H469" i="10" s="1" a="1"/>
  <c r="H469" i="10" s="1"/>
  <c r="H470" i="10" s="1" a="1"/>
  <c r="H470" i="10" s="1"/>
  <c r="H471" i="10" s="1" a="1"/>
  <c r="H471" i="10" s="1"/>
  <c r="H472" i="10" s="1" a="1"/>
  <c r="H472" i="10" s="1"/>
  <c r="H473" i="10" s="1" a="1"/>
  <c r="H473" i="10" s="1"/>
  <c r="H474" i="10" s="1" a="1"/>
  <c r="H474" i="10" s="1"/>
  <c r="H475" i="10" s="1" a="1"/>
  <c r="H475" i="10" s="1"/>
  <c r="H476" i="10" s="1" a="1"/>
  <c r="H476" i="10" s="1"/>
  <c r="H477" i="10" s="1" a="1"/>
  <c r="H477" i="10" s="1"/>
  <c r="H478" i="10" s="1" a="1"/>
  <c r="H478" i="10" s="1"/>
  <c r="H479" i="10" s="1" a="1"/>
  <c r="H479" i="10" s="1"/>
  <c r="H480" i="10" s="1" a="1"/>
  <c r="H480" i="10" s="1"/>
  <c r="H481" i="10" s="1" a="1"/>
  <c r="H481" i="10" s="1"/>
  <c r="H482" i="10" s="1" a="1"/>
  <c r="H482" i="10" s="1"/>
  <c r="H483" i="10" s="1" a="1"/>
  <c r="H483" i="10" s="1"/>
  <c r="H484" i="10" s="1" a="1"/>
  <c r="H484" i="10" s="1"/>
  <c r="H485" i="10" s="1" a="1"/>
  <c r="H485" i="10" s="1"/>
  <c r="H486" i="10" s="1" a="1"/>
  <c r="H486" i="10" s="1"/>
  <c r="H487" i="10" s="1" a="1"/>
  <c r="H487" i="10" s="1"/>
  <c r="H488" i="10" s="1" a="1"/>
  <c r="H488" i="10" s="1"/>
  <c r="H489" i="10" s="1" a="1"/>
  <c r="H489" i="10" s="1"/>
  <c r="H490" i="10" s="1" a="1"/>
  <c r="H490" i="10" s="1"/>
  <c r="H491" i="10" s="1" a="1"/>
  <c r="H491" i="10" s="1"/>
  <c r="H492" i="10" s="1" a="1"/>
  <c r="H492" i="10" s="1"/>
  <c r="H493" i="10" s="1" a="1"/>
  <c r="H493" i="10" s="1"/>
  <c r="H494" i="10" s="1" a="1"/>
  <c r="H494" i="10" s="1"/>
  <c r="H495" i="10" s="1" a="1"/>
  <c r="H495" i="10" s="1"/>
  <c r="H496" i="10" s="1" a="1"/>
  <c r="H496" i="10" s="1"/>
  <c r="H497" i="10" s="1" a="1"/>
  <c r="H497" i="10" s="1"/>
  <c r="H498" i="10" s="1" a="1"/>
  <c r="H498" i="10" s="1"/>
  <c r="H499" i="10" s="1" a="1"/>
  <c r="H499" i="10" s="1"/>
  <c r="H500" i="10" s="1" a="1"/>
  <c r="H500" i="10" s="1"/>
  <c r="H501" i="10" s="1" a="1"/>
  <c r="H501" i="10" s="1"/>
  <c r="H502" i="10" s="1" a="1"/>
  <c r="H502" i="10" s="1"/>
  <c r="H503" i="10" s="1" a="1"/>
  <c r="H503" i="10" s="1"/>
  <c r="H504" i="10" s="1" a="1"/>
  <c r="H504" i="10" s="1"/>
  <c r="H505" i="10" s="1" a="1"/>
  <c r="H505" i="10" s="1"/>
  <c r="H506" i="10" s="1" a="1"/>
  <c r="H506" i="10" s="1"/>
  <c r="H507" i="10" s="1" a="1"/>
  <c r="H507" i="10" s="1"/>
  <c r="H508" i="10" s="1" a="1"/>
  <c r="H508" i="10" s="1"/>
  <c r="H509" i="10" s="1" a="1"/>
  <c r="H509" i="10" s="1"/>
  <c r="H510" i="10" s="1" a="1"/>
  <c r="H510" i="10" s="1"/>
  <c r="H511" i="10" s="1" a="1"/>
  <c r="H511" i="10" s="1"/>
  <c r="H512" i="10" s="1" a="1"/>
  <c r="H512" i="10" s="1"/>
  <c r="H513" i="10" s="1" a="1"/>
  <c r="H513" i="10" s="1"/>
  <c r="H514" i="10" s="1" a="1"/>
  <c r="H514" i="10" s="1"/>
  <c r="H515" i="10" s="1" a="1"/>
  <c r="H515" i="10" s="1"/>
  <c r="H516" i="10" s="1" a="1"/>
  <c r="H516" i="10" s="1"/>
  <c r="H517" i="10" s="1" a="1"/>
  <c r="H517" i="10" s="1"/>
  <c r="H518" i="10" s="1" a="1"/>
  <c r="H518" i="10" s="1"/>
  <c r="H519" i="10" s="1" a="1"/>
  <c r="H519" i="10" s="1"/>
  <c r="H520" i="10" s="1" a="1"/>
  <c r="H520" i="10" s="1"/>
  <c r="H521" i="10" s="1" a="1"/>
  <c r="H521" i="10" s="1"/>
  <c r="H522" i="10" s="1" a="1"/>
  <c r="H522" i="10" s="1"/>
  <c r="H523" i="10" s="1" a="1"/>
  <c r="H523" i="10" s="1"/>
  <c r="H524" i="10" s="1" a="1"/>
  <c r="H524" i="10" s="1"/>
  <c r="H525" i="10" s="1" a="1"/>
  <c r="H525" i="10" s="1"/>
  <c r="H526" i="10" s="1" a="1"/>
  <c r="H526" i="10" s="1"/>
  <c r="H527" i="10" s="1" a="1"/>
  <c r="H527" i="10" s="1"/>
  <c r="H528" i="10" s="1" a="1"/>
  <c r="H528" i="10" s="1"/>
  <c r="H529" i="10" s="1" a="1"/>
  <c r="H529" i="10" s="1"/>
  <c r="H530" i="10" s="1" a="1"/>
  <c r="H530" i="10" s="1"/>
  <c r="H531" i="10" s="1" a="1"/>
  <c r="H531" i="10" s="1"/>
  <c r="H532" i="10" s="1" a="1"/>
  <c r="H532" i="10" s="1"/>
  <c r="H533" i="10" s="1" a="1"/>
  <c r="H533" i="10" s="1"/>
  <c r="H534" i="10" s="1" a="1"/>
  <c r="H534" i="10" s="1"/>
  <c r="H535" i="10" s="1" a="1"/>
  <c r="H535" i="10" s="1"/>
  <c r="H536" i="10" s="1" a="1"/>
  <c r="H536" i="10" s="1"/>
  <c r="H537" i="10" s="1" a="1"/>
  <c r="H537" i="10" s="1"/>
  <c r="H538" i="10" s="1" a="1"/>
  <c r="H538" i="10" s="1"/>
  <c r="H539" i="10" s="1" a="1"/>
  <c r="H539" i="10" s="1"/>
  <c r="H540" i="10" s="1" a="1"/>
  <c r="H540" i="10" s="1"/>
  <c r="H541" i="10" s="1" a="1"/>
  <c r="H541" i="10" s="1"/>
  <c r="H542" i="10" s="1" a="1"/>
  <c r="H542" i="10" s="1"/>
  <c r="H543" i="10" s="1" a="1"/>
  <c r="H543" i="10" s="1"/>
  <c r="H544" i="10" s="1" a="1"/>
  <c r="H544" i="10" s="1"/>
  <c r="H545" i="10" s="1" a="1"/>
  <c r="H545" i="10" s="1"/>
  <c r="H546" i="10" s="1" a="1"/>
  <c r="H546" i="10" s="1"/>
  <c r="H547" i="10" s="1" a="1"/>
  <c r="H547" i="10" s="1"/>
  <c r="H548" i="10" s="1" a="1"/>
  <c r="H548" i="10" s="1"/>
  <c r="H549" i="10" s="1" a="1"/>
  <c r="H549" i="10" s="1"/>
  <c r="H550" i="10" s="1" a="1"/>
  <c r="H550" i="10" s="1"/>
  <c r="H551" i="10" s="1" a="1"/>
  <c r="H551" i="10" s="1"/>
  <c r="H552" i="10" s="1" a="1"/>
  <c r="H552" i="10" s="1"/>
  <c r="H553" i="10" s="1" a="1"/>
  <c r="H553" i="10" s="1"/>
  <c r="H554" i="10" s="1" a="1"/>
  <c r="H554" i="10" s="1"/>
  <c r="H555" i="10" s="1" a="1"/>
  <c r="H555" i="10" s="1"/>
  <c r="H556" i="10" s="1" a="1"/>
  <c r="H556" i="10" s="1"/>
  <c r="H557" i="10" s="1" a="1"/>
  <c r="H557" i="10" s="1"/>
  <c r="H558" i="10" s="1" a="1"/>
  <c r="H558" i="10" s="1"/>
  <c r="H559" i="10" s="1" a="1"/>
  <c r="H559" i="10" s="1"/>
  <c r="H560" i="10" s="1" a="1"/>
  <c r="H560" i="10" s="1"/>
  <c r="H561" i="10" s="1" a="1"/>
  <c r="H561" i="10" s="1"/>
  <c r="H562" i="10" s="1" a="1"/>
  <c r="H562" i="10" s="1"/>
  <c r="H563" i="10" s="1" a="1"/>
  <c r="H563" i="10" s="1"/>
  <c r="H564" i="10" s="1" a="1"/>
  <c r="H564" i="10" s="1"/>
  <c r="H565" i="10" s="1" a="1"/>
  <c r="H565" i="10" s="1"/>
  <c r="H566" i="10" s="1" a="1"/>
  <c r="H566" i="10" s="1"/>
  <c r="H567" i="10" s="1" a="1"/>
  <c r="H567" i="10" s="1"/>
  <c r="H568" i="10" s="1" a="1"/>
  <c r="H568" i="10" s="1"/>
  <c r="H569" i="10" s="1" a="1"/>
  <c r="H569" i="10" s="1"/>
  <c r="H570" i="10" s="1" a="1"/>
  <c r="H570" i="10" s="1"/>
  <c r="H571" i="10" s="1" a="1"/>
  <c r="H571" i="10" s="1"/>
  <c r="H572" i="10" s="1" a="1"/>
  <c r="H572" i="10" s="1"/>
  <c r="H573" i="10" s="1" a="1"/>
  <c r="H573" i="10" s="1"/>
  <c r="H574" i="10" s="1" a="1"/>
  <c r="H574" i="10" s="1"/>
  <c r="H575" i="10" s="1" a="1"/>
  <c r="H575" i="10" s="1"/>
  <c r="H576" i="10" s="1" a="1"/>
  <c r="H576" i="10" s="1"/>
  <c r="H577" i="10" s="1" a="1"/>
  <c r="H577" i="10" s="1"/>
  <c r="H578" i="10" s="1" a="1"/>
  <c r="H578" i="10" s="1"/>
  <c r="H579" i="10" s="1" a="1"/>
  <c r="H579" i="10" s="1"/>
  <c r="H580" i="10" s="1" a="1"/>
  <c r="H580" i="10" s="1"/>
  <c r="H581" i="10" s="1" a="1"/>
  <c r="H581" i="10" s="1"/>
  <c r="H582" i="10" s="1" a="1"/>
  <c r="H582" i="10" s="1"/>
  <c r="H583" i="10" s="1" a="1"/>
  <c r="H583" i="10" s="1"/>
  <c r="H584" i="10" s="1" a="1"/>
  <c r="H584" i="10" s="1"/>
  <c r="H585" i="10" s="1" a="1"/>
  <c r="H585" i="10" s="1"/>
  <c r="H586" i="10" s="1" a="1"/>
  <c r="H586" i="10" s="1"/>
  <c r="H587" i="10" s="1" a="1"/>
  <c r="H587" i="10" s="1"/>
  <c r="H588" i="10" s="1" a="1"/>
  <c r="H588" i="10" s="1"/>
  <c r="H589" i="10" s="1" a="1"/>
  <c r="H589" i="10" s="1"/>
  <c r="H590" i="10" s="1" a="1"/>
  <c r="H590" i="10" s="1"/>
  <c r="H591" i="10" s="1" a="1"/>
  <c r="H591" i="10" s="1"/>
  <c r="H592" i="10" s="1" a="1"/>
  <c r="H592" i="10" s="1"/>
  <c r="H593" i="10" s="1" a="1"/>
  <c r="H593" i="10" s="1"/>
  <c r="H594" i="10" s="1" a="1"/>
  <c r="H594" i="10" s="1"/>
  <c r="H595" i="10" s="1" a="1"/>
  <c r="H595" i="10" s="1"/>
  <c r="H596" i="10" s="1" a="1"/>
  <c r="H596" i="10" s="1"/>
  <c r="H597" i="10" s="1" a="1"/>
  <c r="H597" i="10" s="1"/>
  <c r="H598" i="10" s="1" a="1"/>
  <c r="H598" i="10" s="1"/>
  <c r="H599" i="10" s="1" a="1"/>
  <c r="H599" i="10" s="1"/>
  <c r="H600" i="10" s="1" a="1"/>
  <c r="H600" i="10" s="1"/>
  <c r="H601" i="10" s="1" a="1"/>
  <c r="H601" i="10" s="1"/>
  <c r="H602" i="10" s="1" a="1"/>
  <c r="H602" i="10" s="1"/>
  <c r="H603" i="10" s="1" a="1"/>
  <c r="H603" i="10" s="1"/>
  <c r="H604" i="10" s="1" a="1"/>
  <c r="H604" i="10" s="1"/>
  <c r="H605" i="10" s="1" a="1"/>
  <c r="H605" i="10" s="1"/>
  <c r="H606" i="10" s="1" a="1"/>
  <c r="H606" i="10" s="1"/>
  <c r="H607" i="10" s="1" a="1"/>
  <c r="H607" i="10" s="1"/>
  <c r="H608" i="10" s="1" a="1"/>
  <c r="H608" i="10" s="1"/>
  <c r="H609" i="10" s="1" a="1"/>
  <c r="H609" i="10" s="1"/>
  <c r="H610" i="10" s="1" a="1"/>
  <c r="H610" i="10" s="1"/>
  <c r="H611" i="10" s="1" a="1"/>
  <c r="H611" i="10" s="1"/>
  <c r="H612" i="10" s="1" a="1"/>
  <c r="H612" i="10" s="1"/>
  <c r="H613" i="10" s="1" a="1"/>
  <c r="H613" i="10" s="1"/>
  <c r="H614" i="10" s="1" a="1"/>
  <c r="H614" i="10" s="1"/>
  <c r="H615" i="10" s="1" a="1"/>
  <c r="H615" i="10" s="1"/>
  <c r="H616" i="10" s="1" a="1"/>
  <c r="H616" i="10" s="1"/>
  <c r="H617" i="10" s="1" a="1"/>
  <c r="H617" i="10" s="1"/>
  <c r="H618" i="10" s="1" a="1"/>
  <c r="H618" i="10" s="1"/>
  <c r="H619" i="10" s="1" a="1"/>
  <c r="H619" i="10" s="1"/>
  <c r="H620" i="10" s="1" a="1"/>
  <c r="H620" i="10" s="1"/>
  <c r="H621" i="10" s="1" a="1"/>
  <c r="H621" i="10" s="1"/>
  <c r="H622" i="10" s="1" a="1"/>
  <c r="H622" i="10" s="1"/>
  <c r="H623" i="10" s="1" a="1"/>
  <c r="H623" i="10" s="1"/>
  <c r="H624" i="10" s="1" a="1"/>
  <c r="H624" i="10" s="1"/>
  <c r="H625" i="10" s="1" a="1"/>
  <c r="H625" i="10" s="1"/>
  <c r="H626" i="10" s="1" a="1"/>
  <c r="H626" i="10" s="1"/>
  <c r="H627" i="10" s="1" a="1"/>
  <c r="H627" i="10" s="1"/>
  <c r="H628" i="10" s="1" a="1"/>
  <c r="H628" i="10" s="1"/>
  <c r="H629" i="10" s="1" a="1"/>
  <c r="H629" i="10" s="1"/>
  <c r="H630" i="10" s="1" a="1"/>
  <c r="H630" i="10" s="1"/>
  <c r="H631" i="10" s="1" a="1"/>
  <c r="H631" i="10" s="1"/>
  <c r="H632" i="10" s="1" a="1"/>
  <c r="H632" i="10" s="1"/>
  <c r="H633" i="10" s="1" a="1"/>
  <c r="H633" i="10" s="1"/>
  <c r="H634" i="10" s="1" a="1"/>
  <c r="H634" i="10" s="1"/>
  <c r="H635" i="10" s="1" a="1"/>
  <c r="H635" i="10" s="1"/>
  <c r="H636" i="10" s="1" a="1"/>
  <c r="H636" i="10" s="1"/>
  <c r="H637" i="10" s="1" a="1"/>
  <c r="H637" i="10" s="1"/>
  <c r="H638" i="10" s="1" a="1"/>
  <c r="H638" i="10" s="1"/>
  <c r="H639" i="10" s="1" a="1"/>
  <c r="H639" i="10" s="1"/>
  <c r="H640" i="10" s="1" a="1"/>
  <c r="H640" i="10" s="1"/>
  <c r="H641" i="10" s="1" a="1"/>
  <c r="H641" i="10" s="1"/>
  <c r="H642" i="10" s="1" a="1"/>
  <c r="H642" i="10" s="1"/>
  <c r="H643" i="10" s="1" a="1"/>
  <c r="H643" i="10" s="1"/>
  <c r="H644" i="10" s="1" a="1"/>
  <c r="H644" i="10" s="1"/>
  <c r="H645" i="10" s="1" a="1"/>
  <c r="H645" i="10" s="1"/>
  <c r="H646" i="10" s="1" a="1"/>
  <c r="H646" i="10" s="1"/>
  <c r="H647" i="10" s="1" a="1"/>
  <c r="H647" i="10" s="1"/>
  <c r="H648" i="10" s="1" a="1"/>
  <c r="H648" i="10" s="1"/>
  <c r="H649" i="10" s="1" a="1"/>
  <c r="H649" i="10" s="1"/>
  <c r="H650" i="10" s="1" a="1"/>
  <c r="H650" i="10" s="1"/>
  <c r="H651" i="10" s="1" a="1"/>
  <c r="H651" i="10" s="1"/>
  <c r="H652" i="10" s="1" a="1"/>
  <c r="H652" i="10" s="1"/>
  <c r="H653" i="10" s="1" a="1"/>
  <c r="H653" i="10" s="1"/>
  <c r="H654" i="10" s="1" a="1"/>
  <c r="H654" i="10" s="1"/>
  <c r="H655" i="10" s="1" a="1"/>
  <c r="H655" i="10" s="1"/>
  <c r="H656" i="10" s="1" a="1"/>
  <c r="H656" i="10" s="1"/>
  <c r="H657" i="10" s="1" a="1"/>
  <c r="H657" i="10" s="1"/>
  <c r="H658" i="10" s="1" a="1"/>
  <c r="H658" i="10" s="1"/>
  <c r="H659" i="10" s="1" a="1"/>
  <c r="H659" i="10" s="1"/>
  <c r="H660" i="10" s="1" a="1"/>
  <c r="H660" i="10" s="1"/>
  <c r="H661" i="10" s="1" a="1"/>
  <c r="H661" i="10" s="1"/>
  <c r="H662" i="10" s="1" a="1"/>
  <c r="H662" i="10" s="1"/>
  <c r="H663" i="10" s="1" a="1"/>
  <c r="H663" i="10" s="1"/>
  <c r="H664" i="10" s="1" a="1"/>
  <c r="H664" i="10" s="1"/>
  <c r="H665" i="10" s="1" a="1"/>
  <c r="H665" i="10" s="1"/>
  <c r="H666" i="10" s="1" a="1"/>
  <c r="H666" i="10" s="1"/>
  <c r="H667" i="10" s="1" a="1"/>
  <c r="H667" i="10" s="1"/>
  <c r="H668" i="10" s="1" a="1"/>
  <c r="H668" i="10" s="1"/>
  <c r="H669" i="10" s="1" a="1"/>
  <c r="H669" i="10" s="1"/>
  <c r="H670" i="10" s="1" a="1"/>
  <c r="H670" i="10" s="1"/>
  <c r="H671" i="10" s="1" a="1"/>
  <c r="H671" i="10" s="1"/>
  <c r="H672" i="10" s="1" a="1"/>
  <c r="H672" i="10" s="1"/>
  <c r="H673" i="10" s="1" a="1"/>
  <c r="H673" i="10" s="1"/>
  <c r="H674" i="10" s="1" a="1"/>
  <c r="H674" i="10" s="1"/>
  <c r="H675" i="10" s="1" a="1"/>
  <c r="H675" i="10" s="1"/>
  <c r="H676" i="10" s="1" a="1"/>
  <c r="H676" i="10" s="1"/>
  <c r="H677" i="10" s="1" a="1"/>
  <c r="H677" i="10" s="1"/>
  <c r="H678" i="10" s="1" a="1"/>
  <c r="H678" i="10" s="1"/>
  <c r="H679" i="10" s="1" a="1"/>
  <c r="H679" i="10" s="1"/>
  <c r="H680" i="10" s="1" a="1"/>
  <c r="H680" i="10" s="1"/>
  <c r="H681" i="10" s="1" a="1"/>
  <c r="H681" i="10" s="1"/>
  <c r="H682" i="10" s="1" a="1"/>
  <c r="H682" i="10" s="1"/>
  <c r="H683" i="10" s="1" a="1"/>
  <c r="H683" i="10" s="1"/>
  <c r="H684" i="10" s="1" a="1"/>
  <c r="H684" i="10" s="1"/>
  <c r="H685" i="10" s="1" a="1"/>
  <c r="H685" i="10" s="1"/>
  <c r="H686" i="10" s="1" a="1"/>
  <c r="H686" i="10" s="1"/>
  <c r="H687" i="10" s="1" a="1"/>
  <c r="H687" i="10" s="1"/>
  <c r="H688" i="10" s="1" a="1"/>
  <c r="H688" i="10" s="1"/>
  <c r="H689" i="10" s="1" a="1"/>
  <c r="H689" i="10" s="1"/>
  <c r="H690" i="10" s="1" a="1"/>
  <c r="H690" i="10" s="1"/>
  <c r="H691" i="10" s="1" a="1"/>
  <c r="H691" i="10" s="1"/>
  <c r="H692" i="10" s="1" a="1"/>
  <c r="H692" i="10" s="1"/>
  <c r="H693" i="10" s="1" a="1"/>
  <c r="H693" i="10" s="1"/>
  <c r="H694" i="10" s="1" a="1"/>
  <c r="H694" i="10" s="1"/>
  <c r="H695" i="10" s="1" a="1"/>
  <c r="H695" i="10" s="1"/>
  <c r="H696" i="10" s="1" a="1"/>
  <c r="H696" i="10" s="1"/>
  <c r="H697" i="10" s="1" a="1"/>
  <c r="H697" i="10" s="1"/>
  <c r="H698" i="10" s="1" a="1"/>
  <c r="H698" i="10" s="1"/>
  <c r="H699" i="10" s="1" a="1"/>
  <c r="H699" i="10" s="1"/>
  <c r="H700" i="10" s="1" a="1"/>
  <c r="H700" i="10" s="1"/>
  <c r="H701" i="10" s="1" a="1"/>
  <c r="H701" i="10" s="1"/>
  <c r="H702" i="10" s="1" a="1"/>
  <c r="H702" i="10" s="1"/>
  <c r="H703" i="10" s="1" a="1"/>
  <c r="H703" i="10" s="1"/>
  <c r="H704" i="10" s="1" a="1"/>
  <c r="H704" i="10" s="1"/>
  <c r="H705" i="10" s="1" a="1"/>
  <c r="H705" i="10" s="1"/>
  <c r="H706" i="10" s="1" a="1"/>
  <c r="H706" i="10" s="1"/>
  <c r="H707" i="10" s="1" a="1"/>
  <c r="H707" i="10" s="1"/>
  <c r="H708" i="10" s="1" a="1"/>
  <c r="H708" i="10" s="1"/>
  <c r="H709" i="10" s="1" a="1"/>
  <c r="H709" i="10" s="1"/>
  <c r="H710" i="10" s="1" a="1"/>
  <c r="H710" i="10" s="1"/>
  <c r="H711" i="10" s="1" a="1"/>
  <c r="H711" i="10" s="1"/>
  <c r="H712" i="10" s="1" a="1"/>
  <c r="H712" i="10" s="1"/>
  <c r="H713" i="10" s="1" a="1"/>
  <c r="H713" i="10" s="1"/>
  <c r="H714" i="10" s="1" a="1"/>
  <c r="H714" i="10" s="1"/>
  <c r="H715" i="10" s="1" a="1"/>
  <c r="H715" i="10" s="1"/>
  <c r="H716" i="10" s="1" a="1"/>
  <c r="H716" i="10" s="1"/>
  <c r="H717" i="10" s="1" a="1"/>
  <c r="H717" i="10" s="1"/>
  <c r="H718" i="10" s="1" a="1"/>
  <c r="H718" i="10" s="1"/>
  <c r="H719" i="10" s="1" a="1"/>
  <c r="H719" i="10" s="1"/>
  <c r="H720" i="10" s="1" a="1"/>
  <c r="H720" i="10" s="1"/>
  <c r="H721" i="10" s="1" a="1"/>
  <c r="H721" i="10" s="1"/>
  <c r="H722" i="10" s="1" a="1"/>
  <c r="H722" i="10" s="1"/>
  <c r="H723" i="10" s="1" a="1"/>
  <c r="H723" i="10" s="1"/>
  <c r="H724" i="10" s="1" a="1"/>
  <c r="H724" i="10" s="1"/>
  <c r="H725" i="10" s="1" a="1"/>
  <c r="H725" i="10" s="1"/>
  <c r="H726" i="10" s="1" a="1"/>
  <c r="H726" i="10" s="1"/>
  <c r="H727" i="10" s="1" a="1"/>
  <c r="H727" i="10" s="1"/>
  <c r="H728" i="10" s="1" a="1"/>
  <c r="H728" i="10" s="1"/>
  <c r="H729" i="10" s="1" a="1"/>
  <c r="H729" i="10" s="1"/>
  <c r="H730" i="10" s="1" a="1"/>
  <c r="H730" i="10" s="1"/>
  <c r="H731" i="10" s="1" a="1"/>
  <c r="H731" i="10" s="1"/>
  <c r="H732" i="10" s="1" a="1"/>
  <c r="H732" i="10" s="1"/>
  <c r="H733" i="10" s="1" a="1"/>
  <c r="H733" i="10" s="1"/>
  <c r="H734" i="10" s="1" a="1"/>
  <c r="H734" i="10" s="1"/>
  <c r="H735" i="10" s="1" a="1"/>
  <c r="H735" i="10" s="1"/>
  <c r="H736" i="10" s="1" a="1"/>
  <c r="H736" i="10" s="1"/>
  <c r="H737" i="10" s="1" a="1"/>
  <c r="H737" i="10" s="1"/>
  <c r="H738" i="10" s="1" a="1"/>
  <c r="H738" i="10" s="1"/>
  <c r="H739" i="10" s="1" a="1"/>
  <c r="H739" i="10" s="1"/>
  <c r="H740" i="10" s="1" a="1"/>
  <c r="H740" i="10" s="1"/>
  <c r="H741" i="10" s="1" a="1"/>
  <c r="H741" i="10" s="1"/>
  <c r="H742" i="10" s="1" a="1"/>
  <c r="H742" i="10" s="1"/>
  <c r="H743" i="10" s="1" a="1"/>
  <c r="H743" i="10" s="1"/>
  <c r="H744" i="10" s="1" a="1"/>
  <c r="H744" i="10" s="1"/>
  <c r="H745" i="10" s="1" a="1"/>
  <c r="H745" i="10" s="1"/>
  <c r="H746" i="10" s="1" a="1"/>
  <c r="H746" i="10" s="1"/>
  <c r="H747" i="10" s="1" a="1"/>
  <c r="H747" i="10" s="1"/>
  <c r="H748" i="10" s="1" a="1"/>
  <c r="H748" i="10" s="1"/>
  <c r="H749" i="10" s="1" a="1"/>
  <c r="H749" i="10" s="1"/>
  <c r="H750" i="10" s="1" a="1"/>
  <c r="H750" i="10" s="1"/>
  <c r="H751" i="10" s="1" a="1"/>
  <c r="H751" i="10" s="1"/>
  <c r="H752" i="10" s="1" a="1"/>
  <c r="H752" i="10" s="1"/>
  <c r="H753" i="10" s="1" a="1"/>
  <c r="H753" i="10" s="1"/>
  <c r="H754" i="10" s="1" a="1"/>
  <c r="H754" i="10" s="1"/>
  <c r="H755" i="10" s="1" a="1"/>
  <c r="H755" i="10" s="1"/>
  <c r="H756" i="10" s="1" a="1"/>
  <c r="H756" i="10" s="1"/>
  <c r="H757" i="10" s="1" a="1"/>
  <c r="H757" i="10" s="1"/>
  <c r="H758" i="10" s="1" a="1"/>
  <c r="H758" i="10" s="1"/>
  <c r="H759" i="10" s="1" a="1"/>
  <c r="H759" i="10" s="1"/>
  <c r="H760" i="10" s="1" a="1"/>
  <c r="H760" i="10" s="1"/>
  <c r="H761" i="10" s="1" a="1"/>
  <c r="H761" i="10" s="1"/>
  <c r="H762" i="10" s="1" a="1"/>
  <c r="H762" i="10" s="1"/>
  <c r="H763" i="10" s="1" a="1"/>
  <c r="H763" i="10" s="1"/>
  <c r="H764" i="10" s="1" a="1"/>
  <c r="H764" i="10" s="1"/>
  <c r="H765" i="10" s="1" a="1"/>
  <c r="H765" i="10" s="1"/>
  <c r="H766" i="10" s="1" a="1"/>
  <c r="H766" i="10" s="1"/>
  <c r="H767" i="10" s="1" a="1"/>
  <c r="H767" i="10" s="1"/>
  <c r="H768" i="10" s="1" a="1"/>
  <c r="H768" i="10" s="1"/>
  <c r="H769" i="10" s="1" a="1"/>
  <c r="H769" i="10" s="1"/>
  <c r="H770" i="10" s="1" a="1"/>
  <c r="H770" i="10" s="1"/>
  <c r="H771" i="10" s="1" a="1"/>
  <c r="H771" i="10" s="1"/>
  <c r="H772" i="10" s="1" a="1"/>
  <c r="H772" i="10" s="1"/>
  <c r="H773" i="10" s="1" a="1"/>
  <c r="H773" i="10" s="1"/>
  <c r="H774" i="10" s="1" a="1"/>
  <c r="H774" i="10" s="1"/>
  <c r="H775" i="10" s="1" a="1"/>
  <c r="H775" i="10" s="1"/>
  <c r="H776" i="10" s="1" a="1"/>
  <c r="H776" i="10" s="1"/>
  <c r="H777" i="10" s="1" a="1"/>
  <c r="H777" i="10" s="1"/>
  <c r="H778" i="10" s="1" a="1"/>
  <c r="H778" i="10" s="1"/>
  <c r="H779" i="10" s="1" a="1"/>
  <c r="H779" i="10" s="1"/>
  <c r="H780" i="10" s="1" a="1"/>
  <c r="H780" i="10" s="1"/>
  <c r="H781" i="10" s="1" a="1"/>
  <c r="H781" i="10" s="1"/>
  <c r="H782" i="10" s="1" a="1"/>
  <c r="H782" i="10" s="1"/>
  <c r="H783" i="10" s="1" a="1"/>
  <c r="H783" i="10" s="1"/>
  <c r="H784" i="10" s="1" a="1"/>
  <c r="H784" i="10" s="1"/>
  <c r="H785" i="10" s="1" a="1"/>
  <c r="H785" i="10" s="1"/>
  <c r="H786" i="10" s="1" a="1"/>
  <c r="H786" i="10" s="1"/>
  <c r="H787" i="10" s="1" a="1"/>
  <c r="H787" i="10" s="1"/>
  <c r="H788" i="10" s="1" a="1"/>
  <c r="H788" i="10" s="1"/>
  <c r="H789" i="10" s="1" a="1"/>
  <c r="H789" i="10" s="1"/>
  <c r="H790" i="10" s="1" a="1"/>
  <c r="H790" i="10" s="1"/>
  <c r="H791" i="10" s="1" a="1"/>
  <c r="H791" i="10" s="1"/>
  <c r="H792" i="10" s="1" a="1"/>
  <c r="H792" i="10" s="1"/>
  <c r="H793" i="10" s="1" a="1"/>
  <c r="H793" i="10" s="1"/>
  <c r="H794" i="10" s="1" a="1"/>
  <c r="H794" i="10" s="1"/>
  <c r="H795" i="10" s="1" a="1"/>
  <c r="H795" i="10" s="1"/>
  <c r="H796" i="10" s="1" a="1"/>
  <c r="H796" i="10" s="1"/>
  <c r="H797" i="10" s="1" a="1"/>
  <c r="H797" i="10" s="1"/>
  <c r="H798" i="10" s="1" a="1"/>
  <c r="H798" i="10" s="1"/>
  <c r="H799" i="10" s="1" a="1"/>
  <c r="H799" i="10" s="1"/>
  <c r="H800" i="10" s="1" a="1"/>
  <c r="H800" i="10" s="1"/>
  <c r="H801" i="10" s="1" a="1"/>
  <c r="H801" i="10" s="1"/>
  <c r="H802" i="10" s="1" a="1"/>
  <c r="H802" i="10" s="1"/>
  <c r="H803" i="10" s="1" a="1"/>
  <c r="H803" i="10" s="1"/>
  <c r="H804" i="10" s="1" a="1"/>
  <c r="H804" i="10" s="1"/>
  <c r="H805" i="10" s="1" a="1"/>
  <c r="H805" i="10" s="1"/>
  <c r="H806" i="10" s="1" a="1"/>
  <c r="H806" i="10" s="1"/>
  <c r="H807" i="10" s="1" a="1"/>
  <c r="H807" i="10" s="1"/>
  <c r="H808" i="10" s="1" a="1"/>
  <c r="H808" i="10" s="1"/>
  <c r="H809" i="10" s="1" a="1"/>
  <c r="H809" i="10" s="1"/>
  <c r="H810" i="10" s="1" a="1"/>
  <c r="H810" i="10" s="1"/>
  <c r="H811" i="10" s="1" a="1"/>
  <c r="H811" i="10" s="1"/>
  <c r="H812" i="10" s="1" a="1"/>
  <c r="H812" i="10" s="1"/>
  <c r="H813" i="10" s="1" a="1"/>
  <c r="H813" i="10" s="1"/>
  <c r="H814" i="10" s="1" a="1"/>
  <c r="H814" i="10" s="1"/>
  <c r="H815" i="10" s="1" a="1"/>
  <c r="H815" i="10" s="1"/>
  <c r="H816" i="10" s="1" a="1"/>
  <c r="H816" i="10" s="1"/>
  <c r="H817" i="10" s="1" a="1"/>
  <c r="H817" i="10" s="1"/>
  <c r="H818" i="10" s="1" a="1"/>
  <c r="H818" i="10" s="1"/>
  <c r="H819" i="10" s="1" a="1"/>
  <c r="H819" i="10" s="1"/>
  <c r="H820" i="10" s="1" a="1"/>
  <c r="H820" i="10" s="1"/>
  <c r="H821" i="10" s="1" a="1"/>
  <c r="H821" i="10" s="1"/>
  <c r="H822" i="10" s="1" a="1"/>
  <c r="H822" i="10" s="1"/>
  <c r="H823" i="10" s="1" a="1"/>
  <c r="H823" i="10" s="1"/>
  <c r="H824" i="10" s="1" a="1"/>
  <c r="H824" i="10" s="1"/>
  <c r="H825" i="10" s="1" a="1"/>
  <c r="H825" i="10" s="1"/>
  <c r="H826" i="10" s="1" a="1"/>
  <c r="H826" i="10" s="1"/>
  <c r="H827" i="10" s="1" a="1"/>
  <c r="H827" i="10" s="1"/>
  <c r="H828" i="10" s="1" a="1"/>
  <c r="H828" i="10" s="1"/>
  <c r="H829" i="10" s="1" a="1"/>
  <c r="H829" i="10" s="1"/>
  <c r="H830" i="10" s="1" a="1"/>
  <c r="H830" i="10" s="1"/>
  <c r="H831" i="10" s="1" a="1"/>
  <c r="H831" i="10" s="1"/>
  <c r="H832" i="10" s="1" a="1"/>
  <c r="H832" i="10" s="1"/>
  <c r="H833" i="10" s="1" a="1"/>
  <c r="H833" i="10" s="1"/>
  <c r="H834" i="10" s="1" a="1"/>
  <c r="H834" i="10" s="1"/>
  <c r="H835" i="10" s="1" a="1"/>
  <c r="H835" i="10" s="1"/>
  <c r="H836" i="10" s="1" a="1"/>
  <c r="H836" i="10" s="1"/>
  <c r="H837" i="10" s="1" a="1"/>
  <c r="H837" i="10" s="1"/>
  <c r="H838" i="10" s="1" a="1"/>
  <c r="H838" i="10" s="1"/>
  <c r="H839" i="10" s="1" a="1"/>
  <c r="H839" i="10" s="1"/>
  <c r="H840" i="10" s="1" a="1"/>
  <c r="H840" i="10" s="1"/>
  <c r="H841" i="10" s="1" a="1"/>
  <c r="H841" i="10" s="1"/>
  <c r="H842" i="10" s="1" a="1"/>
  <c r="H842" i="10" s="1"/>
  <c r="H843" i="10" s="1" a="1"/>
  <c r="H843" i="10" s="1"/>
  <c r="H844" i="10" s="1" a="1"/>
  <c r="H844" i="10" s="1"/>
  <c r="H845" i="10" s="1" a="1"/>
  <c r="H845" i="10" s="1"/>
  <c r="H846" i="10" s="1" a="1"/>
  <c r="H846" i="10" s="1"/>
  <c r="H847" i="10" s="1" a="1"/>
  <c r="H847" i="10" s="1"/>
  <c r="H848" i="10" s="1" a="1"/>
  <c r="H848" i="10" s="1"/>
  <c r="H849" i="10" s="1" a="1"/>
  <c r="H849" i="10" s="1"/>
  <c r="H850" i="10" s="1" a="1"/>
  <c r="H850" i="10" s="1"/>
  <c r="H851" i="10" s="1" a="1"/>
  <c r="H851" i="10" s="1"/>
  <c r="H852" i="10" s="1" a="1"/>
  <c r="H852" i="10" s="1"/>
  <c r="H853" i="10" s="1" a="1"/>
  <c r="H853" i="10" s="1"/>
  <c r="H854" i="10" s="1" a="1"/>
  <c r="H854" i="10" s="1"/>
  <c r="H855" i="10" s="1" a="1"/>
  <c r="H855" i="10" s="1"/>
  <c r="H856" i="10" s="1" a="1"/>
  <c r="H856" i="10" s="1"/>
  <c r="H857" i="10" s="1" a="1"/>
  <c r="H857" i="10" s="1"/>
  <c r="H858" i="10" s="1" a="1"/>
  <c r="H858" i="10" s="1"/>
  <c r="H859" i="10" s="1" a="1"/>
  <c r="H859" i="10" s="1"/>
  <c r="H860" i="10" s="1" a="1"/>
  <c r="H860" i="10" s="1"/>
  <c r="H861" i="10" s="1" a="1"/>
  <c r="H861" i="10" s="1"/>
  <c r="H862" i="10" s="1" a="1"/>
  <c r="H862" i="10" s="1"/>
  <c r="H863" i="10" s="1" a="1"/>
  <c r="H863" i="10" s="1"/>
  <c r="H864" i="10" s="1" a="1"/>
  <c r="H864" i="10" s="1"/>
  <c r="H865" i="10" s="1" a="1"/>
  <c r="H865" i="10" s="1"/>
  <c r="H866" i="10" s="1" a="1"/>
  <c r="H866" i="10" s="1"/>
  <c r="H867" i="10" s="1" a="1"/>
  <c r="H867" i="10" s="1"/>
  <c r="H868" i="10" s="1" a="1"/>
  <c r="H868" i="10" s="1"/>
  <c r="H869" i="10" s="1" a="1"/>
  <c r="H869" i="10" s="1"/>
  <c r="H870" i="10" s="1" a="1"/>
  <c r="H870" i="10" s="1"/>
  <c r="H871" i="10" s="1" a="1"/>
  <c r="H871" i="10" s="1"/>
  <c r="H872" i="10" s="1" a="1"/>
  <c r="H872" i="10" s="1"/>
  <c r="H873" i="10" s="1" a="1"/>
  <c r="H873" i="10" s="1"/>
  <c r="H874" i="10" s="1" a="1"/>
  <c r="H874" i="10" s="1"/>
  <c r="H875" i="10" s="1" a="1"/>
  <c r="H875" i="10" s="1"/>
  <c r="H876" i="10" s="1" a="1"/>
  <c r="H876" i="10" s="1"/>
  <c r="H877" i="10" s="1" a="1"/>
  <c r="H877" i="10" s="1"/>
  <c r="H878" i="10" s="1" a="1"/>
  <c r="H878" i="10" s="1"/>
  <c r="H879" i="10" s="1" a="1"/>
  <c r="H879" i="10" s="1"/>
  <c r="H880" i="10" s="1" a="1"/>
  <c r="H880" i="10" s="1"/>
  <c r="H881" i="10" s="1" a="1"/>
  <c r="H881" i="10" s="1"/>
  <c r="H882" i="10" s="1" a="1"/>
  <c r="H882" i="10" s="1"/>
  <c r="H883" i="10" s="1" a="1"/>
  <c r="H883" i="10" s="1"/>
  <c r="H884" i="10" s="1" a="1"/>
  <c r="H884" i="10" s="1"/>
  <c r="H885" i="10" s="1" a="1"/>
  <c r="H885" i="10" s="1"/>
  <c r="H886" i="10" s="1" a="1"/>
  <c r="H886" i="10" s="1"/>
  <c r="H887" i="10" s="1" a="1"/>
  <c r="H887" i="10" s="1"/>
  <c r="H888" i="10" s="1" a="1"/>
  <c r="H888" i="10" s="1"/>
  <c r="H889" i="10" s="1" a="1"/>
  <c r="H889" i="10" s="1"/>
  <c r="H890" i="10" s="1" a="1"/>
  <c r="H890" i="10" s="1"/>
  <c r="H891" i="10" s="1" a="1"/>
  <c r="H891" i="10" s="1"/>
  <c r="H892" i="10" s="1" a="1"/>
  <c r="H892" i="10" s="1"/>
  <c r="H893" i="10" s="1" a="1"/>
  <c r="H893" i="10" s="1"/>
  <c r="H894" i="10" s="1" a="1"/>
  <c r="H894" i="10" s="1"/>
  <c r="H895" i="10" s="1" a="1"/>
  <c r="H895" i="10" s="1"/>
  <c r="H896" i="10" s="1" a="1"/>
  <c r="H896" i="10" s="1"/>
  <c r="H897" i="10" s="1" a="1"/>
  <c r="H897" i="10" s="1"/>
  <c r="H898" i="10" s="1" a="1"/>
  <c r="H898" i="10" s="1"/>
  <c r="H899" i="10" s="1" a="1"/>
  <c r="H899" i="10" s="1"/>
  <c r="H900" i="10" s="1" a="1"/>
  <c r="H900" i="10" s="1"/>
  <c r="H901" i="10" s="1" a="1"/>
  <c r="H901" i="10" s="1"/>
  <c r="H902" i="10" s="1" a="1"/>
  <c r="H902" i="10" s="1"/>
  <c r="H903" i="10" s="1" a="1"/>
  <c r="H903" i="10" s="1"/>
  <c r="H904" i="10" s="1" a="1"/>
  <c r="H904" i="10" s="1"/>
  <c r="H905" i="10" s="1" a="1"/>
  <c r="H905" i="10" s="1"/>
  <c r="H906" i="10" s="1" a="1"/>
  <c r="H906" i="10" s="1"/>
  <c r="H907" i="10" s="1" a="1"/>
  <c r="H907" i="10" s="1"/>
  <c r="H908" i="10" s="1" a="1"/>
  <c r="H908" i="10" s="1"/>
  <c r="H909" i="10" s="1" a="1"/>
  <c r="H909" i="10" s="1"/>
  <c r="H910" i="10" s="1" a="1"/>
  <c r="H910" i="10" s="1"/>
  <c r="H911" i="10" s="1" a="1"/>
  <c r="H911" i="10" s="1"/>
  <c r="H912" i="10" s="1" a="1"/>
  <c r="H912" i="10" s="1"/>
  <c r="H913" i="10" s="1" a="1"/>
  <c r="H913" i="10" s="1"/>
  <c r="H914" i="10" s="1" a="1"/>
  <c r="H914" i="10" s="1"/>
  <c r="H915" i="10" s="1" a="1"/>
  <c r="H915" i="10" s="1"/>
  <c r="H916" i="10" s="1" a="1"/>
  <c r="H916" i="10" s="1"/>
  <c r="H917" i="10" s="1" a="1"/>
  <c r="H917" i="10" s="1"/>
  <c r="H918" i="10" s="1" a="1"/>
  <c r="H918" i="10" s="1"/>
  <c r="H919" i="10" s="1" a="1"/>
  <c r="H919" i="10" s="1"/>
  <c r="H920" i="10" s="1" a="1"/>
  <c r="H920" i="10" s="1"/>
  <c r="H921" i="10" s="1" a="1"/>
  <c r="H921" i="10" s="1"/>
  <c r="H922" i="10" s="1" a="1"/>
  <c r="H922" i="10" s="1"/>
  <c r="H923" i="10" s="1" a="1"/>
  <c r="H923" i="10" s="1"/>
  <c r="H924" i="10" s="1" a="1"/>
  <c r="H924" i="10" s="1"/>
  <c r="H925" i="10" s="1" a="1"/>
  <c r="H925" i="10" s="1"/>
  <c r="H926" i="10" s="1" a="1"/>
  <c r="H926" i="10" s="1"/>
  <c r="H927" i="10" s="1" a="1"/>
  <c r="H927" i="10" s="1"/>
  <c r="H928" i="10" s="1" a="1"/>
  <c r="H928" i="10" s="1"/>
  <c r="H929" i="10" s="1" a="1"/>
  <c r="H929" i="10" s="1"/>
  <c r="H930" i="10" s="1" a="1"/>
  <c r="H930" i="10" s="1"/>
  <c r="H931" i="10" s="1" a="1"/>
  <c r="H931" i="10" s="1"/>
  <c r="H932" i="10" s="1" a="1"/>
  <c r="H932" i="10" s="1"/>
  <c r="H933" i="10" s="1" a="1"/>
  <c r="H933" i="10" s="1"/>
  <c r="H934" i="10" s="1" a="1"/>
  <c r="H934" i="10" s="1"/>
  <c r="H935" i="10" s="1" a="1"/>
  <c r="H935" i="10" s="1"/>
  <c r="H936" i="10" s="1" a="1"/>
  <c r="H936" i="10" s="1"/>
  <c r="H937" i="10" s="1" a="1"/>
  <c r="H937" i="10" s="1"/>
  <c r="H938" i="10" s="1" a="1"/>
  <c r="H938" i="10" s="1"/>
  <c r="H939" i="10" s="1" a="1"/>
  <c r="H939" i="10" s="1"/>
  <c r="H940" i="10" s="1"/>
  <c r="R7" i="10" l="1" a="1"/>
  <c r="R7" i="10" s="1"/>
  <c r="S4" i="10" a="1"/>
  <c r="S4" i="10" s="1"/>
  <c r="S12" i="10" a="1"/>
  <c r="S12" i="10" s="1"/>
  <c r="Q6" i="10" a="1"/>
  <c r="Q6" i="10" s="1"/>
  <c r="R17" i="10" a="1"/>
  <c r="R17" i="10" s="1"/>
  <c r="R11" i="10" a="1"/>
  <c r="R11" i="10" s="1"/>
  <c r="S14" i="10" a="1"/>
  <c r="S14" i="10" s="1"/>
  <c r="S9" i="10" a="1"/>
  <c r="S9" i="10" s="1"/>
  <c r="Q15" i="10" a="1"/>
  <c r="Q15" i="10" s="1"/>
  <c r="S27" i="10" a="1"/>
  <c r="S27" i="10" s="1"/>
  <c r="Q14" i="10" a="1"/>
  <c r="Q14" i="10" s="1"/>
  <c r="Q18" i="10" a="1"/>
  <c r="Q18" i="10" s="1"/>
  <c r="S15" i="10" l="1" a="1"/>
  <c r="S15" i="10" s="1"/>
  <c r="Q25" i="10" a="1"/>
  <c r="Q25" i="10" s="1"/>
  <c r="S6" i="10" a="1"/>
  <c r="S6" i="10" s="1"/>
  <c r="Q9" i="10" a="1"/>
  <c r="Q9" i="10" s="1"/>
  <c r="S18" i="10" a="1"/>
  <c r="S18" i="10" s="1"/>
  <c r="Q10" i="10" a="1"/>
  <c r="Q10" i="10" s="1"/>
  <c r="S21" i="10" a="1"/>
  <c r="S21" i="10" s="1"/>
  <c r="R19" i="10" a="1"/>
  <c r="R19" i="10" s="1"/>
  <c r="S22" i="10" a="1"/>
  <c r="S22" i="10" s="1"/>
  <c r="R16" i="10" a="1"/>
  <c r="R16" i="10" s="1"/>
  <c r="S20" i="10" a="1"/>
  <c r="S20" i="10" s="1"/>
  <c r="R12" i="10" a="1"/>
  <c r="R12" i="10" s="1"/>
  <c r="S16" i="10" a="1"/>
  <c r="S16" i="10" s="1"/>
  <c r="S7" i="10" a="1"/>
  <c r="S7" i="10" s="1"/>
  <c r="S11" i="10" a="1"/>
  <c r="S11" i="10" s="1"/>
  <c r="S26" i="10" a="1"/>
  <c r="S26" i="10" s="1"/>
  <c r="R9" i="10" a="1"/>
  <c r="R9" i="10" s="1"/>
  <c r="Q13" i="10" a="1"/>
  <c r="Q13" i="10" s="1"/>
  <c r="R13" i="10" a="1"/>
  <c r="R13" i="10" s="1"/>
  <c r="Q20" i="10" a="1"/>
  <c r="Q20" i="10" s="1"/>
  <c r="Q19" i="10" a="1"/>
  <c r="Q19" i="10" s="1"/>
  <c r="R5" i="10" a="1"/>
  <c r="R5" i="10" s="1"/>
  <c r="S13" i="10" a="1"/>
  <c r="S13" i="10" s="1"/>
  <c r="Q7" i="10" a="1"/>
  <c r="Q7" i="10" s="1"/>
  <c r="S23" i="10" a="1"/>
  <c r="S23" i="10" s="1"/>
  <c r="Q21" i="10" a="1"/>
  <c r="Q21" i="10" s="1"/>
  <c r="R14" i="10" a="1"/>
  <c r="R14" i="10" s="1"/>
  <c r="Q4" i="10" a="1"/>
  <c r="Q4" i="10" s="1"/>
  <c r="R21" i="10" a="1"/>
  <c r="R21" i="10" s="1"/>
  <c r="R26" i="10" a="1"/>
  <c r="R26" i="10" s="1"/>
  <c r="S8" i="10" a="1"/>
  <c r="S8" i="10" s="1"/>
  <c r="Q5" i="10" a="1"/>
  <c r="Q5" i="10" s="1"/>
  <c r="S17" i="10" a="1"/>
  <c r="S17" i="10" s="1"/>
  <c r="R10" i="10" a="1"/>
  <c r="R10" i="10" s="1"/>
  <c r="Q17" i="10" a="1"/>
  <c r="Q17" i="10" s="1"/>
  <c r="R25" i="10" a="1"/>
  <c r="R25" i="10" s="1"/>
  <c r="S19" i="10" a="1"/>
  <c r="S19" i="10" s="1"/>
  <c r="Q23" i="10" a="1"/>
  <c r="Q23" i="10" s="1"/>
  <c r="Q26" i="10" a="1"/>
  <c r="Q26" i="10" s="1"/>
  <c r="R22" i="10" a="1"/>
  <c r="R22" i="10" s="1"/>
  <c r="R18" i="10" a="1"/>
  <c r="R18" i="10" s="1"/>
  <c r="S5" i="10" a="1"/>
  <c r="S5" i="10" s="1"/>
  <c r="Q24" i="10" a="1"/>
  <c r="Q24" i="10" s="1"/>
  <c r="S24" i="10" a="1"/>
  <c r="S24" i="10" s="1"/>
  <c r="Q22" i="10" a="1"/>
  <c r="Q22" i="10" s="1"/>
  <c r="R3" i="10" a="1"/>
  <c r="R3" i="10" s="1"/>
  <c r="R4" i="10" a="1"/>
  <c r="R4" i="10" s="1"/>
  <c r="Q11" i="10" a="1"/>
  <c r="Q11" i="10" s="1"/>
  <c r="R24" i="10" a="1"/>
  <c r="R24" i="10" s="1"/>
  <c r="R15" i="10" a="1"/>
  <c r="R15" i="10" s="1"/>
  <c r="Q12" i="10" a="1"/>
  <c r="Q12" i="10" s="1"/>
  <c r="S3" i="10" a="1"/>
  <c r="S3" i="10" s="1"/>
  <c r="S25" i="10" a="1"/>
  <c r="S25" i="10" s="1"/>
  <c r="R6" i="10" a="1"/>
  <c r="R6" i="10" s="1"/>
  <c r="R27" i="10" a="1"/>
  <c r="R27" i="10" s="1"/>
  <c r="R8" i="10" a="1"/>
  <c r="R8" i="10" s="1"/>
  <c r="R20" i="10" a="1"/>
  <c r="R20" i="10" s="1"/>
  <c r="Q16" i="10" a="1"/>
  <c r="Q16" i="10" s="1"/>
  <c r="S10" i="10" a="1"/>
  <c r="S10" i="10" s="1"/>
  <c r="R23" i="10" a="1"/>
  <c r="R23" i="10" s="1"/>
  <c r="AO56" i="9" l="1"/>
  <c r="DF57" i="9"/>
  <c r="DE57" i="9"/>
  <c r="DD57" i="9"/>
  <c r="DC57" i="9"/>
  <c r="DB57" i="9"/>
  <c r="DA57" i="9"/>
  <c r="CZ57" i="9"/>
  <c r="CY57" i="9"/>
  <c r="CX57" i="9"/>
  <c r="CW57" i="9"/>
  <c r="CV57" i="9"/>
  <c r="CU57" i="9"/>
  <c r="CT57" i="9"/>
  <c r="CS57" i="9"/>
  <c r="CR57" i="9"/>
  <c r="CQ57" i="9"/>
  <c r="CP57" i="9"/>
  <c r="CO57" i="9"/>
  <c r="CN57" i="9"/>
  <c r="CM57" i="9"/>
  <c r="CL57" i="9"/>
  <c r="CK57" i="9"/>
  <c r="CJ57" i="9"/>
  <c r="CI57" i="9"/>
  <c r="CH57" i="9"/>
  <c r="CG57" i="9"/>
  <c r="CF57" i="9"/>
  <c r="CE57" i="9"/>
  <c r="CD57" i="9"/>
  <c r="CC57" i="9"/>
  <c r="CB57" i="9"/>
  <c r="CA57" i="9"/>
  <c r="BZ57" i="9"/>
  <c r="BY57" i="9"/>
  <c r="BX57" i="9"/>
  <c r="BW57" i="9"/>
  <c r="BV57" i="9"/>
  <c r="BU57" i="9"/>
  <c r="BT57" i="9"/>
  <c r="BS57" i="9"/>
  <c r="BR57" i="9"/>
  <c r="BQ57" i="9"/>
  <c r="BP57" i="9"/>
  <c r="BO57" i="9"/>
  <c r="BN57" i="9"/>
  <c r="BM57" i="9"/>
  <c r="BL57" i="9"/>
  <c r="BK57" i="9"/>
  <c r="BJ57" i="9"/>
  <c r="BI57" i="9"/>
  <c r="BH57" i="9"/>
  <c r="BG57" i="9"/>
  <c r="BF57" i="9"/>
  <c r="BE57" i="9"/>
  <c r="BD57" i="9"/>
  <c r="BC57" i="9"/>
  <c r="BB57" i="9"/>
  <c r="BA57" i="9"/>
  <c r="AZ57" i="9"/>
  <c r="AY57" i="9"/>
  <c r="AX57" i="9"/>
  <c r="AW57" i="9"/>
  <c r="AV57" i="9"/>
  <c r="AU57" i="9"/>
  <c r="AT57" i="9"/>
  <c r="AS57" i="9"/>
  <c r="AR57" i="9"/>
  <c r="AQ57" i="9"/>
  <c r="AP57" i="9"/>
  <c r="AO57" i="9"/>
  <c r="AN57" i="9"/>
  <c r="AM57" i="9"/>
  <c r="AL57" i="9"/>
  <c r="AK57" i="9"/>
  <c r="AJ57" i="9"/>
  <c r="AI57" i="9"/>
  <c r="AH57" i="9"/>
  <c r="AG57" i="9"/>
  <c r="AF57" i="9"/>
  <c r="AE57" i="9"/>
  <c r="AD57" i="9"/>
  <c r="AC57" i="9"/>
  <c r="AB57" i="9"/>
  <c r="AA57" i="9"/>
  <c r="Z57" i="9"/>
  <c r="DF56" i="9"/>
  <c r="DE56" i="9"/>
  <c r="DD56" i="9"/>
  <c r="DC56" i="9"/>
  <c r="DB56" i="9"/>
  <c r="DA56" i="9"/>
  <c r="CZ56" i="9"/>
  <c r="CY56" i="9"/>
  <c r="CX56" i="9"/>
  <c r="CW56" i="9"/>
  <c r="CV56" i="9"/>
  <c r="CU56" i="9"/>
  <c r="CT56" i="9"/>
  <c r="CS56" i="9"/>
  <c r="CR56" i="9"/>
  <c r="CQ56" i="9"/>
  <c r="CP56" i="9"/>
  <c r="CO56" i="9"/>
  <c r="CN56" i="9"/>
  <c r="CM56" i="9"/>
  <c r="CL56" i="9"/>
  <c r="CK56" i="9"/>
  <c r="CJ56" i="9"/>
  <c r="CI56" i="9"/>
  <c r="CH56" i="9"/>
  <c r="CG56" i="9"/>
  <c r="CF56" i="9"/>
  <c r="CE56" i="9"/>
  <c r="CD56" i="9"/>
  <c r="CC56" i="9"/>
  <c r="CB56" i="9"/>
  <c r="CA56" i="9"/>
  <c r="BZ56" i="9"/>
  <c r="BY56" i="9"/>
  <c r="BX56" i="9"/>
  <c r="BW56" i="9"/>
  <c r="BV56" i="9"/>
  <c r="BU56" i="9"/>
  <c r="BT56" i="9"/>
  <c r="BS56" i="9"/>
  <c r="BR56" i="9"/>
  <c r="BQ56" i="9"/>
  <c r="BP56" i="9"/>
  <c r="BO56" i="9"/>
  <c r="BN56" i="9"/>
  <c r="BM56" i="9"/>
  <c r="BL56" i="9"/>
  <c r="BK56" i="9"/>
  <c r="BJ56" i="9"/>
  <c r="BI56" i="9"/>
  <c r="BH56" i="9"/>
  <c r="BG56" i="9"/>
  <c r="BF56" i="9"/>
  <c r="BE56" i="9"/>
  <c r="BD56" i="9"/>
  <c r="BC56" i="9"/>
  <c r="BB56" i="9"/>
  <c r="BA56" i="9"/>
  <c r="AZ56" i="9"/>
  <c r="AY56" i="9"/>
  <c r="AX56" i="9"/>
  <c r="AW56" i="9"/>
  <c r="AV56" i="9"/>
  <c r="AT56" i="9"/>
  <c r="AS56" i="9"/>
  <c r="AR56" i="9"/>
  <c r="AQ56" i="9"/>
  <c r="AP56" i="9"/>
  <c r="AN56" i="9"/>
  <c r="AM56" i="9"/>
  <c r="AL56" i="9"/>
  <c r="AK56" i="9"/>
  <c r="AJ56" i="9"/>
  <c r="AI56" i="9"/>
  <c r="AH56" i="9"/>
  <c r="AG56" i="9"/>
  <c r="AF56" i="9"/>
  <c r="AE56" i="9"/>
  <c r="AD56" i="9"/>
  <c r="AC56" i="9"/>
  <c r="AB56" i="9"/>
  <c r="AA56" i="9"/>
  <c r="DF55" i="9" a="1"/>
  <c r="DF55" i="9" s="1"/>
  <c r="DE55" i="9" a="1"/>
  <c r="DE55" i="9" s="1"/>
  <c r="DD55" i="9"/>
  <c r="DD55" i="9" a="1"/>
  <c r="DC55" i="9" a="1"/>
  <c r="DC55" i="9" s="1"/>
  <c r="DB55" i="9" a="1"/>
  <c r="DB55" i="9" s="1"/>
  <c r="DA55" i="9" a="1"/>
  <c r="DA55" i="9" s="1"/>
  <c r="CZ55" i="9" a="1"/>
  <c r="CZ55" i="9" s="1"/>
  <c r="CY55" i="9" a="1"/>
  <c r="CY55" i="9" s="1"/>
  <c r="CX55" i="9" a="1"/>
  <c r="CX55" i="9" s="1"/>
  <c r="CW55" i="9" a="1"/>
  <c r="CW55" i="9" s="1"/>
  <c r="CV55" i="9" a="1"/>
  <c r="CV55" i="9" s="1"/>
  <c r="CU55" i="9" a="1"/>
  <c r="CU55" i="9" s="1"/>
  <c r="CT55" i="9" a="1"/>
  <c r="CT55" i="9" s="1"/>
  <c r="CS55" i="9"/>
  <c r="CS55" i="9" a="1"/>
  <c r="CR55" i="9" a="1"/>
  <c r="CR55" i="9" s="1"/>
  <c r="CQ55" i="9" a="1"/>
  <c r="CQ55" i="9" s="1"/>
  <c r="CP55" i="9" a="1"/>
  <c r="CP55" i="9" s="1"/>
  <c r="CO55" i="9" a="1"/>
  <c r="CO55" i="9" s="1"/>
  <c r="CN55" i="9" a="1"/>
  <c r="CN55" i="9" s="1"/>
  <c r="CM55" i="9" a="1"/>
  <c r="CM55" i="9" s="1"/>
  <c r="CL55" i="9" a="1"/>
  <c r="CL55" i="9" s="1"/>
  <c r="CK55" i="9" a="1"/>
  <c r="CK55" i="9" s="1"/>
  <c r="CJ55" i="9"/>
  <c r="CJ55" i="9" a="1"/>
  <c r="CI55" i="9" a="1"/>
  <c r="CI55" i="9" s="1"/>
  <c r="CH55" i="9" a="1"/>
  <c r="CH55" i="9" s="1"/>
  <c r="CG55" i="9" a="1"/>
  <c r="CG55" i="9" s="1"/>
  <c r="CF55" i="9" a="1"/>
  <c r="CF55" i="9" s="1"/>
  <c r="CE55" i="9" a="1"/>
  <c r="CE55" i="9" s="1"/>
  <c r="CD55" i="9" a="1"/>
  <c r="CD55" i="9" s="1"/>
  <c r="CC55" i="9" a="1"/>
  <c r="CC55" i="9" s="1"/>
  <c r="CB55" i="9" a="1"/>
  <c r="CB55" i="9" s="1"/>
  <c r="CA55" i="9"/>
  <c r="CA55" i="9" a="1"/>
  <c r="BZ55" i="9" a="1"/>
  <c r="BZ55" i="9" s="1"/>
  <c r="BY55" i="9" a="1"/>
  <c r="BY55" i="9" s="1"/>
  <c r="BX55" i="9" a="1"/>
  <c r="BX55" i="9" s="1"/>
  <c r="BW55" i="9" a="1"/>
  <c r="BW55" i="9" s="1"/>
  <c r="BV55" i="9" a="1"/>
  <c r="BV55" i="9" s="1"/>
  <c r="BU55" i="9" a="1"/>
  <c r="BU55" i="9" s="1"/>
  <c r="BT55" i="9" a="1"/>
  <c r="BT55" i="9" s="1"/>
  <c r="BS55" i="9" a="1"/>
  <c r="BS55" i="9" s="1"/>
  <c r="BR55" i="9" a="1"/>
  <c r="BR55" i="9" s="1"/>
  <c r="BQ55" i="9" a="1"/>
  <c r="BQ55" i="9" s="1"/>
  <c r="BP55" i="9" a="1"/>
  <c r="BP55" i="9" s="1"/>
  <c r="BO55" i="9" a="1"/>
  <c r="BO55" i="9" s="1"/>
  <c r="BN55" i="9" a="1"/>
  <c r="BN55" i="9" s="1"/>
  <c r="BM55" i="9"/>
  <c r="BM55" i="9" a="1"/>
  <c r="BL55" i="9" a="1"/>
  <c r="BL55" i="9" s="1"/>
  <c r="BK55" i="9" a="1"/>
  <c r="BK55" i="9" s="1"/>
  <c r="BJ55" i="9" a="1"/>
  <c r="BJ55" i="9" s="1"/>
  <c r="BI55" i="9"/>
  <c r="BI55" i="9" a="1"/>
  <c r="BH55" i="9" a="1"/>
  <c r="BH55" i="9" s="1"/>
  <c r="BG55" i="9" a="1"/>
  <c r="BG55" i="9" s="1"/>
  <c r="BF55" i="9" a="1"/>
  <c r="BF55" i="9" s="1"/>
  <c r="BE55" i="9" a="1"/>
  <c r="BE55" i="9" s="1"/>
  <c r="BD55" i="9"/>
  <c r="BD55" i="9" a="1"/>
  <c r="BC55" i="9" a="1"/>
  <c r="BC55" i="9" s="1"/>
  <c r="BB55" i="9" a="1"/>
  <c r="BB55" i="9" s="1"/>
  <c r="BA55" i="9" a="1"/>
  <c r="BA55" i="9" s="1"/>
  <c r="AZ55" i="9"/>
  <c r="AZ55" i="9" a="1"/>
  <c r="AY55" i="9" a="1"/>
  <c r="AY55" i="9" s="1"/>
  <c r="AX55" i="9" a="1"/>
  <c r="AX55" i="9" s="1"/>
  <c r="AW55" i="9" a="1"/>
  <c r="AW55" i="9" s="1"/>
  <c r="AV55" i="9"/>
  <c r="AV55" i="9" a="1"/>
  <c r="AU55" i="9"/>
  <c r="AU55" i="9" a="1"/>
  <c r="AT55" i="9" a="1"/>
  <c r="AT55" i="9" s="1"/>
  <c r="AS55" i="9" a="1"/>
  <c r="AS55" i="9" s="1"/>
  <c r="AR55" i="9" a="1"/>
  <c r="AR55" i="9" s="1"/>
  <c r="AQ55" i="9"/>
  <c r="AQ55" i="9" a="1"/>
  <c r="AP55" i="9" a="1"/>
  <c r="AP55" i="9" s="1"/>
  <c r="AO55" i="9" a="1"/>
  <c r="AO55" i="9" s="1"/>
  <c r="AN55" i="9"/>
  <c r="AN55" i="9" a="1"/>
  <c r="AM55" i="9"/>
  <c r="AM55" i="9" a="1"/>
  <c r="AL55" i="9" a="1"/>
  <c r="AL55" i="9" s="1"/>
  <c r="AK55" i="9" a="1"/>
  <c r="AK55" i="9" s="1"/>
  <c r="AJ55" i="9" a="1"/>
  <c r="AJ55" i="9" s="1"/>
  <c r="AI55" i="9" a="1"/>
  <c r="AI55" i="9" s="1"/>
  <c r="AH55" i="9" a="1"/>
  <c r="AH55" i="9" s="1"/>
  <c r="AG55" i="9"/>
  <c r="AG55" i="9" a="1"/>
  <c r="AF55" i="9" a="1"/>
  <c r="AF55" i="9" s="1"/>
  <c r="AE55" i="9"/>
  <c r="AE55" i="9" a="1"/>
  <c r="AD55" i="9" a="1"/>
  <c r="AD55" i="9" s="1"/>
  <c r="AC55" i="9"/>
  <c r="AC55" i="9" a="1"/>
  <c r="AB55" i="9" a="1"/>
  <c r="AB55" i="9" s="1"/>
  <c r="AA55" i="9" a="1"/>
  <c r="AA55" i="9" s="1"/>
  <c r="Z55" i="9" a="1"/>
  <c r="Z55" i="9" s="1"/>
  <c r="DF54" i="9"/>
  <c r="DF54" i="9" a="1"/>
  <c r="DE54" i="9" a="1"/>
  <c r="DE54" i="9" s="1"/>
  <c r="DD54" i="9" a="1"/>
  <c r="DD54" i="9" s="1"/>
  <c r="DC54" i="9" a="1"/>
  <c r="DC54" i="9" s="1"/>
  <c r="DB54" i="9"/>
  <c r="DB54" i="9" a="1"/>
  <c r="DA54" i="9" a="1"/>
  <c r="DA54" i="9" s="1"/>
  <c r="CZ54" i="9" a="1"/>
  <c r="CZ54" i="9" s="1"/>
  <c r="CY54" i="9"/>
  <c r="CY54" i="9" a="1"/>
  <c r="CX54" i="9" a="1"/>
  <c r="CX54" i="9" s="1"/>
  <c r="CW54" i="9"/>
  <c r="CW54" i="9" a="1"/>
  <c r="CV54" i="9" a="1"/>
  <c r="CV54" i="9" s="1"/>
  <c r="CU54" i="9" a="1"/>
  <c r="CU54" i="9" s="1"/>
  <c r="CT54" i="9" a="1"/>
  <c r="CT54" i="9" s="1"/>
  <c r="CS54" i="9"/>
  <c r="CS54" i="9" a="1"/>
  <c r="CR54" i="9" a="1"/>
  <c r="CR54" i="9" s="1"/>
  <c r="CQ54" i="9" a="1"/>
  <c r="CQ54" i="9" s="1"/>
  <c r="CP54" i="9"/>
  <c r="CP54" i="9" a="1"/>
  <c r="CO54" i="9" a="1"/>
  <c r="CO54" i="9" s="1"/>
  <c r="CN54" i="9" a="1"/>
  <c r="CN54" i="9" s="1"/>
  <c r="CM54" i="9" a="1"/>
  <c r="CM54" i="9" s="1"/>
  <c r="CL54" i="9" a="1"/>
  <c r="CL54" i="9" s="1"/>
  <c r="CK54" i="9" a="1"/>
  <c r="CK54" i="9" s="1"/>
  <c r="CJ54" i="9" a="1"/>
  <c r="CJ54" i="9" s="1"/>
  <c r="CI54" i="9"/>
  <c r="CI54" i="9" a="1"/>
  <c r="CH54" i="9" a="1"/>
  <c r="CH54" i="9" s="1"/>
  <c r="CG54" i="9"/>
  <c r="CG54" i="9" a="1"/>
  <c r="CF54" i="9" a="1"/>
  <c r="CF54" i="9" s="1"/>
  <c r="CE54" i="9"/>
  <c r="CE54" i="9" a="1"/>
  <c r="CD54" i="9" a="1"/>
  <c r="CD54" i="9" s="1"/>
  <c r="CC54" i="9" a="1"/>
  <c r="CC54" i="9" s="1"/>
  <c r="CB54" i="9" a="1"/>
  <c r="CB54" i="9" s="1"/>
  <c r="CA54" i="9" a="1"/>
  <c r="CA54" i="9" s="1"/>
  <c r="BZ54" i="9"/>
  <c r="BZ54" i="9" a="1"/>
  <c r="BY54" i="9" a="1"/>
  <c r="BY54" i="9" s="1"/>
  <c r="BX54" i="9" a="1"/>
  <c r="BX54" i="9" s="1"/>
  <c r="BW54" i="9" a="1"/>
  <c r="BW54" i="9" s="1"/>
  <c r="BV54" i="9"/>
  <c r="BV54" i="9" a="1"/>
  <c r="BU54" i="9" a="1"/>
  <c r="BU54" i="9" s="1"/>
  <c r="BT54" i="9" a="1"/>
  <c r="BT54" i="9" s="1"/>
  <c r="BS54" i="9"/>
  <c r="BS54" i="9" a="1"/>
  <c r="BR54" i="9" a="1"/>
  <c r="BR54" i="9" s="1"/>
  <c r="BQ54" i="9"/>
  <c r="BQ54" i="9" a="1"/>
  <c r="BP54" i="9" a="1"/>
  <c r="BP54" i="9" s="1"/>
  <c r="BO54" i="9" a="1"/>
  <c r="BO54" i="9" s="1"/>
  <c r="BN54" i="9" a="1"/>
  <c r="BN54" i="9" s="1"/>
  <c r="BM54" i="9"/>
  <c r="BM54" i="9" a="1"/>
  <c r="BL54" i="9" a="1"/>
  <c r="BL54" i="9" s="1"/>
  <c r="BK54" i="9" a="1"/>
  <c r="BK54" i="9" s="1"/>
  <c r="BJ54" i="9"/>
  <c r="BJ54" i="9" a="1"/>
  <c r="BI54" i="9" a="1"/>
  <c r="BI54" i="9" s="1"/>
  <c r="BH54" i="9" a="1"/>
  <c r="BH54" i="9" s="1"/>
  <c r="BG54" i="9" a="1"/>
  <c r="BG54" i="9" s="1"/>
  <c r="BF54" i="9" a="1"/>
  <c r="BF54" i="9" s="1"/>
  <c r="BE54" i="9" a="1"/>
  <c r="BE54" i="9" s="1"/>
  <c r="BD54" i="9" a="1"/>
  <c r="BD54" i="9" s="1"/>
  <c r="BC54" i="9"/>
  <c r="BC54" i="9" a="1"/>
  <c r="BB54" i="9" a="1"/>
  <c r="BB54" i="9" s="1"/>
  <c r="BA54" i="9"/>
  <c r="BA54" i="9" a="1"/>
  <c r="AZ54" i="9" a="1"/>
  <c r="AZ54" i="9" s="1"/>
  <c r="AY54" i="9"/>
  <c r="AY54" i="9" a="1"/>
  <c r="AX54" i="9" a="1"/>
  <c r="AX54" i="9" s="1"/>
  <c r="AW54" i="9" a="1"/>
  <c r="AW54" i="9" s="1"/>
  <c r="AV54" i="9" a="1"/>
  <c r="AV54" i="9" s="1"/>
  <c r="AU54" i="9" a="1"/>
  <c r="AU54" i="9" s="1"/>
  <c r="AT54" i="9"/>
  <c r="AT54" i="9" a="1"/>
  <c r="AS54" i="9" a="1"/>
  <c r="AS54" i="9" s="1"/>
  <c r="AR54" i="9" a="1"/>
  <c r="AR54" i="9" s="1"/>
  <c r="AQ54" i="9" a="1"/>
  <c r="AQ54" i="9" s="1"/>
  <c r="AP54" i="9"/>
  <c r="AP54" i="9" a="1"/>
  <c r="AO54" i="9" a="1"/>
  <c r="AO54" i="9" s="1"/>
  <c r="AN54" i="9" a="1"/>
  <c r="AN54" i="9" s="1"/>
  <c r="AM54" i="9"/>
  <c r="AM54" i="9" a="1"/>
  <c r="AL54" i="9" a="1"/>
  <c r="AL54" i="9" s="1"/>
  <c r="AK54" i="9"/>
  <c r="AK54" i="9" a="1"/>
  <c r="AJ54" i="9" a="1"/>
  <c r="AJ54" i="9" s="1"/>
  <c r="AI54" i="9"/>
  <c r="AI54" i="9" a="1"/>
  <c r="AH54" i="9" a="1"/>
  <c r="AH54" i="9" s="1"/>
  <c r="AG54" i="9"/>
  <c r="AG54" i="9" a="1"/>
  <c r="AF54" i="9" a="1"/>
  <c r="AF54" i="9" s="1"/>
  <c r="AE54" i="9" a="1"/>
  <c r="AE54" i="9" s="1"/>
  <c r="AD54" i="9"/>
  <c r="AD54" i="9" a="1"/>
  <c r="AC54" i="9" a="1"/>
  <c r="AC54" i="9" s="1"/>
  <c r="AB54" i="9" a="1"/>
  <c r="AB54" i="9" s="1"/>
  <c r="AA54" i="9" a="1"/>
  <c r="AA54" i="9" s="1"/>
  <c r="Z54" i="9"/>
  <c r="Z54" i="9" a="1"/>
  <c r="DF53" i="9" a="1"/>
  <c r="DF53" i="9" s="1"/>
  <c r="DE53" i="9"/>
  <c r="DE53" i="9" a="1"/>
  <c r="DD53" i="9" a="1"/>
  <c r="DD53" i="9" s="1"/>
  <c r="DC53" i="9"/>
  <c r="DC53" i="9" a="1"/>
  <c r="DB53" i="9" a="1"/>
  <c r="DB53" i="9" s="1"/>
  <c r="DA53" i="9"/>
  <c r="DA53" i="9" a="1"/>
  <c r="CZ53" i="9" a="1"/>
  <c r="CZ53" i="9" s="1"/>
  <c r="CY53" i="9" a="1"/>
  <c r="CY53" i="9" s="1"/>
  <c r="CX53" i="9" a="1"/>
  <c r="CX53" i="9" s="1"/>
  <c r="CW53" i="9" a="1"/>
  <c r="CW53" i="9" s="1"/>
  <c r="CV53" i="9"/>
  <c r="CV53" i="9" a="1"/>
  <c r="CU53" i="9" a="1"/>
  <c r="CU53" i="9" s="1"/>
  <c r="CT53" i="9" a="1"/>
  <c r="CT53" i="9" s="1"/>
  <c r="CS53" i="9" a="1"/>
  <c r="CS53" i="9" s="1"/>
  <c r="CR53" i="9"/>
  <c r="CR53" i="9" a="1"/>
  <c r="CQ53" i="9" a="1"/>
  <c r="CQ53" i="9" s="1"/>
  <c r="CP53" i="9" a="1"/>
  <c r="CP53" i="9" s="1"/>
  <c r="CO53" i="9"/>
  <c r="CO53" i="9" a="1"/>
  <c r="CN53" i="9" a="1"/>
  <c r="CN53" i="9" s="1"/>
  <c r="CM53" i="9"/>
  <c r="CM53" i="9" a="1"/>
  <c r="CL53" i="9" a="1"/>
  <c r="CL53" i="9" s="1"/>
  <c r="CK53" i="9" a="1"/>
  <c r="CK53" i="9" s="1"/>
  <c r="CJ53" i="9" a="1"/>
  <c r="CJ53" i="9" s="1"/>
  <c r="CI53" i="9"/>
  <c r="CI53" i="9" a="1"/>
  <c r="CH53" i="9" a="1"/>
  <c r="CH53" i="9" s="1"/>
  <c r="CG53" i="9" a="1"/>
  <c r="CG53" i="9" s="1"/>
  <c r="CF53" i="9"/>
  <c r="CF53" i="9" a="1"/>
  <c r="CE53" i="9" a="1"/>
  <c r="CE53" i="9" s="1"/>
  <c r="CD53" i="9" a="1"/>
  <c r="CD53" i="9" s="1"/>
  <c r="CC53" i="9" a="1"/>
  <c r="CC53" i="9" s="1"/>
  <c r="CB53" i="9" a="1"/>
  <c r="CB53" i="9" s="1"/>
  <c r="CA53" i="9" a="1"/>
  <c r="CA53" i="9" s="1"/>
  <c r="BZ53" i="9" a="1"/>
  <c r="BZ53" i="9" s="1"/>
  <c r="BY53" i="9"/>
  <c r="BY53" i="9" a="1"/>
  <c r="BX53" i="9" a="1"/>
  <c r="BX53" i="9" s="1"/>
  <c r="BW53" i="9"/>
  <c r="BW53" i="9" a="1"/>
  <c r="BV53" i="9" a="1"/>
  <c r="BV53" i="9" s="1"/>
  <c r="BU53" i="9" a="1"/>
  <c r="BU53" i="9" s="1"/>
  <c r="BT53" i="9" a="1"/>
  <c r="BT53" i="9" s="1"/>
  <c r="BS53" i="9" a="1"/>
  <c r="BS53" i="9" s="1"/>
  <c r="BR53" i="9" a="1"/>
  <c r="BR53" i="9" s="1"/>
  <c r="BQ53" i="9"/>
  <c r="BQ53" i="9" a="1"/>
  <c r="BP53" i="9"/>
  <c r="BP53" i="9" a="1"/>
  <c r="BO53" i="9" a="1"/>
  <c r="BO53" i="9" s="1"/>
  <c r="BN53" i="9" a="1"/>
  <c r="BN53" i="9" s="1"/>
  <c r="BM53" i="9" a="1"/>
  <c r="BM53" i="9" s="1"/>
  <c r="BL53" i="9" a="1"/>
  <c r="BL53" i="9" s="1"/>
  <c r="BK53" i="9" a="1"/>
  <c r="BK53" i="9" s="1"/>
  <c r="BJ53" i="9" a="1"/>
  <c r="BJ53" i="9" s="1"/>
  <c r="BI53" i="9"/>
  <c r="BI53" i="9" a="1"/>
  <c r="BH53" i="9"/>
  <c r="BH53" i="9" a="1"/>
  <c r="BG53" i="9"/>
  <c r="BG53" i="9" a="1"/>
  <c r="BF53" i="9" a="1"/>
  <c r="BF53" i="9" s="1"/>
  <c r="BE53" i="9" a="1"/>
  <c r="BE53" i="9" s="1"/>
  <c r="BD53" i="9" a="1"/>
  <c r="BD53" i="9" s="1"/>
  <c r="BC53" i="9" a="1"/>
  <c r="BC53" i="9" s="1"/>
  <c r="BB53" i="9" a="1"/>
  <c r="BB53" i="9" s="1"/>
  <c r="BA53" i="9" a="1"/>
  <c r="BA53" i="9" s="1"/>
  <c r="AZ53" i="9"/>
  <c r="AZ53" i="9" a="1"/>
  <c r="AY53" i="9"/>
  <c r="AY53" i="9" a="1"/>
  <c r="AX53" i="9" a="1"/>
  <c r="AX53" i="9" s="1"/>
  <c r="AW53" i="9" a="1"/>
  <c r="AW53" i="9" s="1"/>
  <c r="AV53" i="9" a="1"/>
  <c r="AV53" i="9" s="1"/>
  <c r="AU53" i="9" a="1"/>
  <c r="AU53" i="9" s="1"/>
  <c r="AT53" i="9" a="1"/>
  <c r="AT53" i="9" s="1"/>
  <c r="AS53" i="9"/>
  <c r="AS53" i="9" a="1"/>
  <c r="AR53" i="9" a="1"/>
  <c r="AR53" i="9" s="1"/>
  <c r="AQ53" i="9"/>
  <c r="AQ53" i="9" a="1"/>
  <c r="AP53" i="9" a="1"/>
  <c r="AP53" i="9" s="1"/>
  <c r="AO53" i="9" a="1"/>
  <c r="AO53" i="9" s="1"/>
  <c r="AN53" i="9" a="1"/>
  <c r="AN53" i="9" s="1"/>
  <c r="AM53" i="9" a="1"/>
  <c r="AM53" i="9" s="1"/>
  <c r="AL53" i="9" a="1"/>
  <c r="AL53" i="9" s="1"/>
  <c r="AK53" i="9"/>
  <c r="AK53" i="9" a="1"/>
  <c r="AJ53" i="9"/>
  <c r="AJ53" i="9" a="1"/>
  <c r="AI53" i="9" a="1"/>
  <c r="AI53" i="9" s="1"/>
  <c r="AH53" i="9" a="1"/>
  <c r="AH53" i="9" s="1"/>
  <c r="AG53" i="9" a="1"/>
  <c r="AG53" i="9" s="1"/>
  <c r="AF53" i="9" a="1"/>
  <c r="AF53" i="9" s="1"/>
  <c r="AE53" i="9" a="1"/>
  <c r="AE53" i="9" s="1"/>
  <c r="AD53" i="9" a="1"/>
  <c r="AD53" i="9" s="1"/>
  <c r="AC53" i="9"/>
  <c r="AC53" i="9" a="1"/>
  <c r="AB53" i="9"/>
  <c r="AB53" i="9" a="1"/>
  <c r="AA53" i="9"/>
  <c r="AA53" i="9" a="1"/>
  <c r="Z53" i="9" a="1"/>
  <c r="Z53" i="9" s="1"/>
  <c r="DF52" i="9" a="1"/>
  <c r="DF52" i="9" s="1"/>
  <c r="DE52" i="9" a="1"/>
  <c r="DE52" i="9" s="1"/>
  <c r="DD52" i="9" a="1"/>
  <c r="DD52" i="9" s="1"/>
  <c r="DC52" i="9" a="1"/>
  <c r="DC52" i="9" s="1"/>
  <c r="DB52" i="9"/>
  <c r="DB52" i="9" a="1"/>
  <c r="DA52" i="9"/>
  <c r="DA52" i="9" a="1"/>
  <c r="CZ52" i="9" a="1"/>
  <c r="CZ52" i="9" s="1"/>
  <c r="CY52" i="9" a="1"/>
  <c r="CY52" i="9" s="1"/>
  <c r="CX52" i="9" a="1"/>
  <c r="CX52" i="9" s="1"/>
  <c r="CW52" i="9" a="1"/>
  <c r="CW52" i="9" s="1"/>
  <c r="CV52" i="9" a="1"/>
  <c r="CV52" i="9" s="1"/>
  <c r="CU52" i="9"/>
  <c r="CU52" i="9" a="1"/>
  <c r="CT52" i="9" a="1"/>
  <c r="CT52" i="9" s="1"/>
  <c r="CS52" i="9"/>
  <c r="CS52" i="9" a="1"/>
  <c r="CR52" i="9" a="1"/>
  <c r="CR52" i="9" s="1"/>
  <c r="CQ52" i="9" a="1"/>
  <c r="CQ52" i="9" s="1"/>
  <c r="CP52" i="9" a="1"/>
  <c r="CP52" i="9" s="1"/>
  <c r="CO52" i="9" a="1"/>
  <c r="CO52" i="9" s="1"/>
  <c r="CN52" i="9" a="1"/>
  <c r="CN52" i="9" s="1"/>
  <c r="CM52" i="9"/>
  <c r="CM52" i="9" a="1"/>
  <c r="CL52" i="9"/>
  <c r="CL52" i="9" a="1"/>
  <c r="CK52" i="9" a="1"/>
  <c r="CK52" i="9" s="1"/>
  <c r="CJ52" i="9" a="1"/>
  <c r="CJ52" i="9" s="1"/>
  <c r="CI52" i="9" a="1"/>
  <c r="CI52" i="9" s="1"/>
  <c r="CH52" i="9" a="1"/>
  <c r="CH52" i="9" s="1"/>
  <c r="CG52" i="9" a="1"/>
  <c r="CG52" i="9" s="1"/>
  <c r="CF52" i="9" a="1"/>
  <c r="CF52" i="9" s="1"/>
  <c r="CE52" i="9"/>
  <c r="CE52" i="9" a="1"/>
  <c r="CD52" i="9"/>
  <c r="CD52" i="9" a="1"/>
  <c r="CC52" i="9"/>
  <c r="CC52" i="9" a="1"/>
  <c r="CB52" i="9" a="1"/>
  <c r="CB52" i="9" s="1"/>
  <c r="CA52" i="9" a="1"/>
  <c r="CA52" i="9" s="1"/>
  <c r="BZ52" i="9" a="1"/>
  <c r="BZ52" i="9" s="1"/>
  <c r="BY52" i="9" a="1"/>
  <c r="BY52" i="9" s="1"/>
  <c r="BX52" i="9" a="1"/>
  <c r="BX52" i="9" s="1"/>
  <c r="BW52" i="9" a="1"/>
  <c r="BW52" i="9" s="1"/>
  <c r="BV52" i="9"/>
  <c r="BV52" i="9" a="1"/>
  <c r="BU52" i="9"/>
  <c r="BU52" i="9" a="1"/>
  <c r="BT52" i="9" a="1"/>
  <c r="BT52" i="9" s="1"/>
  <c r="BS52" i="9" a="1"/>
  <c r="BS52" i="9" s="1"/>
  <c r="BR52" i="9" a="1"/>
  <c r="BR52" i="9" s="1"/>
  <c r="BQ52" i="9" a="1"/>
  <c r="BQ52" i="9" s="1"/>
  <c r="BP52" i="9" a="1"/>
  <c r="BP52" i="9" s="1"/>
  <c r="BO52" i="9"/>
  <c r="BO52" i="9" a="1"/>
  <c r="BN52" i="9" a="1"/>
  <c r="BN52" i="9" s="1"/>
  <c r="BM52" i="9"/>
  <c r="BM52" i="9" a="1"/>
  <c r="BL52" i="9" a="1"/>
  <c r="BL52" i="9" s="1"/>
  <c r="BK52" i="9" a="1"/>
  <c r="BK52" i="9" s="1"/>
  <c r="BJ52" i="9"/>
  <c r="BJ52" i="9" a="1"/>
  <c r="BI52" i="9"/>
  <c r="BI52" i="9" a="1"/>
  <c r="BH52" i="9" a="1"/>
  <c r="BH52" i="9" s="1"/>
  <c r="BG52" i="9"/>
  <c r="BG52" i="9" a="1"/>
  <c r="BF52" i="9"/>
  <c r="BF52" i="9" a="1"/>
  <c r="BE52" i="9" a="1"/>
  <c r="BE52" i="9" s="1"/>
  <c r="BD52" i="9" a="1"/>
  <c r="BD52" i="9" s="1"/>
  <c r="BC52" i="9" a="1"/>
  <c r="BC52" i="9" s="1"/>
  <c r="BB52" i="9" a="1"/>
  <c r="BB52" i="9" s="1"/>
  <c r="BA52" i="9"/>
  <c r="BA52" i="9" a="1"/>
  <c r="AZ52" i="9" a="1"/>
  <c r="AZ52" i="9" s="1"/>
  <c r="AY52" i="9"/>
  <c r="AY52" i="9" a="1"/>
  <c r="AX52" i="9" a="1"/>
  <c r="AX52" i="9" s="1"/>
  <c r="AW52" i="9" a="1"/>
  <c r="AW52" i="9" s="1"/>
  <c r="AV52" i="9" a="1"/>
  <c r="AV52" i="9" s="1"/>
  <c r="AU52" i="9" a="1"/>
  <c r="AU52" i="9" s="1"/>
  <c r="AT52" i="9" a="1"/>
  <c r="AT52" i="9" s="1"/>
  <c r="AS52" i="9" a="1"/>
  <c r="AS52" i="9" s="1"/>
  <c r="AR52" i="9" a="1"/>
  <c r="AR52" i="9" s="1"/>
  <c r="AQ52" i="9"/>
  <c r="AQ52" i="9" a="1"/>
  <c r="AP52" i="9"/>
  <c r="AP52" i="9" a="1"/>
  <c r="AO52" i="9"/>
  <c r="AO52" i="9" a="1"/>
  <c r="AN52" i="9" a="1"/>
  <c r="AN52" i="9" s="1"/>
  <c r="AM52" i="9" a="1"/>
  <c r="AM52" i="9" s="1"/>
  <c r="AL52" i="9"/>
  <c r="AL52" i="9" a="1"/>
  <c r="AK52" i="9" a="1"/>
  <c r="AK52" i="9" s="1"/>
  <c r="AJ52" i="9" a="1"/>
  <c r="AJ52" i="9" s="1"/>
  <c r="AI52" i="9" a="1"/>
  <c r="AI52" i="9" s="1"/>
  <c r="AH52" i="9" a="1"/>
  <c r="AH52" i="9" s="1"/>
  <c r="AG52" i="9"/>
  <c r="AG52" i="9" a="1"/>
  <c r="AF52" i="9" a="1"/>
  <c r="AF52" i="9" s="1"/>
  <c r="AE52" i="9"/>
  <c r="AE52" i="9" a="1"/>
  <c r="AD52" i="9"/>
  <c r="AD52" i="9" a="1"/>
  <c r="AC52" i="9"/>
  <c r="AC52" i="9" a="1"/>
  <c r="AB52" i="9" a="1"/>
  <c r="AB52" i="9" s="1"/>
  <c r="AA52" i="9" a="1"/>
  <c r="AA52" i="9" s="1"/>
  <c r="Z52" i="9" a="1"/>
  <c r="Z52" i="9" s="1"/>
  <c r="DF51" i="9" a="1"/>
  <c r="DF51" i="9" s="1"/>
  <c r="DE51" i="9" a="1"/>
  <c r="DE51" i="9" s="1"/>
  <c r="DD51" i="9"/>
  <c r="DD51" i="9" a="1"/>
  <c r="DC51" i="9"/>
  <c r="DC51" i="9" a="1"/>
  <c r="DB51" i="9" a="1"/>
  <c r="DB51" i="9" s="1"/>
  <c r="DA51" i="9"/>
  <c r="DA51" i="9" a="1"/>
  <c r="CZ51" i="9" a="1"/>
  <c r="CZ51" i="9" s="1"/>
  <c r="CY51" i="9" a="1"/>
  <c r="CY51" i="9" s="1"/>
  <c r="CX51" i="9" a="1"/>
  <c r="CX51" i="9" s="1"/>
  <c r="CW51" i="9"/>
  <c r="CW51" i="9" a="1"/>
  <c r="CV51" i="9" a="1"/>
  <c r="CV51" i="9" s="1"/>
  <c r="CU51" i="9"/>
  <c r="CU51" i="9" a="1"/>
  <c r="CT51" i="9" a="1"/>
  <c r="CT51" i="9" s="1"/>
  <c r="CS51" i="9" a="1"/>
  <c r="CS51" i="9" s="1"/>
  <c r="CR51" i="9"/>
  <c r="CR51" i="9" a="1"/>
  <c r="CQ51" i="9" a="1"/>
  <c r="CQ51" i="9" s="1"/>
  <c r="CP51" i="9" a="1"/>
  <c r="CP51" i="9" s="1"/>
  <c r="CO51" i="9"/>
  <c r="CO51" i="9" a="1"/>
  <c r="CN51" i="9"/>
  <c r="CN51" i="9" a="1"/>
  <c r="CM51" i="9" a="1"/>
  <c r="CM51" i="9" s="1"/>
  <c r="CL51" i="9" a="1"/>
  <c r="CL51" i="9" s="1"/>
  <c r="CK51" i="9" a="1"/>
  <c r="CK51" i="9" s="1"/>
  <c r="CJ51" i="9" a="1"/>
  <c r="CJ51" i="9" s="1"/>
  <c r="CI51" i="9"/>
  <c r="CI51" i="9" a="1"/>
  <c r="CH51" i="9" a="1"/>
  <c r="CH51" i="9" s="1"/>
  <c r="CG51" i="9"/>
  <c r="CG51" i="9" a="1"/>
  <c r="CF51" i="9"/>
  <c r="CF51" i="9" a="1"/>
  <c r="CE51" i="9"/>
  <c r="CE51" i="9" a="1"/>
  <c r="CD51" i="9" a="1"/>
  <c r="CD51" i="9" s="1"/>
  <c r="CC51" i="9" a="1"/>
  <c r="CC51" i="9" s="1"/>
  <c r="CB51" i="9" a="1"/>
  <c r="CB51" i="9" s="1"/>
  <c r="CA51" i="9" a="1"/>
  <c r="CA51" i="9" s="1"/>
  <c r="BZ51" i="9" a="1"/>
  <c r="BZ51" i="9" s="1"/>
  <c r="BY51" i="9" a="1"/>
  <c r="BY51" i="9" s="1"/>
  <c r="BX51" i="9"/>
  <c r="BX51" i="9" a="1"/>
  <c r="BW51" i="9"/>
  <c r="BW51" i="9" a="1"/>
  <c r="BV51" i="9" a="1"/>
  <c r="BV51" i="9" s="1"/>
  <c r="BU51" i="9"/>
  <c r="BU51" i="9" a="1"/>
  <c r="BT51" i="9" a="1"/>
  <c r="BT51" i="9" s="1"/>
  <c r="BS51" i="9"/>
  <c r="BS51" i="9" a="1"/>
  <c r="BR51" i="9" a="1"/>
  <c r="BR51" i="9" s="1"/>
  <c r="BQ51" i="9"/>
  <c r="BQ51" i="9" a="1"/>
  <c r="BP51" i="9" a="1"/>
  <c r="BP51" i="9" s="1"/>
  <c r="BO51" i="9"/>
  <c r="BO51" i="9" a="1"/>
  <c r="BN51" i="9" a="1"/>
  <c r="BN51" i="9" s="1"/>
  <c r="BM51" i="9" a="1"/>
  <c r="BM51" i="9" s="1"/>
  <c r="BL51" i="9"/>
  <c r="BL51" i="9" a="1"/>
  <c r="BK51" i="9" a="1"/>
  <c r="BK51" i="9" s="1"/>
  <c r="BJ51" i="9" a="1"/>
  <c r="BJ51" i="9" s="1"/>
  <c r="BI51" i="9"/>
  <c r="BI51" i="9" a="1"/>
  <c r="BH51" i="9"/>
  <c r="BH51" i="9" a="1"/>
  <c r="BG51" i="9" a="1"/>
  <c r="BG51" i="9" s="1"/>
  <c r="BF51" i="9" a="1"/>
  <c r="BF51" i="9" s="1"/>
  <c r="BE51" i="9" a="1"/>
  <c r="BE51" i="9" s="1"/>
  <c r="BD51" i="9" a="1"/>
  <c r="BD51" i="9" s="1"/>
  <c r="BC51" i="9"/>
  <c r="BC51" i="9" a="1"/>
  <c r="BB51" i="9" a="1"/>
  <c r="BB51" i="9" s="1"/>
  <c r="BA51" i="9"/>
  <c r="BA51" i="9" a="1"/>
  <c r="AZ51" i="9"/>
  <c r="AZ51" i="9" a="1"/>
  <c r="AY51" i="9"/>
  <c r="AY51" i="9" a="1"/>
  <c r="AX51" i="9" a="1"/>
  <c r="AX51" i="9" s="1"/>
  <c r="AW51" i="9" a="1"/>
  <c r="AW51" i="9" s="1"/>
  <c r="AV51" i="9"/>
  <c r="AV51" i="9" a="1"/>
  <c r="AU51" i="9" a="1"/>
  <c r="AU51" i="9" s="1"/>
  <c r="AT51" i="9" a="1"/>
  <c r="AT51" i="9" s="1"/>
  <c r="AS51" i="9" a="1"/>
  <c r="AS51" i="9" s="1"/>
  <c r="AR51" i="9"/>
  <c r="AR51" i="9" a="1"/>
  <c r="AQ51" i="9"/>
  <c r="AQ51" i="9" a="1"/>
  <c r="AP51" i="9" a="1"/>
  <c r="AP51" i="9" s="1"/>
  <c r="AO51" i="9"/>
  <c r="AO51" i="9" a="1"/>
  <c r="AN51" i="9"/>
  <c r="AN51" i="9" a="1"/>
  <c r="AM51" i="9"/>
  <c r="AM51" i="9" a="1"/>
  <c r="AL51" i="9" a="1"/>
  <c r="AL51" i="9" s="1"/>
  <c r="AK51" i="9"/>
  <c r="AK51" i="9" a="1"/>
  <c r="AJ51" i="9" a="1"/>
  <c r="AJ51" i="9" s="1"/>
  <c r="AI51" i="9"/>
  <c r="AI51" i="9" a="1"/>
  <c r="AH51" i="9" a="1"/>
  <c r="AH51" i="9" s="1"/>
  <c r="AG51" i="9" a="1"/>
  <c r="AG51" i="9" s="1"/>
  <c r="AF51" i="9"/>
  <c r="AF51" i="9" a="1"/>
  <c r="AE51" i="9"/>
  <c r="AE51" i="9" a="1"/>
  <c r="AD51" i="9" a="1"/>
  <c r="AD51" i="9" s="1"/>
  <c r="AC51" i="9"/>
  <c r="AC51" i="9" a="1"/>
  <c r="AB51" i="9"/>
  <c r="AB51" i="9" a="1"/>
  <c r="AA51" i="9" a="1"/>
  <c r="AA51" i="9" s="1"/>
  <c r="Z51" i="9" a="1"/>
  <c r="Z51" i="9" s="1"/>
  <c r="DF50" i="9" a="1"/>
  <c r="DF50" i="9" s="1"/>
  <c r="DE50" i="9"/>
  <c r="DE50" i="9" a="1"/>
  <c r="DD50" i="9" a="1"/>
  <c r="DD50" i="9" s="1"/>
  <c r="DC50" i="9"/>
  <c r="DC50" i="9" a="1"/>
  <c r="DB50" i="9" a="1"/>
  <c r="DB50" i="9" s="1"/>
  <c r="DA50" i="9"/>
  <c r="DA50" i="9" a="1"/>
  <c r="CZ50" i="9" a="1"/>
  <c r="CZ50" i="9" s="1"/>
  <c r="CY50" i="9"/>
  <c r="CY50" i="9" a="1"/>
  <c r="CX50" i="9" a="1"/>
  <c r="CX50" i="9" s="1"/>
  <c r="CW50" i="9" a="1"/>
  <c r="CW50" i="9" s="1"/>
  <c r="CV50" i="9" a="1"/>
  <c r="CV50" i="9" s="1"/>
  <c r="CU50" i="9" a="1"/>
  <c r="CU50" i="9" s="1"/>
  <c r="CT50" i="9"/>
  <c r="CT50" i="9" a="1"/>
  <c r="CS50" i="9" a="1"/>
  <c r="CS50" i="9" s="1"/>
  <c r="CR50" i="9" a="1"/>
  <c r="CR50" i="9" s="1"/>
  <c r="CQ50" i="9"/>
  <c r="CQ50" i="9" a="1"/>
  <c r="CP50" i="9"/>
  <c r="CP50" i="9" a="1"/>
  <c r="CO50" i="9" a="1"/>
  <c r="CO50" i="9" s="1"/>
  <c r="CN50" i="9" a="1"/>
  <c r="CN50" i="9" s="1"/>
  <c r="CM50" i="9"/>
  <c r="CM50" i="9" a="1"/>
  <c r="CL50" i="9" a="1"/>
  <c r="CL50" i="9" s="1"/>
  <c r="CK50" i="9"/>
  <c r="CK50" i="9" a="1"/>
  <c r="CJ50" i="9" a="1"/>
  <c r="CJ50" i="9" s="1"/>
  <c r="CI50" i="9" a="1"/>
  <c r="CI50" i="9" s="1"/>
  <c r="CH50" i="9"/>
  <c r="CH50" i="9" a="1"/>
  <c r="CG50" i="9"/>
  <c r="CG50" i="9" a="1"/>
  <c r="CF50" i="9" a="1"/>
  <c r="CF50" i="9" s="1"/>
  <c r="CE50" i="9" a="1"/>
  <c r="CE50" i="9" s="1"/>
  <c r="CD50" i="9"/>
  <c r="CD50" i="9" a="1"/>
  <c r="CC50" i="9" a="1"/>
  <c r="CC50" i="9" s="1"/>
  <c r="CB50" i="9" a="1"/>
  <c r="CB50" i="9" s="1"/>
  <c r="CA50" i="9" a="1"/>
  <c r="CA50" i="9" s="1"/>
  <c r="BZ50" i="9" a="1"/>
  <c r="BZ50" i="9" s="1"/>
  <c r="BY50" i="9"/>
  <c r="BY50" i="9" a="1"/>
  <c r="BX50" i="9" a="1"/>
  <c r="BX50" i="9" s="1"/>
  <c r="BW50" i="9"/>
  <c r="BW50" i="9" a="1"/>
  <c r="BV50" i="9" a="1"/>
  <c r="BV50" i="9" s="1"/>
  <c r="BU50" i="9"/>
  <c r="BU50" i="9" a="1"/>
  <c r="BT50" i="9" a="1"/>
  <c r="BT50" i="9" s="1"/>
  <c r="BS50" i="9" a="1"/>
  <c r="BS50" i="9" s="1"/>
  <c r="BR50" i="9" a="1"/>
  <c r="BR50" i="9" s="1"/>
  <c r="BQ50" i="9" a="1"/>
  <c r="BQ50" i="9" s="1"/>
  <c r="BP50" i="9" a="1"/>
  <c r="BP50" i="9" s="1"/>
  <c r="BO50" i="9" a="1"/>
  <c r="BO50" i="9" s="1"/>
  <c r="BN50" i="9"/>
  <c r="BN50" i="9" a="1"/>
  <c r="BM50" i="9" a="1"/>
  <c r="BM50" i="9" s="1"/>
  <c r="BL50" i="9" a="1"/>
  <c r="BL50" i="9" s="1"/>
  <c r="BK50" i="9"/>
  <c r="BK50" i="9" a="1"/>
  <c r="BJ50" i="9" a="1"/>
  <c r="BJ50" i="9" s="1"/>
  <c r="BI50" i="9" a="1"/>
  <c r="BI50" i="9" s="1"/>
  <c r="BH50" i="9" a="1"/>
  <c r="BH50" i="9" s="1"/>
  <c r="BG50" i="9"/>
  <c r="BG50" i="9" a="1"/>
  <c r="BF50" i="9" a="1"/>
  <c r="BF50" i="9" s="1"/>
  <c r="BE50" i="9"/>
  <c r="BE50" i="9" a="1"/>
  <c r="BD50" i="9" a="1"/>
  <c r="BD50" i="9" s="1"/>
  <c r="BC50" i="9" a="1"/>
  <c r="BC50" i="9" s="1"/>
  <c r="BB50" i="9"/>
  <c r="BB50" i="9" a="1"/>
  <c r="BA50" i="9" a="1"/>
  <c r="BA50" i="9" s="1"/>
  <c r="AZ50" i="9" a="1"/>
  <c r="AZ50" i="9" s="1"/>
  <c r="AY50" i="9" a="1"/>
  <c r="AY50" i="9" s="1"/>
  <c r="AX50" i="9"/>
  <c r="AX50" i="9" a="1"/>
  <c r="AW50" i="9" a="1"/>
  <c r="AW50" i="9" s="1"/>
  <c r="AU50" i="9" a="1"/>
  <c r="AU50" i="9" s="1"/>
  <c r="AT50" i="9" a="1"/>
  <c r="AT50" i="9" s="1"/>
  <c r="AS50" i="9"/>
  <c r="AS50" i="9" a="1"/>
  <c r="AR50" i="9" a="1"/>
  <c r="AR50" i="9" s="1"/>
  <c r="AQ50" i="9"/>
  <c r="AQ50" i="9" a="1"/>
  <c r="AP50" i="9" a="1"/>
  <c r="AP50" i="9" s="1"/>
  <c r="AO50" i="9"/>
  <c r="AO50" i="9" a="1"/>
  <c r="AN50" i="9" a="1"/>
  <c r="AN50" i="9" s="1"/>
  <c r="AM50" i="9" a="1"/>
  <c r="AM50" i="9" s="1"/>
  <c r="AL50" i="9" a="1"/>
  <c r="AL50" i="9" s="1"/>
  <c r="AK50" i="9" a="1"/>
  <c r="AK50" i="9" s="1"/>
  <c r="AJ50" i="9" a="1"/>
  <c r="AJ50" i="9" s="1"/>
  <c r="AI50" i="9" a="1"/>
  <c r="AI50" i="9" s="1"/>
  <c r="AH50" i="9"/>
  <c r="AH50" i="9" a="1"/>
  <c r="AG50" i="9" a="1"/>
  <c r="AG50" i="9" s="1"/>
  <c r="AF50" i="9" a="1"/>
  <c r="AF50" i="9" s="1"/>
  <c r="AE50" i="9"/>
  <c r="AE50" i="9" a="1"/>
  <c r="AD50" i="9" a="1"/>
  <c r="AD50" i="9" s="1"/>
  <c r="AC50" i="9" a="1"/>
  <c r="AC50" i="9" s="1"/>
  <c r="AB50" i="9" a="1"/>
  <c r="AB50" i="9" s="1"/>
  <c r="AA50" i="9"/>
  <c r="AA50" i="9" a="1"/>
  <c r="Z50" i="9" a="1"/>
  <c r="Z50" i="9" s="1"/>
  <c r="DF49" i="9" a="1"/>
  <c r="DF49" i="9" s="1"/>
  <c r="DE49" i="9" a="1"/>
  <c r="DE49" i="9" s="1"/>
  <c r="DD49" i="9"/>
  <c r="DD49" i="9" a="1"/>
  <c r="DC49" i="9" a="1"/>
  <c r="DC49" i="9" s="1"/>
  <c r="DB49" i="9" a="1"/>
  <c r="DB49" i="9" s="1"/>
  <c r="DA49" i="9" a="1"/>
  <c r="DA49" i="9" s="1"/>
  <c r="CZ49" i="9"/>
  <c r="CZ49" i="9" a="1"/>
  <c r="CY49" i="9" a="1"/>
  <c r="CY49" i="9" s="1"/>
  <c r="CX49" i="9" a="1"/>
  <c r="CX49" i="9" s="1"/>
  <c r="CW49" i="9" a="1"/>
  <c r="CW49" i="9" s="1"/>
  <c r="CV49" i="9" a="1"/>
  <c r="CV49" i="9" s="1"/>
  <c r="CU49" i="9" a="1"/>
  <c r="CU49" i="9" s="1"/>
  <c r="CT49" i="9" a="1"/>
  <c r="CT49" i="9" s="1"/>
  <c r="CS49" i="9"/>
  <c r="CS49" i="9" a="1"/>
  <c r="CR49" i="9" a="1"/>
  <c r="CR49" i="9" s="1"/>
  <c r="CQ49" i="9"/>
  <c r="CQ49" i="9" a="1"/>
  <c r="CP49" i="9" a="1"/>
  <c r="CP49" i="9" s="1"/>
  <c r="CO49" i="9" a="1"/>
  <c r="CO49" i="9" s="1"/>
  <c r="CN49" i="9" a="1"/>
  <c r="CN49" i="9" s="1"/>
  <c r="CM49" i="9" a="1"/>
  <c r="CM49" i="9" s="1"/>
  <c r="CL49" i="9" a="1"/>
  <c r="CL49" i="9" s="1"/>
  <c r="CK49" i="9" a="1"/>
  <c r="CK49" i="9" s="1"/>
  <c r="CJ49" i="9"/>
  <c r="CJ49" i="9" a="1"/>
  <c r="CI49" i="9" a="1"/>
  <c r="CI49" i="9" s="1"/>
  <c r="CH49" i="9" a="1"/>
  <c r="CH49" i="9" s="1"/>
  <c r="CG49" i="9" a="1"/>
  <c r="CG49" i="9" s="1"/>
  <c r="CF49" i="9"/>
  <c r="CF49" i="9" a="1"/>
  <c r="CE49" i="9" a="1"/>
  <c r="CE49" i="9" s="1"/>
  <c r="CD49" i="9" a="1"/>
  <c r="CD49" i="9" s="1"/>
  <c r="CC49" i="9"/>
  <c r="CC49" i="9" a="1"/>
  <c r="CB49" i="9" a="1"/>
  <c r="CB49" i="9" s="1"/>
  <c r="CA49" i="9"/>
  <c r="CA49" i="9" a="1"/>
  <c r="BZ49" i="9" a="1"/>
  <c r="BZ49" i="9" s="1"/>
  <c r="BY49" i="9" a="1"/>
  <c r="BY49" i="9" s="1"/>
  <c r="BX49" i="9" a="1"/>
  <c r="BX49" i="9" s="1"/>
  <c r="BW49" i="9" a="1"/>
  <c r="BW49" i="9" s="1"/>
  <c r="BV49" i="9" a="1"/>
  <c r="BV49" i="9" s="1"/>
  <c r="BU49" i="9" a="1"/>
  <c r="BU49" i="9" s="1"/>
  <c r="BT49" i="9"/>
  <c r="BT49" i="9" a="1"/>
  <c r="BS49" i="9" a="1"/>
  <c r="BS49" i="9" s="1"/>
  <c r="BR49" i="9" a="1"/>
  <c r="BR49" i="9" s="1"/>
  <c r="BQ49" i="9" a="1"/>
  <c r="BQ49" i="9" s="1"/>
  <c r="BP49" i="9"/>
  <c r="BP49" i="9" a="1"/>
  <c r="BO49" i="9" a="1"/>
  <c r="BO49" i="9" s="1"/>
  <c r="BN49" i="9" a="1"/>
  <c r="BN49" i="9" s="1"/>
  <c r="BM49" i="9"/>
  <c r="BM49" i="9" a="1"/>
  <c r="BL49" i="9" a="1"/>
  <c r="BL49" i="9" s="1"/>
  <c r="BK49" i="9" a="1"/>
  <c r="BK49" i="9" s="1"/>
  <c r="BJ49" i="9"/>
  <c r="BJ49" i="9" a="1"/>
  <c r="BI49" i="9" a="1"/>
  <c r="BI49" i="9" s="1"/>
  <c r="BH49" i="9" a="1"/>
  <c r="BH49" i="9" s="1"/>
  <c r="BG49" i="9" a="1"/>
  <c r="BG49" i="9" s="1"/>
  <c r="BF49" i="9" a="1"/>
  <c r="BF49" i="9" s="1"/>
  <c r="BE49" i="9" a="1"/>
  <c r="BE49" i="9" s="1"/>
  <c r="BD49" i="9"/>
  <c r="BD49" i="9" a="1"/>
  <c r="BC49" i="9" a="1"/>
  <c r="BC49" i="9" s="1"/>
  <c r="BB49" i="9"/>
  <c r="BB49" i="9" a="1"/>
  <c r="BA49" i="9"/>
  <c r="BA49" i="9" a="1"/>
  <c r="AZ49" i="9" a="1"/>
  <c r="AZ49" i="9" s="1"/>
  <c r="AY49" i="9" a="1"/>
  <c r="AY49" i="9" s="1"/>
  <c r="AX49" i="9" a="1"/>
  <c r="AX49" i="9" s="1"/>
  <c r="AW49" i="9"/>
  <c r="AW49" i="9" a="1"/>
  <c r="AV49" i="9" a="1"/>
  <c r="AV49" i="9" s="1"/>
  <c r="AU49" i="9" a="1"/>
  <c r="AU49" i="9" s="1"/>
  <c r="AT49" i="9" a="1"/>
  <c r="AT49" i="9" s="1"/>
  <c r="AS49" i="9" a="1"/>
  <c r="AS49" i="9" s="1"/>
  <c r="AR49" i="9"/>
  <c r="AR49" i="9" a="1"/>
  <c r="AQ49" i="9" a="1"/>
  <c r="AQ49" i="9" s="1"/>
  <c r="AP49" i="9"/>
  <c r="AP49" i="9" a="1"/>
  <c r="AO49" i="9"/>
  <c r="AO49" i="9" a="1"/>
  <c r="AN49" i="9"/>
  <c r="AN49" i="9" a="1"/>
  <c r="AM49" i="9" a="1"/>
  <c r="AM49" i="9" s="1"/>
  <c r="AL49" i="9" a="1"/>
  <c r="AL49" i="9" s="1"/>
  <c r="AK49" i="9" a="1"/>
  <c r="AK49" i="9" s="1"/>
  <c r="AJ49" i="9" a="1"/>
  <c r="AJ49" i="9" s="1"/>
  <c r="AI49" i="9" a="1"/>
  <c r="AI49" i="9" s="1"/>
  <c r="AH49" i="9" a="1"/>
  <c r="AH49" i="9" s="1"/>
  <c r="AG49" i="9"/>
  <c r="AG49" i="9" a="1"/>
  <c r="AF49" i="9"/>
  <c r="AF49" i="9" a="1"/>
  <c r="AE49" i="9" a="1"/>
  <c r="AE49" i="9" s="1"/>
  <c r="AD49" i="9"/>
  <c r="AD49" i="9" a="1"/>
  <c r="AC49" i="9" a="1"/>
  <c r="AC49" i="9" s="1"/>
  <c r="AB49" i="9" a="1"/>
  <c r="AB49" i="9" s="1"/>
  <c r="AA49" i="9" a="1"/>
  <c r="AA49" i="9" s="1"/>
  <c r="Z49" i="9"/>
  <c r="Z49" i="9" a="1"/>
  <c r="DF48" i="9"/>
  <c r="DF48" i="9" a="1"/>
  <c r="DE48" i="9" a="1"/>
  <c r="DE48" i="9" s="1"/>
  <c r="DD48" i="9" a="1"/>
  <c r="DD48" i="9" s="1"/>
  <c r="DC48" i="9"/>
  <c r="DC48" i="9" a="1"/>
  <c r="DB48" i="9" a="1"/>
  <c r="DB48" i="9" s="1"/>
  <c r="DA48" i="9" a="1"/>
  <c r="DA48" i="9" s="1"/>
  <c r="CZ48" i="9"/>
  <c r="CZ48" i="9" a="1"/>
  <c r="CY48" i="9"/>
  <c r="CY48" i="9" a="1"/>
  <c r="CX48" i="9" a="1"/>
  <c r="CX48" i="9" s="1"/>
  <c r="CW48" i="9" a="1"/>
  <c r="CW48" i="9" s="1"/>
  <c r="CV48" i="9" a="1"/>
  <c r="CV48" i="9" s="1"/>
  <c r="CU48" i="9" a="1"/>
  <c r="CU48" i="9" s="1"/>
  <c r="CT48" i="9"/>
  <c r="CT48" i="9" a="1"/>
  <c r="CS48" i="9" a="1"/>
  <c r="CS48" i="9" s="1"/>
  <c r="CR48" i="9"/>
  <c r="CR48" i="9" a="1"/>
  <c r="CQ48" i="9"/>
  <c r="CQ48" i="9" a="1"/>
  <c r="CP48" i="9"/>
  <c r="CP48" i="9" a="1"/>
  <c r="CO48" i="9" a="1"/>
  <c r="CO48" i="9" s="1"/>
  <c r="CN48" i="9" a="1"/>
  <c r="CN48" i="9" s="1"/>
  <c r="CM48" i="9" a="1"/>
  <c r="CM48" i="9" s="1"/>
  <c r="CL48" i="9" a="1"/>
  <c r="CL48" i="9" s="1"/>
  <c r="CK48" i="9" a="1"/>
  <c r="CK48" i="9" s="1"/>
  <c r="CJ48" i="9" a="1"/>
  <c r="CJ48" i="9" s="1"/>
  <c r="CI48" i="9"/>
  <c r="CI48" i="9" a="1"/>
  <c r="CH48" i="9"/>
  <c r="CH48" i="9" a="1"/>
  <c r="CG48" i="9" a="1"/>
  <c r="CG48" i="9" s="1"/>
  <c r="CF48" i="9"/>
  <c r="CF48" i="9" a="1"/>
  <c r="CE48" i="9" a="1"/>
  <c r="CE48" i="9" s="1"/>
  <c r="CD48" i="9" a="1"/>
  <c r="CD48" i="9" s="1"/>
  <c r="CC48" i="9" a="1"/>
  <c r="CC48" i="9" s="1"/>
  <c r="CB48" i="9"/>
  <c r="CB48" i="9" a="1"/>
  <c r="CA48" i="9" a="1"/>
  <c r="CA48" i="9" s="1"/>
  <c r="BZ48" i="9"/>
  <c r="BZ48" i="9" a="1"/>
  <c r="BY48" i="9" a="1"/>
  <c r="BY48" i="9" s="1"/>
  <c r="BX48" i="9" a="1"/>
  <c r="BX48" i="9" s="1"/>
  <c r="BW48" i="9"/>
  <c r="BW48" i="9" a="1"/>
  <c r="BV48" i="9" a="1"/>
  <c r="BV48" i="9" s="1"/>
  <c r="BU48" i="9" a="1"/>
  <c r="BU48" i="9" s="1"/>
  <c r="BT48" i="9"/>
  <c r="BT48" i="9" a="1"/>
  <c r="BS48" i="9"/>
  <c r="BS48" i="9" a="1"/>
  <c r="BR48" i="9" a="1"/>
  <c r="BR48" i="9" s="1"/>
  <c r="BQ48" i="9" a="1"/>
  <c r="BQ48" i="9" s="1"/>
  <c r="BP48" i="9" a="1"/>
  <c r="BP48" i="9" s="1"/>
  <c r="BO48" i="9" a="1"/>
  <c r="BO48" i="9" s="1"/>
  <c r="BN48" i="9"/>
  <c r="BN48" i="9" a="1"/>
  <c r="BM48" i="9" a="1"/>
  <c r="BM48" i="9" s="1"/>
  <c r="BL48" i="9"/>
  <c r="BL48" i="9" a="1"/>
  <c r="BK48" i="9"/>
  <c r="BK48" i="9" a="1"/>
  <c r="BJ48" i="9" a="1"/>
  <c r="BJ48" i="9" s="1"/>
  <c r="BI48" i="9" a="1"/>
  <c r="BI48" i="9" s="1"/>
  <c r="BH48" i="9" a="1"/>
  <c r="BH48" i="9" s="1"/>
  <c r="BG48" i="9" a="1"/>
  <c r="BG48" i="9" s="1"/>
  <c r="BF48" i="9" a="1"/>
  <c r="BF48" i="9" s="1"/>
  <c r="BE48" i="9" a="1"/>
  <c r="BE48" i="9" s="1"/>
  <c r="BD48" i="9" a="1"/>
  <c r="BD48" i="9" s="1"/>
  <c r="BC48" i="9"/>
  <c r="BC48" i="9" a="1"/>
  <c r="BB48" i="9"/>
  <c r="BB48" i="9" a="1"/>
  <c r="BA48" i="9" a="1"/>
  <c r="BA48" i="9" s="1"/>
  <c r="AZ48" i="9"/>
  <c r="AZ48" i="9" a="1"/>
  <c r="AY48" i="9" a="1"/>
  <c r="AY48" i="9" s="1"/>
  <c r="AX48" i="9" a="1"/>
  <c r="AX48" i="9" s="1"/>
  <c r="AW48" i="9" a="1"/>
  <c r="AW48" i="9" s="1"/>
  <c r="AV48" i="9" a="1"/>
  <c r="AV48" i="9" s="1"/>
  <c r="AU48" i="9" a="1"/>
  <c r="AU48" i="9" s="1"/>
  <c r="AT48" i="9"/>
  <c r="AT48" i="9" a="1"/>
  <c r="AS48" i="9" a="1"/>
  <c r="AS48" i="9" s="1"/>
  <c r="AR48" i="9" a="1"/>
  <c r="AR48" i="9" s="1"/>
  <c r="AQ48" i="9"/>
  <c r="AQ48" i="9" a="1"/>
  <c r="AP48" i="9" a="1"/>
  <c r="AP48" i="9" s="1"/>
  <c r="AO48" i="9" a="1"/>
  <c r="AO48" i="9" s="1"/>
  <c r="AN48" i="9"/>
  <c r="AN48" i="9" a="1"/>
  <c r="AM48" i="9" a="1"/>
  <c r="AM48" i="9" s="1"/>
  <c r="AL48" i="9" a="1"/>
  <c r="AL48" i="9" s="1"/>
  <c r="AK48" i="9" a="1"/>
  <c r="AK48" i="9" s="1"/>
  <c r="AJ48" i="9" a="1"/>
  <c r="AJ48" i="9" s="1"/>
  <c r="AI48" i="9" a="1"/>
  <c r="AI48" i="9" s="1"/>
  <c r="AH48" i="9"/>
  <c r="AH48" i="9" a="1"/>
  <c r="AG48" i="9" a="1"/>
  <c r="AG48" i="9" s="1"/>
  <c r="AF48" i="9"/>
  <c r="AF48" i="9" a="1"/>
  <c r="AE48" i="9"/>
  <c r="AE48" i="9" a="1"/>
  <c r="AD48" i="9" a="1"/>
  <c r="AD48" i="9" s="1"/>
  <c r="AC48" i="9" a="1"/>
  <c r="AC48" i="9" s="1"/>
  <c r="AB48" i="9" a="1"/>
  <c r="AB48" i="9" s="1"/>
  <c r="AA48" i="9" a="1"/>
  <c r="AA48" i="9" s="1"/>
  <c r="Z48" i="9"/>
  <c r="Z48" i="9" a="1"/>
  <c r="DF47" i="9" a="1"/>
  <c r="DF47" i="9" s="1"/>
  <c r="DE47" i="9"/>
  <c r="DE47" i="9" a="1"/>
  <c r="DD47" i="9"/>
  <c r="DD47" i="9" a="1"/>
  <c r="DC47" i="9" a="1"/>
  <c r="DC47" i="9" s="1"/>
  <c r="DB47" i="9"/>
  <c r="DB47" i="9" a="1"/>
  <c r="DA47" i="9" a="1"/>
  <c r="DA47" i="9" s="1"/>
  <c r="CZ47" i="9" a="1"/>
  <c r="CZ47" i="9" s="1"/>
  <c r="CY47" i="9" a="1"/>
  <c r="CY47" i="9" s="1"/>
  <c r="CX47" i="9" a="1"/>
  <c r="CX47" i="9" s="1"/>
  <c r="CW47" i="9" a="1"/>
  <c r="CW47" i="9" s="1"/>
  <c r="CV47" i="9"/>
  <c r="CV47" i="9" a="1"/>
  <c r="CU47" i="9" a="1"/>
  <c r="CU47" i="9" s="1"/>
  <c r="CT47" i="9" a="1"/>
  <c r="CT47" i="9" s="1"/>
  <c r="CS47" i="9"/>
  <c r="CS47" i="9" a="1"/>
  <c r="CR47" i="9" a="1"/>
  <c r="CR47" i="9" s="1"/>
  <c r="CQ47" i="9" a="1"/>
  <c r="CQ47" i="9" s="1"/>
  <c r="CP47" i="9"/>
  <c r="CP47" i="9" a="1"/>
  <c r="CO47" i="9" a="1"/>
  <c r="CO47" i="9" s="1"/>
  <c r="CN47" i="9" a="1"/>
  <c r="CN47" i="9" s="1"/>
  <c r="CM47" i="9" a="1"/>
  <c r="CM47" i="9" s="1"/>
  <c r="CL47" i="9" a="1"/>
  <c r="CL47" i="9" s="1"/>
  <c r="CK47" i="9" a="1"/>
  <c r="CK47" i="9" s="1"/>
  <c r="CJ47" i="9"/>
  <c r="CJ47" i="9" a="1"/>
  <c r="CI47" i="9" a="1"/>
  <c r="CI47" i="9" s="1"/>
  <c r="CH47" i="9" a="1"/>
  <c r="CH47" i="9" s="1"/>
  <c r="CG47" i="9"/>
  <c r="CG47" i="9" a="1"/>
  <c r="CF47" i="9" a="1"/>
  <c r="CF47" i="9" s="1"/>
  <c r="CE47" i="9" a="1"/>
  <c r="CE47" i="9" s="1"/>
  <c r="CD47" i="9" a="1"/>
  <c r="CD47" i="9" s="1"/>
  <c r="CC47" i="9" a="1"/>
  <c r="CC47" i="9" s="1"/>
  <c r="CB47" i="9" a="1"/>
  <c r="CB47" i="9" s="1"/>
  <c r="CA47" i="9" a="1"/>
  <c r="CA47" i="9" s="1"/>
  <c r="BZ47" i="9" a="1"/>
  <c r="BZ47" i="9" s="1"/>
  <c r="BY47" i="9" a="1"/>
  <c r="BY47" i="9" s="1"/>
  <c r="BX47" i="9"/>
  <c r="BX47" i="9" a="1"/>
  <c r="BW47" i="9" a="1"/>
  <c r="BW47" i="9" s="1"/>
  <c r="BV47" i="9"/>
  <c r="BV47" i="9" a="1"/>
  <c r="BU47" i="9" a="1"/>
  <c r="BU47" i="9" s="1"/>
  <c r="BT47" i="9" a="1"/>
  <c r="BT47" i="9" s="1"/>
  <c r="BS47" i="9" a="1"/>
  <c r="BS47" i="9" s="1"/>
  <c r="BR47" i="9"/>
  <c r="BR47" i="9" a="1"/>
  <c r="BQ47" i="9" a="1"/>
  <c r="BQ47" i="9" s="1"/>
  <c r="BP47" i="9" a="1"/>
  <c r="BP47" i="9" s="1"/>
  <c r="BO47" i="9" a="1"/>
  <c r="BO47" i="9" s="1"/>
  <c r="BN47" i="9" a="1"/>
  <c r="BN47" i="9" s="1"/>
  <c r="BM47" i="9"/>
  <c r="BM47" i="9" a="1"/>
  <c r="BL47" i="9" a="1"/>
  <c r="BL47" i="9" s="1"/>
  <c r="BK47" i="9" a="1"/>
  <c r="BK47" i="9" s="1"/>
  <c r="BJ47" i="9"/>
  <c r="BJ47" i="9" a="1"/>
  <c r="BI47" i="9"/>
  <c r="BI47" i="9" a="1"/>
  <c r="BH47" i="9" a="1"/>
  <c r="BH47" i="9" s="1"/>
  <c r="BG47" i="9" a="1"/>
  <c r="BG47" i="9" s="1"/>
  <c r="BF47" i="9" a="1"/>
  <c r="BF47" i="9" s="1"/>
  <c r="BE47" i="9" a="1"/>
  <c r="BE47" i="9" s="1"/>
  <c r="BD47" i="9"/>
  <c r="BD47" i="9" a="1"/>
  <c r="BC47" i="9" a="1"/>
  <c r="BC47" i="9" s="1"/>
  <c r="BB47" i="9" a="1"/>
  <c r="BB47" i="9" s="1"/>
  <c r="BA47" i="9"/>
  <c r="BA47" i="9" a="1"/>
  <c r="AZ47" i="9"/>
  <c r="AZ47" i="9" a="1"/>
  <c r="AY47" i="9" a="1"/>
  <c r="AY47" i="9" s="1"/>
  <c r="AX47" i="9" a="1"/>
  <c r="AX47" i="9" s="1"/>
  <c r="AW47" i="9" a="1"/>
  <c r="AW47" i="9" s="1"/>
  <c r="AV47" i="9" a="1"/>
  <c r="AV47" i="9" s="1"/>
  <c r="AU47" i="9" a="1"/>
  <c r="AU47" i="9" s="1"/>
  <c r="AT47" i="9" a="1"/>
  <c r="AT47" i="9" s="1"/>
  <c r="AS47" i="9" a="1"/>
  <c r="AS47" i="9" s="1"/>
  <c r="AR47" i="9"/>
  <c r="AR47" i="9" a="1"/>
  <c r="AQ47" i="9" a="1"/>
  <c r="AQ47" i="9" s="1"/>
  <c r="AP47" i="9"/>
  <c r="AP47" i="9" a="1"/>
  <c r="AO47" i="9" a="1"/>
  <c r="AO47" i="9" s="1"/>
  <c r="AN47" i="9"/>
  <c r="AN47" i="9" a="1"/>
  <c r="AM47" i="9" a="1"/>
  <c r="AM47" i="9" s="1"/>
  <c r="AL47" i="9"/>
  <c r="AL47" i="9" a="1"/>
  <c r="AK47" i="9" a="1"/>
  <c r="AK47" i="9" s="1"/>
  <c r="AJ47" i="9" a="1"/>
  <c r="AJ47" i="9" s="1"/>
  <c r="AI47" i="9" a="1"/>
  <c r="AI47" i="9" s="1"/>
  <c r="AH47" i="9" a="1"/>
  <c r="AH47" i="9" s="1"/>
  <c r="AG47" i="9"/>
  <c r="AG47" i="9" a="1"/>
  <c r="AF47" i="9" a="1"/>
  <c r="AF47" i="9" s="1"/>
  <c r="AE47" i="9" a="1"/>
  <c r="AE47" i="9" s="1"/>
  <c r="AD47" i="9"/>
  <c r="AD47" i="9" a="1"/>
  <c r="AC47" i="9"/>
  <c r="AC47" i="9" a="1"/>
  <c r="AB47" i="9" a="1"/>
  <c r="AB47" i="9" s="1"/>
  <c r="AA47" i="9" a="1"/>
  <c r="AA47" i="9" s="1"/>
  <c r="Z47" i="9" a="1"/>
  <c r="Z47" i="9" s="1"/>
  <c r="DF46" i="9"/>
  <c r="DF46" i="9" a="1"/>
  <c r="DE46" i="9" a="1"/>
  <c r="DE46" i="9" s="1"/>
  <c r="DD46" i="9" a="1"/>
  <c r="DD46" i="9" s="1"/>
  <c r="DC46" i="9"/>
  <c r="DC46" i="9" a="1"/>
  <c r="DB46" i="9"/>
  <c r="DB46" i="9" a="1"/>
  <c r="DA46" i="9" a="1"/>
  <c r="DA46" i="9" s="1"/>
  <c r="CZ46" i="9" a="1"/>
  <c r="CZ46" i="9" s="1"/>
  <c r="CY46" i="9" a="1"/>
  <c r="CY46" i="9" s="1"/>
  <c r="CX46" i="9" a="1"/>
  <c r="CX46" i="9" s="1"/>
  <c r="CW46" i="9" a="1"/>
  <c r="CW46" i="9" s="1"/>
  <c r="CV46" i="9" a="1"/>
  <c r="CV46" i="9" s="1"/>
  <c r="CU46" i="9" a="1"/>
  <c r="CU46" i="9" s="1"/>
  <c r="CT46" i="9"/>
  <c r="CT46" i="9" a="1"/>
  <c r="CS46" i="9" a="1"/>
  <c r="CS46" i="9" s="1"/>
  <c r="CR46" i="9"/>
  <c r="CR46" i="9" a="1"/>
  <c r="CQ46" i="9" a="1"/>
  <c r="CQ46" i="9" s="1"/>
  <c r="CP46" i="9" a="1"/>
  <c r="CP46" i="9" s="1"/>
  <c r="CO46" i="9" a="1"/>
  <c r="CO46" i="9" s="1"/>
  <c r="CN46" i="9"/>
  <c r="CN46" i="9" a="1"/>
  <c r="CM46" i="9" a="1"/>
  <c r="CM46" i="9" s="1"/>
  <c r="CL46" i="9" a="1"/>
  <c r="CL46" i="9" s="1"/>
  <c r="CK46" i="9" a="1"/>
  <c r="CK46" i="9" s="1"/>
  <c r="CJ46" i="9"/>
  <c r="CJ46" i="9" a="1"/>
  <c r="CI46" i="9" a="1"/>
  <c r="CI46" i="9" s="1"/>
  <c r="CH46" i="9" a="1"/>
  <c r="CH46" i="9" s="1"/>
  <c r="CG46" i="9" a="1"/>
  <c r="CG46" i="9" s="1"/>
  <c r="CF46" i="9" a="1"/>
  <c r="CF46" i="9" s="1"/>
  <c r="CE46" i="9"/>
  <c r="CE46" i="9" a="1"/>
  <c r="CD46" i="9" a="1"/>
  <c r="CD46" i="9" s="1"/>
  <c r="CC46" i="9" a="1"/>
  <c r="CC46" i="9" s="1"/>
  <c r="CB46" i="9"/>
  <c r="CB46" i="9" a="1"/>
  <c r="CA46" i="9" a="1"/>
  <c r="CA46" i="9" s="1"/>
  <c r="BZ46" i="9"/>
  <c r="BZ46" i="9" a="1"/>
  <c r="BY46" i="9" a="1"/>
  <c r="BY46" i="9" s="1"/>
  <c r="BX46" i="9" a="1"/>
  <c r="BX46" i="9" s="1"/>
  <c r="BW46" i="9"/>
  <c r="BW46" i="9" a="1"/>
  <c r="BV46" i="9"/>
  <c r="BV46" i="9" a="1"/>
  <c r="BU46" i="9" a="1"/>
  <c r="BU46" i="9" s="1"/>
  <c r="BT46" i="9"/>
  <c r="BT46" i="9" a="1"/>
  <c r="BS46" i="9"/>
  <c r="BS46" i="9" a="1"/>
  <c r="BR46" i="9" a="1"/>
  <c r="BR46" i="9" s="1"/>
  <c r="BQ46" i="9" a="1"/>
  <c r="BQ46" i="9" s="1"/>
  <c r="BP46" i="9" a="1"/>
  <c r="BP46" i="9" s="1"/>
  <c r="BO46" i="9" a="1"/>
  <c r="BO46" i="9" s="1"/>
  <c r="BN46" i="9"/>
  <c r="BN46" i="9" a="1"/>
  <c r="BM46" i="9" a="1"/>
  <c r="BM46" i="9" s="1"/>
  <c r="BL46" i="9"/>
  <c r="BL46" i="9" a="1"/>
  <c r="BK46" i="9"/>
  <c r="BK46" i="9" a="1"/>
  <c r="BJ46" i="9"/>
  <c r="BJ46" i="9" a="1"/>
  <c r="BI46" i="9" a="1"/>
  <c r="BI46" i="9" s="1"/>
  <c r="BH46" i="9"/>
  <c r="BH46" i="9" a="1"/>
  <c r="BG46" i="9" a="1"/>
  <c r="BG46" i="9" s="1"/>
  <c r="BF46" i="9" a="1"/>
  <c r="BF46" i="9" s="1"/>
  <c r="BE46" i="9" a="1"/>
  <c r="BE46" i="9" s="1"/>
  <c r="BD46" i="9" a="1"/>
  <c r="BD46" i="9" s="1"/>
  <c r="BC46" i="9"/>
  <c r="BC46" i="9" a="1"/>
  <c r="BB46" i="9"/>
  <c r="BB46" i="9" a="1"/>
  <c r="BA46" i="9" a="1"/>
  <c r="BA46" i="9" s="1"/>
  <c r="AZ46" i="9"/>
  <c r="AZ46" i="9" a="1"/>
  <c r="AY46" i="9"/>
  <c r="AY46" i="9" a="1"/>
  <c r="AX46" i="9" a="1"/>
  <c r="AX46" i="9" s="1"/>
  <c r="AW46" i="9" a="1"/>
  <c r="AW46" i="9" s="1"/>
  <c r="AV46" i="9"/>
  <c r="AV46" i="9" a="1"/>
  <c r="AU46" i="9" a="1"/>
  <c r="AU46" i="9" s="1"/>
  <c r="AT46" i="9"/>
  <c r="AT46" i="9" a="1"/>
  <c r="AS46" i="9" a="1"/>
  <c r="AS46" i="9" s="1"/>
  <c r="AR46" i="9" a="1"/>
  <c r="AR46" i="9" s="1"/>
  <c r="AQ46" i="9"/>
  <c r="AQ46" i="9" a="1"/>
  <c r="AP46" i="9"/>
  <c r="AP46" i="9" a="1"/>
  <c r="AO46" i="9" a="1"/>
  <c r="AO46" i="9" s="1"/>
  <c r="AN46" i="9"/>
  <c r="AN46" i="9" a="1"/>
  <c r="AM46" i="9"/>
  <c r="AM46" i="9" a="1"/>
  <c r="AL46" i="9" a="1"/>
  <c r="AL46" i="9" s="1"/>
  <c r="AK46" i="9" a="1"/>
  <c r="AK46" i="9" s="1"/>
  <c r="AJ46" i="9" a="1"/>
  <c r="AJ46" i="9" s="1"/>
  <c r="AI46" i="9" a="1"/>
  <c r="AI46" i="9" s="1"/>
  <c r="AH46" i="9"/>
  <c r="AH46" i="9" a="1"/>
  <c r="AG46" i="9" a="1"/>
  <c r="AG46" i="9" s="1"/>
  <c r="AF46" i="9"/>
  <c r="AF46" i="9" a="1"/>
  <c r="AE46" i="9"/>
  <c r="AE46" i="9" a="1"/>
  <c r="AD46" i="9"/>
  <c r="AD46" i="9" a="1"/>
  <c r="AC46" i="9" a="1"/>
  <c r="AC46" i="9" s="1"/>
  <c r="AB46" i="9"/>
  <c r="AB46" i="9" a="1"/>
  <c r="AA46" i="9" a="1"/>
  <c r="AA46" i="9" s="1"/>
  <c r="Z46" i="9" a="1"/>
  <c r="Z46" i="9" s="1"/>
  <c r="DF45" i="9" a="1"/>
  <c r="DF45" i="9" s="1"/>
  <c r="DE45" i="9"/>
  <c r="DE45" i="9" a="1"/>
  <c r="DD45" i="9"/>
  <c r="DD45" i="9" a="1"/>
  <c r="DC45" i="9" a="1"/>
  <c r="DC45" i="9" s="1"/>
  <c r="DB45" i="9"/>
  <c r="DB45" i="9" a="1"/>
  <c r="DA45" i="9" a="1"/>
  <c r="DA45" i="9" s="1"/>
  <c r="CZ45" i="9" a="1"/>
  <c r="CZ45" i="9" s="1"/>
  <c r="CY45" i="9" a="1"/>
  <c r="CY45" i="9" s="1"/>
  <c r="CX45" i="9"/>
  <c r="CX45" i="9" a="1"/>
  <c r="CW45" i="9" a="1"/>
  <c r="CW45" i="9" s="1"/>
  <c r="CV45" i="9" a="1"/>
  <c r="CV45" i="9" s="1"/>
  <c r="CU45" i="9" a="1"/>
  <c r="CU45" i="9" s="1"/>
  <c r="CT45" i="9" a="1"/>
  <c r="CT45" i="9" s="1"/>
  <c r="CS45" i="9"/>
  <c r="CS45" i="9" a="1"/>
  <c r="CR45" i="9" a="1"/>
  <c r="CR45" i="9" s="1"/>
  <c r="CQ45" i="9" a="1"/>
  <c r="CQ45" i="9" s="1"/>
  <c r="CP45" i="9"/>
  <c r="CP45" i="9" a="1"/>
  <c r="CO45" i="9"/>
  <c r="CO45" i="9" a="1"/>
  <c r="CN45" i="9" a="1"/>
  <c r="CN45" i="9" s="1"/>
  <c r="CM45" i="9" a="1"/>
  <c r="CM45" i="9" s="1"/>
  <c r="CL45" i="9"/>
  <c r="CL45" i="9" a="1"/>
  <c r="CK45" i="9" a="1"/>
  <c r="CK45" i="9" s="1"/>
  <c r="CJ45" i="9"/>
  <c r="CJ45" i="9" a="1"/>
  <c r="CI45" i="9" a="1"/>
  <c r="CI45" i="9" s="1"/>
  <c r="CH45" i="9" a="1"/>
  <c r="CH45" i="9" s="1"/>
  <c r="CG45" i="9"/>
  <c r="CG45" i="9" a="1"/>
  <c r="CF45" i="9"/>
  <c r="CF45" i="9" a="1"/>
  <c r="CE45" i="9" a="1"/>
  <c r="CE45" i="9" s="1"/>
  <c r="CD45" i="9" a="1"/>
  <c r="CD45" i="9" s="1"/>
  <c r="CC45" i="9"/>
  <c r="CC45" i="9" a="1"/>
  <c r="CB45" i="9" a="1"/>
  <c r="CB45" i="9" s="1"/>
  <c r="CA45" i="9" a="1"/>
  <c r="CA45" i="9" s="1"/>
  <c r="BZ45" i="9" a="1"/>
  <c r="BZ45" i="9" s="1"/>
  <c r="BY45" i="9" a="1"/>
  <c r="BY45" i="9" s="1"/>
  <c r="BX45" i="9"/>
  <c r="BX45" i="9" a="1"/>
  <c r="BW45" i="9" a="1"/>
  <c r="BW45" i="9" s="1"/>
  <c r="BV45" i="9" a="1"/>
  <c r="BV45" i="9" s="1"/>
  <c r="BU45" i="9" a="1"/>
  <c r="BU45" i="9" s="1"/>
  <c r="BT45" i="9"/>
  <c r="BT45" i="9" a="1"/>
  <c r="BS45" i="9" a="1"/>
  <c r="BS45" i="9" s="1"/>
  <c r="BR45" i="9"/>
  <c r="BR45" i="9" a="1"/>
  <c r="BQ45" i="9" a="1"/>
  <c r="BQ45" i="9" s="1"/>
  <c r="BP45" i="9" a="1"/>
  <c r="BP45" i="9" s="1"/>
  <c r="BO45" i="9" a="1"/>
  <c r="BO45" i="9" s="1"/>
  <c r="BN45" i="9" a="1"/>
  <c r="BN45" i="9" s="1"/>
  <c r="BM45" i="9" a="1"/>
  <c r="BM45" i="9" s="1"/>
  <c r="BL45" i="9" a="1"/>
  <c r="BL45" i="9" s="1"/>
  <c r="BK45" i="9" a="1"/>
  <c r="BK45" i="9" s="1"/>
  <c r="BJ45" i="9"/>
  <c r="BJ45" i="9" a="1"/>
  <c r="BI45" i="9"/>
  <c r="BI45" i="9" a="1"/>
  <c r="BH45" i="9" a="1"/>
  <c r="BH45" i="9" s="1"/>
  <c r="BG45" i="9" a="1"/>
  <c r="BG45" i="9" s="1"/>
  <c r="BF45" i="9"/>
  <c r="BF45" i="9" a="1"/>
  <c r="BE45" i="9" a="1"/>
  <c r="BE45" i="9" s="1"/>
  <c r="BD45" i="9" a="1"/>
  <c r="BD45" i="9" s="1"/>
  <c r="BC45" i="9" a="1"/>
  <c r="BC45" i="9" s="1"/>
  <c r="BB45" i="9"/>
  <c r="BB45" i="9" a="1"/>
  <c r="BA45" i="9"/>
  <c r="BA45" i="9" a="1"/>
  <c r="AZ45" i="9"/>
  <c r="AZ45" i="9" a="1"/>
  <c r="AY45" i="9" a="1"/>
  <c r="AY45" i="9" s="1"/>
  <c r="AX45" i="9" a="1"/>
  <c r="AX45" i="9" s="1"/>
  <c r="AW45" i="9"/>
  <c r="AW45" i="9" a="1"/>
  <c r="AV45" i="9" a="1"/>
  <c r="AV45" i="9" s="1"/>
  <c r="AU45" i="9" a="1"/>
  <c r="AU45" i="9" s="1"/>
  <c r="AT45" i="9" a="1"/>
  <c r="AT45" i="9" s="1"/>
  <c r="AS45" i="9" a="1"/>
  <c r="AS45" i="9" s="1"/>
  <c r="AR45" i="9"/>
  <c r="AR45" i="9" a="1"/>
  <c r="AQ45" i="9" a="1"/>
  <c r="AQ45" i="9" s="1"/>
  <c r="AP45" i="9" a="1"/>
  <c r="AP45" i="9" s="1"/>
  <c r="AO45" i="9"/>
  <c r="AO45" i="9" a="1"/>
  <c r="AN45" i="9"/>
  <c r="AN45" i="9" a="1"/>
  <c r="AM45" i="9" a="1"/>
  <c r="AM45" i="9" s="1"/>
  <c r="AL45" i="9"/>
  <c r="AL45" i="9" a="1"/>
  <c r="AK45" i="9" a="1"/>
  <c r="AK45" i="9" s="1"/>
  <c r="AJ45" i="9" a="1"/>
  <c r="AJ45" i="9" s="1"/>
  <c r="AI45" i="9" a="1"/>
  <c r="AI45" i="9" s="1"/>
  <c r="AH45" i="9" a="1"/>
  <c r="AH45" i="9" s="1"/>
  <c r="AG45" i="9" a="1"/>
  <c r="AG45" i="9" s="1"/>
  <c r="AF45" i="9"/>
  <c r="AF45" i="9" a="1"/>
  <c r="AE45" i="9" a="1"/>
  <c r="AE45" i="9" s="1"/>
  <c r="AD45" i="9"/>
  <c r="AD45" i="9" a="1"/>
  <c r="AC45" i="9"/>
  <c r="AC45" i="9" a="1"/>
  <c r="AB45" i="9" a="1"/>
  <c r="AB45" i="9" s="1"/>
  <c r="AA45" i="9" a="1"/>
  <c r="AA45" i="9" s="1"/>
  <c r="Z45" i="9"/>
  <c r="Z45" i="9" a="1"/>
  <c r="DF44" i="9" a="1"/>
  <c r="DF44" i="9" s="1"/>
  <c r="DE44" i="9" a="1"/>
  <c r="DE44" i="9" s="1"/>
  <c r="DD44" i="9" a="1"/>
  <c r="DD44" i="9" s="1"/>
  <c r="DC44" i="9"/>
  <c r="DC44" i="9" a="1"/>
  <c r="DB44" i="9"/>
  <c r="DB44" i="9" a="1"/>
  <c r="DA44" i="9" a="1"/>
  <c r="DA44" i="9" s="1"/>
  <c r="CZ44" i="9"/>
  <c r="CZ44" i="9" a="1"/>
  <c r="CY44" i="9"/>
  <c r="CY44" i="9" a="1"/>
  <c r="CX44" i="9" a="1"/>
  <c r="CX44" i="9" s="1"/>
  <c r="CW44" i="9" a="1"/>
  <c r="CW44" i="9" s="1"/>
  <c r="CV44" i="9" a="1"/>
  <c r="CV44" i="9" s="1"/>
  <c r="CU44" i="9" a="1"/>
  <c r="CU44" i="9" s="1"/>
  <c r="CT44" i="9"/>
  <c r="CT44" i="9" a="1"/>
  <c r="CS44" i="9" a="1"/>
  <c r="CS44" i="9" s="1"/>
  <c r="CR44" i="9" a="1"/>
  <c r="CR44" i="9" s="1"/>
  <c r="CQ44" i="9"/>
  <c r="CQ44" i="9" a="1"/>
  <c r="CP44" i="9"/>
  <c r="CP44" i="9" a="1"/>
  <c r="CO44" i="9" a="1"/>
  <c r="CO44" i="9" s="1"/>
  <c r="CN44" i="9"/>
  <c r="CN44" i="9" a="1"/>
  <c r="CM44" i="9" a="1"/>
  <c r="CM44" i="9" s="1"/>
  <c r="CL44" i="9" a="1"/>
  <c r="CL44" i="9" s="1"/>
  <c r="CK44" i="9" a="1"/>
  <c r="CK44" i="9" s="1"/>
  <c r="CJ44" i="9" a="1"/>
  <c r="CJ44" i="9" s="1"/>
  <c r="CI44" i="9" a="1"/>
  <c r="CI44" i="9" s="1"/>
  <c r="CH44" i="9"/>
  <c r="CH44" i="9" a="1"/>
  <c r="CG44" i="9" a="1"/>
  <c r="CG44" i="9" s="1"/>
  <c r="CF44" i="9"/>
  <c r="CF44" i="9" a="1"/>
  <c r="CE44" i="9"/>
  <c r="CE44" i="9" a="1"/>
  <c r="CD44" i="9" a="1"/>
  <c r="CD44" i="9" s="1"/>
  <c r="CC44" i="9" a="1"/>
  <c r="CC44" i="9" s="1"/>
  <c r="CB44" i="9"/>
  <c r="CB44" i="9" a="1"/>
  <c r="CA44" i="9" a="1"/>
  <c r="CA44" i="9" s="1"/>
  <c r="BZ44" i="9" a="1"/>
  <c r="BZ44" i="9" s="1"/>
  <c r="BY44" i="9" a="1"/>
  <c r="BY44" i="9" s="1"/>
  <c r="BX44" i="9" a="1"/>
  <c r="BX44" i="9" s="1"/>
  <c r="BW44" i="9"/>
  <c r="BW44" i="9" a="1"/>
  <c r="BV44" i="9"/>
  <c r="BV44" i="9" a="1"/>
  <c r="BU44" i="9" a="1"/>
  <c r="BU44" i="9" s="1"/>
  <c r="BT44" i="9"/>
  <c r="BT44" i="9" a="1"/>
  <c r="BS44" i="9"/>
  <c r="BS44" i="9" a="1"/>
  <c r="BR44" i="9" a="1"/>
  <c r="BR44" i="9" s="1"/>
  <c r="BQ44" i="9" a="1"/>
  <c r="BQ44" i="9" s="1"/>
  <c r="BP44" i="9" a="1"/>
  <c r="BP44" i="9" s="1"/>
  <c r="BO44" i="9" a="1"/>
  <c r="BO44" i="9" s="1"/>
  <c r="BN44" i="9"/>
  <c r="BN44" i="9" a="1"/>
  <c r="BM44" i="9" a="1"/>
  <c r="BM44" i="9" s="1"/>
  <c r="BL44" i="9"/>
  <c r="BL44" i="9" a="1"/>
  <c r="BK44" i="9"/>
  <c r="BK44" i="9" a="1"/>
  <c r="BJ44" i="9"/>
  <c r="BJ44" i="9" a="1"/>
  <c r="BI44" i="9" a="1"/>
  <c r="BI44" i="9" s="1"/>
  <c r="BH44" i="9"/>
  <c r="BH44" i="9" a="1"/>
  <c r="BG44" i="9" a="1"/>
  <c r="BG44" i="9" s="1"/>
  <c r="BF44" i="9" a="1"/>
  <c r="BF44" i="9" s="1"/>
  <c r="BE44" i="9" a="1"/>
  <c r="BE44" i="9" s="1"/>
  <c r="BD44" i="9" a="1"/>
  <c r="BD44" i="9" s="1"/>
  <c r="BC44" i="9"/>
  <c r="BC44" i="9" a="1"/>
  <c r="BB44" i="9"/>
  <c r="BB44" i="9" a="1"/>
  <c r="BA44" i="9" a="1"/>
  <c r="BA44" i="9" s="1"/>
  <c r="AZ44" i="9"/>
  <c r="AZ44" i="9" a="1"/>
  <c r="AY44" i="9"/>
  <c r="AY44" i="9" a="1"/>
  <c r="AX44" i="9" a="1"/>
  <c r="AX44" i="9" s="1"/>
  <c r="AW44" i="9" a="1"/>
  <c r="AW44" i="9" s="1"/>
  <c r="AV44" i="9"/>
  <c r="AV44" i="9" a="1"/>
  <c r="AU44" i="9" a="1"/>
  <c r="AU44" i="9" s="1"/>
  <c r="AT44" i="9"/>
  <c r="AT44" i="9" a="1"/>
  <c r="AS44" i="9" a="1"/>
  <c r="AS44" i="9" s="1"/>
  <c r="AR44" i="9" a="1"/>
  <c r="AR44" i="9" s="1"/>
  <c r="AQ44" i="9"/>
  <c r="AQ44" i="9" a="1"/>
  <c r="AP44" i="9"/>
  <c r="AP44" i="9" a="1"/>
  <c r="AO44" i="9" a="1"/>
  <c r="AO44" i="9" s="1"/>
  <c r="AN44" i="9" a="1"/>
  <c r="AN44" i="9" s="1"/>
  <c r="AM44" i="9"/>
  <c r="AM44" i="9" a="1"/>
  <c r="AL44" i="9" a="1"/>
  <c r="AL44" i="9" s="1"/>
  <c r="AK44" i="9" a="1"/>
  <c r="AK44" i="9" s="1"/>
  <c r="AJ44" i="9" a="1"/>
  <c r="AJ44" i="9" s="1"/>
  <c r="AI44" i="9" a="1"/>
  <c r="AI44" i="9" s="1"/>
  <c r="AH44" i="9"/>
  <c r="AH44" i="9" a="1"/>
  <c r="AG44" i="9" a="1"/>
  <c r="AG44" i="9" s="1"/>
  <c r="AF44" i="9"/>
  <c r="AF44" i="9" a="1"/>
  <c r="AE44" i="9" a="1"/>
  <c r="AE44" i="9" s="1"/>
  <c r="AD44" i="9"/>
  <c r="AD44" i="9" a="1"/>
  <c r="AC44" i="9" a="1"/>
  <c r="AC44" i="9" s="1"/>
  <c r="AB44" i="9"/>
  <c r="AB44" i="9" a="1"/>
  <c r="AA44" i="9" a="1"/>
  <c r="AA44" i="9" s="1"/>
  <c r="Z44" i="9" a="1"/>
  <c r="Z44" i="9" s="1"/>
  <c r="DF43" i="9" a="1"/>
  <c r="DF43" i="9" s="1"/>
  <c r="DE43" i="9"/>
  <c r="DE43" i="9" a="1"/>
  <c r="DD43" i="9"/>
  <c r="DD43" i="9" a="1"/>
  <c r="DC43" i="9" a="1"/>
  <c r="DC43" i="9" s="1"/>
  <c r="DB43" i="9"/>
  <c r="DB43" i="9" a="1"/>
  <c r="DA43" i="9" a="1"/>
  <c r="DA43" i="9" s="1"/>
  <c r="CZ43" i="9" a="1"/>
  <c r="CZ43" i="9" s="1"/>
  <c r="CY43" i="9" a="1"/>
  <c r="CY43" i="9" s="1"/>
  <c r="CX43" i="9" a="1"/>
  <c r="CX43" i="9" s="1"/>
  <c r="CW43" i="9" a="1"/>
  <c r="CW43" i="9" s="1"/>
  <c r="CV43" i="9"/>
  <c r="CV43" i="9" a="1"/>
  <c r="CU43" i="9" a="1"/>
  <c r="CU43" i="9" s="1"/>
  <c r="CT43" i="9" a="1"/>
  <c r="CT43" i="9" s="1"/>
  <c r="CS43" i="9"/>
  <c r="CS43" i="9" a="1"/>
  <c r="CR43" i="9" a="1"/>
  <c r="CR43" i="9" s="1"/>
  <c r="CQ43" i="9" a="1"/>
  <c r="CQ43" i="9" s="1"/>
  <c r="CP43" i="9"/>
  <c r="CP43" i="9" a="1"/>
  <c r="CO43" i="9"/>
  <c r="CO43" i="9" a="1"/>
  <c r="CN43" i="9" a="1"/>
  <c r="CN43" i="9" s="1"/>
  <c r="CM43" i="9" a="1"/>
  <c r="CM43" i="9" s="1"/>
  <c r="CL43" i="9" a="1"/>
  <c r="CL43" i="9" s="1"/>
  <c r="CK43" i="9"/>
  <c r="CK43" i="9" a="1"/>
  <c r="CJ43" i="9" a="1"/>
  <c r="CJ43" i="9" s="1"/>
  <c r="CI43" i="9" a="1"/>
  <c r="CI43" i="9" s="1"/>
  <c r="CH43" i="9"/>
  <c r="CH43" i="9" a="1"/>
  <c r="CG43" i="9"/>
  <c r="CG43" i="9" a="1"/>
  <c r="CF43" i="9"/>
  <c r="CF43" i="9" a="1"/>
  <c r="CE43" i="9" a="1"/>
  <c r="CE43" i="9" s="1"/>
  <c r="CD43" i="9" a="1"/>
  <c r="CD43" i="9" s="1"/>
  <c r="CC43" i="9" a="1"/>
  <c r="CC43" i="9" s="1"/>
  <c r="CB43" i="9"/>
  <c r="CB43" i="9" a="1"/>
  <c r="CA43" i="9" a="1"/>
  <c r="CA43" i="9" s="1"/>
  <c r="BZ43" i="9" a="1"/>
  <c r="BZ43" i="9" s="1"/>
  <c r="BY43" i="9"/>
  <c r="BY43" i="9" a="1"/>
  <c r="BX43" i="9"/>
  <c r="BX43" i="9" a="1"/>
  <c r="BW43" i="9" a="1"/>
  <c r="BW43" i="9" s="1"/>
  <c r="BV43" i="9" a="1"/>
  <c r="BV43" i="9" s="1"/>
  <c r="BU43" i="9" a="1"/>
  <c r="BU43" i="9" s="1"/>
  <c r="BT43" i="9" a="1"/>
  <c r="BT43" i="9" s="1"/>
  <c r="BS43" i="9" a="1"/>
  <c r="BS43" i="9" s="1"/>
  <c r="BR43" i="9"/>
  <c r="BR43" i="9" a="1"/>
  <c r="BQ43" i="9" a="1"/>
  <c r="BQ43" i="9" s="1"/>
  <c r="BP43" i="9"/>
  <c r="BP43" i="9" a="1"/>
  <c r="BO43" i="9" a="1"/>
  <c r="BO43" i="9" s="1"/>
  <c r="BN43" i="9"/>
  <c r="BN43" i="9" a="1"/>
  <c r="BM43" i="9" a="1"/>
  <c r="BM43" i="9" s="1"/>
  <c r="BL43" i="9" a="1"/>
  <c r="BL43" i="9" s="1"/>
  <c r="BK43" i="9" a="1"/>
  <c r="BK43" i="9" s="1"/>
  <c r="BJ43" i="9"/>
  <c r="BJ43" i="9" a="1"/>
  <c r="BI43" i="9"/>
  <c r="BI43" i="9" a="1"/>
  <c r="BH43" i="9" a="1"/>
  <c r="BH43" i="9" s="1"/>
  <c r="BG43" i="9" a="1"/>
  <c r="BG43" i="9" s="1"/>
  <c r="BF43" i="9" a="1"/>
  <c r="BF43" i="9" s="1"/>
  <c r="BE43" i="9"/>
  <c r="BE43" i="9" a="1"/>
  <c r="BD43" i="9" a="1"/>
  <c r="BD43" i="9" s="1"/>
  <c r="BC43" i="9" a="1"/>
  <c r="BC43" i="9" s="1"/>
  <c r="BB43" i="9"/>
  <c r="BB43" i="9" a="1"/>
  <c r="BA43" i="9"/>
  <c r="BA43" i="9" a="1"/>
  <c r="AZ43" i="9"/>
  <c r="AZ43" i="9" a="1"/>
  <c r="AY43" i="9" a="1"/>
  <c r="AY43" i="9" s="1"/>
  <c r="AX43" i="9" a="1"/>
  <c r="AX43" i="9" s="1"/>
  <c r="AW43" i="9" a="1"/>
  <c r="AW43" i="9" s="1"/>
  <c r="AV43" i="9"/>
  <c r="AV43" i="9" a="1"/>
  <c r="AU43" i="9" a="1"/>
  <c r="AU43" i="9" s="1"/>
  <c r="AT43" i="9" a="1"/>
  <c r="AT43" i="9" s="1"/>
  <c r="AS43" i="9" a="1"/>
  <c r="AS43" i="9" s="1"/>
  <c r="AR43" i="9"/>
  <c r="AR43" i="9" a="1"/>
  <c r="AQ43" i="9" a="1"/>
  <c r="AQ43" i="9" s="1"/>
  <c r="AP43" i="9" a="1"/>
  <c r="AP43" i="9" s="1"/>
  <c r="AO43" i="9" a="1"/>
  <c r="AO43" i="9" s="1"/>
  <c r="AN43" i="9" a="1"/>
  <c r="AN43" i="9" s="1"/>
  <c r="AM43" i="9" a="1"/>
  <c r="AM43" i="9" s="1"/>
  <c r="AL43" i="9"/>
  <c r="AL43" i="9" a="1"/>
  <c r="AK43" i="9" a="1"/>
  <c r="AK43" i="9" s="1"/>
  <c r="AJ43" i="9" a="1"/>
  <c r="AJ43" i="9" s="1"/>
  <c r="AI43" i="9" a="1"/>
  <c r="AI43" i="9" s="1"/>
  <c r="AH43" i="9"/>
  <c r="AH43" i="9" a="1"/>
  <c r="AG43" i="9" a="1"/>
  <c r="AG43" i="9" s="1"/>
  <c r="AF43" i="9" a="1"/>
  <c r="AF43" i="9" s="1"/>
  <c r="AE43" i="9" a="1"/>
  <c r="AE43" i="9" s="1"/>
  <c r="AD43" i="9"/>
  <c r="AD43" i="9" a="1"/>
  <c r="AC43" i="9"/>
  <c r="AC43" i="9" a="1"/>
  <c r="AB43" i="9" a="1"/>
  <c r="AB43" i="9" s="1"/>
  <c r="AA43" i="9" a="1"/>
  <c r="AA43" i="9" s="1"/>
  <c r="Z43" i="9" a="1"/>
  <c r="Z43" i="9" s="1"/>
  <c r="DF42" i="9" a="1"/>
  <c r="DF42" i="9" s="1"/>
  <c r="DE42" i="9" a="1"/>
  <c r="DE42" i="9" s="1"/>
  <c r="DD42" i="9" a="1"/>
  <c r="DD42" i="9" s="1"/>
  <c r="DC42" i="9"/>
  <c r="DC42" i="9" a="1"/>
  <c r="DB42" i="9"/>
  <c r="DB42" i="9" a="1"/>
  <c r="DA42" i="9" a="1"/>
  <c r="DA42" i="9" s="1"/>
  <c r="CZ42" i="9" a="1"/>
  <c r="CZ42" i="9" s="1"/>
  <c r="CY42" i="9" a="1"/>
  <c r="CY42" i="9" s="1"/>
  <c r="CX42" i="9"/>
  <c r="CX42" i="9" a="1"/>
  <c r="CW42" i="9" a="1"/>
  <c r="CW42" i="9" s="1"/>
  <c r="CV42" i="9" a="1"/>
  <c r="CV42" i="9" s="1"/>
  <c r="CU42" i="9" a="1"/>
  <c r="CU42" i="9" s="1"/>
  <c r="CT42" i="9"/>
  <c r="CT42" i="9" a="1"/>
  <c r="CS42" i="9" a="1"/>
  <c r="CS42" i="9" s="1"/>
  <c r="CR42" i="9" a="1"/>
  <c r="CR42" i="9" s="1"/>
  <c r="CQ42" i="9"/>
  <c r="CQ42" i="9" a="1"/>
  <c r="CP42" i="9" a="1"/>
  <c r="CP42" i="9" s="1"/>
  <c r="CO42" i="9" a="1"/>
  <c r="CO42" i="9" s="1"/>
  <c r="CN42" i="9"/>
  <c r="CN42" i="9" a="1"/>
  <c r="CM42" i="9" a="1"/>
  <c r="CM42" i="9" s="1"/>
  <c r="CL42" i="9" a="1"/>
  <c r="CL42" i="9" s="1"/>
  <c r="CK42" i="9" a="1"/>
  <c r="CK42" i="9" s="1"/>
  <c r="CJ42" i="9" a="1"/>
  <c r="CJ42" i="9" s="1"/>
  <c r="CI42" i="9" a="1"/>
  <c r="CI42" i="9" s="1"/>
  <c r="CH42" i="9"/>
  <c r="CH42" i="9" a="1"/>
  <c r="CG42" i="9" a="1"/>
  <c r="CG42" i="9" s="1"/>
  <c r="CF42" i="9"/>
  <c r="CF42" i="9" a="1"/>
  <c r="CE42" i="9"/>
  <c r="CE42" i="9" a="1"/>
  <c r="CD42" i="9" a="1"/>
  <c r="CD42" i="9" s="1"/>
  <c r="CC42" i="9" a="1"/>
  <c r="CC42" i="9" s="1"/>
  <c r="CB42" i="9" a="1"/>
  <c r="CB42" i="9" s="1"/>
  <c r="CA42" i="9" a="1"/>
  <c r="CA42" i="9" s="1"/>
  <c r="BZ42" i="9" a="1"/>
  <c r="BZ42" i="9" s="1"/>
  <c r="BY42" i="9" a="1"/>
  <c r="BY42" i="9" s="1"/>
  <c r="BX42" i="9" a="1"/>
  <c r="BX42" i="9" s="1"/>
  <c r="BW42" i="9"/>
  <c r="BW42" i="9" a="1"/>
  <c r="BV42" i="9"/>
  <c r="BV42" i="9" a="1"/>
  <c r="BU42" i="9" a="1"/>
  <c r="BU42" i="9" s="1"/>
  <c r="BT42" i="9"/>
  <c r="BT42" i="9" a="1"/>
  <c r="BS42" i="9" a="1"/>
  <c r="BS42" i="9" s="1"/>
  <c r="BR42" i="9" a="1"/>
  <c r="BR42" i="9" s="1"/>
  <c r="BQ42" i="9" a="1"/>
  <c r="BQ42" i="9" s="1"/>
  <c r="BP42" i="9" a="1"/>
  <c r="BP42" i="9" s="1"/>
  <c r="BO42" i="9" a="1"/>
  <c r="BO42" i="9" s="1"/>
  <c r="BN42" i="9"/>
  <c r="BN42" i="9" a="1"/>
  <c r="BM42" i="9" a="1"/>
  <c r="BM42" i="9" s="1"/>
  <c r="BL42" i="9" a="1"/>
  <c r="BL42" i="9" s="1"/>
  <c r="BK42" i="9" a="1"/>
  <c r="BK42" i="9" s="1"/>
  <c r="BJ42" i="9" a="1"/>
  <c r="BJ42" i="9" s="1"/>
  <c r="BI42" i="9" a="1"/>
  <c r="BI42" i="9" s="1"/>
  <c r="BH42" i="9"/>
  <c r="BH42" i="9" a="1"/>
  <c r="BG42" i="9" a="1"/>
  <c r="BG42" i="9" s="1"/>
  <c r="BF42" i="9"/>
  <c r="BF42" i="9" a="1"/>
  <c r="BE42" i="9" a="1"/>
  <c r="BE42" i="9" s="1"/>
  <c r="BD42" i="9" a="1"/>
  <c r="BD42" i="9" s="1"/>
  <c r="BC42" i="9" a="1"/>
  <c r="BC42" i="9" s="1"/>
  <c r="BB42" i="9" a="1"/>
  <c r="BB42" i="9" s="1"/>
  <c r="BA42" i="9" a="1"/>
  <c r="BA42" i="9" s="1"/>
  <c r="AZ42" i="9"/>
  <c r="AZ42" i="9" a="1"/>
  <c r="AY42" i="9"/>
  <c r="AY42" i="9" a="1"/>
  <c r="AX42" i="9" a="1"/>
  <c r="AX42" i="9" s="1"/>
  <c r="AW42" i="9" a="1"/>
  <c r="AW42" i="9" s="1"/>
  <c r="AV42" i="9" a="1"/>
  <c r="AV42" i="9" s="1"/>
  <c r="AU42" i="9" a="1"/>
  <c r="AU42" i="9" s="1"/>
  <c r="AT42" i="9" a="1"/>
  <c r="AT42" i="9" s="1"/>
  <c r="AS42" i="9" a="1"/>
  <c r="AS42" i="9" s="1"/>
  <c r="AR42" i="9"/>
  <c r="AR42" i="9" a="1"/>
  <c r="AQ42" i="9"/>
  <c r="AQ42" i="9" a="1"/>
  <c r="AP42" i="9"/>
  <c r="AP42" i="9" a="1"/>
  <c r="AO42" i="9" a="1"/>
  <c r="AO42" i="9" s="1"/>
  <c r="AN42" i="9" a="1"/>
  <c r="AN42" i="9" s="1"/>
  <c r="AM42" i="9" a="1"/>
  <c r="AM42" i="9" s="1"/>
  <c r="AL42" i="9" a="1"/>
  <c r="AL42" i="9" s="1"/>
  <c r="AK42" i="9" a="1"/>
  <c r="AK42" i="9" s="1"/>
  <c r="AJ42" i="9"/>
  <c r="AJ42" i="9" a="1"/>
  <c r="AI42" i="9"/>
  <c r="AI42" i="9" a="1"/>
  <c r="AH42" i="9"/>
  <c r="AH42" i="9" a="1"/>
  <c r="AG42" i="9" a="1"/>
  <c r="AG42" i="9" s="1"/>
  <c r="AF42" i="9" a="1"/>
  <c r="AF42" i="9" s="1"/>
  <c r="AE42" i="9" a="1"/>
  <c r="AE42" i="9" s="1"/>
  <c r="AD42" i="9" a="1"/>
  <c r="AD42" i="9" s="1"/>
  <c r="AC42" i="9" a="1"/>
  <c r="AC42" i="9" s="1"/>
  <c r="AB42" i="9"/>
  <c r="AB42" i="9" a="1"/>
  <c r="AA42" i="9"/>
  <c r="AA42" i="9" a="1"/>
  <c r="Z42" i="9"/>
  <c r="Z42" i="9" a="1"/>
  <c r="DF41" i="9"/>
  <c r="DF41" i="9" a="1"/>
  <c r="DE41" i="9" a="1"/>
  <c r="DE41" i="9" s="1"/>
  <c r="DD41" i="9" a="1"/>
  <c r="DD41" i="9" s="1"/>
  <c r="DC41" i="9" a="1"/>
  <c r="DC41" i="9" s="1"/>
  <c r="DB41" i="9"/>
  <c r="DB41" i="9" a="1"/>
  <c r="DA41" i="9"/>
  <c r="DA41" i="9" a="1"/>
  <c r="CZ41" i="9"/>
  <c r="CZ41" i="9" a="1"/>
  <c r="CY41" i="9" a="1"/>
  <c r="CY41" i="9" s="1"/>
  <c r="CX41" i="9" a="1"/>
  <c r="CX41" i="9" s="1"/>
  <c r="CW41" i="9" a="1"/>
  <c r="CW41" i="9" s="1"/>
  <c r="CV41" i="9" a="1"/>
  <c r="CV41" i="9" s="1"/>
  <c r="CU41" i="9" a="1"/>
  <c r="CU41" i="9" s="1"/>
  <c r="CT41" i="9"/>
  <c r="CT41" i="9" a="1"/>
  <c r="CS41" i="9"/>
  <c r="CS41" i="9" a="1"/>
  <c r="CR41" i="9"/>
  <c r="CR41" i="9" a="1"/>
  <c r="CQ41" i="9" a="1"/>
  <c r="CQ41" i="9" s="1"/>
  <c r="CP41" i="9" a="1"/>
  <c r="CP41" i="9" s="1"/>
  <c r="CO41" i="9" a="1"/>
  <c r="CO41" i="9" s="1"/>
  <c r="CN41" i="9" a="1"/>
  <c r="CN41" i="9" s="1"/>
  <c r="CM41" i="9" a="1"/>
  <c r="CM41" i="9" s="1"/>
  <c r="CL41" i="9"/>
  <c r="CL41" i="9" a="1"/>
  <c r="CK41" i="9"/>
  <c r="CK41" i="9" a="1"/>
  <c r="CJ41" i="9"/>
  <c r="CJ41" i="9" a="1"/>
  <c r="CI41" i="9" a="1"/>
  <c r="CI41" i="9" s="1"/>
  <c r="CH41" i="9" a="1"/>
  <c r="CH41" i="9" s="1"/>
  <c r="CG41" i="9" a="1"/>
  <c r="CG41" i="9" s="1"/>
  <c r="CF41" i="9" a="1"/>
  <c r="CF41" i="9" s="1"/>
  <c r="CE41" i="9" a="1"/>
  <c r="CE41" i="9" s="1"/>
  <c r="CD41" i="9" a="1"/>
  <c r="CD41" i="9" s="1"/>
  <c r="CC41" i="9"/>
  <c r="CC41" i="9" a="1"/>
  <c r="CB41" i="9"/>
  <c r="CB41" i="9" a="1"/>
  <c r="CA41" i="9" a="1"/>
  <c r="CA41" i="9" s="1"/>
  <c r="BZ41" i="9"/>
  <c r="BZ41" i="9" a="1"/>
  <c r="BY41" i="9" a="1"/>
  <c r="BY41" i="9" s="1"/>
  <c r="BX41" i="9" a="1"/>
  <c r="BX41" i="9" s="1"/>
  <c r="BW41" i="9" a="1"/>
  <c r="BW41" i="9" s="1"/>
  <c r="BV41" i="9"/>
  <c r="BV41" i="9" a="1"/>
  <c r="BU41" i="9" a="1"/>
  <c r="BU41" i="9" s="1"/>
  <c r="BT41" i="9"/>
  <c r="BT41" i="9" a="1"/>
  <c r="BS41" i="9" a="1"/>
  <c r="BS41" i="9" s="1"/>
  <c r="BR41" i="9" a="1"/>
  <c r="BR41" i="9" s="1"/>
  <c r="BQ41" i="9"/>
  <c r="BQ41" i="9" a="1"/>
  <c r="BP41" i="9" a="1"/>
  <c r="BP41" i="9" s="1"/>
  <c r="BO41" i="9" a="1"/>
  <c r="BO41" i="9" s="1"/>
  <c r="BN41" i="9"/>
  <c r="BN41" i="9" a="1"/>
  <c r="BM41" i="9"/>
  <c r="BM41" i="9" a="1"/>
  <c r="BL41" i="9" a="1"/>
  <c r="BL41" i="9" s="1"/>
  <c r="BK41" i="9" a="1"/>
  <c r="BK41" i="9" s="1"/>
  <c r="BJ41" i="9" a="1"/>
  <c r="BJ41" i="9" s="1"/>
  <c r="BI41" i="9" a="1"/>
  <c r="BI41" i="9" s="1"/>
  <c r="BH41" i="9"/>
  <c r="BH41" i="9" a="1"/>
  <c r="BG41" i="9" a="1"/>
  <c r="BG41" i="9" s="1"/>
  <c r="BF41" i="9" a="1"/>
  <c r="BF41" i="9" s="1"/>
  <c r="BE41" i="9"/>
  <c r="BE41" i="9" a="1"/>
  <c r="BD41" i="9"/>
  <c r="BD41" i="9" a="1"/>
  <c r="BC41" i="9" a="1"/>
  <c r="BC41" i="9" s="1"/>
  <c r="BB41" i="9" a="1"/>
  <c r="BB41" i="9" s="1"/>
  <c r="BA41" i="9"/>
  <c r="BA41" i="9" a="1"/>
  <c r="AZ41" i="9" a="1"/>
  <c r="AZ41" i="9" s="1"/>
  <c r="AY41" i="9" a="1"/>
  <c r="AY41" i="9" s="1"/>
  <c r="AX41" i="9" a="1"/>
  <c r="AX41" i="9" s="1"/>
  <c r="AW41" i="9" a="1"/>
  <c r="AW41" i="9" s="1"/>
  <c r="AV41" i="9"/>
  <c r="AV41" i="9" a="1"/>
  <c r="AU41" i="9" a="1"/>
  <c r="AU41" i="9" s="1"/>
  <c r="AT41" i="9"/>
  <c r="AT41" i="9" a="1"/>
  <c r="AS41" i="9" a="1"/>
  <c r="AS41" i="9" s="1"/>
  <c r="AR41" i="9"/>
  <c r="AR41" i="9" a="1"/>
  <c r="AQ41" i="9" a="1"/>
  <c r="AQ41" i="9" s="1"/>
  <c r="AP41" i="9"/>
  <c r="AP41" i="9" a="1"/>
  <c r="AO41" i="9" a="1"/>
  <c r="AO41" i="9" s="1"/>
  <c r="AN41" i="9" a="1"/>
  <c r="AN41" i="9" s="1"/>
  <c r="AM41" i="9" a="1"/>
  <c r="AM41" i="9" s="1"/>
  <c r="AL41" i="9" a="1"/>
  <c r="AL41" i="9" s="1"/>
  <c r="AK41" i="9"/>
  <c r="AK41" i="9" a="1"/>
  <c r="AJ41" i="9" a="1"/>
  <c r="AJ41" i="9" s="1"/>
  <c r="AI41" i="9" a="1"/>
  <c r="AI41" i="9" s="1"/>
  <c r="AH41" i="9"/>
  <c r="AH41" i="9" a="1"/>
  <c r="AG41" i="9"/>
  <c r="AG41" i="9" a="1"/>
  <c r="AF41" i="9" a="1"/>
  <c r="AF41" i="9" s="1"/>
  <c r="AE41" i="9" a="1"/>
  <c r="AE41" i="9" s="1"/>
  <c r="AD41" i="9"/>
  <c r="AD41" i="9" a="1"/>
  <c r="AC41" i="9" a="1"/>
  <c r="AC41" i="9" s="1"/>
  <c r="AB41" i="9"/>
  <c r="AB41" i="9" a="1"/>
  <c r="AA41" i="9" a="1"/>
  <c r="AA41" i="9" s="1"/>
  <c r="Z41" i="9" a="1"/>
  <c r="Z41" i="9" s="1"/>
  <c r="DF40" i="9"/>
  <c r="DF40" i="9" a="1"/>
  <c r="DE40" i="9" a="1"/>
  <c r="DE40" i="9" s="1"/>
  <c r="DD40" i="9" a="1"/>
  <c r="DD40" i="9" s="1"/>
  <c r="DC40" i="9"/>
  <c r="DC40" i="9" a="1"/>
  <c r="DB40" i="9" a="1"/>
  <c r="DB40" i="9" s="1"/>
  <c r="DA40" i="9" a="1"/>
  <c r="DA40" i="9" s="1"/>
  <c r="CZ40" i="9" a="1"/>
  <c r="CZ40" i="9" s="1"/>
  <c r="CY40" i="9" a="1"/>
  <c r="CY40" i="9" s="1"/>
  <c r="CX40" i="9"/>
  <c r="CX40" i="9" a="1"/>
  <c r="CW40" i="9" a="1"/>
  <c r="CW40" i="9" s="1"/>
  <c r="CV40" i="9"/>
  <c r="CV40" i="9" a="1"/>
  <c r="CU40" i="9" a="1"/>
  <c r="CU40" i="9" s="1"/>
  <c r="CT40" i="9"/>
  <c r="CT40" i="9" a="1"/>
  <c r="CS40" i="9" a="1"/>
  <c r="CS40" i="9" s="1"/>
  <c r="CR40" i="9"/>
  <c r="CR40" i="9" a="1"/>
  <c r="CQ40" i="9" a="1"/>
  <c r="CQ40" i="9" s="1"/>
  <c r="CP40" i="9" a="1"/>
  <c r="CP40" i="9" s="1"/>
  <c r="CO40" i="9" a="1"/>
  <c r="CO40" i="9" s="1"/>
  <c r="CN40" i="9" a="1"/>
  <c r="CN40" i="9" s="1"/>
  <c r="CM40" i="9"/>
  <c r="CM40" i="9" a="1"/>
  <c r="CL40" i="9" a="1"/>
  <c r="CL40" i="9" s="1"/>
  <c r="CK40" i="9" a="1"/>
  <c r="CK40" i="9" s="1"/>
  <c r="CJ40" i="9"/>
  <c r="CJ40" i="9" a="1"/>
  <c r="CI40" i="9"/>
  <c r="CI40" i="9" a="1"/>
  <c r="CH40" i="9" a="1"/>
  <c r="CH40" i="9" s="1"/>
  <c r="CG40" i="9" a="1"/>
  <c r="CG40" i="9" s="1"/>
  <c r="CF40" i="9"/>
  <c r="CF40" i="9" a="1"/>
  <c r="CE40" i="9" a="1"/>
  <c r="CE40" i="9" s="1"/>
  <c r="CD40" i="9"/>
  <c r="CD40" i="9" a="1"/>
  <c r="CC40" i="9" a="1"/>
  <c r="CC40" i="9" s="1"/>
  <c r="CB40" i="9" a="1"/>
  <c r="CB40" i="9" s="1"/>
  <c r="CA40" i="9"/>
  <c r="CA40" i="9" a="1"/>
  <c r="BZ40" i="9"/>
  <c r="BZ40" i="9" a="1"/>
  <c r="BY40" i="9" a="1"/>
  <c r="BY40" i="9" s="1"/>
  <c r="BX40" i="9" a="1"/>
  <c r="BX40" i="9" s="1"/>
  <c r="BW40" i="9"/>
  <c r="BW40" i="9" a="1"/>
  <c r="BV40" i="9" a="1"/>
  <c r="BV40" i="9" s="1"/>
  <c r="BU40" i="9" a="1"/>
  <c r="BU40" i="9" s="1"/>
  <c r="BT40" i="9" a="1"/>
  <c r="BT40" i="9" s="1"/>
  <c r="BS40" i="9" a="1"/>
  <c r="BS40" i="9" s="1"/>
  <c r="BR40" i="9"/>
  <c r="BR40" i="9" a="1"/>
  <c r="BQ40" i="9" a="1"/>
  <c r="BQ40" i="9" s="1"/>
  <c r="BP40" i="9"/>
  <c r="BP40" i="9" a="1"/>
  <c r="BO40" i="9" a="1"/>
  <c r="BO40" i="9" s="1"/>
  <c r="BN40" i="9"/>
  <c r="BN40" i="9" a="1"/>
  <c r="BM40" i="9" a="1"/>
  <c r="BM40" i="9" s="1"/>
  <c r="BL40" i="9"/>
  <c r="BL40" i="9" a="1"/>
  <c r="BK40" i="9" a="1"/>
  <c r="BK40" i="9" s="1"/>
  <c r="BJ40" i="9" a="1"/>
  <c r="BJ40" i="9" s="1"/>
  <c r="BI40" i="9" a="1"/>
  <c r="BI40" i="9" s="1"/>
  <c r="BH40" i="9" a="1"/>
  <c r="BH40" i="9" s="1"/>
  <c r="BG40" i="9"/>
  <c r="BG40" i="9" a="1"/>
  <c r="BF40" i="9" a="1"/>
  <c r="BF40" i="9" s="1"/>
  <c r="BE40" i="9" a="1"/>
  <c r="BE40" i="9" s="1"/>
  <c r="BD40" i="9"/>
  <c r="BD40" i="9" a="1"/>
  <c r="BC40" i="9"/>
  <c r="BC40" i="9" a="1"/>
  <c r="BB40" i="9" a="1"/>
  <c r="BB40" i="9" s="1"/>
  <c r="BA40" i="9" a="1"/>
  <c r="BA40" i="9" s="1"/>
  <c r="AZ40" i="9" a="1"/>
  <c r="AZ40" i="9" s="1"/>
  <c r="AY40" i="9" a="1"/>
  <c r="AY40" i="9" s="1"/>
  <c r="AX40" i="9"/>
  <c r="AX40" i="9" a="1"/>
  <c r="AW40" i="9" a="1"/>
  <c r="AW40" i="9" s="1"/>
  <c r="AV40" i="9" a="1"/>
  <c r="AV40" i="9" s="1"/>
  <c r="AU40" i="9"/>
  <c r="AU40" i="9" a="1"/>
  <c r="AT40" i="9"/>
  <c r="AT40" i="9" a="1"/>
  <c r="AS40" i="9" a="1"/>
  <c r="AS40" i="9" s="1"/>
  <c r="AR40" i="9" a="1"/>
  <c r="AR40" i="9" s="1"/>
  <c r="AQ40" i="9"/>
  <c r="AQ40" i="9" a="1"/>
  <c r="AP40" i="9" a="1"/>
  <c r="AP40" i="9" s="1"/>
  <c r="AO40" i="9" a="1"/>
  <c r="AO40" i="9" s="1"/>
  <c r="AN40" i="9" a="1"/>
  <c r="AN40" i="9" s="1"/>
  <c r="AM40" i="9" a="1"/>
  <c r="AM40" i="9" s="1"/>
  <c r="AL40" i="9"/>
  <c r="AL40" i="9" a="1"/>
  <c r="AK40" i="9" a="1"/>
  <c r="AK40" i="9" s="1"/>
  <c r="AJ40" i="9"/>
  <c r="AJ40" i="9" a="1"/>
  <c r="AI40" i="9" a="1"/>
  <c r="AI40" i="9" s="1"/>
  <c r="AH40" i="9"/>
  <c r="AH40" i="9" a="1"/>
  <c r="AG40" i="9" a="1"/>
  <c r="AG40" i="9" s="1"/>
  <c r="AF40" i="9"/>
  <c r="AF40" i="9" a="1"/>
  <c r="AE40" i="9" a="1"/>
  <c r="AE40" i="9" s="1"/>
  <c r="AD40" i="9" a="1"/>
  <c r="AD40" i="9" s="1"/>
  <c r="AC40" i="9" a="1"/>
  <c r="AC40" i="9" s="1"/>
  <c r="AB40" i="9" a="1"/>
  <c r="AB40" i="9" s="1"/>
  <c r="AA40" i="9"/>
  <c r="AA40" i="9" a="1"/>
  <c r="Z40" i="9" a="1"/>
  <c r="Z40" i="9" s="1"/>
  <c r="DF39" i="9"/>
  <c r="DF39" i="9" a="1"/>
  <c r="DE39" i="9"/>
  <c r="DE39" i="9" a="1"/>
  <c r="DD39" i="9" a="1"/>
  <c r="DD39" i="9" s="1"/>
  <c r="DC39" i="9" a="1"/>
  <c r="DC39" i="9" s="1"/>
  <c r="DB39" i="9"/>
  <c r="DB39" i="9" a="1"/>
  <c r="DA39" i="9" a="1"/>
  <c r="DA39" i="9" s="1"/>
  <c r="CZ39" i="9"/>
  <c r="CZ39" i="9" a="1"/>
  <c r="CY39" i="9" a="1"/>
  <c r="CY39" i="9" s="1"/>
  <c r="CX39" i="9" a="1"/>
  <c r="CX39" i="9" s="1"/>
  <c r="CW39" i="9"/>
  <c r="CW39" i="9" a="1"/>
  <c r="CV39" i="9"/>
  <c r="CV39" i="9" a="1"/>
  <c r="CU39" i="9" a="1"/>
  <c r="CU39" i="9" s="1"/>
  <c r="CT39" i="9" a="1"/>
  <c r="CT39" i="9" s="1"/>
  <c r="CS39" i="9"/>
  <c r="CS39" i="9" a="1"/>
  <c r="CR39" i="9" a="1"/>
  <c r="CR39" i="9" s="1"/>
  <c r="CQ39" i="9" a="1"/>
  <c r="CQ39" i="9" s="1"/>
  <c r="CP39" i="9" a="1"/>
  <c r="CP39" i="9" s="1"/>
  <c r="CO39" i="9" a="1"/>
  <c r="CO39" i="9" s="1"/>
  <c r="CN39" i="9"/>
  <c r="CN39" i="9" a="1"/>
  <c r="CM39" i="9" a="1"/>
  <c r="CM39" i="9" s="1"/>
  <c r="CL39" i="9"/>
  <c r="CL39" i="9" a="1"/>
  <c r="CK39" i="9" a="1"/>
  <c r="CK39" i="9" s="1"/>
  <c r="CJ39" i="9"/>
  <c r="CJ39" i="9" a="1"/>
  <c r="CI39" i="9" a="1"/>
  <c r="CI39" i="9" s="1"/>
  <c r="CH39" i="9"/>
  <c r="CH39" i="9" a="1"/>
  <c r="CG39" i="9" a="1"/>
  <c r="CG39" i="9" s="1"/>
  <c r="CF39" i="9" a="1"/>
  <c r="CF39" i="9" s="1"/>
  <c r="CE39" i="9" a="1"/>
  <c r="CE39" i="9" s="1"/>
  <c r="CD39" i="9" a="1"/>
  <c r="CD39" i="9" s="1"/>
  <c r="CC39" i="9"/>
  <c r="CC39" i="9" a="1"/>
  <c r="CB39" i="9" a="1"/>
  <c r="CB39" i="9" s="1"/>
  <c r="CA39" i="9" a="1"/>
  <c r="CA39" i="9" s="1"/>
  <c r="BZ39" i="9"/>
  <c r="BZ39" i="9" a="1"/>
  <c r="BY39" i="9"/>
  <c r="BY39" i="9" a="1"/>
  <c r="BX39" i="9" a="1"/>
  <c r="BX39" i="9" s="1"/>
  <c r="BW39" i="9" a="1"/>
  <c r="BW39" i="9" s="1"/>
  <c r="BV39" i="9"/>
  <c r="BV39" i="9" a="1"/>
  <c r="BU39" i="9" a="1"/>
  <c r="BU39" i="9" s="1"/>
  <c r="BT39" i="9"/>
  <c r="BT39" i="9" a="1"/>
  <c r="BS39" i="9" a="1"/>
  <c r="BS39" i="9" s="1"/>
  <c r="BR39" i="9" a="1"/>
  <c r="BR39" i="9" s="1"/>
  <c r="BQ39" i="9"/>
  <c r="BQ39" i="9" a="1"/>
  <c r="BP39" i="9"/>
  <c r="BP39" i="9" a="1"/>
  <c r="BO39" i="9" a="1"/>
  <c r="BO39" i="9" s="1"/>
  <c r="BN39" i="9" a="1"/>
  <c r="BN39" i="9" s="1"/>
  <c r="BM39" i="9"/>
  <c r="BM39" i="9" a="1"/>
  <c r="BL39" i="9" a="1"/>
  <c r="BL39" i="9" s="1"/>
  <c r="BK39" i="9" a="1"/>
  <c r="BK39" i="9" s="1"/>
  <c r="BJ39" i="9" a="1"/>
  <c r="BJ39" i="9" s="1"/>
  <c r="BI39" i="9" a="1"/>
  <c r="BI39" i="9" s="1"/>
  <c r="BH39" i="9"/>
  <c r="BH39" i="9" a="1"/>
  <c r="BG39" i="9" a="1"/>
  <c r="BG39" i="9" s="1"/>
  <c r="BF39" i="9"/>
  <c r="BF39" i="9" a="1"/>
  <c r="BE39" i="9" a="1"/>
  <c r="BE39" i="9" s="1"/>
  <c r="BD39" i="9"/>
  <c r="BD39" i="9" a="1"/>
  <c r="BC39" i="9" a="1"/>
  <c r="BC39" i="9" s="1"/>
  <c r="BB39" i="9"/>
  <c r="BB39" i="9" a="1"/>
  <c r="BA39" i="9" a="1"/>
  <c r="BA39" i="9" s="1"/>
  <c r="AZ39" i="9"/>
  <c r="AZ39" i="9" a="1"/>
  <c r="AY39" i="9" a="1"/>
  <c r="AY39" i="9" s="1"/>
  <c r="AX39" i="9" a="1"/>
  <c r="AX39" i="9" s="1"/>
  <c r="AW39" i="9"/>
  <c r="AW39" i="9" a="1"/>
  <c r="AV39" i="9" a="1"/>
  <c r="AV39" i="9" s="1"/>
  <c r="AU39" i="9" a="1"/>
  <c r="AU39" i="9" s="1"/>
  <c r="AT39" i="9"/>
  <c r="AT39" i="9" a="1"/>
  <c r="AS39" i="9"/>
  <c r="AS39" i="9" a="1"/>
  <c r="AR39" i="9" a="1"/>
  <c r="AR39" i="9" s="1"/>
  <c r="AQ39" i="9" a="1"/>
  <c r="AQ39" i="9" s="1"/>
  <c r="AP39" i="9"/>
  <c r="AP39" i="9" a="1"/>
  <c r="AO39" i="9" a="1"/>
  <c r="AO39" i="9" s="1"/>
  <c r="AN39" i="9"/>
  <c r="AN39" i="9" a="1"/>
  <c r="AM39" i="9" a="1"/>
  <c r="AM39" i="9" s="1"/>
  <c r="AL39" i="9"/>
  <c r="AL39" i="9" a="1"/>
  <c r="AK39" i="9"/>
  <c r="AK39" i="9" a="1"/>
  <c r="AJ39" i="9"/>
  <c r="AJ39" i="9" a="1"/>
  <c r="AI39" i="9" a="1"/>
  <c r="AI39" i="9" s="1"/>
  <c r="AH39" i="9" a="1"/>
  <c r="AH39" i="9" s="1"/>
  <c r="AG39" i="9"/>
  <c r="AG39" i="9" a="1"/>
  <c r="AF39" i="9" a="1"/>
  <c r="AF39" i="9" s="1"/>
  <c r="AE39" i="9" a="1"/>
  <c r="AE39" i="9" s="1"/>
  <c r="AD39" i="9" a="1"/>
  <c r="AD39" i="9" s="1"/>
  <c r="AC39" i="9"/>
  <c r="AC39" i="9" a="1"/>
  <c r="AB39" i="9"/>
  <c r="AB39" i="9" a="1"/>
  <c r="AA39" i="9" a="1"/>
  <c r="AA39" i="9" s="1"/>
  <c r="Z39" i="9"/>
  <c r="Z39" i="9" a="1"/>
  <c r="DF38" i="9"/>
  <c r="DF38" i="9" a="1"/>
  <c r="DE38" i="9" a="1"/>
  <c r="DE38" i="9" s="1"/>
  <c r="DD38" i="9"/>
  <c r="DD38" i="9" a="1"/>
  <c r="DC38" i="9" a="1"/>
  <c r="DC38" i="9" s="1"/>
  <c r="DB38" i="9"/>
  <c r="DB38" i="9" a="1"/>
  <c r="DA38" i="9" a="1"/>
  <c r="DA38" i="9" s="1"/>
  <c r="CZ38" i="9" a="1"/>
  <c r="CZ38" i="9" s="1"/>
  <c r="CY38" i="9"/>
  <c r="CY38" i="9" a="1"/>
  <c r="CX38" i="9" a="1"/>
  <c r="CX38" i="9" s="1"/>
  <c r="CW38" i="9" a="1"/>
  <c r="CW38" i="9" s="1"/>
  <c r="CV38" i="9"/>
  <c r="CV38" i="9" a="1"/>
  <c r="CU38" i="9"/>
  <c r="CU38" i="9" a="1"/>
  <c r="CT38" i="9" a="1"/>
  <c r="CT38" i="9" s="1"/>
  <c r="CS38" i="9" a="1"/>
  <c r="CS38" i="9" s="1"/>
  <c r="CR38" i="9"/>
  <c r="CR38" i="9" a="1"/>
  <c r="CQ38" i="9" a="1"/>
  <c r="CQ38" i="9" s="1"/>
  <c r="CP38" i="9"/>
  <c r="CP38" i="9" a="1"/>
  <c r="CO38" i="9" a="1"/>
  <c r="CO38" i="9" s="1"/>
  <c r="CN38" i="9"/>
  <c r="CN38" i="9" a="1"/>
  <c r="CM38" i="9"/>
  <c r="CM38" i="9" a="1"/>
  <c r="CL38" i="9"/>
  <c r="CL38" i="9" a="1"/>
  <c r="CK38" i="9" a="1"/>
  <c r="CK38" i="9" s="1"/>
  <c r="CJ38" i="9" a="1"/>
  <c r="CJ38" i="9" s="1"/>
  <c r="CI38" i="9"/>
  <c r="CI38" i="9" a="1"/>
  <c r="CH38" i="9" a="1"/>
  <c r="CH38" i="9" s="1"/>
  <c r="CG38" i="9" a="1"/>
  <c r="CG38" i="9" s="1"/>
  <c r="CF38" i="9" a="1"/>
  <c r="CF38" i="9" s="1"/>
  <c r="CE38" i="9"/>
  <c r="CE38" i="9" a="1"/>
  <c r="CD38" i="9"/>
  <c r="CD38" i="9" a="1"/>
  <c r="CC38" i="9" a="1"/>
  <c r="CC38" i="9" s="1"/>
  <c r="CB38" i="9"/>
  <c r="CB38" i="9" a="1"/>
  <c r="CA38" i="9" a="1"/>
  <c r="CA38" i="9" s="1"/>
  <c r="BZ38" i="9"/>
  <c r="BZ38" i="9" a="1"/>
  <c r="BY38" i="9" a="1"/>
  <c r="BY38" i="9" s="1"/>
  <c r="BX38" i="9"/>
  <c r="BX38" i="9" a="1"/>
  <c r="BW38" i="9" a="1"/>
  <c r="BW38" i="9" s="1"/>
  <c r="BV38" i="9"/>
  <c r="BV38" i="9" a="1"/>
  <c r="BU38" i="9" a="1"/>
  <c r="BU38" i="9" s="1"/>
  <c r="BT38" i="9" a="1"/>
  <c r="BT38" i="9" s="1"/>
  <c r="BS38" i="9"/>
  <c r="BS38" i="9" a="1"/>
  <c r="BR38" i="9" a="1"/>
  <c r="BR38" i="9" s="1"/>
  <c r="BQ38" i="9" a="1"/>
  <c r="BQ38" i="9" s="1"/>
  <c r="BP38" i="9"/>
  <c r="BP38" i="9" a="1"/>
  <c r="BO38" i="9"/>
  <c r="BO38" i="9" a="1"/>
  <c r="BN38" i="9" a="1"/>
  <c r="BN38" i="9" s="1"/>
  <c r="BM38" i="9" a="1"/>
  <c r="BM38" i="9" s="1"/>
  <c r="BL38" i="9"/>
  <c r="BL38" i="9" a="1"/>
  <c r="BK38" i="9" a="1"/>
  <c r="BK38" i="9" s="1"/>
  <c r="BJ38" i="9"/>
  <c r="BJ38" i="9" a="1"/>
  <c r="BI38" i="9" a="1"/>
  <c r="BI38" i="9" s="1"/>
  <c r="BH38" i="9"/>
  <c r="BH38" i="9" a="1"/>
  <c r="BG38" i="9"/>
  <c r="BG38" i="9" a="1"/>
  <c r="BF38" i="9"/>
  <c r="BF38" i="9" a="1"/>
  <c r="BE38" i="9" a="1"/>
  <c r="BE38" i="9" s="1"/>
  <c r="BD38" i="9" a="1"/>
  <c r="BD38" i="9" s="1"/>
  <c r="BC38" i="9"/>
  <c r="BC38" i="9" a="1"/>
  <c r="BB38" i="9" a="1"/>
  <c r="BB38" i="9" s="1"/>
  <c r="BA38" i="9" a="1"/>
  <c r="BA38" i="9" s="1"/>
  <c r="AZ38" i="9" a="1"/>
  <c r="AZ38" i="9" s="1"/>
  <c r="AY38" i="9"/>
  <c r="AY38" i="9" a="1"/>
  <c r="AX38" i="9"/>
  <c r="AX38" i="9" a="1"/>
  <c r="AW38" i="9" a="1"/>
  <c r="AW38" i="9" s="1"/>
  <c r="AV38" i="9"/>
  <c r="AV38" i="9" a="1"/>
  <c r="AU38" i="9" a="1"/>
  <c r="AU38" i="9" s="1"/>
  <c r="AT38" i="9"/>
  <c r="AT38" i="9" a="1"/>
  <c r="AS38" i="9" a="1"/>
  <c r="AS38" i="9" s="1"/>
  <c r="AR38" i="9"/>
  <c r="AR38" i="9" a="1"/>
  <c r="AQ38" i="9" a="1"/>
  <c r="AQ38" i="9" s="1"/>
  <c r="AP38" i="9"/>
  <c r="AP38" i="9" a="1"/>
  <c r="AO38" i="9" a="1"/>
  <c r="AO38" i="9" s="1"/>
  <c r="AN38" i="9" a="1"/>
  <c r="AN38" i="9" s="1"/>
  <c r="AM38" i="9"/>
  <c r="AM38" i="9" a="1"/>
  <c r="AL38" i="9" a="1"/>
  <c r="AL38" i="9" s="1"/>
  <c r="AK38" i="9" a="1"/>
  <c r="AK38" i="9" s="1"/>
  <c r="AJ38" i="9"/>
  <c r="AJ38" i="9" a="1"/>
  <c r="AI38" i="9"/>
  <c r="AI38" i="9" a="1"/>
  <c r="AH38" i="9" a="1"/>
  <c r="AH38" i="9" s="1"/>
  <c r="AG38" i="9" a="1"/>
  <c r="AG38" i="9" s="1"/>
  <c r="AF38" i="9"/>
  <c r="AF38" i="9" a="1"/>
  <c r="AE38" i="9" a="1"/>
  <c r="AE38" i="9" s="1"/>
  <c r="AD38" i="9"/>
  <c r="AD38" i="9" a="1"/>
  <c r="AC38" i="9" a="1"/>
  <c r="AC38" i="9" s="1"/>
  <c r="AB38" i="9"/>
  <c r="AB38" i="9" a="1"/>
  <c r="AA38" i="9"/>
  <c r="AA38" i="9" a="1"/>
  <c r="Z38" i="9"/>
  <c r="Z38" i="9" a="1"/>
  <c r="DF37" i="9" a="1"/>
  <c r="DF37" i="9" s="1"/>
  <c r="DE37" i="9"/>
  <c r="DE37" i="9" a="1"/>
  <c r="DD37" i="9" a="1"/>
  <c r="DD37" i="9" s="1"/>
  <c r="DC37" i="9" a="1"/>
  <c r="DC37" i="9" s="1"/>
  <c r="DB37" i="9" a="1"/>
  <c r="DB37" i="9" s="1"/>
  <c r="DA37" i="9"/>
  <c r="DA37" i="9" a="1"/>
  <c r="CZ37" i="9"/>
  <c r="CZ37" i="9" a="1"/>
  <c r="CY37" i="9" a="1"/>
  <c r="CY37" i="9" s="1"/>
  <c r="CX37" i="9"/>
  <c r="CX37" i="9" a="1"/>
  <c r="CW37" i="9" a="1"/>
  <c r="CW37" i="9" s="1"/>
  <c r="CV37" i="9"/>
  <c r="CV37" i="9" a="1"/>
  <c r="CU37" i="9" a="1"/>
  <c r="CU37" i="9" s="1"/>
  <c r="CT37" i="9"/>
  <c r="CT37" i="9" a="1"/>
  <c r="CS37" i="9" a="1"/>
  <c r="CS37" i="9" s="1"/>
  <c r="CR37" i="9"/>
  <c r="CR37" i="9" a="1"/>
  <c r="CQ37" i="9" a="1"/>
  <c r="CQ37" i="9" s="1"/>
  <c r="CP37" i="9" a="1"/>
  <c r="CP37" i="9" s="1"/>
  <c r="CO37" i="9"/>
  <c r="CO37" i="9" a="1"/>
  <c r="CN37" i="9" a="1"/>
  <c r="CN37" i="9" s="1"/>
  <c r="CM37" i="9" a="1"/>
  <c r="CM37" i="9" s="1"/>
  <c r="CL37" i="9"/>
  <c r="CL37" i="9" a="1"/>
  <c r="CK37" i="9"/>
  <c r="CK37" i="9" a="1"/>
  <c r="CJ37" i="9" a="1"/>
  <c r="CJ37" i="9" s="1"/>
  <c r="CI37" i="9" a="1"/>
  <c r="CI37" i="9" s="1"/>
  <c r="CH37" i="9"/>
  <c r="CH37" i="9" a="1"/>
  <c r="CG37" i="9" a="1"/>
  <c r="CG37" i="9" s="1"/>
  <c r="CF37" i="9"/>
  <c r="CF37" i="9" a="1"/>
  <c r="CE37" i="9" a="1"/>
  <c r="CE37" i="9" s="1"/>
  <c r="CD37" i="9" a="1"/>
  <c r="CD37" i="9" s="1"/>
  <c r="CC37" i="9"/>
  <c r="CC37" i="9" a="1"/>
  <c r="CB37" i="9"/>
  <c r="CB37" i="9" a="1"/>
  <c r="CA37" i="9" a="1"/>
  <c r="CA37" i="9" s="1"/>
  <c r="BZ37" i="9" a="1"/>
  <c r="BZ37" i="9" s="1"/>
  <c r="BY37" i="9"/>
  <c r="BY37" i="9" a="1"/>
  <c r="BX37" i="9" a="1"/>
  <c r="BX37" i="9" s="1"/>
  <c r="BW37" i="9" a="1"/>
  <c r="BW37" i="9" s="1"/>
  <c r="BV37" i="9" a="1"/>
  <c r="BV37" i="9" s="1"/>
  <c r="BU37" i="9" a="1"/>
  <c r="BU37" i="9" s="1"/>
  <c r="BT37" i="9"/>
  <c r="BT37" i="9" a="1"/>
  <c r="BS37" i="9" a="1"/>
  <c r="BS37" i="9" s="1"/>
  <c r="BR37" i="9"/>
  <c r="BR37" i="9" a="1"/>
  <c r="BQ37" i="9" a="1"/>
  <c r="BQ37" i="9" s="1"/>
  <c r="BP37" i="9"/>
  <c r="BP37" i="9" a="1"/>
  <c r="BO37" i="9" a="1"/>
  <c r="BO37" i="9" s="1"/>
  <c r="BN37" i="9"/>
  <c r="BN37" i="9" a="1"/>
  <c r="BM37" i="9" a="1"/>
  <c r="BM37" i="9" s="1"/>
  <c r="BL37" i="9" a="1"/>
  <c r="BL37" i="9" s="1"/>
  <c r="BK37" i="9" a="1"/>
  <c r="BK37" i="9" s="1"/>
  <c r="BJ37" i="9" a="1"/>
  <c r="BJ37" i="9" s="1"/>
  <c r="BI37" i="9"/>
  <c r="BI37" i="9" a="1"/>
  <c r="BH37" i="9" a="1"/>
  <c r="BH37" i="9" s="1"/>
  <c r="BG37" i="9" a="1"/>
  <c r="BG37" i="9" s="1"/>
  <c r="BF37" i="9"/>
  <c r="BF37" i="9" a="1"/>
  <c r="BE37" i="9"/>
  <c r="BE37" i="9" a="1"/>
  <c r="BD37" i="9" a="1"/>
  <c r="BD37" i="9" s="1"/>
  <c r="BC37" i="9" a="1"/>
  <c r="BC37" i="9" s="1"/>
  <c r="BB37" i="9"/>
  <c r="BB37" i="9" a="1"/>
  <c r="BA37" i="9" a="1"/>
  <c r="BA37" i="9" s="1"/>
  <c r="AZ37" i="9"/>
  <c r="AZ37" i="9" a="1"/>
  <c r="AY37" i="9" a="1"/>
  <c r="AY37" i="9" s="1"/>
  <c r="AX37" i="9" a="1"/>
  <c r="AX37" i="9" s="1"/>
  <c r="AW37" i="9"/>
  <c r="AW37" i="9" a="1"/>
  <c r="AV37" i="9" a="1"/>
  <c r="AV37" i="9" s="1"/>
  <c r="AU37" i="9" a="1"/>
  <c r="AU37" i="9" s="1"/>
  <c r="AT37" i="9" a="1"/>
  <c r="AT37" i="9" s="1"/>
  <c r="AS37" i="9" a="1"/>
  <c r="AS37" i="9" s="1"/>
  <c r="AR37" i="9" a="1"/>
  <c r="AR37" i="9" s="1"/>
  <c r="AQ37" i="9" a="1"/>
  <c r="AQ37" i="9" s="1"/>
  <c r="AP37" i="9" a="1"/>
  <c r="AP37" i="9" s="1"/>
  <c r="AO37" i="9"/>
  <c r="AO37" i="9" a="1"/>
  <c r="AN37" i="9"/>
  <c r="AN37" i="9" a="1"/>
  <c r="AM37" i="9" a="1"/>
  <c r="AM37" i="9" s="1"/>
  <c r="AL37" i="9"/>
  <c r="AL37" i="9" a="1"/>
  <c r="AK37" i="9" a="1"/>
  <c r="AK37" i="9" s="1"/>
  <c r="AJ37" i="9" a="1"/>
  <c r="AJ37" i="9" s="1"/>
  <c r="AI37" i="9" a="1"/>
  <c r="AI37" i="9" s="1"/>
  <c r="AH37" i="9"/>
  <c r="AH37" i="9" a="1"/>
  <c r="AG37" i="9" a="1"/>
  <c r="AG37" i="9" s="1"/>
  <c r="AF37" i="9" a="1"/>
  <c r="AF37" i="9" s="1"/>
  <c r="AE37" i="9"/>
  <c r="AE37" i="9" a="1"/>
  <c r="AD37" i="9" a="1"/>
  <c r="AD37" i="9" s="1"/>
  <c r="AC37" i="9" a="1"/>
  <c r="AC37" i="9" s="1"/>
  <c r="AB37" i="9"/>
  <c r="AB37" i="9" a="1"/>
  <c r="AA37" i="9"/>
  <c r="AA37" i="9" a="1"/>
  <c r="Z37" i="9"/>
  <c r="Z37" i="9" a="1"/>
  <c r="DF36" i="9"/>
  <c r="DF36" i="9" a="1"/>
  <c r="DE36" i="9"/>
  <c r="DE36" i="9" a="1"/>
  <c r="DD36" i="9" a="1"/>
  <c r="DD36" i="9" s="1"/>
  <c r="DC36" i="9" a="1"/>
  <c r="DC36" i="9" s="1"/>
  <c r="DB36" i="9"/>
  <c r="DB36" i="9" a="1"/>
  <c r="DA36" i="9"/>
  <c r="DA36" i="9" a="1"/>
  <c r="CZ36" i="9"/>
  <c r="CZ36" i="9" a="1"/>
  <c r="CY36" i="9" a="1"/>
  <c r="CY36" i="9" s="1"/>
  <c r="CX36" i="9" a="1"/>
  <c r="CX36" i="9" s="1"/>
  <c r="CW36" i="9"/>
  <c r="CW36" i="9" a="1"/>
  <c r="CV36" i="9" a="1"/>
  <c r="CV36" i="9" s="1"/>
  <c r="CU36" i="9" a="1"/>
  <c r="CU36" i="9" s="1"/>
  <c r="CT36" i="9"/>
  <c r="CT36" i="9" a="1"/>
  <c r="CS36" i="9"/>
  <c r="CS36" i="9" a="1"/>
  <c r="CR36" i="9" a="1"/>
  <c r="CR36" i="9" s="1"/>
  <c r="CQ36" i="9" a="1"/>
  <c r="CQ36" i="9" s="1"/>
  <c r="CP36" i="9" a="1"/>
  <c r="CP36" i="9" s="1"/>
  <c r="CO36" i="9"/>
  <c r="CO36" i="9" a="1"/>
  <c r="CN36" i="9"/>
  <c r="CN36" i="9" a="1"/>
  <c r="CM36" i="9" a="1"/>
  <c r="CM36" i="9" s="1"/>
  <c r="CL36" i="9"/>
  <c r="CL36" i="9" a="1"/>
  <c r="CK36" i="9"/>
  <c r="CK36" i="9" a="1"/>
  <c r="CJ36" i="9"/>
  <c r="CJ36" i="9" a="1"/>
  <c r="CI36" i="9" a="1"/>
  <c r="CI36" i="9" s="1"/>
  <c r="CH36" i="9" a="1"/>
  <c r="CH36" i="9" s="1"/>
  <c r="CG36" i="9"/>
  <c r="CG36" i="9" a="1"/>
  <c r="CF36" i="9" a="1"/>
  <c r="CF36" i="9" s="1"/>
  <c r="CE36" i="9" a="1"/>
  <c r="CE36" i="9" s="1"/>
  <c r="CD36" i="9" a="1"/>
  <c r="CD36" i="9" s="1"/>
  <c r="CC36" i="9"/>
  <c r="CC36" i="9" a="1"/>
  <c r="CB36" i="9"/>
  <c r="CB36" i="9" a="1"/>
  <c r="CA36" i="9" a="1"/>
  <c r="CA36" i="9" s="1"/>
  <c r="BZ36" i="9"/>
  <c r="BZ36" i="9" a="1"/>
  <c r="BY36" i="9" a="1"/>
  <c r="BY36" i="9" s="1"/>
  <c r="BX36" i="9" a="1"/>
  <c r="BX36" i="9" s="1"/>
  <c r="BW36" i="9" a="1"/>
  <c r="BW36" i="9" s="1"/>
  <c r="BV36" i="9"/>
  <c r="BV36" i="9" a="1"/>
  <c r="BU36" i="9" a="1"/>
  <c r="BU36" i="9" s="1"/>
  <c r="BT36" i="9"/>
  <c r="BT36" i="9" a="1"/>
  <c r="BS36" i="9" a="1"/>
  <c r="BS36" i="9" s="1"/>
  <c r="BR36" i="9" a="1"/>
  <c r="BR36" i="9" s="1"/>
  <c r="BQ36" i="9"/>
  <c r="BQ36" i="9" a="1"/>
  <c r="BP36" i="9" a="1"/>
  <c r="BP36" i="9" s="1"/>
  <c r="BO36" i="9" a="1"/>
  <c r="BO36" i="9" s="1"/>
  <c r="BN36" i="9"/>
  <c r="BN36" i="9" a="1"/>
  <c r="BM36" i="9"/>
  <c r="BM36" i="9" a="1"/>
  <c r="BL36" i="9" a="1"/>
  <c r="BL36" i="9" s="1"/>
  <c r="BK36" i="9" a="1"/>
  <c r="BK36" i="9" s="1"/>
  <c r="BJ36" i="9" a="1"/>
  <c r="BJ36" i="9" s="1"/>
  <c r="BI36" i="9" a="1"/>
  <c r="BI36" i="9" s="1"/>
  <c r="BH36" i="9"/>
  <c r="BH36" i="9" a="1"/>
  <c r="BG36" i="9" a="1"/>
  <c r="BG36" i="9" s="1"/>
  <c r="BF36" i="9"/>
  <c r="BF36" i="9" a="1"/>
  <c r="BE36" i="9"/>
  <c r="BE36" i="9" a="1"/>
  <c r="BD36" i="9"/>
  <c r="BD36" i="9" a="1"/>
  <c r="BC36" i="9" a="1"/>
  <c r="BC36" i="9" s="1"/>
  <c r="BB36" i="9" a="1"/>
  <c r="BB36" i="9" s="1"/>
  <c r="BA36" i="9" a="1"/>
  <c r="BA36" i="9" s="1"/>
  <c r="AZ36" i="9" a="1"/>
  <c r="AZ36" i="9" s="1"/>
  <c r="AY36" i="9" a="1"/>
  <c r="AY36" i="9" s="1"/>
  <c r="AX36" i="9" a="1"/>
  <c r="AX36" i="9" s="1"/>
  <c r="AW36" i="9"/>
  <c r="AW36" i="9" a="1"/>
  <c r="AV36" i="9"/>
  <c r="AV36" i="9" a="1"/>
  <c r="AU36" i="9" a="1"/>
  <c r="AU36" i="9" s="1"/>
  <c r="AT36" i="9"/>
  <c r="AT36" i="9" a="1"/>
  <c r="AS36" i="9" a="1"/>
  <c r="AS36" i="9" s="1"/>
  <c r="AR36" i="9" a="1"/>
  <c r="AR36" i="9" s="1"/>
  <c r="AQ36" i="9" a="1"/>
  <c r="AQ36" i="9" s="1"/>
  <c r="AP36" i="9"/>
  <c r="AP36" i="9" a="1"/>
  <c r="AO36" i="9"/>
  <c r="AO36" i="9" a="1"/>
  <c r="AN36" i="9"/>
  <c r="AN36" i="9" a="1"/>
  <c r="AM36" i="9" a="1"/>
  <c r="AM36" i="9" s="1"/>
  <c r="AL36" i="9" a="1"/>
  <c r="AL36" i="9" s="1"/>
  <c r="AK36" i="9"/>
  <c r="AK36" i="9" a="1"/>
  <c r="AJ36" i="9" a="1"/>
  <c r="AJ36" i="9" s="1"/>
  <c r="AI36" i="9" a="1"/>
  <c r="AI36" i="9" s="1"/>
  <c r="AH36" i="9"/>
  <c r="AH36" i="9" a="1"/>
  <c r="AG36" i="9"/>
  <c r="AG36" i="9" a="1"/>
  <c r="AF36" i="9"/>
  <c r="AF36" i="9" a="1"/>
  <c r="AE36" i="9" a="1"/>
  <c r="AE36" i="9" s="1"/>
  <c r="AD36" i="9" a="1"/>
  <c r="AD36" i="9" s="1"/>
  <c r="AC36" i="9" a="1"/>
  <c r="AC36" i="9" s="1"/>
  <c r="AB36" i="9"/>
  <c r="AB36" i="9" a="1"/>
  <c r="AA36" i="9" a="1"/>
  <c r="AA36" i="9" s="1"/>
  <c r="Z36" i="9"/>
  <c r="Z36" i="9" a="1"/>
  <c r="DF35" i="9"/>
  <c r="DF35" i="9" a="1"/>
  <c r="DE35" i="9" a="1"/>
  <c r="DE35" i="9" s="1"/>
  <c r="DD35" i="9"/>
  <c r="DD35" i="9" a="1"/>
  <c r="DC35" i="9" a="1"/>
  <c r="DC35" i="9" s="1"/>
  <c r="DB35" i="9" a="1"/>
  <c r="DB35" i="9" s="1"/>
  <c r="DA35" i="9" a="1"/>
  <c r="DA35" i="9" s="1"/>
  <c r="CZ35" i="9"/>
  <c r="CZ35" i="9" a="1"/>
  <c r="CY35" i="9"/>
  <c r="CY35" i="9" a="1"/>
  <c r="CX35" i="9"/>
  <c r="CX35" i="9" a="1"/>
  <c r="CW35" i="9" a="1"/>
  <c r="CW35" i="9" s="1"/>
  <c r="CV35" i="9" a="1"/>
  <c r="CV35" i="9" s="1"/>
  <c r="CU35" i="9" a="1"/>
  <c r="CU35" i="9" s="1"/>
  <c r="CT35" i="9" a="1"/>
  <c r="CT35" i="9" s="1"/>
  <c r="CS35" i="9" a="1"/>
  <c r="CS35" i="9" s="1"/>
  <c r="CR35" i="9"/>
  <c r="CR35" i="9" a="1"/>
  <c r="CQ35" i="9"/>
  <c r="CQ35" i="9" a="1"/>
  <c r="CP35" i="9"/>
  <c r="CP35" i="9" a="1"/>
  <c r="CO35" i="9" a="1"/>
  <c r="CO35" i="9" s="1"/>
  <c r="CN35" i="9" a="1"/>
  <c r="CN35" i="9" s="1"/>
  <c r="CM35" i="9" a="1"/>
  <c r="CM35" i="9" s="1"/>
  <c r="CL35" i="9" a="1"/>
  <c r="CL35" i="9" s="1"/>
  <c r="CK35" i="9" a="1"/>
  <c r="CK35" i="9" s="1"/>
  <c r="CJ35" i="9"/>
  <c r="CJ35" i="9" a="1"/>
  <c r="CI35" i="9"/>
  <c r="CI35" i="9" a="1"/>
  <c r="CH35" i="9"/>
  <c r="CH35" i="9" a="1"/>
  <c r="CG35" i="9" a="1"/>
  <c r="CG35" i="9" s="1"/>
  <c r="CF35" i="9" a="1"/>
  <c r="CF35" i="9" s="1"/>
  <c r="CE35" i="9" a="1"/>
  <c r="CE35" i="9" s="1"/>
  <c r="CD35" i="9" a="1"/>
  <c r="CD35" i="9" s="1"/>
  <c r="CC35" i="9" a="1"/>
  <c r="CC35" i="9" s="1"/>
  <c r="CB35" i="9"/>
  <c r="CB35" i="9" a="1"/>
  <c r="CA35" i="9"/>
  <c r="CA35" i="9" a="1"/>
  <c r="BZ35" i="9"/>
  <c r="BZ35" i="9" a="1"/>
  <c r="BY35" i="9" a="1"/>
  <c r="BY35" i="9" s="1"/>
  <c r="BX35" i="9"/>
  <c r="BX35" i="9" a="1"/>
  <c r="BW35" i="9" a="1"/>
  <c r="BW35" i="9" s="1"/>
  <c r="BV35" i="9" a="1"/>
  <c r="BV35" i="9" s="1"/>
  <c r="BU35" i="9" a="1"/>
  <c r="BU35" i="9" s="1"/>
  <c r="BT35" i="9"/>
  <c r="BT35" i="9" a="1"/>
  <c r="BS35" i="9"/>
  <c r="BS35" i="9" a="1"/>
  <c r="BR35" i="9"/>
  <c r="BR35" i="9" a="1"/>
  <c r="BQ35" i="9" a="1"/>
  <c r="BQ35" i="9" s="1"/>
  <c r="BP35" i="9" a="1"/>
  <c r="BP35" i="9" s="1"/>
  <c r="BO35" i="9"/>
  <c r="BO35" i="9" a="1"/>
  <c r="BN35" i="9" a="1"/>
  <c r="BN35" i="9" s="1"/>
  <c r="BM35" i="9" a="1"/>
  <c r="BM35" i="9" s="1"/>
  <c r="BL35" i="9"/>
  <c r="BL35" i="9" a="1"/>
  <c r="BK35" i="9"/>
  <c r="BK35" i="9" a="1"/>
  <c r="BJ35" i="9"/>
  <c r="BJ35" i="9" a="1"/>
  <c r="BI35" i="9" a="1"/>
  <c r="BI35" i="9" s="1"/>
  <c r="BH35" i="9" a="1"/>
  <c r="BH35" i="9" s="1"/>
  <c r="BG35" i="9"/>
  <c r="BG35" i="9" a="1"/>
  <c r="BF35" i="9" a="1"/>
  <c r="BF35" i="9" s="1"/>
  <c r="BE35" i="9" a="1"/>
  <c r="BE35" i="9" s="1"/>
  <c r="BD35" i="9"/>
  <c r="BD35" i="9" a="1"/>
  <c r="BC35" i="9" a="1"/>
  <c r="BC35" i="9" s="1"/>
  <c r="BB35" i="9"/>
  <c r="BB35" i="9" a="1"/>
  <c r="BA35" i="9" a="1"/>
  <c r="BA35" i="9" s="1"/>
  <c r="AZ35" i="9" a="1"/>
  <c r="AZ35" i="9" s="1"/>
  <c r="AY35" i="9" a="1"/>
  <c r="AY35" i="9" s="1"/>
  <c r="AX35" i="9"/>
  <c r="AX35" i="9" a="1"/>
  <c r="AW35" i="9" a="1"/>
  <c r="AW35" i="9" s="1"/>
  <c r="AV35" i="9"/>
  <c r="AV35" i="9" a="1"/>
  <c r="AU35" i="9"/>
  <c r="AU35" i="9" a="1"/>
  <c r="AT35" i="9" a="1"/>
  <c r="AT35" i="9" s="1"/>
  <c r="AS35" i="9" a="1"/>
  <c r="AS35" i="9" s="1"/>
  <c r="AR35" i="9" a="1"/>
  <c r="AR35" i="9" s="1"/>
  <c r="AQ35" i="9" a="1"/>
  <c r="AQ35" i="9" s="1"/>
  <c r="AP35" i="9" a="1"/>
  <c r="AP35" i="9" s="1"/>
  <c r="AO35" i="9" a="1"/>
  <c r="AO35" i="9" s="1"/>
  <c r="AN35" i="9"/>
  <c r="AN35" i="9" a="1"/>
  <c r="AM35" i="9"/>
  <c r="AM35" i="9" a="1"/>
  <c r="AL35" i="9"/>
  <c r="AL35" i="9" a="1"/>
  <c r="AK35" i="9" a="1"/>
  <c r="AK35" i="9" s="1"/>
  <c r="AJ35" i="9"/>
  <c r="AJ35" i="9" a="1"/>
  <c r="AI35" i="9" a="1"/>
  <c r="AI35" i="9" s="1"/>
  <c r="AH35" i="9" a="1"/>
  <c r="AH35" i="9" s="1"/>
  <c r="AG35" i="9" a="1"/>
  <c r="AG35" i="9" s="1"/>
  <c r="AF35" i="9"/>
  <c r="AF35" i="9" a="1"/>
  <c r="AE35" i="9"/>
  <c r="AE35" i="9" a="1"/>
  <c r="AD35" i="9"/>
  <c r="AD35" i="9" a="1"/>
  <c r="AC35" i="9" a="1"/>
  <c r="AC35" i="9" s="1"/>
  <c r="AB35" i="9" a="1"/>
  <c r="AB35" i="9" s="1"/>
  <c r="AA35" i="9"/>
  <c r="AA35" i="9" a="1"/>
  <c r="Z35" i="9" a="1"/>
  <c r="Z35" i="9" s="1"/>
  <c r="DF34" i="9"/>
  <c r="DF34" i="9" a="1"/>
  <c r="DE34" i="9"/>
  <c r="DE34" i="9" a="1"/>
  <c r="DD34" i="9"/>
  <c r="DD34" i="9" a="1"/>
  <c r="DC34" i="9" a="1"/>
  <c r="DC34" i="9" s="1"/>
  <c r="DB34" i="9" a="1"/>
  <c r="DB34" i="9" s="1"/>
  <c r="DA34" i="9" a="1"/>
  <c r="DA34" i="9" s="1"/>
  <c r="CZ34" i="9"/>
  <c r="CZ34" i="9" a="1"/>
  <c r="CY34" i="9" a="1"/>
  <c r="CY34" i="9" s="1"/>
  <c r="CX34" i="9"/>
  <c r="CX34" i="9" a="1"/>
  <c r="CW34" i="9"/>
  <c r="CW34" i="9" a="1"/>
  <c r="CV34" i="9" a="1"/>
  <c r="CV34" i="9" s="1"/>
  <c r="CU34" i="9" a="1"/>
  <c r="CU34" i="9" s="1"/>
  <c r="CT34" i="9" a="1"/>
  <c r="CT34" i="9" s="1"/>
  <c r="CS34" i="9" a="1"/>
  <c r="CS34" i="9" s="1"/>
  <c r="CR34" i="9" a="1"/>
  <c r="CR34" i="9" s="1"/>
  <c r="CQ34" i="9" a="1"/>
  <c r="CQ34" i="9" s="1"/>
  <c r="CP34" i="9"/>
  <c r="CP34" i="9" a="1"/>
  <c r="CO34" i="9"/>
  <c r="CO34" i="9" a="1"/>
  <c r="CN34" i="9"/>
  <c r="CN34" i="9" a="1"/>
  <c r="CM34" i="9" a="1"/>
  <c r="CM34" i="9" s="1"/>
  <c r="CL34" i="9"/>
  <c r="CL34" i="9" a="1"/>
  <c r="CK34" i="9" a="1"/>
  <c r="CK34" i="9" s="1"/>
  <c r="CJ34" i="9" a="1"/>
  <c r="CJ34" i="9" s="1"/>
  <c r="CI34" i="9" a="1"/>
  <c r="CI34" i="9" s="1"/>
  <c r="CH34" i="9"/>
  <c r="CH34" i="9" a="1"/>
  <c r="CG34" i="9"/>
  <c r="CG34" i="9" a="1"/>
  <c r="CF34" i="9"/>
  <c r="CF34" i="9" a="1"/>
  <c r="CE34" i="9" a="1"/>
  <c r="CE34" i="9" s="1"/>
  <c r="CD34" i="9" a="1"/>
  <c r="CD34" i="9" s="1"/>
  <c r="CC34" i="9"/>
  <c r="CC34" i="9" a="1"/>
  <c r="CB34" i="9" a="1"/>
  <c r="CB34" i="9" s="1"/>
  <c r="CA34" i="9" a="1"/>
  <c r="CA34" i="9" s="1"/>
  <c r="BZ34" i="9"/>
  <c r="BZ34" i="9" a="1"/>
  <c r="BY34" i="9"/>
  <c r="BY34" i="9" a="1"/>
  <c r="BX34" i="9"/>
  <c r="BX34" i="9" a="1"/>
  <c r="BW34" i="9" a="1"/>
  <c r="BW34" i="9" s="1"/>
  <c r="BV34" i="9" a="1"/>
  <c r="BV34" i="9" s="1"/>
  <c r="BU34" i="9" a="1"/>
  <c r="BU34" i="9" s="1"/>
  <c r="BT34" i="9"/>
  <c r="BT34" i="9" a="1"/>
  <c r="BS34" i="9" a="1"/>
  <c r="BS34" i="9" s="1"/>
  <c r="BR34" i="9"/>
  <c r="BR34" i="9" a="1"/>
  <c r="BQ34" i="9"/>
  <c r="BQ34" i="9" a="1"/>
  <c r="BP34" i="9"/>
  <c r="BP34" i="9" a="1"/>
  <c r="BO34" i="9" a="1"/>
  <c r="BO34" i="9" s="1"/>
  <c r="BN34" i="9" a="1"/>
  <c r="BN34" i="9" s="1"/>
  <c r="BM34" i="9" a="1"/>
  <c r="BM34" i="9" s="1"/>
  <c r="BL34" i="9" a="1"/>
  <c r="BL34" i="9" s="1"/>
  <c r="BK34" i="9" a="1"/>
  <c r="BK34" i="9" s="1"/>
  <c r="BJ34" i="9"/>
  <c r="BJ34" i="9" a="1"/>
  <c r="BI34" i="9"/>
  <c r="BI34" i="9" a="1"/>
  <c r="BH34" i="9"/>
  <c r="BH34" i="9" a="1"/>
  <c r="BG34" i="9" a="1"/>
  <c r="BG34" i="9" s="1"/>
  <c r="BF34" i="9"/>
  <c r="BF34" i="9" a="1"/>
  <c r="BE34" i="9" a="1"/>
  <c r="BE34" i="9" s="1"/>
  <c r="BD34" i="9" a="1"/>
  <c r="BD34" i="9" s="1"/>
  <c r="BC34" i="9" a="1"/>
  <c r="BC34" i="9" s="1"/>
  <c r="BB34" i="9"/>
  <c r="BB34" i="9" a="1"/>
  <c r="BA34" i="9" a="1"/>
  <c r="BA34" i="9" s="1"/>
  <c r="AZ34" i="9"/>
  <c r="AZ34" i="9" a="1"/>
  <c r="AY34" i="9" a="1"/>
  <c r="AY34" i="9" s="1"/>
  <c r="AX34" i="9" a="1"/>
  <c r="AX34" i="9" s="1"/>
  <c r="AW34" i="9"/>
  <c r="AW34" i="9" a="1"/>
  <c r="AV34" i="9" a="1"/>
  <c r="AV34" i="9" s="1"/>
  <c r="AU34" i="9" a="1"/>
  <c r="AU34" i="9" s="1"/>
  <c r="AT34" i="9"/>
  <c r="AT34" i="9" a="1"/>
  <c r="AS34" i="9"/>
  <c r="AS34" i="9" a="1"/>
  <c r="AR34" i="9"/>
  <c r="AR34" i="9" a="1"/>
  <c r="AQ34" i="9" a="1"/>
  <c r="AQ34" i="9" s="1"/>
  <c r="AP34" i="9" a="1"/>
  <c r="AP34" i="9" s="1"/>
  <c r="AO34" i="9" a="1"/>
  <c r="AO34" i="9" s="1"/>
  <c r="AN34" i="9"/>
  <c r="AN34" i="9" a="1"/>
  <c r="AM34" i="9" a="1"/>
  <c r="AM34" i="9" s="1"/>
  <c r="AL34" i="9"/>
  <c r="AL34" i="9" a="1"/>
  <c r="AK34" i="9"/>
  <c r="AK34" i="9" a="1"/>
  <c r="AJ34" i="9"/>
  <c r="AJ34" i="9" a="1"/>
  <c r="AI34" i="9" a="1"/>
  <c r="AI34" i="9" s="1"/>
  <c r="AH34" i="9" a="1"/>
  <c r="AH34" i="9" s="1"/>
  <c r="AG34" i="9" a="1"/>
  <c r="AG34" i="9" s="1"/>
  <c r="AF34" i="9" a="1"/>
  <c r="AF34" i="9" s="1"/>
  <c r="AE34" i="9" a="1"/>
  <c r="AE34" i="9" s="1"/>
  <c r="AD34" i="9" a="1"/>
  <c r="AD34" i="9" s="1"/>
  <c r="AC34" i="9"/>
  <c r="AC34" i="9" a="1"/>
  <c r="AB34" i="9"/>
  <c r="AB34" i="9" a="1"/>
  <c r="AA34" i="9" a="1"/>
  <c r="AA34" i="9" s="1"/>
  <c r="Z34" i="9"/>
  <c r="Z34" i="9" a="1"/>
  <c r="DF33" i="9" a="1"/>
  <c r="DF33" i="9" s="1"/>
  <c r="DE33" i="9" a="1"/>
  <c r="DE33" i="9" s="1"/>
  <c r="DD33" i="9"/>
  <c r="DD33" i="9" a="1"/>
  <c r="DC33" i="9"/>
  <c r="DC33" i="9" a="1"/>
  <c r="DB33" i="9"/>
  <c r="DB33" i="9" a="1"/>
  <c r="DA33" i="9" a="1"/>
  <c r="DA33" i="9" s="1"/>
  <c r="CZ33" i="9" a="1"/>
  <c r="CZ33" i="9" s="1"/>
  <c r="CY33" i="9"/>
  <c r="CY33" i="9" a="1"/>
  <c r="CX33" i="9" a="1"/>
  <c r="CX33" i="9" s="1"/>
  <c r="CW33" i="9" a="1"/>
  <c r="CW33" i="9" s="1"/>
  <c r="CV33" i="9"/>
  <c r="CV33" i="9" a="1"/>
  <c r="CU33" i="9"/>
  <c r="CU33" i="9" a="1"/>
  <c r="CT33" i="9"/>
  <c r="CT33" i="9" a="1"/>
  <c r="CS33" i="9" a="1"/>
  <c r="CS33" i="9" s="1"/>
  <c r="CR33" i="9" a="1"/>
  <c r="CR33" i="9" s="1"/>
  <c r="CQ33" i="9" a="1"/>
  <c r="CQ33" i="9" s="1"/>
  <c r="CP33" i="9"/>
  <c r="CP33" i="9" a="1"/>
  <c r="CO33" i="9" a="1"/>
  <c r="CO33" i="9" s="1"/>
  <c r="CN33" i="9"/>
  <c r="CN33" i="9" a="1"/>
  <c r="CM33" i="9"/>
  <c r="CM33" i="9" a="1"/>
  <c r="CL33" i="9"/>
  <c r="CL33" i="9" a="1"/>
  <c r="CK33" i="9" a="1"/>
  <c r="CK33" i="9" s="1"/>
  <c r="CJ33" i="9" a="1"/>
  <c r="CJ33" i="9" s="1"/>
  <c r="CI33" i="9" a="1"/>
  <c r="CI33" i="9" s="1"/>
  <c r="CH33" i="9" a="1"/>
  <c r="CH33" i="9" s="1"/>
  <c r="CG33" i="9" a="1"/>
  <c r="CG33" i="9" s="1"/>
  <c r="CF33" i="9"/>
  <c r="CF33" i="9" a="1"/>
  <c r="CE33" i="9"/>
  <c r="CE33" i="9" a="1"/>
  <c r="CD33" i="9"/>
  <c r="CD33" i="9" a="1"/>
  <c r="CC33" i="9" a="1"/>
  <c r="CC33" i="9" s="1"/>
  <c r="CB33" i="9"/>
  <c r="CB33" i="9" a="1"/>
  <c r="CA33" i="9" a="1"/>
  <c r="CA33" i="9" s="1"/>
  <c r="BZ33" i="9" a="1"/>
  <c r="BZ33" i="9" s="1"/>
  <c r="BY33" i="9" a="1"/>
  <c r="BY33" i="9" s="1"/>
  <c r="BX33" i="9"/>
  <c r="BX33" i="9" a="1"/>
  <c r="BW33" i="9"/>
  <c r="BW33" i="9" a="1"/>
  <c r="BV33" i="9"/>
  <c r="BV33" i="9" a="1"/>
  <c r="BU33" i="9" a="1"/>
  <c r="BU33" i="9" s="1"/>
  <c r="BT33" i="9" a="1"/>
  <c r="BT33" i="9" s="1"/>
  <c r="BS33" i="9"/>
  <c r="BS33" i="9" a="1"/>
  <c r="BR33" i="9" a="1"/>
  <c r="BR33" i="9" s="1"/>
  <c r="BQ33" i="9" a="1"/>
  <c r="BQ33" i="9" s="1"/>
  <c r="BP33" i="9"/>
  <c r="BP33" i="9" a="1"/>
  <c r="BO33" i="9"/>
  <c r="BO33" i="9" a="1"/>
  <c r="BN33" i="9"/>
  <c r="BN33" i="9" a="1"/>
  <c r="BM33" i="9" a="1"/>
  <c r="BM33" i="9" s="1"/>
  <c r="BL33" i="9" a="1"/>
  <c r="BL33" i="9" s="1"/>
  <c r="BK33" i="9" a="1"/>
  <c r="BK33" i="9" s="1"/>
  <c r="BJ33" i="9"/>
  <c r="BJ33" i="9" a="1"/>
  <c r="BI33" i="9" a="1"/>
  <c r="BI33" i="9" s="1"/>
  <c r="BH33" i="9"/>
  <c r="BH33" i="9" a="1"/>
  <c r="BG33" i="9"/>
  <c r="BG33" i="9" a="1"/>
  <c r="BF33" i="9"/>
  <c r="BF33" i="9" a="1"/>
  <c r="BE33" i="9" a="1"/>
  <c r="BE33" i="9" s="1"/>
  <c r="BD33" i="9" a="1"/>
  <c r="BD33" i="9" s="1"/>
  <c r="BC33" i="9" a="1"/>
  <c r="BC33" i="9" s="1"/>
  <c r="BB33" i="9" a="1"/>
  <c r="BB33" i="9" s="1"/>
  <c r="BA33" i="9" a="1"/>
  <c r="BA33" i="9" s="1"/>
  <c r="AZ33" i="9"/>
  <c r="AZ33" i="9" a="1"/>
  <c r="AY33" i="9"/>
  <c r="AY33" i="9" a="1"/>
  <c r="AX33" i="9"/>
  <c r="AX33" i="9" a="1"/>
  <c r="AW33" i="9" a="1"/>
  <c r="AW33" i="9" s="1"/>
  <c r="AV33" i="9"/>
  <c r="AV33" i="9" a="1"/>
  <c r="AU33" i="9" a="1"/>
  <c r="AU33" i="9" s="1"/>
  <c r="AT33" i="9" a="1"/>
  <c r="AT33" i="9" s="1"/>
  <c r="AS33" i="9" a="1"/>
  <c r="AS33" i="9" s="1"/>
  <c r="AR33" i="9"/>
  <c r="AR33" i="9" a="1"/>
  <c r="AQ33" i="9"/>
  <c r="AQ33" i="9" a="1"/>
  <c r="AP33" i="9"/>
  <c r="AP33" i="9" a="1"/>
  <c r="AO33" i="9" a="1"/>
  <c r="AO33" i="9" s="1"/>
  <c r="AN33" i="9" a="1"/>
  <c r="AN33" i="9" s="1"/>
  <c r="AM33" i="9"/>
  <c r="AM33" i="9" a="1"/>
  <c r="AL33" i="9" a="1"/>
  <c r="AL33" i="9" s="1"/>
  <c r="AK33" i="9" a="1"/>
  <c r="AK33" i="9" s="1"/>
  <c r="AJ33" i="9"/>
  <c r="AJ33" i="9" a="1"/>
  <c r="AI33" i="9"/>
  <c r="AI33" i="9" a="1"/>
  <c r="AH33" i="9"/>
  <c r="AH33" i="9" a="1"/>
  <c r="AG33" i="9" a="1"/>
  <c r="AG33" i="9" s="1"/>
  <c r="AF33" i="9" a="1"/>
  <c r="AF33" i="9" s="1"/>
  <c r="AE33" i="9" a="1"/>
  <c r="AE33" i="9" s="1"/>
  <c r="AD33" i="9"/>
  <c r="AD33" i="9" a="1"/>
  <c r="AC33" i="9" a="1"/>
  <c r="AC33" i="9" s="1"/>
  <c r="AB33" i="9"/>
  <c r="AB33" i="9" a="1"/>
  <c r="AA33" i="9"/>
  <c r="AA33" i="9" a="1"/>
  <c r="Z33" i="9"/>
  <c r="Z33" i="9" a="1"/>
  <c r="DF32" i="9" a="1"/>
  <c r="DF32" i="9" s="1"/>
  <c r="DE32" i="9" a="1"/>
  <c r="DE32" i="9" s="1"/>
  <c r="DD32" i="9" a="1"/>
  <c r="DD32" i="9" s="1"/>
  <c r="DC32" i="9" a="1"/>
  <c r="DC32" i="9" s="1"/>
  <c r="DB32" i="9"/>
  <c r="DB32" i="9" a="1"/>
  <c r="DA32" i="9"/>
  <c r="DA32" i="9" a="1"/>
  <c r="CZ32" i="9"/>
  <c r="CZ32" i="9" a="1"/>
  <c r="CY32" i="9" a="1"/>
  <c r="CY32" i="9" s="1"/>
  <c r="CX32" i="9"/>
  <c r="CX32" i="9" a="1"/>
  <c r="CW32" i="9" a="1"/>
  <c r="CW32" i="9" s="1"/>
  <c r="CV32" i="9" a="1"/>
  <c r="CV32" i="9" s="1"/>
  <c r="CU32" i="9" a="1"/>
  <c r="CU32" i="9" s="1"/>
  <c r="CT32" i="9"/>
  <c r="CT32" i="9" a="1"/>
  <c r="CS32" i="9"/>
  <c r="CS32" i="9" a="1"/>
  <c r="CR32" i="9"/>
  <c r="CR32" i="9" a="1"/>
  <c r="CQ32" i="9" a="1"/>
  <c r="CQ32" i="9" s="1"/>
  <c r="CP32" i="9" a="1"/>
  <c r="CP32" i="9" s="1"/>
  <c r="CO32" i="9"/>
  <c r="CO32" i="9" a="1"/>
  <c r="CN32" i="9" a="1"/>
  <c r="CN32" i="9" s="1"/>
  <c r="CM32" i="9" a="1"/>
  <c r="CM32" i="9" s="1"/>
  <c r="CL32" i="9"/>
  <c r="CL32" i="9" a="1"/>
  <c r="CK32" i="9"/>
  <c r="CK32" i="9" a="1"/>
  <c r="CJ32" i="9"/>
  <c r="CJ32" i="9" a="1"/>
  <c r="CI32" i="9" a="1"/>
  <c r="CI32" i="9" s="1"/>
  <c r="CH32" i="9" a="1"/>
  <c r="CH32" i="9" s="1"/>
  <c r="CG32" i="9" a="1"/>
  <c r="CG32" i="9" s="1"/>
  <c r="CF32" i="9"/>
  <c r="CF32" i="9" a="1"/>
  <c r="CE32" i="9" a="1"/>
  <c r="CE32" i="9" s="1"/>
  <c r="CD32" i="9"/>
  <c r="CD32" i="9" a="1"/>
  <c r="CC32" i="9"/>
  <c r="CC32" i="9" a="1"/>
  <c r="CB32" i="9"/>
  <c r="CB32" i="9" a="1"/>
  <c r="CA32" i="9" a="1"/>
  <c r="CA32" i="9" s="1"/>
  <c r="BZ32" i="9" a="1"/>
  <c r="BZ32" i="9" s="1"/>
  <c r="BY32" i="9" a="1"/>
  <c r="BY32" i="9" s="1"/>
  <c r="BX32" i="9" a="1"/>
  <c r="BX32" i="9" s="1"/>
  <c r="BW32" i="9" a="1"/>
  <c r="BW32" i="9" s="1"/>
  <c r="BV32" i="9"/>
  <c r="BV32" i="9" a="1"/>
  <c r="BU32" i="9"/>
  <c r="BU32" i="9" a="1"/>
  <c r="BT32" i="9"/>
  <c r="BT32" i="9" a="1"/>
  <c r="BS32" i="9" a="1"/>
  <c r="BS32" i="9" s="1"/>
  <c r="BR32" i="9"/>
  <c r="BR32" i="9" a="1"/>
  <c r="BQ32" i="9" a="1"/>
  <c r="BQ32" i="9" s="1"/>
  <c r="BP32" i="9" a="1"/>
  <c r="BP32" i="9" s="1"/>
  <c r="BO32" i="9" a="1"/>
  <c r="BO32" i="9" s="1"/>
  <c r="BN32" i="9"/>
  <c r="BN32" i="9" a="1"/>
  <c r="BM32" i="9"/>
  <c r="BM32" i="9" a="1"/>
  <c r="BL32" i="9"/>
  <c r="BL32" i="9" a="1"/>
  <c r="BK32" i="9" a="1"/>
  <c r="BK32" i="9" s="1"/>
  <c r="BJ32" i="9" a="1"/>
  <c r="BJ32" i="9" s="1"/>
  <c r="BI32" i="9"/>
  <c r="BI32" i="9" a="1"/>
  <c r="BH32" i="9" a="1"/>
  <c r="BH32" i="9" s="1"/>
  <c r="BG32" i="9" a="1"/>
  <c r="BG32" i="9" s="1"/>
  <c r="BF32" i="9"/>
  <c r="BF32" i="9" a="1"/>
  <c r="BE32" i="9"/>
  <c r="BE32" i="9" a="1"/>
  <c r="BD32" i="9"/>
  <c r="BD32" i="9" a="1"/>
  <c r="BC32" i="9" a="1"/>
  <c r="BC32" i="9" s="1"/>
  <c r="BB32" i="9" a="1"/>
  <c r="BB32" i="9" s="1"/>
  <c r="BA32" i="9" a="1"/>
  <c r="BA32" i="9" s="1"/>
  <c r="AZ32" i="9"/>
  <c r="AZ32" i="9" a="1"/>
  <c r="AY32" i="9" a="1"/>
  <c r="AY32" i="9" s="1"/>
  <c r="AX32" i="9"/>
  <c r="AX32" i="9" a="1"/>
  <c r="AW32" i="9"/>
  <c r="AW32" i="9" a="1"/>
  <c r="AV32" i="9"/>
  <c r="AV32" i="9" a="1"/>
  <c r="AU32" i="9" a="1"/>
  <c r="AU32" i="9" s="1"/>
  <c r="AT32" i="9" a="1"/>
  <c r="AT32" i="9" s="1"/>
  <c r="AS32" i="9" a="1"/>
  <c r="AS32" i="9" s="1"/>
  <c r="AR32" i="9" a="1"/>
  <c r="AR32" i="9" s="1"/>
  <c r="AQ32" i="9" a="1"/>
  <c r="AQ32" i="9" s="1"/>
  <c r="AP32" i="9"/>
  <c r="AP32" i="9" a="1"/>
  <c r="AO32" i="9"/>
  <c r="AO32" i="9" a="1"/>
  <c r="AN32" i="9"/>
  <c r="AN32" i="9" a="1"/>
  <c r="AM32" i="9" a="1"/>
  <c r="AM32" i="9" s="1"/>
  <c r="AL32" i="9"/>
  <c r="AL32" i="9" a="1"/>
  <c r="AK32" i="9" a="1"/>
  <c r="AK32" i="9" s="1"/>
  <c r="AJ32" i="9" a="1"/>
  <c r="AJ32" i="9" s="1"/>
  <c r="AI32" i="9" a="1"/>
  <c r="AI32" i="9" s="1"/>
  <c r="AH32" i="9"/>
  <c r="AH32" i="9" a="1"/>
  <c r="AG32" i="9"/>
  <c r="AG32" i="9" a="1"/>
  <c r="AF32" i="9"/>
  <c r="AF32" i="9" a="1"/>
  <c r="AE32" i="9" a="1"/>
  <c r="AE32" i="9" s="1"/>
  <c r="AD32" i="9" a="1"/>
  <c r="AD32" i="9" s="1"/>
  <c r="AC32" i="9"/>
  <c r="AC32" i="9" a="1"/>
  <c r="AB32" i="9" a="1"/>
  <c r="AB32" i="9" s="1"/>
  <c r="AA32" i="9" a="1"/>
  <c r="AA32" i="9" s="1"/>
  <c r="Z32" i="9"/>
  <c r="Z32" i="9" a="1"/>
  <c r="DF31" i="9"/>
  <c r="DF31" i="9" a="1"/>
  <c r="DE31" i="9" a="1"/>
  <c r="DE31" i="9" s="1"/>
  <c r="DD31" i="9" a="1"/>
  <c r="DD31" i="9" s="1"/>
  <c r="DC31" i="9" a="1"/>
  <c r="DC31" i="9" s="1"/>
  <c r="DB31" i="9"/>
  <c r="DB31" i="9" a="1"/>
  <c r="DA31" i="9" a="1"/>
  <c r="DA31" i="9" s="1"/>
  <c r="CZ31" i="9"/>
  <c r="CZ31" i="9" a="1"/>
  <c r="CY31" i="9"/>
  <c r="CY31" i="9" a="1"/>
  <c r="CX31" i="9"/>
  <c r="CX31" i="9" a="1"/>
  <c r="CW31" i="9" a="1"/>
  <c r="CW31" i="9" s="1"/>
  <c r="CV31" i="9" a="1"/>
  <c r="CV31" i="9" s="1"/>
  <c r="CU31" i="9" a="1"/>
  <c r="CU31" i="9" s="1"/>
  <c r="CT31" i="9" a="1"/>
  <c r="CT31" i="9" s="1"/>
  <c r="CS31" i="9" a="1"/>
  <c r="CS31" i="9" s="1"/>
  <c r="CR31" i="9"/>
  <c r="CR31" i="9" a="1"/>
  <c r="CQ31" i="9"/>
  <c r="CQ31" i="9" a="1"/>
  <c r="CP31" i="9"/>
  <c r="CP31" i="9" a="1"/>
  <c r="CO31" i="9" a="1"/>
  <c r="CO31" i="9" s="1"/>
  <c r="CN31" i="9" a="1"/>
  <c r="CN31" i="9" s="1"/>
  <c r="CM31" i="9" a="1"/>
  <c r="CM31" i="9" s="1"/>
  <c r="CL31" i="9" a="1"/>
  <c r="CL31" i="9" s="1"/>
  <c r="CK31" i="9" a="1"/>
  <c r="CK31" i="9" s="1"/>
  <c r="CJ31" i="9"/>
  <c r="CJ31" i="9" a="1"/>
  <c r="CI31" i="9"/>
  <c r="CI31" i="9" a="1"/>
  <c r="CH31" i="9"/>
  <c r="CH31" i="9" a="1"/>
  <c r="CG31" i="9" a="1"/>
  <c r="CG31" i="9" s="1"/>
  <c r="CF31" i="9" a="1"/>
  <c r="CF31" i="9" s="1"/>
  <c r="CE31" i="9" a="1"/>
  <c r="CE31" i="9" s="1"/>
  <c r="CD31" i="9" a="1"/>
  <c r="CD31" i="9" s="1"/>
  <c r="CC31" i="9" a="1"/>
  <c r="CC31" i="9" s="1"/>
  <c r="CB31" i="9"/>
  <c r="CB31" i="9" a="1"/>
  <c r="CA31" i="9"/>
  <c r="CA31" i="9" a="1"/>
  <c r="BZ31" i="9"/>
  <c r="BZ31" i="9" a="1"/>
  <c r="BY31" i="9" a="1"/>
  <c r="BY31" i="9" s="1"/>
  <c r="BX31" i="9" a="1"/>
  <c r="BX31" i="9" s="1"/>
  <c r="BW31" i="9" a="1"/>
  <c r="BW31" i="9" s="1"/>
  <c r="BV31" i="9" a="1"/>
  <c r="BV31" i="9" s="1"/>
  <c r="BU31" i="9" a="1"/>
  <c r="BU31" i="9" s="1"/>
  <c r="BT31" i="9"/>
  <c r="BT31" i="9" a="1"/>
  <c r="BS31" i="9"/>
  <c r="BS31" i="9" a="1"/>
  <c r="BR31" i="9"/>
  <c r="BR31" i="9" a="1"/>
  <c r="BQ31" i="9" a="1"/>
  <c r="BQ31" i="9" s="1"/>
  <c r="BP31" i="9" a="1"/>
  <c r="BP31" i="9" s="1"/>
  <c r="BO31" i="9" a="1"/>
  <c r="BO31" i="9" s="1"/>
  <c r="BN31" i="9" a="1"/>
  <c r="BN31" i="9" s="1"/>
  <c r="BM31" i="9" a="1"/>
  <c r="BM31" i="9" s="1"/>
  <c r="BL31" i="9"/>
  <c r="BL31" i="9" a="1"/>
  <c r="BK31" i="9"/>
  <c r="BK31" i="9" a="1"/>
  <c r="BJ31" i="9"/>
  <c r="BJ31" i="9" a="1"/>
  <c r="BI31" i="9" a="1"/>
  <c r="BI31" i="9" s="1"/>
  <c r="BH31" i="9"/>
  <c r="BH31" i="9" a="1"/>
  <c r="BG31" i="9" a="1"/>
  <c r="BG31" i="9" s="1"/>
  <c r="BF31" i="9" a="1"/>
  <c r="BF31" i="9" s="1"/>
  <c r="BE31" i="9" a="1"/>
  <c r="BE31" i="9" s="1"/>
  <c r="BD31" i="9"/>
  <c r="BD31" i="9" a="1"/>
  <c r="BC31" i="9"/>
  <c r="BC31" i="9" a="1"/>
  <c r="BB31" i="9"/>
  <c r="BB31" i="9" a="1"/>
  <c r="BA31" i="9" a="1"/>
  <c r="BA31" i="9" s="1"/>
  <c r="AZ31" i="9" a="1"/>
  <c r="AZ31" i="9" s="1"/>
  <c r="AY31" i="9"/>
  <c r="AY31" i="9" a="1"/>
  <c r="AX31" i="9" a="1"/>
  <c r="AX31" i="9" s="1"/>
  <c r="AW31" i="9" a="1"/>
  <c r="AW31" i="9" s="1"/>
  <c r="AV31" i="9"/>
  <c r="AV31" i="9" a="1"/>
  <c r="AU31" i="9"/>
  <c r="AU31" i="9" a="1"/>
  <c r="AT31" i="9"/>
  <c r="AT31" i="9" a="1"/>
  <c r="AS31" i="9" a="1"/>
  <c r="AS31" i="9" s="1"/>
  <c r="AR31" i="9" a="1"/>
  <c r="AR31" i="9" s="1"/>
  <c r="AQ31" i="9" a="1"/>
  <c r="AQ31" i="9" s="1"/>
  <c r="AP31" i="9"/>
  <c r="AP31" i="9" a="1"/>
  <c r="AO31" i="9" a="1"/>
  <c r="AO31" i="9" s="1"/>
  <c r="AN31" i="9"/>
  <c r="AN31" i="9" a="1"/>
  <c r="AM31" i="9" a="1"/>
  <c r="AM31" i="9" s="1"/>
  <c r="AL31" i="9"/>
  <c r="AL31" i="9" a="1"/>
  <c r="AK31" i="9" a="1"/>
  <c r="AK31" i="9" s="1"/>
  <c r="AJ31" i="9" a="1"/>
  <c r="AJ31" i="9" s="1"/>
  <c r="AI31" i="9" a="1"/>
  <c r="AI31" i="9" s="1"/>
  <c r="AH31" i="9" a="1"/>
  <c r="AH31" i="9" s="1"/>
  <c r="AG31" i="9" a="1"/>
  <c r="AG31" i="9" s="1"/>
  <c r="AF31" i="9"/>
  <c r="AF31" i="9" a="1"/>
  <c r="AE31" i="9"/>
  <c r="AE31" i="9" a="1"/>
  <c r="AD31" i="9" a="1"/>
  <c r="AD31" i="9" s="1"/>
  <c r="AC31" i="9" a="1"/>
  <c r="AC31" i="9" s="1"/>
  <c r="AB31" i="9"/>
  <c r="AB31" i="9" a="1"/>
  <c r="AA31" i="9" a="1"/>
  <c r="AA31" i="9" s="1"/>
  <c r="Z31" i="9" a="1"/>
  <c r="Z31" i="9" s="1"/>
  <c r="DF27" i="9" a="1"/>
  <c r="DF27" i="9" s="1"/>
  <c r="DE27" i="9" a="1"/>
  <c r="DE27" i="9" s="1"/>
  <c r="DD27" i="9" a="1"/>
  <c r="DD27" i="9" s="1"/>
  <c r="DC27" i="9" a="1"/>
  <c r="DC27" i="9" s="1"/>
  <c r="DB27" i="9" a="1"/>
  <c r="DB27" i="9" s="1"/>
  <c r="DA27" i="9" a="1"/>
  <c r="DA27" i="9" s="1"/>
  <c r="CZ27" i="9" a="1"/>
  <c r="CZ27" i="9" s="1"/>
  <c r="CY27" i="9" a="1"/>
  <c r="CY27" i="9" s="1"/>
  <c r="CX27" i="9" a="1"/>
  <c r="CX27" i="9" s="1"/>
  <c r="CW27" i="9" a="1"/>
  <c r="CW27" i="9" s="1"/>
  <c r="CV27" i="9" a="1"/>
  <c r="CV27" i="9" s="1"/>
  <c r="CU27" i="9" a="1"/>
  <c r="CU27" i="9" s="1"/>
  <c r="CT27" i="9" a="1"/>
  <c r="CT27" i="9" s="1"/>
  <c r="CS27" i="9"/>
  <c r="CS27" i="9" a="1"/>
  <c r="CR27" i="9" a="1"/>
  <c r="CR27" i="9" s="1"/>
  <c r="CQ27" i="9" a="1"/>
  <c r="CQ27" i="9" s="1"/>
  <c r="CP27" i="9" a="1"/>
  <c r="CP27" i="9" s="1"/>
  <c r="CO27" i="9" a="1"/>
  <c r="CO27" i="9" s="1"/>
  <c r="CN27" i="9" a="1"/>
  <c r="CN27" i="9" s="1"/>
  <c r="CM27" i="9" a="1"/>
  <c r="CM27" i="9" s="1"/>
  <c r="CL27" i="9" a="1"/>
  <c r="CL27" i="9" s="1"/>
  <c r="CK27" i="9" a="1"/>
  <c r="CK27" i="9" s="1"/>
  <c r="CJ27" i="9"/>
  <c r="CJ27" i="9" a="1"/>
  <c r="CI27" i="9" a="1"/>
  <c r="CI27" i="9" s="1"/>
  <c r="CH27" i="9" a="1"/>
  <c r="CH27" i="9" s="1"/>
  <c r="CG27" i="9" a="1"/>
  <c r="CG27" i="9" s="1"/>
  <c r="CF27" i="9" a="1"/>
  <c r="CF27" i="9" s="1"/>
  <c r="CE27" i="9" a="1"/>
  <c r="CE27" i="9" s="1"/>
  <c r="CD27" i="9" a="1"/>
  <c r="CD27" i="9" s="1"/>
  <c r="CC27" i="9" a="1"/>
  <c r="CC27" i="9" s="1"/>
  <c r="CB27" i="9" a="1"/>
  <c r="CB27" i="9" s="1"/>
  <c r="CA27" i="9"/>
  <c r="CA27" i="9" a="1"/>
  <c r="BZ27" i="9" a="1"/>
  <c r="BZ27" i="9" s="1"/>
  <c r="BY27" i="9" a="1"/>
  <c r="BY27" i="9" s="1"/>
  <c r="BX27" i="9" a="1"/>
  <c r="BX27" i="9" s="1"/>
  <c r="BW27" i="9" a="1"/>
  <c r="BW27" i="9" s="1"/>
  <c r="BV27" i="9" a="1"/>
  <c r="BV27" i="9" s="1"/>
  <c r="BU27" i="9" a="1"/>
  <c r="BU27" i="9" s="1"/>
  <c r="BT27" i="9" a="1"/>
  <c r="BT27" i="9" s="1"/>
  <c r="BS27" i="9"/>
  <c r="BS27" i="9" a="1"/>
  <c r="BR27" i="9" a="1"/>
  <c r="BR27" i="9" s="1"/>
  <c r="BQ27" i="9" a="1"/>
  <c r="BQ27" i="9" s="1"/>
  <c r="BP27" i="9" a="1"/>
  <c r="BP27" i="9" s="1"/>
  <c r="BO27" i="9" a="1"/>
  <c r="BO27" i="9" s="1"/>
  <c r="BN27" i="9" a="1"/>
  <c r="BN27" i="9" s="1"/>
  <c r="BM27" i="9"/>
  <c r="BM27" i="9" a="1"/>
  <c r="BL27" i="9" a="1"/>
  <c r="BL27" i="9" s="1"/>
  <c r="BK27" i="9" a="1"/>
  <c r="BK27" i="9" s="1"/>
  <c r="BJ27" i="9" a="1"/>
  <c r="BJ27" i="9" s="1"/>
  <c r="BI27" i="9" a="1"/>
  <c r="BI27" i="9" s="1"/>
  <c r="BH27" i="9" a="1"/>
  <c r="BH27" i="9" s="1"/>
  <c r="BG27" i="9" a="1"/>
  <c r="BG27" i="9" s="1"/>
  <c r="BF27" i="9" a="1"/>
  <c r="BF27" i="9" s="1"/>
  <c r="BE27" i="9"/>
  <c r="BE27" i="9" a="1"/>
  <c r="BD27" i="9"/>
  <c r="BD27" i="9" a="1"/>
  <c r="BC27" i="9" a="1"/>
  <c r="BC27" i="9" s="1"/>
  <c r="BB27" i="9" a="1"/>
  <c r="BB27" i="9" s="1"/>
  <c r="BA27" i="9" a="1"/>
  <c r="BA27" i="9" s="1"/>
  <c r="AZ27" i="9" a="1"/>
  <c r="AZ27" i="9" s="1"/>
  <c r="AY27" i="9" a="1"/>
  <c r="AY27" i="9" s="1"/>
  <c r="AX27" i="9" a="1"/>
  <c r="AX27" i="9" s="1"/>
  <c r="AW27" i="9" a="1"/>
  <c r="AW27" i="9" s="1"/>
  <c r="AV27" i="9"/>
  <c r="AV27" i="9" a="1"/>
  <c r="AU27" i="9"/>
  <c r="AU27" i="9" a="1"/>
  <c r="AT27" i="9" a="1"/>
  <c r="AT27" i="9" s="1"/>
  <c r="AS27" i="9" a="1"/>
  <c r="AS27" i="9" s="1"/>
  <c r="AR27" i="9" a="1"/>
  <c r="AR27" i="9" s="1"/>
  <c r="AQ27" i="9" a="1"/>
  <c r="AQ27" i="9" s="1"/>
  <c r="AP27" i="9" a="1"/>
  <c r="AP27" i="9" s="1"/>
  <c r="AO27" i="9"/>
  <c r="AO27" i="9" a="1"/>
  <c r="AN27" i="9" a="1"/>
  <c r="AN27" i="9" s="1"/>
  <c r="AM27" i="9"/>
  <c r="AM27" i="9" a="1"/>
  <c r="AL27" i="9" a="1"/>
  <c r="AL27" i="9" s="1"/>
  <c r="AK27" i="9" a="1"/>
  <c r="AK27" i="9" s="1"/>
  <c r="AJ27" i="9" a="1"/>
  <c r="AJ27" i="9" s="1"/>
  <c r="AI27" i="9" a="1"/>
  <c r="AI27" i="9" s="1"/>
  <c r="AH27" i="9" a="1"/>
  <c r="AH27" i="9" s="1"/>
  <c r="AG27" i="9"/>
  <c r="AG27" i="9" a="1"/>
  <c r="AF27" i="9"/>
  <c r="AF27" i="9" a="1"/>
  <c r="AE27" i="9" a="1"/>
  <c r="AE27" i="9" s="1"/>
  <c r="AD27" i="9" a="1"/>
  <c r="AD27" i="9" s="1"/>
  <c r="AC27" i="9" a="1"/>
  <c r="AC27" i="9" s="1"/>
  <c r="AB27" i="9" a="1"/>
  <c r="AB27" i="9" s="1"/>
  <c r="Z27" i="9" a="1"/>
  <c r="Z27" i="9" s="1"/>
  <c r="DF26" i="9"/>
  <c r="DF26" i="9" a="1"/>
  <c r="DE26" i="9"/>
  <c r="DE26" i="9" a="1"/>
  <c r="DD26" i="9" a="1"/>
  <c r="DD26" i="9" s="1"/>
  <c r="DC26" i="9" a="1"/>
  <c r="DC26" i="9" s="1"/>
  <c r="DB26" i="9" a="1"/>
  <c r="DB26" i="9" s="1"/>
  <c r="DA26" i="9" a="1"/>
  <c r="DA26" i="9" s="1"/>
  <c r="CZ26" i="9" a="1"/>
  <c r="CZ26" i="9" s="1"/>
  <c r="CY26" i="9" a="1"/>
  <c r="CY26" i="9" s="1"/>
  <c r="CX26" i="9"/>
  <c r="CX26" i="9" a="1"/>
  <c r="CW26" i="9"/>
  <c r="CW26" i="9" a="1"/>
  <c r="CV26" i="9" a="1"/>
  <c r="CV26" i="9" s="1"/>
  <c r="CU26" i="9" a="1"/>
  <c r="CU26" i="9" s="1"/>
  <c r="CT26" i="9" a="1"/>
  <c r="CT26" i="9" s="1"/>
  <c r="CS26" i="9" a="1"/>
  <c r="CS26" i="9" s="1"/>
  <c r="CR26" i="9" a="1"/>
  <c r="CR26" i="9" s="1"/>
  <c r="CQ26" i="9"/>
  <c r="CQ26" i="9" a="1"/>
  <c r="CP26" i="9" a="1"/>
  <c r="CP26" i="9" s="1"/>
  <c r="CO26" i="9"/>
  <c r="CO26" i="9" a="1"/>
  <c r="CN26" i="9" a="1"/>
  <c r="CN26" i="9" s="1"/>
  <c r="CM26" i="9" a="1"/>
  <c r="CM26" i="9" s="1"/>
  <c r="CL26" i="9" a="1"/>
  <c r="CL26" i="9" s="1"/>
  <c r="CK26" i="9" a="1"/>
  <c r="CK26" i="9" s="1"/>
  <c r="CJ26" i="9" a="1"/>
  <c r="CJ26" i="9" s="1"/>
  <c r="CI26" i="9"/>
  <c r="CI26" i="9" a="1"/>
  <c r="CH26" i="9"/>
  <c r="CH26" i="9" a="1"/>
  <c r="CG26" i="9" a="1"/>
  <c r="CG26" i="9" s="1"/>
  <c r="CF26" i="9" a="1"/>
  <c r="CF26" i="9" s="1"/>
  <c r="CE26" i="9" a="1"/>
  <c r="CE26" i="9" s="1"/>
  <c r="CD26" i="9" a="1"/>
  <c r="CD26" i="9" s="1"/>
  <c r="CC26" i="9" a="1"/>
  <c r="CC26" i="9" s="1"/>
  <c r="CB26" i="9" a="1"/>
  <c r="CB26" i="9" s="1"/>
  <c r="CA26" i="9"/>
  <c r="CA26" i="9" a="1"/>
  <c r="BZ26" i="9"/>
  <c r="BZ26" i="9" a="1"/>
  <c r="BY26" i="9"/>
  <c r="BY26" i="9" a="1"/>
  <c r="BX26" i="9" a="1"/>
  <c r="BX26" i="9" s="1"/>
  <c r="BW26" i="9" a="1"/>
  <c r="BW26" i="9" s="1"/>
  <c r="BV26" i="9" a="1"/>
  <c r="BV26" i="9" s="1"/>
  <c r="BU26" i="9" a="1"/>
  <c r="BU26" i="9" s="1"/>
  <c r="BT26" i="9" a="1"/>
  <c r="BT26" i="9" s="1"/>
  <c r="BS26" i="9" a="1"/>
  <c r="BS26" i="9" s="1"/>
  <c r="BR26" i="9"/>
  <c r="BR26" i="9" a="1"/>
  <c r="BQ26" i="9"/>
  <c r="BQ26" i="9" a="1"/>
  <c r="BP26" i="9" a="1"/>
  <c r="BP26" i="9" s="1"/>
  <c r="BO26" i="9" a="1"/>
  <c r="BO26" i="9" s="1"/>
  <c r="BN26" i="9" a="1"/>
  <c r="BN26" i="9" s="1"/>
  <c r="BM26" i="9" a="1"/>
  <c r="BM26" i="9" s="1"/>
  <c r="BL26" i="9" a="1"/>
  <c r="BL26" i="9" s="1"/>
  <c r="BK26" i="9"/>
  <c r="BK26" i="9" a="1"/>
  <c r="BJ26" i="9" a="1"/>
  <c r="BJ26" i="9" s="1"/>
  <c r="BI26" i="9"/>
  <c r="BI26" i="9" a="1"/>
  <c r="BH26" i="9" a="1"/>
  <c r="BH26" i="9" s="1"/>
  <c r="BG26" i="9" a="1"/>
  <c r="BG26" i="9" s="1"/>
  <c r="BF26" i="9" a="1"/>
  <c r="BF26" i="9" s="1"/>
  <c r="BE26" i="9" a="1"/>
  <c r="BE26" i="9" s="1"/>
  <c r="BD26" i="9" a="1"/>
  <c r="BD26" i="9" s="1"/>
  <c r="BC26" i="9"/>
  <c r="BC26" i="9" a="1"/>
  <c r="BB26" i="9"/>
  <c r="BB26" i="9" a="1"/>
  <c r="BA26" i="9" a="1"/>
  <c r="BA26" i="9" s="1"/>
  <c r="AZ26" i="9" a="1"/>
  <c r="AZ26" i="9" s="1"/>
  <c r="AY26" i="9" a="1"/>
  <c r="AY26" i="9" s="1"/>
  <c r="AX26" i="9" a="1"/>
  <c r="AX26" i="9" s="1"/>
  <c r="AW26" i="9" a="1"/>
  <c r="AW26" i="9" s="1"/>
  <c r="AV26" i="9" a="1"/>
  <c r="AV26" i="9" s="1"/>
  <c r="AU26" i="9"/>
  <c r="AU26" i="9" a="1"/>
  <c r="AT26" i="9"/>
  <c r="AT26" i="9" a="1"/>
  <c r="AS26" i="9"/>
  <c r="AS26" i="9" a="1"/>
  <c r="AR26" i="9" a="1"/>
  <c r="AR26" i="9" s="1"/>
  <c r="AQ26" i="9" a="1"/>
  <c r="AQ26" i="9" s="1"/>
  <c r="AP26" i="9" a="1"/>
  <c r="AP26" i="9" s="1"/>
  <c r="AO26" i="9" a="1"/>
  <c r="AO26" i="9" s="1"/>
  <c r="AN26" i="9" a="1"/>
  <c r="AN26" i="9" s="1"/>
  <c r="AM26" i="9" a="1"/>
  <c r="AM26" i="9" s="1"/>
  <c r="AL26" i="9"/>
  <c r="AL26" i="9" a="1"/>
  <c r="AK26" i="9"/>
  <c r="AK26" i="9" a="1"/>
  <c r="AJ26" i="9" a="1"/>
  <c r="AJ26" i="9" s="1"/>
  <c r="AI26" i="9" a="1"/>
  <c r="AI26" i="9" s="1"/>
  <c r="AH26" i="9" a="1"/>
  <c r="AH26" i="9" s="1"/>
  <c r="AG26" i="9" a="1"/>
  <c r="AG26" i="9" s="1"/>
  <c r="AF26" i="9" a="1"/>
  <c r="AF26" i="9" s="1"/>
  <c r="AE26" i="9"/>
  <c r="AE26" i="9" a="1"/>
  <c r="AD26" i="9" a="1"/>
  <c r="AD26" i="9" s="1"/>
  <c r="AC26" i="9"/>
  <c r="AC26" i="9" a="1"/>
  <c r="AB26" i="9" a="1"/>
  <c r="AB26" i="9" s="1"/>
  <c r="Z26" i="9" a="1"/>
  <c r="Z26" i="9" s="1"/>
  <c r="DF25" i="9" a="1"/>
  <c r="DF25" i="9" s="1"/>
  <c r="DE25" i="9"/>
  <c r="DE25" i="9" a="1"/>
  <c r="DD25" i="9"/>
  <c r="DD25" i="9" a="1"/>
  <c r="DC25" i="9" a="1"/>
  <c r="DC25" i="9" s="1"/>
  <c r="DB25" i="9" a="1"/>
  <c r="DB25" i="9" s="1"/>
  <c r="DA25" i="9" a="1"/>
  <c r="DA25" i="9" s="1"/>
  <c r="CZ25" i="9" a="1"/>
  <c r="CZ25" i="9" s="1"/>
  <c r="CY25" i="9" a="1"/>
  <c r="CY25" i="9" s="1"/>
  <c r="CX25" i="9" a="1"/>
  <c r="CX25" i="9" s="1"/>
  <c r="CW25" i="9"/>
  <c r="CW25" i="9" a="1"/>
  <c r="CV25" i="9"/>
  <c r="CV25" i="9" a="1"/>
  <c r="CU25" i="9"/>
  <c r="CU25" i="9" a="1"/>
  <c r="CT25" i="9" a="1"/>
  <c r="CT25" i="9" s="1"/>
  <c r="CS25" i="9" a="1"/>
  <c r="CS25" i="9" s="1"/>
  <c r="CR25" i="9" a="1"/>
  <c r="CR25" i="9" s="1"/>
  <c r="CQ25" i="9" a="1"/>
  <c r="CQ25" i="9" s="1"/>
  <c r="CP25" i="9" a="1"/>
  <c r="CP25" i="9" s="1"/>
  <c r="CO25" i="9" a="1"/>
  <c r="CO25" i="9" s="1"/>
  <c r="CN25" i="9"/>
  <c r="CN25" i="9" a="1"/>
  <c r="CM25" i="9"/>
  <c r="CM25" i="9" a="1"/>
  <c r="CL25" i="9" a="1"/>
  <c r="CL25" i="9" s="1"/>
  <c r="CK25" i="9" a="1"/>
  <c r="CK25" i="9" s="1"/>
  <c r="CJ25" i="9" a="1"/>
  <c r="CJ25" i="9" s="1"/>
  <c r="CI25" i="9" a="1"/>
  <c r="CI25" i="9" s="1"/>
  <c r="CH25" i="9" a="1"/>
  <c r="CH25" i="9" s="1"/>
  <c r="CG25" i="9"/>
  <c r="CG25" i="9" a="1"/>
  <c r="CF25" i="9" a="1"/>
  <c r="CF25" i="9" s="1"/>
  <c r="CE25" i="9"/>
  <c r="CE25" i="9" a="1"/>
  <c r="CD25" i="9" a="1"/>
  <c r="CD25" i="9" s="1"/>
  <c r="CC25" i="9" a="1"/>
  <c r="CC25" i="9" s="1"/>
  <c r="CB25" i="9" a="1"/>
  <c r="CB25" i="9" s="1"/>
  <c r="CA25" i="9" a="1"/>
  <c r="CA25" i="9" s="1"/>
  <c r="BZ25" i="9" a="1"/>
  <c r="BZ25" i="9" s="1"/>
  <c r="BY25" i="9"/>
  <c r="BY25" i="9" a="1"/>
  <c r="BX25" i="9"/>
  <c r="BX25" i="9" a="1"/>
  <c r="BW25" i="9" a="1"/>
  <c r="BW25" i="9" s="1"/>
  <c r="BV25" i="9" a="1"/>
  <c r="BV25" i="9" s="1"/>
  <c r="BU25" i="9" a="1"/>
  <c r="BU25" i="9" s="1"/>
  <c r="BT25" i="9" a="1"/>
  <c r="BT25" i="9" s="1"/>
  <c r="BS25" i="9"/>
  <c r="BS25" i="9" a="1"/>
  <c r="BR25" i="9" a="1"/>
  <c r="BR25" i="9" s="1"/>
  <c r="BQ25" i="9"/>
  <c r="BQ25" i="9" a="1"/>
  <c r="BP25" i="9"/>
  <c r="BP25" i="9" a="1"/>
  <c r="BO25" i="9"/>
  <c r="BO25" i="9" a="1"/>
  <c r="BN25" i="9" a="1"/>
  <c r="BN25" i="9" s="1"/>
  <c r="BM25" i="9" a="1"/>
  <c r="BM25" i="9" s="1"/>
  <c r="BL25" i="9" a="1"/>
  <c r="BL25" i="9" s="1"/>
  <c r="BK25" i="9" a="1"/>
  <c r="BK25" i="9" s="1"/>
  <c r="BJ25" i="9" a="1"/>
  <c r="BJ25" i="9" s="1"/>
  <c r="BI25" i="9" a="1"/>
  <c r="BI25" i="9" s="1"/>
  <c r="BH25" i="9"/>
  <c r="BH25" i="9" a="1"/>
  <c r="BG25" i="9"/>
  <c r="BG25" i="9" a="1"/>
  <c r="BF25" i="9" a="1"/>
  <c r="BF25" i="9" s="1"/>
  <c r="BE25" i="9"/>
  <c r="BE25" i="9" a="1"/>
  <c r="BD25" i="9" a="1"/>
  <c r="BD25" i="9" s="1"/>
  <c r="BC25" i="9" a="1"/>
  <c r="BC25" i="9" s="1"/>
  <c r="BB25" i="9" a="1"/>
  <c r="BB25" i="9" s="1"/>
  <c r="BA25" i="9"/>
  <c r="BA25" i="9" a="1"/>
  <c r="AZ25" i="9" a="1"/>
  <c r="AZ25" i="9" s="1"/>
  <c r="AY25" i="9"/>
  <c r="AY25" i="9" a="1"/>
  <c r="AX25" i="9" a="1"/>
  <c r="AX25" i="9" s="1"/>
  <c r="AW25" i="9" a="1"/>
  <c r="AW25" i="9" s="1"/>
  <c r="AV25" i="9"/>
  <c r="AV25" i="9" a="1"/>
  <c r="AU25" i="9" a="1"/>
  <c r="AU25" i="9" s="1"/>
  <c r="AT25" i="9" a="1"/>
  <c r="AT25" i="9" s="1"/>
  <c r="AS25" i="9"/>
  <c r="AS25" i="9" a="1"/>
  <c r="AR25" i="9"/>
  <c r="AR25" i="9" a="1"/>
  <c r="AQ25" i="9" a="1"/>
  <c r="AQ25" i="9" s="1"/>
  <c r="AP25" i="9" a="1"/>
  <c r="AP25" i="9" s="1"/>
  <c r="AO25" i="9" a="1"/>
  <c r="AO25" i="9" s="1"/>
  <c r="AN25" i="9" a="1"/>
  <c r="AN25" i="9" s="1"/>
  <c r="AM25" i="9"/>
  <c r="AM25" i="9" a="1"/>
  <c r="AL25" i="9" a="1"/>
  <c r="AL25" i="9" s="1"/>
  <c r="AK25" i="9"/>
  <c r="AK25" i="9" a="1"/>
  <c r="AJ25" i="9"/>
  <c r="AJ25" i="9" a="1"/>
  <c r="AI25" i="9"/>
  <c r="AI25" i="9" a="1"/>
  <c r="AH25" i="9" a="1"/>
  <c r="AH25" i="9" s="1"/>
  <c r="AG25" i="9" a="1"/>
  <c r="AG25" i="9" s="1"/>
  <c r="AF25" i="9" a="1"/>
  <c r="AF25" i="9" s="1"/>
  <c r="AE25" i="9" a="1"/>
  <c r="AE25" i="9" s="1"/>
  <c r="AD25" i="9" a="1"/>
  <c r="AD25" i="9" s="1"/>
  <c r="AC25" i="9" a="1"/>
  <c r="AC25" i="9" s="1"/>
  <c r="AB25" i="9"/>
  <c r="AB25" i="9" a="1"/>
  <c r="Z25" i="9" a="1"/>
  <c r="Z25" i="9" s="1"/>
  <c r="DF24" i="9" a="1"/>
  <c r="DF24" i="9" s="1"/>
  <c r="DE24" i="9" a="1"/>
  <c r="DE24" i="9" s="1"/>
  <c r="DD24" i="9" a="1"/>
  <c r="DD24" i="9" s="1"/>
  <c r="DC24" i="9"/>
  <c r="DC24" i="9" a="1"/>
  <c r="DB24" i="9" a="1"/>
  <c r="DB24" i="9" s="1"/>
  <c r="DA24" i="9"/>
  <c r="DA24" i="9" a="1"/>
  <c r="CZ24" i="9" a="1"/>
  <c r="CZ24" i="9" s="1"/>
  <c r="CY24" i="9" a="1"/>
  <c r="CY24" i="9" s="1"/>
  <c r="CX24" i="9"/>
  <c r="CX24" i="9" a="1"/>
  <c r="CW24" i="9" a="1"/>
  <c r="CW24" i="9" s="1"/>
  <c r="CV24" i="9" a="1"/>
  <c r="CV24" i="9" s="1"/>
  <c r="CU24" i="9" a="1"/>
  <c r="CU24" i="9" s="1"/>
  <c r="CT24" i="9"/>
  <c r="CT24" i="9" a="1"/>
  <c r="CS24" i="9" a="1"/>
  <c r="CS24" i="9" s="1"/>
  <c r="CR24" i="9" a="1"/>
  <c r="CR24" i="9" s="1"/>
  <c r="CQ24" i="9" a="1"/>
  <c r="CQ24" i="9" s="1"/>
  <c r="CP24" i="9" a="1"/>
  <c r="CP24" i="9" s="1"/>
  <c r="CO24" i="9"/>
  <c r="CO24" i="9" a="1"/>
  <c r="CN24" i="9" a="1"/>
  <c r="CN24" i="9" s="1"/>
  <c r="CM24" i="9"/>
  <c r="CM24" i="9" a="1"/>
  <c r="CL24" i="9" a="1"/>
  <c r="CL24" i="9" s="1"/>
  <c r="CK24" i="9"/>
  <c r="CK24" i="9" a="1"/>
  <c r="CJ24" i="9" a="1"/>
  <c r="CJ24" i="9" s="1"/>
  <c r="CI24" i="9" a="1"/>
  <c r="CI24" i="9" s="1"/>
  <c r="CH24" i="9" a="1"/>
  <c r="CH24" i="9" s="1"/>
  <c r="CG24" i="9" a="1"/>
  <c r="CG24" i="9" s="1"/>
  <c r="CF24" i="9" a="1"/>
  <c r="CF24" i="9" s="1"/>
  <c r="CE24" i="9" a="1"/>
  <c r="CE24" i="9" s="1"/>
  <c r="CD24" i="9"/>
  <c r="CD24" i="9" a="1"/>
  <c r="CC24" i="9"/>
  <c r="CC24" i="9" a="1"/>
  <c r="CB24" i="9" a="1"/>
  <c r="CB24" i="9" s="1"/>
  <c r="CA24" i="9" a="1"/>
  <c r="CA24" i="9" s="1"/>
  <c r="BZ24" i="9" a="1"/>
  <c r="BZ24" i="9" s="1"/>
  <c r="BY24" i="9" a="1"/>
  <c r="BY24" i="9" s="1"/>
  <c r="BX24" i="9" a="1"/>
  <c r="BX24" i="9" s="1"/>
  <c r="BW24" i="9"/>
  <c r="BW24" i="9" a="1"/>
  <c r="BV24" i="9" a="1"/>
  <c r="BV24" i="9" s="1"/>
  <c r="BU24" i="9"/>
  <c r="BU24" i="9" a="1"/>
  <c r="BT24" i="9" a="1"/>
  <c r="BT24" i="9" s="1"/>
  <c r="BS24" i="9" a="1"/>
  <c r="BS24" i="9" s="1"/>
  <c r="BR24" i="9" a="1"/>
  <c r="BR24" i="9" s="1"/>
  <c r="BQ24" i="9" a="1"/>
  <c r="BQ24" i="9" s="1"/>
  <c r="BP24" i="9" a="1"/>
  <c r="BP24" i="9" s="1"/>
  <c r="BO24" i="9" a="1"/>
  <c r="BO24" i="9" s="1"/>
  <c r="BN24" i="9"/>
  <c r="BN24" i="9" a="1"/>
  <c r="BM24" i="9"/>
  <c r="BM24" i="9" a="1"/>
  <c r="BL24" i="9" a="1"/>
  <c r="BL24" i="9" s="1"/>
  <c r="BK24" i="9" a="1"/>
  <c r="BK24" i="9" s="1"/>
  <c r="BJ24" i="9" a="1"/>
  <c r="BJ24" i="9" s="1"/>
  <c r="BI24" i="9" a="1"/>
  <c r="BI24" i="9" s="1"/>
  <c r="BH24" i="9" a="1"/>
  <c r="BH24" i="9" s="1"/>
  <c r="BG24" i="9" a="1"/>
  <c r="BG24" i="9" s="1"/>
  <c r="BF24" i="9" a="1"/>
  <c r="BF24" i="9" s="1"/>
  <c r="BE24" i="9"/>
  <c r="BE24" i="9" a="1"/>
  <c r="BD24" i="9" a="1"/>
  <c r="BD24" i="9" s="1"/>
  <c r="BC24" i="9" a="1"/>
  <c r="BC24" i="9" s="1"/>
  <c r="BB24" i="9" a="1"/>
  <c r="BB24" i="9" s="1"/>
  <c r="BA24" i="9" a="1"/>
  <c r="BA24" i="9" s="1"/>
  <c r="AZ24" i="9" a="1"/>
  <c r="AZ24" i="9" s="1"/>
  <c r="AY24" i="9"/>
  <c r="AY24" i="9" a="1"/>
  <c r="AX24" i="9" a="1"/>
  <c r="AX24" i="9" s="1"/>
  <c r="AW24" i="9"/>
  <c r="AW24" i="9" a="1"/>
  <c r="AV24" i="9" a="1"/>
  <c r="AV24" i="9" s="1"/>
  <c r="AU24" i="9" a="1"/>
  <c r="AU24" i="9" s="1"/>
  <c r="AT24" i="9" a="1"/>
  <c r="AT24" i="9" s="1"/>
  <c r="AS24" i="9" a="1"/>
  <c r="AS24" i="9" s="1"/>
  <c r="AR24" i="9" a="1"/>
  <c r="AR24" i="9" s="1"/>
  <c r="AQ24" i="9"/>
  <c r="AQ24" i="9" a="1"/>
  <c r="AP24" i="9"/>
  <c r="AP24" i="9" a="1"/>
  <c r="AO24" i="9"/>
  <c r="AO24" i="9" a="1"/>
  <c r="AN24" i="9" a="1"/>
  <c r="AN24" i="9" s="1"/>
  <c r="AM24" i="9" a="1"/>
  <c r="AM24" i="9" s="1"/>
  <c r="AL24" i="9" a="1"/>
  <c r="AL24" i="9" s="1"/>
  <c r="AK24" i="9" a="1"/>
  <c r="AK24" i="9" s="1"/>
  <c r="AJ24" i="9" a="1"/>
  <c r="AJ24" i="9" s="1"/>
  <c r="AI24" i="9" a="1"/>
  <c r="AI24" i="9" s="1"/>
  <c r="AH24" i="9" a="1"/>
  <c r="AH24" i="9" s="1"/>
  <c r="AG24" i="9"/>
  <c r="AG24" i="9" a="1"/>
  <c r="AF24" i="9" a="1"/>
  <c r="AF24" i="9" s="1"/>
  <c r="AE24" i="9"/>
  <c r="AE24" i="9" a="1"/>
  <c r="AD24" i="9"/>
  <c r="AD24" i="9" a="1"/>
  <c r="AC24" i="9"/>
  <c r="AC24" i="9" a="1"/>
  <c r="AB24" i="9" a="1"/>
  <c r="AB24" i="9" s="1"/>
  <c r="Z24" i="9" a="1"/>
  <c r="Z24" i="9" s="1"/>
  <c r="DF23" i="9" a="1"/>
  <c r="DF23" i="9" s="1"/>
  <c r="DE23" i="9"/>
  <c r="DE23" i="9" a="1"/>
  <c r="DD23" i="9"/>
  <c r="DD23" i="9" a="1"/>
  <c r="DC23" i="9"/>
  <c r="DC23" i="9" a="1"/>
  <c r="DB23" i="9" a="1"/>
  <c r="DB23" i="9" s="1"/>
  <c r="DA23" i="9" a="1"/>
  <c r="DA23" i="9" s="1"/>
  <c r="CZ23" i="9" a="1"/>
  <c r="CZ23" i="9" s="1"/>
  <c r="CY23" i="9" a="1"/>
  <c r="CY23" i="9" s="1"/>
  <c r="CX23" i="9" a="1"/>
  <c r="CX23" i="9" s="1"/>
  <c r="CW23" i="9"/>
  <c r="CW23" i="9" a="1"/>
  <c r="CV23" i="9"/>
  <c r="CV23" i="9" a="1"/>
  <c r="CU23" i="9"/>
  <c r="CU23" i="9" a="1"/>
  <c r="CT23" i="9" a="1"/>
  <c r="CT23" i="9" s="1"/>
  <c r="CS23" i="9" a="1"/>
  <c r="CS23" i="9" s="1"/>
  <c r="CR23" i="9" a="1"/>
  <c r="CR23" i="9" s="1"/>
  <c r="CQ23" i="9" a="1"/>
  <c r="CQ23" i="9" s="1"/>
  <c r="CP23" i="9" a="1"/>
  <c r="CP23" i="9" s="1"/>
  <c r="CO23" i="9"/>
  <c r="CO23" i="9" a="1"/>
  <c r="CN23" i="9"/>
  <c r="CN23" i="9" a="1"/>
  <c r="CM23" i="9"/>
  <c r="CM23" i="9" a="1"/>
  <c r="CL23" i="9" a="1"/>
  <c r="CL23" i="9" s="1"/>
  <c r="CK23" i="9" a="1"/>
  <c r="CK23" i="9" s="1"/>
  <c r="CJ23" i="9" a="1"/>
  <c r="CJ23" i="9" s="1"/>
  <c r="CI23" i="9" a="1"/>
  <c r="CI23" i="9" s="1"/>
  <c r="CH23" i="9" a="1"/>
  <c r="CH23" i="9" s="1"/>
  <c r="CG23" i="9"/>
  <c r="CG23" i="9" a="1"/>
  <c r="CF23" i="9"/>
  <c r="CF23" i="9" a="1"/>
  <c r="CE23" i="9"/>
  <c r="CE23" i="9" a="1"/>
  <c r="CD23" i="9" a="1"/>
  <c r="CD23" i="9" s="1"/>
  <c r="CC23" i="9" a="1"/>
  <c r="CC23" i="9" s="1"/>
  <c r="CB23" i="9" a="1"/>
  <c r="CB23" i="9" s="1"/>
  <c r="CA23" i="9" a="1"/>
  <c r="CA23" i="9" s="1"/>
  <c r="BZ23" i="9" a="1"/>
  <c r="BZ23" i="9" s="1"/>
  <c r="BY23" i="9"/>
  <c r="BY23" i="9" a="1"/>
  <c r="BX23" i="9"/>
  <c r="BX23" i="9" a="1"/>
  <c r="BW23" i="9"/>
  <c r="BW23" i="9" a="1"/>
  <c r="BV23" i="9" a="1"/>
  <c r="BV23" i="9" s="1"/>
  <c r="BU23" i="9" a="1"/>
  <c r="BU23" i="9" s="1"/>
  <c r="BT23" i="9" a="1"/>
  <c r="BT23" i="9" s="1"/>
  <c r="BS23" i="9" a="1"/>
  <c r="BS23" i="9" s="1"/>
  <c r="BR23" i="9" a="1"/>
  <c r="BR23" i="9" s="1"/>
  <c r="BQ23" i="9"/>
  <c r="BQ23" i="9" a="1"/>
  <c r="BP23" i="9"/>
  <c r="BP23" i="9" a="1"/>
  <c r="BO23" i="9"/>
  <c r="BO23" i="9" a="1"/>
  <c r="BN23" i="9" a="1"/>
  <c r="BN23" i="9" s="1"/>
  <c r="BM23" i="9" a="1"/>
  <c r="BM23" i="9" s="1"/>
  <c r="BL23" i="9" a="1"/>
  <c r="BL23" i="9" s="1"/>
  <c r="BK23" i="9" a="1"/>
  <c r="BK23" i="9" s="1"/>
  <c r="BJ23" i="9" a="1"/>
  <c r="BJ23" i="9" s="1"/>
  <c r="BI23" i="9"/>
  <c r="BI23" i="9" a="1"/>
  <c r="BH23" i="9"/>
  <c r="BH23" i="9" a="1"/>
  <c r="BG23" i="9"/>
  <c r="BG23" i="9" a="1"/>
  <c r="BF23" i="9" a="1"/>
  <c r="BF23" i="9" s="1"/>
  <c r="BE23" i="9" a="1"/>
  <c r="BE23" i="9" s="1"/>
  <c r="BD23" i="9" a="1"/>
  <c r="BD23" i="9" s="1"/>
  <c r="BC23" i="9" a="1"/>
  <c r="BC23" i="9" s="1"/>
  <c r="BB23" i="9" a="1"/>
  <c r="BB23" i="9" s="1"/>
  <c r="BA23" i="9"/>
  <c r="BA23" i="9" a="1"/>
  <c r="AZ23" i="9"/>
  <c r="AZ23" i="9" a="1"/>
  <c r="AY23" i="9"/>
  <c r="AY23" i="9" a="1"/>
  <c r="AX23" i="9" a="1"/>
  <c r="AX23" i="9" s="1"/>
  <c r="AW23" i="9" a="1"/>
  <c r="AW23" i="9" s="1"/>
  <c r="AV23" i="9" a="1"/>
  <c r="AV23" i="9" s="1"/>
  <c r="AU23" i="9" a="1"/>
  <c r="AU23" i="9" s="1"/>
  <c r="AT23" i="9" a="1"/>
  <c r="AT23" i="9" s="1"/>
  <c r="AS23" i="9"/>
  <c r="AS23" i="9" a="1"/>
  <c r="AR23" i="9"/>
  <c r="AR23" i="9" a="1"/>
  <c r="AQ23" i="9"/>
  <c r="AQ23" i="9" a="1"/>
  <c r="AP23" i="9" a="1"/>
  <c r="AP23" i="9" s="1"/>
  <c r="AO23" i="9" a="1"/>
  <c r="AO23" i="9" s="1"/>
  <c r="AN23" i="9" a="1"/>
  <c r="AN23" i="9" s="1"/>
  <c r="AM23" i="9" a="1"/>
  <c r="AM23" i="9" s="1"/>
  <c r="AL23" i="9" a="1"/>
  <c r="AL23" i="9" s="1"/>
  <c r="AK23" i="9" a="1"/>
  <c r="AK23" i="9" s="1"/>
  <c r="AJ23" i="9"/>
  <c r="AJ23" i="9" a="1"/>
  <c r="AI23" i="9"/>
  <c r="AI23" i="9" a="1"/>
  <c r="AH23" i="9" a="1"/>
  <c r="AH23" i="9" s="1"/>
  <c r="AG23" i="9" a="1"/>
  <c r="AG23" i="9" s="1"/>
  <c r="AF23" i="9" a="1"/>
  <c r="AF23" i="9" s="1"/>
  <c r="AE23" i="9" a="1"/>
  <c r="AE23" i="9" s="1"/>
  <c r="AD23" i="9" a="1"/>
  <c r="AD23" i="9" s="1"/>
  <c r="AC23" i="9"/>
  <c r="AC23" i="9" a="1"/>
  <c r="AB23" i="9" a="1"/>
  <c r="AB23" i="9" s="1"/>
  <c r="Z23" i="9" a="1"/>
  <c r="Z23" i="9" s="1"/>
  <c r="DF22" i="9" a="1"/>
  <c r="DF22" i="9" s="1"/>
  <c r="DE22" i="9" a="1"/>
  <c r="DE22" i="9" s="1"/>
  <c r="DD22" i="9" a="1"/>
  <c r="DD22" i="9" s="1"/>
  <c r="DC22" i="9"/>
  <c r="DC22" i="9" a="1"/>
  <c r="DB22" i="9"/>
  <c r="DB22" i="9" a="1"/>
  <c r="DA22" i="9" a="1"/>
  <c r="DA22" i="9" s="1"/>
  <c r="CZ22" i="9" a="1"/>
  <c r="CZ22" i="9" s="1"/>
  <c r="CY22" i="9" a="1"/>
  <c r="CY22" i="9" s="1"/>
  <c r="CX22" i="9" a="1"/>
  <c r="CX22" i="9" s="1"/>
  <c r="CW22" i="9" a="1"/>
  <c r="CW22" i="9" s="1"/>
  <c r="CV22" i="9" a="1"/>
  <c r="CV22" i="9" s="1"/>
  <c r="CU22" i="9"/>
  <c r="CU22" i="9" a="1"/>
  <c r="CT22" i="9"/>
  <c r="CT22" i="9" a="1"/>
  <c r="CS22" i="9"/>
  <c r="CS22" i="9" a="1"/>
  <c r="CR22" i="9" a="1"/>
  <c r="CR22" i="9" s="1"/>
  <c r="CQ22" i="9" a="1"/>
  <c r="CQ22" i="9" s="1"/>
  <c r="CP22" i="9" a="1"/>
  <c r="CP22" i="9" s="1"/>
  <c r="CO22" i="9" a="1"/>
  <c r="CO22" i="9" s="1"/>
  <c r="CN22" i="9" a="1"/>
  <c r="CN22" i="9" s="1"/>
  <c r="CM22" i="9" a="1"/>
  <c r="CM22" i="9" s="1"/>
  <c r="CL22" i="9"/>
  <c r="CL22" i="9" a="1"/>
  <c r="CK22" i="9"/>
  <c r="CK22" i="9" a="1"/>
  <c r="CJ22" i="9" a="1"/>
  <c r="CJ22" i="9" s="1"/>
  <c r="CI22" i="9" a="1"/>
  <c r="CI22" i="9" s="1"/>
  <c r="CH22" i="9" a="1"/>
  <c r="CH22" i="9" s="1"/>
  <c r="CG22" i="9" a="1"/>
  <c r="CG22" i="9" s="1"/>
  <c r="CF22" i="9" a="1"/>
  <c r="CF22" i="9" s="1"/>
  <c r="CE22" i="9"/>
  <c r="CE22" i="9" a="1"/>
  <c r="CD22" i="9" a="1"/>
  <c r="CD22" i="9" s="1"/>
  <c r="CC22" i="9"/>
  <c r="CC22" i="9" a="1"/>
  <c r="CB22" i="9" a="1"/>
  <c r="CB22" i="9" s="1"/>
  <c r="CA22" i="9" a="1"/>
  <c r="CA22" i="9" s="1"/>
  <c r="BZ22" i="9" a="1"/>
  <c r="BZ22" i="9" s="1"/>
  <c r="BY22" i="9" a="1"/>
  <c r="BY22" i="9" s="1"/>
  <c r="BX22" i="9" a="1"/>
  <c r="BX22" i="9" s="1"/>
  <c r="BW22" i="9"/>
  <c r="BW22" i="9" a="1"/>
  <c r="BV22" i="9"/>
  <c r="BV22" i="9" a="1"/>
  <c r="BU22" i="9" a="1"/>
  <c r="BU22" i="9" s="1"/>
  <c r="BT22" i="9" a="1"/>
  <c r="BT22" i="9" s="1"/>
  <c r="BS22" i="9"/>
  <c r="BS22" i="9" a="1"/>
  <c r="BR22" i="9" a="1"/>
  <c r="BR22" i="9" s="1"/>
  <c r="BQ22" i="9" a="1"/>
  <c r="BQ22" i="9" s="1"/>
  <c r="BP22" i="9" a="1"/>
  <c r="BP22" i="9" s="1"/>
  <c r="BO22" i="9"/>
  <c r="BO22" i="9" a="1"/>
  <c r="BN22" i="9"/>
  <c r="BN22" i="9" a="1"/>
  <c r="BM22" i="9"/>
  <c r="BM22" i="9" a="1"/>
  <c r="BL22" i="9" a="1"/>
  <c r="BL22" i="9" s="1"/>
  <c r="BK22" i="9" a="1"/>
  <c r="BK22" i="9" s="1"/>
  <c r="BJ22" i="9"/>
  <c r="BJ22" i="9" a="1"/>
  <c r="BI22" i="9" a="1"/>
  <c r="BI22" i="9" s="1"/>
  <c r="BH22" i="9" a="1"/>
  <c r="BH22" i="9" s="1"/>
  <c r="BG22" i="9" a="1"/>
  <c r="BG22" i="9" s="1"/>
  <c r="BF22" i="9"/>
  <c r="BF22" i="9" a="1"/>
  <c r="BE22" i="9"/>
  <c r="BE22" i="9" a="1"/>
  <c r="BD22" i="9" a="1"/>
  <c r="BD22" i="9" s="1"/>
  <c r="BC22" i="9" a="1"/>
  <c r="BC22" i="9" s="1"/>
  <c r="BB22" i="9" a="1"/>
  <c r="BB22" i="9" s="1"/>
  <c r="BA22" i="9" a="1"/>
  <c r="BA22" i="9" s="1"/>
  <c r="AZ22" i="9" a="1"/>
  <c r="AZ22" i="9" s="1"/>
  <c r="AY22" i="9"/>
  <c r="AY22" i="9" a="1"/>
  <c r="AX22" i="9" a="1"/>
  <c r="AX22" i="9" s="1"/>
  <c r="AW22" i="9"/>
  <c r="AW22" i="9" a="1"/>
  <c r="AV22" i="9" a="1"/>
  <c r="AV22" i="9" s="1"/>
  <c r="AU22" i="9" a="1"/>
  <c r="AU22" i="9" s="1"/>
  <c r="AT22" i="9" a="1"/>
  <c r="AT22" i="9" s="1"/>
  <c r="AS22" i="9" a="1"/>
  <c r="AS22" i="9" s="1"/>
  <c r="AR22" i="9" a="1"/>
  <c r="AR22" i="9" s="1"/>
  <c r="AQ22" i="9"/>
  <c r="AQ22" i="9" a="1"/>
  <c r="AP22" i="9"/>
  <c r="AP22" i="9" a="1"/>
  <c r="AO22" i="9" a="1"/>
  <c r="AO22" i="9" s="1"/>
  <c r="AN22" i="9" a="1"/>
  <c r="AN22" i="9" s="1"/>
  <c r="AM22" i="9"/>
  <c r="AM22" i="9" a="1"/>
  <c r="AL22" i="9" a="1"/>
  <c r="AL22" i="9" s="1"/>
  <c r="AK22" i="9" a="1"/>
  <c r="AK22" i="9" s="1"/>
  <c r="AJ22" i="9" a="1"/>
  <c r="AJ22" i="9" s="1"/>
  <c r="AI22" i="9"/>
  <c r="AI22" i="9" a="1"/>
  <c r="AH22" i="9"/>
  <c r="AH22" i="9" a="1"/>
  <c r="AG22" i="9"/>
  <c r="AG22" i="9" a="1"/>
  <c r="AF22" i="9" a="1"/>
  <c r="AF22" i="9" s="1"/>
  <c r="AE22" i="9" a="1"/>
  <c r="AE22" i="9" s="1"/>
  <c r="AD22" i="9"/>
  <c r="AD22" i="9" a="1"/>
  <c r="AC22" i="9" a="1"/>
  <c r="AC22" i="9" s="1"/>
  <c r="AB22" i="9" a="1"/>
  <c r="AB22" i="9" s="1"/>
  <c r="Z22" i="9"/>
  <c r="Z22" i="9" a="1"/>
  <c r="DF21" i="9" a="1"/>
  <c r="DF21" i="9" s="1"/>
  <c r="DE21" i="9" a="1"/>
  <c r="DE21" i="9" s="1"/>
  <c r="DD21" i="9" a="1"/>
  <c r="DD21" i="9" s="1"/>
  <c r="DC21" i="9" a="1"/>
  <c r="DC21" i="9" s="1"/>
  <c r="DB21" i="9" a="1"/>
  <c r="DB21" i="9" s="1"/>
  <c r="DA21" i="9"/>
  <c r="DA21" i="9" a="1"/>
  <c r="CZ21" i="9" a="1"/>
  <c r="CZ21" i="9" s="1"/>
  <c r="CY21" i="9"/>
  <c r="CY21" i="9" a="1"/>
  <c r="CX21" i="9" a="1"/>
  <c r="CX21" i="9" s="1"/>
  <c r="CW21" i="9" a="1"/>
  <c r="CW21" i="9" s="1"/>
  <c r="CV21" i="9" a="1"/>
  <c r="CV21" i="9" s="1"/>
  <c r="CU21" i="9" a="1"/>
  <c r="CU21" i="9" s="1"/>
  <c r="CT21" i="9" a="1"/>
  <c r="CT21" i="9" s="1"/>
  <c r="CS21" i="9"/>
  <c r="CS21" i="9" a="1"/>
  <c r="CR21" i="9"/>
  <c r="CR21" i="9" a="1"/>
  <c r="CQ21" i="9"/>
  <c r="CQ21" i="9" a="1"/>
  <c r="CP21" i="9" a="1"/>
  <c r="CP21" i="9" s="1"/>
  <c r="CO21" i="9" a="1"/>
  <c r="CO21" i="9" s="1"/>
  <c r="CN21" i="9" a="1"/>
  <c r="CN21" i="9" s="1"/>
  <c r="CM21" i="9" a="1"/>
  <c r="CM21" i="9" s="1"/>
  <c r="CL21" i="9" a="1"/>
  <c r="CL21" i="9" s="1"/>
  <c r="CK21" i="9" a="1"/>
  <c r="CK21" i="9" s="1"/>
  <c r="CJ21" i="9"/>
  <c r="CJ21" i="9" a="1"/>
  <c r="CI21" i="9"/>
  <c r="CI21" i="9" a="1"/>
  <c r="CH21" i="9" a="1"/>
  <c r="CH21" i="9" s="1"/>
  <c r="CG21" i="9"/>
  <c r="CG21" i="9" a="1"/>
  <c r="CF21" i="9" a="1"/>
  <c r="CF21" i="9" s="1"/>
  <c r="CE21" i="9" a="1"/>
  <c r="CE21" i="9" s="1"/>
  <c r="CD21" i="9" a="1"/>
  <c r="CD21" i="9" s="1"/>
  <c r="CC21" i="9" a="1"/>
  <c r="CC21" i="9" s="1"/>
  <c r="CB21" i="9" a="1"/>
  <c r="CB21" i="9" s="1"/>
  <c r="CA21" i="9"/>
  <c r="CA21" i="9" a="1"/>
  <c r="BZ21" i="9" a="1"/>
  <c r="BZ21" i="9" s="1"/>
  <c r="BY21" i="9" a="1"/>
  <c r="BY21" i="9" s="1"/>
  <c r="BX21" i="9"/>
  <c r="BX21" i="9" a="1"/>
  <c r="BW21" i="9"/>
  <c r="BW21" i="9" a="1"/>
  <c r="BV21" i="9" a="1"/>
  <c r="BV21" i="9" s="1"/>
  <c r="BU21" i="9"/>
  <c r="BU21" i="9" a="1"/>
  <c r="BT21" i="9" a="1"/>
  <c r="BT21" i="9" s="1"/>
  <c r="BS21" i="9" a="1"/>
  <c r="BS21" i="9" s="1"/>
  <c r="BR21" i="9" a="1"/>
  <c r="BR21" i="9" s="1"/>
  <c r="BQ21" i="9"/>
  <c r="BQ21" i="9" a="1"/>
  <c r="BP21" i="9" a="1"/>
  <c r="BP21" i="9" s="1"/>
  <c r="BO21" i="9"/>
  <c r="BO21" i="9" a="1"/>
  <c r="BN21" i="9" a="1"/>
  <c r="BN21" i="9" s="1"/>
  <c r="BM21" i="9" a="1"/>
  <c r="BM21" i="9" s="1"/>
  <c r="BL21" i="9"/>
  <c r="BL21" i="9" a="1"/>
  <c r="BK21" i="9" a="1"/>
  <c r="BK21" i="9" s="1"/>
  <c r="BJ21" i="9" a="1"/>
  <c r="BJ21" i="9" s="1"/>
  <c r="BI21" i="9"/>
  <c r="BI21" i="9" a="1"/>
  <c r="BH21" i="9"/>
  <c r="BH21" i="9" a="1"/>
  <c r="BG21" i="9" a="1"/>
  <c r="BG21" i="9" s="1"/>
  <c r="BF21" i="9" a="1"/>
  <c r="BF21" i="9" s="1"/>
  <c r="BE21" i="9" a="1"/>
  <c r="BE21" i="9" s="1"/>
  <c r="BD21" i="9" a="1"/>
  <c r="BD21" i="9" s="1"/>
  <c r="BC21" i="9"/>
  <c r="BC21" i="9" a="1"/>
  <c r="BB21" i="9" a="1"/>
  <c r="BB21" i="9" s="1"/>
  <c r="BA21" i="9"/>
  <c r="BA21" i="9" a="1"/>
  <c r="AZ21" i="9"/>
  <c r="AZ21" i="9" a="1"/>
  <c r="AY21" i="9"/>
  <c r="AY21" i="9" a="1"/>
  <c r="AX21" i="9" a="1"/>
  <c r="AX21" i="9" s="1"/>
  <c r="AW21" i="9" a="1"/>
  <c r="AW21" i="9" s="1"/>
  <c r="AV21" i="9"/>
  <c r="AV21" i="9" a="1"/>
  <c r="AU21" i="9" a="1"/>
  <c r="AU21" i="9" s="1"/>
  <c r="AT21" i="9" a="1"/>
  <c r="AT21" i="9" s="1"/>
  <c r="AS21" i="9" a="1"/>
  <c r="AS21" i="9" s="1"/>
  <c r="AR21" i="9"/>
  <c r="AR21" i="9" a="1"/>
  <c r="AQ21" i="9"/>
  <c r="AQ21" i="9" a="1"/>
  <c r="AP21" i="9" a="1"/>
  <c r="AP21" i="9" s="1"/>
  <c r="AO21" i="9"/>
  <c r="AO21" i="9" a="1"/>
  <c r="AN21" i="9" a="1"/>
  <c r="AN21" i="9" s="1"/>
  <c r="AM21" i="9"/>
  <c r="AM21" i="9" a="1"/>
  <c r="AL21" i="9" a="1"/>
  <c r="AL21" i="9" s="1"/>
  <c r="AK21" i="9" a="1"/>
  <c r="AK21" i="9" s="1"/>
  <c r="AJ21" i="9" a="1"/>
  <c r="AJ21" i="9" s="1"/>
  <c r="AI21" i="9"/>
  <c r="AI21" i="9" a="1"/>
  <c r="AH21" i="9" a="1"/>
  <c r="AH21" i="9" s="1"/>
  <c r="AG21" i="9" a="1"/>
  <c r="AG21" i="9" s="1"/>
  <c r="AF21" i="9"/>
  <c r="AF21" i="9" a="1"/>
  <c r="AE21" i="9" a="1"/>
  <c r="AE21" i="9" s="1"/>
  <c r="AD21" i="9" a="1"/>
  <c r="AD21" i="9" s="1"/>
  <c r="AC21" i="9"/>
  <c r="AC21" i="9" a="1"/>
  <c r="AB21" i="9" a="1"/>
  <c r="AB21" i="9" s="1"/>
  <c r="Z21" i="9" a="1"/>
  <c r="Z21" i="9" s="1"/>
  <c r="DF20" i="9" a="1"/>
  <c r="DF20" i="9" s="1"/>
  <c r="DE20" i="9"/>
  <c r="DE20" i="9" a="1"/>
  <c r="DD20" i="9" a="1"/>
  <c r="DD20" i="9" s="1"/>
  <c r="DC20" i="9"/>
  <c r="DC20" i="9" a="1"/>
  <c r="DB20" i="9"/>
  <c r="DB20" i="9" a="1"/>
  <c r="DA20" i="9" a="1"/>
  <c r="DA20" i="9" s="1"/>
  <c r="CZ20" i="9" a="1"/>
  <c r="CZ20" i="9" s="1"/>
  <c r="CY20" i="9" a="1"/>
  <c r="CY20" i="9" s="1"/>
  <c r="CX20" i="9" a="1"/>
  <c r="CX20" i="9" s="1"/>
  <c r="CW20" i="9" a="1"/>
  <c r="CW20" i="9" s="1"/>
  <c r="CV20" i="9" a="1"/>
  <c r="CV20" i="9" s="1"/>
  <c r="CU20" i="9" a="1"/>
  <c r="CU20" i="9" s="1"/>
  <c r="CT20" i="9"/>
  <c r="CT20" i="9" a="1"/>
  <c r="CS20" i="9"/>
  <c r="CS20" i="9" a="1"/>
  <c r="CR20" i="9" a="1"/>
  <c r="CR20" i="9" s="1"/>
  <c r="CQ20" i="9"/>
  <c r="CQ20" i="9" a="1"/>
  <c r="CP20" i="9" a="1"/>
  <c r="CP20" i="9" s="1"/>
  <c r="CO20" i="9" a="1"/>
  <c r="CO20" i="9" s="1"/>
  <c r="CN20" i="9" a="1"/>
  <c r="CN20" i="9" s="1"/>
  <c r="CM20" i="9" a="1"/>
  <c r="CM20" i="9" s="1"/>
  <c r="CL20" i="9" a="1"/>
  <c r="CL20" i="9" s="1"/>
  <c r="CK20" i="9"/>
  <c r="CK20" i="9" a="1"/>
  <c r="CJ20" i="9" a="1"/>
  <c r="CJ20" i="9" s="1"/>
  <c r="CI20" i="9" a="1"/>
  <c r="CI20" i="9" s="1"/>
  <c r="CH20" i="9"/>
  <c r="CH20" i="9" a="1"/>
  <c r="CG20" i="9" a="1"/>
  <c r="CG20" i="9" s="1"/>
  <c r="CF20" i="9" a="1"/>
  <c r="CF20" i="9" s="1"/>
  <c r="CE20" i="9"/>
  <c r="CE20" i="9" a="1"/>
  <c r="CD20" i="9" a="1"/>
  <c r="CD20" i="9" s="1"/>
  <c r="CC20" i="9" a="1"/>
  <c r="CC20" i="9" s="1"/>
  <c r="CB20" i="9" a="1"/>
  <c r="CB20" i="9" s="1"/>
  <c r="CA20" i="9" a="1"/>
  <c r="CA20" i="9" s="1"/>
  <c r="BZ20" i="9" a="1"/>
  <c r="BZ20" i="9" s="1"/>
  <c r="BY20" i="9"/>
  <c r="BY20" i="9" a="1"/>
  <c r="BX20" i="9" a="1"/>
  <c r="BX20" i="9" s="1"/>
  <c r="BW20" i="9"/>
  <c r="BW20" i="9" a="1"/>
  <c r="BV20" i="9" a="1"/>
  <c r="BV20" i="9" s="1"/>
  <c r="BU20" i="9" a="1"/>
  <c r="BU20" i="9" s="1"/>
  <c r="BT20" i="9" a="1"/>
  <c r="BT20" i="9" s="1"/>
  <c r="BS20" i="9" a="1"/>
  <c r="BS20" i="9" s="1"/>
  <c r="BR20" i="9" a="1"/>
  <c r="BR20" i="9" s="1"/>
  <c r="BQ20" i="9" a="1"/>
  <c r="BQ20" i="9" s="1"/>
  <c r="BP20" i="9" a="1"/>
  <c r="BP20" i="9" s="1"/>
  <c r="BO20" i="9" a="1"/>
  <c r="BO20" i="9" s="1"/>
  <c r="BN20" i="9"/>
  <c r="BN20" i="9" a="1"/>
  <c r="BM20" i="9" a="1"/>
  <c r="BM20" i="9" s="1"/>
  <c r="BL20" i="9" a="1"/>
  <c r="BL20" i="9" s="1"/>
  <c r="BK20" i="9"/>
  <c r="BK20" i="9" a="1"/>
  <c r="BJ20" i="9" a="1"/>
  <c r="BJ20" i="9" s="1"/>
  <c r="BI20" i="9" a="1"/>
  <c r="BI20" i="9" s="1"/>
  <c r="BH20" i="9" a="1"/>
  <c r="BH20" i="9" s="1"/>
  <c r="BG20" i="9" a="1"/>
  <c r="BG20" i="9" s="1"/>
  <c r="BF20" i="9" a="1"/>
  <c r="BF20" i="9" s="1"/>
  <c r="BE20" i="9"/>
  <c r="BE20" i="9" a="1"/>
  <c r="BD20" i="9" a="1"/>
  <c r="BD20" i="9" s="1"/>
  <c r="BC20" i="9" a="1"/>
  <c r="BC20" i="9" s="1"/>
  <c r="BB20" i="9"/>
  <c r="BB20" i="9" a="1"/>
  <c r="BA20" i="9" a="1"/>
  <c r="BA20" i="9" s="1"/>
  <c r="AZ20" i="9" a="1"/>
  <c r="AZ20" i="9" s="1"/>
  <c r="AY20" i="9" a="1"/>
  <c r="AY20" i="9" s="1"/>
  <c r="AX20" i="9"/>
  <c r="AX20" i="9" a="1"/>
  <c r="AW20" i="9" a="1"/>
  <c r="AW20" i="9" s="1"/>
  <c r="AV20" i="9" a="1"/>
  <c r="AV20" i="9" s="1"/>
  <c r="AU20" i="9"/>
  <c r="AU20" i="9" a="1"/>
  <c r="AT20" i="9" a="1"/>
  <c r="AT20" i="9" s="1"/>
  <c r="AS20" i="9"/>
  <c r="AS20" i="9" a="1"/>
  <c r="AR20" i="9" a="1"/>
  <c r="AR20" i="9" s="1"/>
  <c r="AQ20" i="9"/>
  <c r="AQ20" i="9" a="1"/>
  <c r="AP20" i="9" a="1"/>
  <c r="AP20" i="9" s="1"/>
  <c r="AO20" i="9"/>
  <c r="AO20" i="9" a="1"/>
  <c r="AN20" i="9" a="1"/>
  <c r="AN20" i="9" s="1"/>
  <c r="AM20" i="9" a="1"/>
  <c r="AM20" i="9" s="1"/>
  <c r="AL20" i="9"/>
  <c r="AL20" i="9" a="1"/>
  <c r="AK20" i="9" a="1"/>
  <c r="AK20" i="9" s="1"/>
  <c r="AJ20" i="9" a="1"/>
  <c r="AJ20" i="9" s="1"/>
  <c r="AI20" i="9" a="1"/>
  <c r="AI20" i="9" s="1"/>
  <c r="AH20" i="9"/>
  <c r="AH20" i="9" a="1"/>
  <c r="AG20" i="9" a="1"/>
  <c r="AG20" i="9" s="1"/>
  <c r="AF20" i="9" a="1"/>
  <c r="AF20" i="9" s="1"/>
  <c r="AE20" i="9"/>
  <c r="AE20" i="9" a="1"/>
  <c r="AD20" i="9" a="1"/>
  <c r="AD20" i="9" s="1"/>
  <c r="AC20" i="9"/>
  <c r="AC20" i="9" a="1"/>
  <c r="AB20" i="9" a="1"/>
  <c r="AB20" i="9" s="1"/>
  <c r="Z20" i="9" a="1"/>
  <c r="Z20" i="9" s="1"/>
  <c r="DF19" i="9" a="1"/>
  <c r="DF19" i="9" s="1"/>
  <c r="DE19" i="9" a="1"/>
  <c r="DE19" i="9" s="1"/>
  <c r="DD19" i="9"/>
  <c r="DD19" i="9" a="1"/>
  <c r="DC19" i="9" a="1"/>
  <c r="DC19" i="9" s="1"/>
  <c r="DB19" i="9" a="1"/>
  <c r="DB19" i="9" s="1"/>
  <c r="DA19" i="9" a="1"/>
  <c r="DA19" i="9" s="1"/>
  <c r="CZ19" i="9"/>
  <c r="CZ19" i="9" a="1"/>
  <c r="CY19" i="9" a="1"/>
  <c r="CY19" i="9" s="1"/>
  <c r="CX19" i="9" a="1"/>
  <c r="CX19" i="9" s="1"/>
  <c r="CW19" i="9"/>
  <c r="CW19" i="9" a="1"/>
  <c r="CV19" i="9" a="1"/>
  <c r="CV19" i="9" s="1"/>
  <c r="CU19" i="9" a="1"/>
  <c r="CU19" i="9" s="1"/>
  <c r="CT19" i="9" a="1"/>
  <c r="CT19" i="9" s="1"/>
  <c r="CS19" i="9"/>
  <c r="CS19" i="9" a="1"/>
  <c r="CR19" i="9" a="1"/>
  <c r="CR19" i="9" s="1"/>
  <c r="CQ19" i="9"/>
  <c r="CQ19" i="9" a="1"/>
  <c r="CP19" i="9" a="1"/>
  <c r="CP19" i="9" s="1"/>
  <c r="CO19" i="9" a="1"/>
  <c r="CO19" i="9" s="1"/>
  <c r="CN19" i="9"/>
  <c r="CN19" i="9" a="1"/>
  <c r="CM19" i="9" a="1"/>
  <c r="CM19" i="9" s="1"/>
  <c r="CL19" i="9" a="1"/>
  <c r="CL19" i="9" s="1"/>
  <c r="CK19" i="9" a="1"/>
  <c r="CK19" i="9" s="1"/>
  <c r="CJ19" i="9"/>
  <c r="CJ19" i="9" a="1"/>
  <c r="CI19" i="9"/>
  <c r="CI19" i="9" a="1"/>
  <c r="CH19" i="9" a="1"/>
  <c r="CH19" i="9" s="1"/>
  <c r="CG19" i="9" a="1"/>
  <c r="CG19" i="9" s="1"/>
  <c r="CF19" i="9" a="1"/>
  <c r="CF19" i="9" s="1"/>
  <c r="CE19" i="9"/>
  <c r="CE19" i="9" a="1"/>
  <c r="CD19" i="9" a="1"/>
  <c r="CD19" i="9" s="1"/>
  <c r="CC19" i="9"/>
  <c r="CC19" i="9" a="1"/>
  <c r="CB19" i="9" a="1"/>
  <c r="CB19" i="9" s="1"/>
  <c r="CA19" i="9"/>
  <c r="CA19" i="9" a="1"/>
  <c r="BZ19" i="9" a="1"/>
  <c r="BZ19" i="9" s="1"/>
  <c r="BY19" i="9" a="1"/>
  <c r="BY19" i="9" s="1"/>
  <c r="BX19" i="9" a="1"/>
  <c r="BX19" i="9" s="1"/>
  <c r="BW19" i="9" a="1"/>
  <c r="BW19" i="9" s="1"/>
  <c r="BV19" i="9" a="1"/>
  <c r="BV19" i="9" s="1"/>
  <c r="BU19" i="9"/>
  <c r="BU19" i="9" a="1"/>
  <c r="BT19" i="9"/>
  <c r="BT19" i="9" a="1"/>
  <c r="BS19" i="9" a="1"/>
  <c r="BS19" i="9" s="1"/>
  <c r="BR19" i="9" a="1"/>
  <c r="BR19" i="9" s="1"/>
  <c r="BQ19" i="9"/>
  <c r="BQ19" i="9" a="1"/>
  <c r="BP19" i="9" a="1"/>
  <c r="BP19" i="9" s="1"/>
  <c r="BO19" i="9" a="1"/>
  <c r="BO19" i="9" s="1"/>
  <c r="BN19" i="9" a="1"/>
  <c r="BN19" i="9" s="1"/>
  <c r="BM19" i="9"/>
  <c r="BM19" i="9" a="1"/>
  <c r="BL19" i="9"/>
  <c r="BL19" i="9" a="1"/>
  <c r="BK19" i="9"/>
  <c r="BK19" i="9" a="1"/>
  <c r="BJ19" i="9" a="1"/>
  <c r="BJ19" i="9" s="1"/>
  <c r="BI19" i="9" a="1"/>
  <c r="BI19" i="9" s="1"/>
  <c r="BH19" i="9"/>
  <c r="BH19" i="9" a="1"/>
  <c r="BG19" i="9" a="1"/>
  <c r="BG19" i="9" s="1"/>
  <c r="BF19" i="9" a="1"/>
  <c r="BF19" i="9" s="1"/>
  <c r="BE19" i="9" a="1"/>
  <c r="BE19" i="9" s="1"/>
  <c r="BD19" i="9"/>
  <c r="BD19" i="9" a="1"/>
  <c r="BC19" i="9"/>
  <c r="BC19" i="9" a="1"/>
  <c r="BB19" i="9" a="1"/>
  <c r="BB19" i="9" s="1"/>
  <c r="BA19" i="9" a="1"/>
  <c r="BA19" i="9" s="1"/>
  <c r="AZ19" i="9" a="1"/>
  <c r="AZ19" i="9" s="1"/>
  <c r="AY19" i="9"/>
  <c r="AY19" i="9" a="1"/>
  <c r="AX19" i="9" a="1"/>
  <c r="AX19" i="9" s="1"/>
  <c r="AW19" i="9"/>
  <c r="AW19" i="9" a="1"/>
  <c r="AV19" i="9" a="1"/>
  <c r="AV19" i="9" s="1"/>
  <c r="AU19" i="9"/>
  <c r="AU19" i="9" a="1"/>
  <c r="AT19" i="9" a="1"/>
  <c r="AT19" i="9" s="1"/>
  <c r="AS19" i="9" a="1"/>
  <c r="AS19" i="9" s="1"/>
  <c r="AR19" i="9"/>
  <c r="AR19" i="9" a="1"/>
  <c r="AQ19" i="9" a="1"/>
  <c r="AQ19" i="9" s="1"/>
  <c r="AP19" i="9" a="1"/>
  <c r="AP19" i="9" s="1"/>
  <c r="AO19" i="9"/>
  <c r="AO19" i="9" a="1"/>
  <c r="AN19" i="9"/>
  <c r="AN19" i="9" a="1"/>
  <c r="AM19" i="9" a="1"/>
  <c r="AM19" i="9" s="1"/>
  <c r="AL19" i="9" a="1"/>
  <c r="AL19" i="9" s="1"/>
  <c r="AK19" i="9" a="1"/>
  <c r="AK19" i="9" s="1"/>
  <c r="AJ19" i="9" a="1"/>
  <c r="AJ19" i="9" s="1"/>
  <c r="AI19" i="9"/>
  <c r="AI19" i="9" a="1"/>
  <c r="AH19" i="9" a="1"/>
  <c r="AH19" i="9" s="1"/>
  <c r="AG19" i="9"/>
  <c r="AG19" i="9" a="1"/>
  <c r="AF19" i="9"/>
  <c r="AF19" i="9" a="1"/>
  <c r="AE19" i="9"/>
  <c r="AE19" i="9" a="1"/>
  <c r="AD19" i="9" a="1"/>
  <c r="AD19" i="9" s="1"/>
  <c r="AC19" i="9" a="1"/>
  <c r="AC19" i="9" s="1"/>
  <c r="AB19" i="9" a="1"/>
  <c r="AB19" i="9" s="1"/>
  <c r="Z19" i="9" a="1"/>
  <c r="Z19" i="9" s="1"/>
  <c r="DF18" i="9"/>
  <c r="DF18" i="9" a="1"/>
  <c r="DE18" i="9"/>
  <c r="DE18" i="9" a="1"/>
  <c r="DD18" i="9" a="1"/>
  <c r="DD18" i="9" s="1"/>
  <c r="DC18" i="9"/>
  <c r="DC18" i="9" a="1"/>
  <c r="DB18" i="9" a="1"/>
  <c r="DB18" i="9" s="1"/>
  <c r="DA18" i="9" a="1"/>
  <c r="DA18" i="9" s="1"/>
  <c r="CZ18" i="9" a="1"/>
  <c r="CZ18" i="9" s="1"/>
  <c r="CY18" i="9"/>
  <c r="CY18" i="9" a="1"/>
  <c r="CX18" i="9" a="1"/>
  <c r="CX18" i="9" s="1"/>
  <c r="CW18" i="9"/>
  <c r="CW18" i="9" a="1"/>
  <c r="CV18" i="9" a="1"/>
  <c r="CV18" i="9" s="1"/>
  <c r="CU18" i="9" a="1"/>
  <c r="CU18" i="9" s="1"/>
  <c r="CT18" i="9"/>
  <c r="CT18" i="9" a="1"/>
  <c r="CS18" i="9" a="1"/>
  <c r="CS18" i="9" s="1"/>
  <c r="CR18" i="9" a="1"/>
  <c r="CR18" i="9" s="1"/>
  <c r="CQ18" i="9" a="1"/>
  <c r="CQ18" i="9" s="1"/>
  <c r="CP18" i="9"/>
  <c r="CP18" i="9" a="1"/>
  <c r="CO18" i="9" a="1"/>
  <c r="CO18" i="9" s="1"/>
  <c r="CN18" i="9" a="1"/>
  <c r="CN18" i="9" s="1"/>
  <c r="CM18" i="9" a="1"/>
  <c r="CM18" i="9" s="1"/>
  <c r="CL18" i="9" a="1"/>
  <c r="CL18" i="9" s="1"/>
  <c r="CK18" i="9"/>
  <c r="CK18" i="9" a="1"/>
  <c r="CJ18" i="9" a="1"/>
  <c r="CJ18" i="9" s="1"/>
  <c r="CI18" i="9"/>
  <c r="CI18" i="9" a="1"/>
  <c r="CH18" i="9" a="1"/>
  <c r="CH18" i="9" s="1"/>
  <c r="CG18" i="9"/>
  <c r="CG18" i="9" a="1"/>
  <c r="CF18" i="9" a="1"/>
  <c r="CF18" i="9" s="1"/>
  <c r="CE18" i="9" a="1"/>
  <c r="CE18" i="9" s="1"/>
  <c r="CD18" i="9" a="1"/>
  <c r="CD18" i="9" s="1"/>
  <c r="CC18" i="9" a="1"/>
  <c r="CC18" i="9" s="1"/>
  <c r="CB18" i="9" a="1"/>
  <c r="CB18" i="9" s="1"/>
  <c r="CA18" i="9" a="1"/>
  <c r="CA18" i="9" s="1"/>
  <c r="BZ18" i="9"/>
  <c r="BZ18" i="9" a="1"/>
  <c r="BY18" i="9" a="1"/>
  <c r="BY18" i="9" s="1"/>
  <c r="BX18" i="9" a="1"/>
  <c r="BX18" i="9" s="1"/>
  <c r="BW18" i="9"/>
  <c r="BW18" i="9" a="1"/>
  <c r="BV18" i="9" a="1"/>
  <c r="BV18" i="9" s="1"/>
  <c r="BU18" i="9" a="1"/>
  <c r="BU18" i="9" s="1"/>
  <c r="BT18" i="9" a="1"/>
  <c r="BT18" i="9" s="1"/>
  <c r="BS18" i="9"/>
  <c r="BS18" i="9" a="1"/>
  <c r="BR18" i="9" a="1"/>
  <c r="BR18" i="9" s="1"/>
  <c r="BQ18" i="9"/>
  <c r="BQ18" i="9" a="1"/>
  <c r="BP18" i="9" a="1"/>
  <c r="BP18" i="9" s="1"/>
  <c r="BO18" i="9" a="1"/>
  <c r="BO18" i="9" s="1"/>
  <c r="BN18" i="9"/>
  <c r="BN18" i="9" a="1"/>
  <c r="BM18" i="9" a="1"/>
  <c r="BM18" i="9" s="1"/>
  <c r="BL18" i="9" a="1"/>
  <c r="BL18" i="9" s="1"/>
  <c r="BK18" i="9" a="1"/>
  <c r="BK18" i="9" s="1"/>
  <c r="BJ18" i="9"/>
  <c r="BJ18" i="9" a="1"/>
  <c r="BI18" i="9" a="1"/>
  <c r="BI18" i="9" s="1"/>
  <c r="BH18" i="9" a="1"/>
  <c r="BH18" i="9" s="1"/>
  <c r="BG18" i="9" a="1"/>
  <c r="BG18" i="9" s="1"/>
  <c r="BF18" i="9" a="1"/>
  <c r="BF18" i="9" s="1"/>
  <c r="BE18" i="9"/>
  <c r="BE18" i="9" a="1"/>
  <c r="BD18" i="9" a="1"/>
  <c r="BD18" i="9" s="1"/>
  <c r="BC18" i="9"/>
  <c r="BC18" i="9" a="1"/>
  <c r="BB18" i="9"/>
  <c r="BB18" i="9" a="1"/>
  <c r="BA18" i="9"/>
  <c r="BA18" i="9" a="1"/>
  <c r="AZ18" i="9" a="1"/>
  <c r="AZ18" i="9" s="1"/>
  <c r="AY18" i="9" a="1"/>
  <c r="AY18" i="9" s="1"/>
  <c r="AX18" i="9" a="1"/>
  <c r="AX18" i="9" s="1"/>
  <c r="AW18" i="9" a="1"/>
  <c r="AW18" i="9" s="1"/>
  <c r="AV18" i="9" a="1"/>
  <c r="AV18" i="9" s="1"/>
  <c r="AU18" i="9" a="1"/>
  <c r="AU18" i="9" s="1"/>
  <c r="AT18" i="9"/>
  <c r="AT18" i="9" a="1"/>
  <c r="AS18" i="9"/>
  <c r="AS18" i="9" a="1"/>
  <c r="AR18" i="9" a="1"/>
  <c r="AR18" i="9" s="1"/>
  <c r="AQ18" i="9"/>
  <c r="AQ18" i="9" a="1"/>
  <c r="AP18" i="9" a="1"/>
  <c r="AP18" i="9" s="1"/>
  <c r="AO18" i="9"/>
  <c r="AO18" i="9" a="1"/>
  <c r="AN18" i="9" a="1"/>
  <c r="AN18" i="9" s="1"/>
  <c r="AM18" i="9"/>
  <c r="AM18" i="9" a="1"/>
  <c r="AL18" i="9" a="1"/>
  <c r="AL18" i="9" s="1"/>
  <c r="AK18" i="9"/>
  <c r="AK18" i="9" a="1"/>
  <c r="AJ18" i="9" a="1"/>
  <c r="AJ18" i="9" s="1"/>
  <c r="AI18" i="9" a="1"/>
  <c r="AI18" i="9" s="1"/>
  <c r="AH18" i="9"/>
  <c r="AH18" i="9" a="1"/>
  <c r="AG18" i="9" a="1"/>
  <c r="AG18" i="9" s="1"/>
  <c r="AF18" i="9" a="1"/>
  <c r="AF18" i="9" s="1"/>
  <c r="AE18" i="9"/>
  <c r="AE18" i="9" a="1"/>
  <c r="AD18" i="9"/>
  <c r="AD18" i="9" a="1"/>
  <c r="AC18" i="9" a="1"/>
  <c r="AC18" i="9" s="1"/>
  <c r="AB18" i="9" a="1"/>
  <c r="AB18" i="9" s="1"/>
  <c r="Z18" i="9" a="1"/>
  <c r="Z18" i="9" s="1"/>
  <c r="DF17" i="9" a="1"/>
  <c r="DF17" i="9" s="1"/>
  <c r="DE17" i="9"/>
  <c r="DE17" i="9" a="1"/>
  <c r="DD17" i="9"/>
  <c r="DD17" i="9" a="1"/>
  <c r="DC17" i="9"/>
  <c r="DC17" i="9" a="1"/>
  <c r="DB17" i="9" a="1"/>
  <c r="DB17" i="9" s="1"/>
  <c r="DA17" i="9" a="1"/>
  <c r="DA17" i="9" s="1"/>
  <c r="CZ17" i="9"/>
  <c r="CZ17" i="9" a="1"/>
  <c r="CY17" i="9" a="1"/>
  <c r="CY17" i="9" s="1"/>
  <c r="CX17" i="9" a="1"/>
  <c r="CX17" i="9" s="1"/>
  <c r="CW17" i="9" a="1"/>
  <c r="CW17" i="9" s="1"/>
  <c r="CV17" i="9"/>
  <c r="CV17" i="9" a="1"/>
  <c r="CU17" i="9" a="1"/>
  <c r="CU17" i="9" s="1"/>
  <c r="CT17" i="9" a="1"/>
  <c r="CT17" i="9" s="1"/>
  <c r="CS17" i="9"/>
  <c r="CS17" i="9" a="1"/>
  <c r="CR17" i="9" a="1"/>
  <c r="CR17" i="9" s="1"/>
  <c r="CQ17" i="9"/>
  <c r="CQ17" i="9" a="1"/>
  <c r="CP17" i="9" a="1"/>
  <c r="CP17" i="9" s="1"/>
  <c r="CO17" i="9"/>
  <c r="CO17" i="9" a="1"/>
  <c r="CN17" i="9" a="1"/>
  <c r="CN17" i="9" s="1"/>
  <c r="CM17" i="9"/>
  <c r="CM17" i="9" a="1"/>
  <c r="CL17" i="9" a="1"/>
  <c r="CL17" i="9" s="1"/>
  <c r="CK17" i="9" a="1"/>
  <c r="CK17" i="9" s="1"/>
  <c r="CJ17" i="9"/>
  <c r="CJ17" i="9" a="1"/>
  <c r="CI17" i="9" a="1"/>
  <c r="CI17" i="9" s="1"/>
  <c r="CH17" i="9" a="1"/>
  <c r="CH17" i="9" s="1"/>
  <c r="CG17" i="9" a="1"/>
  <c r="CG17" i="9" s="1"/>
  <c r="CF17" i="9"/>
  <c r="CF17" i="9" a="1"/>
  <c r="CE17" i="9" a="1"/>
  <c r="CE17" i="9" s="1"/>
  <c r="CD17" i="9" a="1"/>
  <c r="CD17" i="9" s="1"/>
  <c r="CC17" i="9"/>
  <c r="CC17" i="9" a="1"/>
  <c r="CB17" i="9" a="1"/>
  <c r="CB17" i="9" s="1"/>
  <c r="CA17" i="9"/>
  <c r="CA17" i="9" a="1"/>
  <c r="BZ17" i="9" a="1"/>
  <c r="BZ17" i="9" s="1"/>
  <c r="BY17" i="9"/>
  <c r="BY17" i="9" a="1"/>
  <c r="BX17" i="9" a="1"/>
  <c r="BX17" i="9" s="1"/>
  <c r="BW17" i="9"/>
  <c r="BW17" i="9" a="1"/>
  <c r="BV17" i="9" a="1"/>
  <c r="BV17" i="9" s="1"/>
  <c r="BU17" i="9" a="1"/>
  <c r="BU17" i="9" s="1"/>
  <c r="BT17" i="9"/>
  <c r="BT17" i="9" a="1"/>
  <c r="BS17" i="9" a="1"/>
  <c r="BS17" i="9" s="1"/>
  <c r="BR17" i="9" a="1"/>
  <c r="BR17" i="9" s="1"/>
  <c r="BQ17" i="9" a="1"/>
  <c r="BQ17" i="9" s="1"/>
  <c r="BP17" i="9" a="1"/>
  <c r="BP17" i="9" s="1"/>
  <c r="BO17" i="9" a="1"/>
  <c r="BO17" i="9" s="1"/>
  <c r="BN17" i="9" a="1"/>
  <c r="BN17" i="9" s="1"/>
  <c r="BM17" i="9" a="1"/>
  <c r="BM17" i="9" s="1"/>
  <c r="BL17" i="9" a="1"/>
  <c r="BL17" i="9" s="1"/>
  <c r="BK17" i="9"/>
  <c r="BK17" i="9" a="1"/>
  <c r="BJ17" i="9" a="1"/>
  <c r="BJ17" i="9" s="1"/>
  <c r="BI17" i="9"/>
  <c r="BI17" i="9" a="1"/>
  <c r="BH17" i="9" a="1"/>
  <c r="BH17" i="9" s="1"/>
  <c r="BG17" i="9" a="1"/>
  <c r="BG17" i="9" s="1"/>
  <c r="BF17" i="9" a="1"/>
  <c r="BF17" i="9" s="1"/>
  <c r="BE17" i="9" a="1"/>
  <c r="BE17" i="9" s="1"/>
  <c r="BD17" i="9" a="1"/>
  <c r="BD17" i="9" s="1"/>
  <c r="BC17" i="9" a="1"/>
  <c r="BC17" i="9" s="1"/>
  <c r="BB17" i="9" a="1"/>
  <c r="BB17" i="9" s="1"/>
  <c r="BA17" i="9" a="1"/>
  <c r="BA17" i="9" s="1"/>
  <c r="AZ17" i="9"/>
  <c r="AZ17" i="9" a="1"/>
  <c r="AY17" i="9" a="1"/>
  <c r="AY17" i="9" s="1"/>
  <c r="AX17" i="9" a="1"/>
  <c r="AX17" i="9" s="1"/>
  <c r="AW17" i="9"/>
  <c r="AW17" i="9" a="1"/>
  <c r="AV17" i="9" a="1"/>
  <c r="AV17" i="9" s="1"/>
  <c r="AU17" i="9"/>
  <c r="AU17" i="9" a="1"/>
  <c r="AT17" i="9" a="1"/>
  <c r="AT17" i="9" s="1"/>
  <c r="AS17" i="9" a="1"/>
  <c r="AS17" i="9" s="1"/>
  <c r="AR17" i="9" a="1"/>
  <c r="AR17" i="9" s="1"/>
  <c r="AQ17" i="9"/>
  <c r="AQ17" i="9" a="1"/>
  <c r="AP17" i="9" a="1"/>
  <c r="AP17" i="9" s="1"/>
  <c r="AO17" i="9" a="1"/>
  <c r="AO17" i="9" s="1"/>
  <c r="AN17" i="9"/>
  <c r="AN17" i="9" a="1"/>
  <c r="AM17" i="9" a="1"/>
  <c r="AM17" i="9" s="1"/>
  <c r="AL17" i="9" a="1"/>
  <c r="AL17" i="9" s="1"/>
  <c r="AK17" i="9" a="1"/>
  <c r="AK17" i="9" s="1"/>
  <c r="AJ17" i="9" a="1"/>
  <c r="AJ17" i="9" s="1"/>
  <c r="AI17" i="9" a="1"/>
  <c r="AI17" i="9" s="1"/>
  <c r="AH17" i="9" a="1"/>
  <c r="AH17" i="9" s="1"/>
  <c r="AG17" i="9"/>
  <c r="AG17" i="9" a="1"/>
  <c r="AF17" i="9" a="1"/>
  <c r="AF17" i="9" s="1"/>
  <c r="AE17" i="9"/>
  <c r="AE17" i="9" a="1"/>
  <c r="AD17" i="9" a="1"/>
  <c r="AD17" i="9" s="1"/>
  <c r="AC17" i="9"/>
  <c r="AC17" i="9" a="1"/>
  <c r="AB17" i="9" a="1"/>
  <c r="AB17" i="9" s="1"/>
  <c r="Z17" i="9" a="1"/>
  <c r="Z17" i="9" s="1"/>
  <c r="DF16" i="9"/>
  <c r="DF16" i="9" a="1"/>
  <c r="DE16" i="9" a="1"/>
  <c r="DE16" i="9" s="1"/>
  <c r="DD16" i="9" a="1"/>
  <c r="DD16" i="9" s="1"/>
  <c r="DC16" i="9" a="1"/>
  <c r="DC16" i="9" s="1"/>
  <c r="DB16" i="9"/>
  <c r="DB16" i="9" a="1"/>
  <c r="DA16" i="9" a="1"/>
  <c r="DA16" i="9" s="1"/>
  <c r="CZ16" i="9" a="1"/>
  <c r="CZ16" i="9" s="1"/>
  <c r="CY16" i="9"/>
  <c r="CY16" i="9" a="1"/>
  <c r="CX16" i="9" a="1"/>
  <c r="CX16" i="9" s="1"/>
  <c r="CW16" i="9" a="1"/>
  <c r="CW16" i="9" s="1"/>
  <c r="CV16" i="9" a="1"/>
  <c r="CV16" i="9" s="1"/>
  <c r="CU16" i="9" a="1"/>
  <c r="CU16" i="9" s="1"/>
  <c r="CT16" i="9" a="1"/>
  <c r="CT16" i="9" s="1"/>
  <c r="CS16" i="9"/>
  <c r="CS16" i="9" a="1"/>
  <c r="CR16" i="9" a="1"/>
  <c r="CR16" i="9" s="1"/>
  <c r="CQ16" i="9" a="1"/>
  <c r="CQ16" i="9" s="1"/>
  <c r="CP16" i="9"/>
  <c r="CP16" i="9" a="1"/>
  <c r="CO16" i="9" a="1"/>
  <c r="CO16" i="9" s="1"/>
  <c r="CN16" i="9" a="1"/>
  <c r="CN16" i="9" s="1"/>
  <c r="CM16" i="9" a="1"/>
  <c r="CM16" i="9" s="1"/>
  <c r="CL16" i="9" a="1"/>
  <c r="CL16" i="9" s="1"/>
  <c r="CK16" i="9" a="1"/>
  <c r="CK16" i="9" s="1"/>
  <c r="CJ16" i="9" a="1"/>
  <c r="CJ16" i="9" s="1"/>
  <c r="CI16" i="9"/>
  <c r="CI16" i="9" a="1"/>
  <c r="CH16" i="9" a="1"/>
  <c r="CH16" i="9" s="1"/>
  <c r="CG16" i="9"/>
  <c r="CG16" i="9" a="1"/>
  <c r="CF16" i="9" a="1"/>
  <c r="CF16" i="9" s="1"/>
  <c r="CE16" i="9"/>
  <c r="CE16" i="9" a="1"/>
  <c r="CD16" i="9" a="1"/>
  <c r="CD16" i="9" s="1"/>
  <c r="CC16" i="9" a="1"/>
  <c r="CC16" i="9" s="1"/>
  <c r="CB16" i="9" a="1"/>
  <c r="CB16" i="9" s="1"/>
  <c r="CA16" i="9" a="1"/>
  <c r="CA16" i="9" s="1"/>
  <c r="BZ16" i="9"/>
  <c r="BZ16" i="9" a="1"/>
  <c r="BY16" i="9" a="1"/>
  <c r="BY16" i="9" s="1"/>
  <c r="BX16" i="9" a="1"/>
  <c r="BX16" i="9" s="1"/>
  <c r="BW16" i="9" a="1"/>
  <c r="BW16" i="9" s="1"/>
  <c r="BV16" i="9"/>
  <c r="BV16" i="9" a="1"/>
  <c r="BU16" i="9" a="1"/>
  <c r="BU16" i="9" s="1"/>
  <c r="BT16" i="9" a="1"/>
  <c r="BT16" i="9" s="1"/>
  <c r="BS16" i="9"/>
  <c r="BS16" i="9" a="1"/>
  <c r="BR16" i="9" a="1"/>
  <c r="BR16" i="9" s="1"/>
  <c r="BQ16" i="9"/>
  <c r="BQ16" i="9" a="1"/>
  <c r="BP16" i="9" a="1"/>
  <c r="BP16" i="9" s="1"/>
  <c r="BO16" i="9" a="1"/>
  <c r="BO16" i="9" s="1"/>
  <c r="BN16" i="9" a="1"/>
  <c r="BN16" i="9" s="1"/>
  <c r="BM16" i="9"/>
  <c r="BM16" i="9" a="1"/>
  <c r="BL16" i="9" a="1"/>
  <c r="BL16" i="9" s="1"/>
  <c r="BK16" i="9" a="1"/>
  <c r="BK16" i="9" s="1"/>
  <c r="BJ16" i="9"/>
  <c r="BJ16" i="9" a="1"/>
  <c r="BI16" i="9" a="1"/>
  <c r="BI16" i="9" s="1"/>
  <c r="BH16" i="9" a="1"/>
  <c r="BH16" i="9" s="1"/>
  <c r="BG16" i="9" a="1"/>
  <c r="BG16" i="9" s="1"/>
  <c r="BF16" i="9" a="1"/>
  <c r="BF16" i="9" s="1"/>
  <c r="BE16" i="9" a="1"/>
  <c r="BE16" i="9" s="1"/>
  <c r="BD16" i="9" a="1"/>
  <c r="BD16" i="9" s="1"/>
  <c r="BC16" i="9"/>
  <c r="BC16" i="9" a="1"/>
  <c r="BB16" i="9" a="1"/>
  <c r="BB16" i="9" s="1"/>
  <c r="BA16" i="9"/>
  <c r="BA16" i="9" a="1"/>
  <c r="AZ16" i="9" a="1"/>
  <c r="AZ16" i="9" s="1"/>
  <c r="AY16" i="9"/>
  <c r="AY16" i="9" a="1"/>
  <c r="AX16" i="9" a="1"/>
  <c r="AX16" i="9" s="1"/>
  <c r="AW16" i="9" a="1"/>
  <c r="AW16" i="9" s="1"/>
  <c r="AV16" i="9" a="1"/>
  <c r="AV16" i="9" s="1"/>
  <c r="AU16" i="9" a="1"/>
  <c r="AU16" i="9" s="1"/>
  <c r="AT16" i="9"/>
  <c r="AT16" i="9" a="1"/>
  <c r="AS16" i="9" a="1"/>
  <c r="AS16" i="9" s="1"/>
  <c r="AR16" i="9" a="1"/>
  <c r="AR16" i="9" s="1"/>
  <c r="AQ16" i="9" a="1"/>
  <c r="AQ16" i="9" s="1"/>
  <c r="AP16" i="9"/>
  <c r="AP16" i="9" a="1"/>
  <c r="AO16" i="9" a="1"/>
  <c r="AO16" i="9" s="1"/>
  <c r="AN16" i="9" a="1"/>
  <c r="AN16" i="9" s="1"/>
  <c r="AM16" i="9"/>
  <c r="AM16" i="9" a="1"/>
  <c r="AL16" i="9" a="1"/>
  <c r="AL16" i="9" s="1"/>
  <c r="AK16" i="9"/>
  <c r="AK16" i="9" a="1"/>
  <c r="AJ16" i="9" a="1"/>
  <c r="AJ16" i="9" s="1"/>
  <c r="AI16" i="9" a="1"/>
  <c r="AI16" i="9" s="1"/>
  <c r="AH16" i="9" a="1"/>
  <c r="AH16" i="9" s="1"/>
  <c r="AG16" i="9"/>
  <c r="AG16" i="9" a="1"/>
  <c r="AF16" i="9" a="1"/>
  <c r="AF16" i="9" s="1"/>
  <c r="AE16" i="9" a="1"/>
  <c r="AE16" i="9" s="1"/>
  <c r="AD16" i="9"/>
  <c r="AD16" i="9" a="1"/>
  <c r="AC16" i="9" a="1"/>
  <c r="AC16" i="9" s="1"/>
  <c r="AB16" i="9" a="1"/>
  <c r="AB16" i="9" s="1"/>
  <c r="Z16" i="9" a="1"/>
  <c r="Z16" i="9" s="1"/>
  <c r="DF15" i="9" a="1"/>
  <c r="DF15" i="9" s="1"/>
  <c r="DE15" i="9" a="1"/>
  <c r="DE15" i="9" s="1"/>
  <c r="DD15" i="9" a="1"/>
  <c r="DD15" i="9" s="1"/>
  <c r="DC15" i="9"/>
  <c r="DC15" i="9" a="1"/>
  <c r="DB15" i="9" a="1"/>
  <c r="DB15" i="9" s="1"/>
  <c r="DA15" i="9"/>
  <c r="DA15" i="9" a="1"/>
  <c r="CZ15" i="9" a="1"/>
  <c r="CZ15" i="9" s="1"/>
  <c r="CY15" i="9" a="1"/>
  <c r="CY15" i="9" s="1"/>
  <c r="CX15" i="9" a="1"/>
  <c r="CX15" i="9" s="1"/>
  <c r="CW15" i="9" a="1"/>
  <c r="CW15" i="9" s="1"/>
  <c r="CV15" i="9" a="1"/>
  <c r="CV15" i="9" s="1"/>
  <c r="CU15" i="9" a="1"/>
  <c r="CU15" i="9" s="1"/>
  <c r="CT15" i="9" a="1"/>
  <c r="CT15" i="9" s="1"/>
  <c r="CS15" i="9"/>
  <c r="CS15" i="9" a="1"/>
  <c r="CR15" i="9"/>
  <c r="CR15" i="9" a="1"/>
  <c r="CQ15" i="9" a="1"/>
  <c r="CQ15" i="9" s="1"/>
  <c r="CP15" i="9" a="1"/>
  <c r="CP15" i="9" s="1"/>
  <c r="CO15" i="9"/>
  <c r="CO15" i="9" a="1"/>
  <c r="CN15" i="9" a="1"/>
  <c r="CN15" i="9" s="1"/>
  <c r="CM15" i="9" a="1"/>
  <c r="CM15" i="9" s="1"/>
  <c r="CL15" i="9" a="1"/>
  <c r="CL15" i="9" s="1"/>
  <c r="CK15" i="9" a="1"/>
  <c r="CK15" i="9" s="1"/>
  <c r="CJ15" i="9"/>
  <c r="CJ15" i="9" a="1"/>
  <c r="CI15" i="9"/>
  <c r="CI15" i="9" a="1"/>
  <c r="CH15" i="9" a="1"/>
  <c r="CH15" i="9" s="1"/>
  <c r="CG15" i="9"/>
  <c r="CG15" i="9" a="1"/>
  <c r="CF15" i="9"/>
  <c r="CF15" i="9" a="1"/>
  <c r="CE15" i="9" a="1"/>
  <c r="CE15" i="9" s="1"/>
  <c r="CD15" i="9" a="1"/>
  <c r="CD15" i="9" s="1"/>
  <c r="CC15" i="9" a="1"/>
  <c r="CC15" i="9" s="1"/>
  <c r="CB15" i="9" a="1"/>
  <c r="CB15" i="9" s="1"/>
  <c r="CA15" i="9"/>
  <c r="CA15" i="9" a="1"/>
  <c r="BZ15" i="9" a="1"/>
  <c r="BZ15" i="9" s="1"/>
  <c r="BY15" i="9" a="1"/>
  <c r="BY15" i="9" s="1"/>
  <c r="BX15" i="9"/>
  <c r="BX15" i="9" a="1"/>
  <c r="BW15" i="9"/>
  <c r="BW15" i="9" a="1"/>
  <c r="BV15" i="9" a="1"/>
  <c r="BV15" i="9" s="1"/>
  <c r="BU15" i="9"/>
  <c r="BU15" i="9" a="1"/>
  <c r="BT15" i="9" a="1"/>
  <c r="BT15" i="9" s="1"/>
  <c r="BS15" i="9" a="1"/>
  <c r="BS15" i="9" s="1"/>
  <c r="BR15" i="9" a="1"/>
  <c r="BR15" i="9" s="1"/>
  <c r="BQ15" i="9" a="1"/>
  <c r="BQ15" i="9" s="1"/>
  <c r="BP15" i="9" a="1"/>
  <c r="BP15" i="9" s="1"/>
  <c r="BO15" i="9" a="1"/>
  <c r="BO15" i="9" s="1"/>
  <c r="BN15" i="9" a="1"/>
  <c r="BN15" i="9" s="1"/>
  <c r="BM15" i="9"/>
  <c r="BM15" i="9" a="1"/>
  <c r="BL15" i="9"/>
  <c r="BL15" i="9" a="1"/>
  <c r="BK15" i="9" a="1"/>
  <c r="BK15" i="9" s="1"/>
  <c r="BJ15" i="9" a="1"/>
  <c r="BJ15" i="9" s="1"/>
  <c r="BI15" i="9" a="1"/>
  <c r="BI15" i="9" s="1"/>
  <c r="BH15" i="9" a="1"/>
  <c r="BH15" i="9" s="1"/>
  <c r="BG15" i="9" a="1"/>
  <c r="BG15" i="9" s="1"/>
  <c r="BF15" i="9" a="1"/>
  <c r="BF15" i="9" s="1"/>
  <c r="BE15" i="9"/>
  <c r="BE15" i="9" a="1"/>
  <c r="BD15" i="9"/>
  <c r="BD15" i="9" a="1"/>
  <c r="BC15" i="9"/>
  <c r="BC15" i="9" a="1"/>
  <c r="BB15" i="9" a="1"/>
  <c r="BB15" i="9" s="1"/>
  <c r="BA15" i="9" a="1"/>
  <c r="BA15" i="9" s="1"/>
  <c r="AZ15" i="9"/>
  <c r="AZ15" i="9" a="1"/>
  <c r="AY15" i="9" a="1"/>
  <c r="AY15" i="9" s="1"/>
  <c r="AX15" i="9" a="1"/>
  <c r="AX15" i="9" s="1"/>
  <c r="AW15" i="9" a="1"/>
  <c r="AW15" i="9" s="1"/>
  <c r="AV15" i="9" a="1"/>
  <c r="AV15" i="9" s="1"/>
  <c r="AU15" i="9"/>
  <c r="AU15" i="9" a="1"/>
  <c r="AT15" i="9" a="1"/>
  <c r="AT15" i="9" s="1"/>
  <c r="AS15" i="9" a="1"/>
  <c r="AS15" i="9" s="1"/>
  <c r="AR15" i="9"/>
  <c r="AR15" i="9" a="1"/>
  <c r="AQ15" i="9" a="1"/>
  <c r="AQ15" i="9" s="1"/>
  <c r="AP15" i="9" a="1"/>
  <c r="AP15" i="9" s="1"/>
  <c r="AO15" i="9"/>
  <c r="AO15" i="9" a="1"/>
  <c r="AN15" i="9"/>
  <c r="AN15" i="9" a="1"/>
  <c r="AM15" i="9"/>
  <c r="AM15" i="9" a="1"/>
  <c r="AL15" i="9" a="1"/>
  <c r="AL15" i="9" s="1"/>
  <c r="AK15" i="9" a="1"/>
  <c r="AK15" i="9" s="1"/>
  <c r="AJ15" i="9" a="1"/>
  <c r="AJ15" i="9" s="1"/>
  <c r="AI15" i="9"/>
  <c r="AI15" i="9" a="1"/>
  <c r="AH15" i="9" a="1"/>
  <c r="AH15" i="9" s="1"/>
  <c r="AG15" i="9"/>
  <c r="AG15" i="9" a="1"/>
  <c r="AF15" i="9"/>
  <c r="AF15" i="9" a="1"/>
  <c r="AE15" i="9" a="1"/>
  <c r="AE15" i="9" s="1"/>
  <c r="AD15" i="9" a="1"/>
  <c r="AD15" i="9" s="1"/>
  <c r="AC15" i="9"/>
  <c r="AC15" i="9" a="1"/>
  <c r="AB15" i="9" a="1"/>
  <c r="AB15" i="9" s="1"/>
  <c r="Z15" i="9" a="1"/>
  <c r="Z15" i="9" s="1"/>
  <c r="DF14" i="9"/>
  <c r="DF14" i="9" a="1"/>
  <c r="DE14" i="9"/>
  <c r="DE14" i="9" a="1"/>
  <c r="DD14" i="9" a="1"/>
  <c r="DD14" i="9" s="1"/>
  <c r="DC14" i="9" a="1"/>
  <c r="DC14" i="9" s="1"/>
  <c r="DB14" i="9"/>
  <c r="DB14" i="9" a="1"/>
  <c r="DA14" i="9"/>
  <c r="DA14" i="9" a="1"/>
  <c r="CZ14" i="9" a="1"/>
  <c r="CZ14" i="9" s="1"/>
  <c r="CY14" i="9"/>
  <c r="CY14" i="9" a="1"/>
  <c r="CX14" i="9"/>
  <c r="CX14" i="9" a="1"/>
  <c r="CW14" i="9"/>
  <c r="CW14" i="9" a="1"/>
  <c r="CV14" i="9" a="1"/>
  <c r="CV14" i="9" s="1"/>
  <c r="CU14" i="9" a="1"/>
  <c r="CU14" i="9" s="1"/>
  <c r="CT14" i="9" a="1"/>
  <c r="CT14" i="9" s="1"/>
  <c r="CS14" i="9"/>
  <c r="CS14" i="9" a="1"/>
  <c r="CR14" i="9" a="1"/>
  <c r="CR14" i="9" s="1"/>
  <c r="CQ14" i="9"/>
  <c r="CQ14" i="9" a="1"/>
  <c r="CP14" i="9" a="1"/>
  <c r="CP14" i="9" s="1"/>
  <c r="CO14" i="9" a="1"/>
  <c r="CO14" i="9" s="1"/>
  <c r="CN14" i="9" a="1"/>
  <c r="CN14" i="9" s="1"/>
  <c r="CM14" i="9"/>
  <c r="CM14" i="9" a="1"/>
  <c r="CL14" i="9" a="1"/>
  <c r="CL14" i="9" s="1"/>
  <c r="CK14" i="9" a="1"/>
  <c r="CK14" i="9" s="1"/>
  <c r="CJ14" i="9" a="1"/>
  <c r="CJ14" i="9" s="1"/>
  <c r="CI14" i="9"/>
  <c r="CI14" i="9" a="1"/>
  <c r="CH14" i="9" a="1"/>
  <c r="CH14" i="9" s="1"/>
  <c r="CG14" i="9" a="1"/>
  <c r="CG14" i="9" s="1"/>
  <c r="CF14" i="9"/>
  <c r="CF14" i="9" a="1"/>
  <c r="CE14" i="9"/>
  <c r="CE14" i="9" a="1"/>
  <c r="CD14" i="9" a="1"/>
  <c r="CD14" i="9" s="1"/>
  <c r="CC14" i="9"/>
  <c r="CC14" i="9" a="1"/>
  <c r="CB14" i="9" a="1"/>
  <c r="CB14" i="9" s="1"/>
  <c r="CA14" i="9" a="1"/>
  <c r="CA14" i="9" s="1"/>
  <c r="BZ14" i="9" a="1"/>
  <c r="BZ14" i="9" s="1"/>
  <c r="BY14" i="9"/>
  <c r="BY14" i="9" a="1"/>
  <c r="BX14" i="9" a="1"/>
  <c r="BX14" i="9" s="1"/>
  <c r="BW14" i="9"/>
  <c r="BW14" i="9" a="1"/>
  <c r="BV14" i="9" a="1"/>
  <c r="BV14" i="9" s="1"/>
  <c r="BU14" i="9"/>
  <c r="BU14" i="9" a="1"/>
  <c r="BT14" i="9"/>
  <c r="BT14" i="9" a="1"/>
  <c r="BS14" i="9" a="1"/>
  <c r="BS14" i="9" s="1"/>
  <c r="BR14" i="9" a="1"/>
  <c r="BR14" i="9" s="1"/>
  <c r="BQ14" i="9"/>
  <c r="BQ14" i="9" a="1"/>
  <c r="BP14" i="9"/>
  <c r="BP14" i="9" a="1"/>
  <c r="BO14" i="9" a="1"/>
  <c r="BO14" i="9" s="1"/>
  <c r="BN14" i="9" a="1"/>
  <c r="BN14" i="9" s="1"/>
  <c r="BM14" i="9" a="1"/>
  <c r="BM14" i="9" s="1"/>
  <c r="BL14" i="9"/>
  <c r="BL14" i="9" a="1"/>
  <c r="BK14" i="9"/>
  <c r="BK14" i="9" a="1"/>
  <c r="BJ14" i="9" a="1"/>
  <c r="BJ14" i="9" s="1"/>
  <c r="BI14" i="9"/>
  <c r="BI14" i="9" a="1"/>
  <c r="BH14" i="9" a="1"/>
  <c r="BH14" i="9" s="1"/>
  <c r="BG14" i="9"/>
  <c r="BG14" i="9" a="1"/>
  <c r="BF14" i="9" a="1"/>
  <c r="BF14" i="9" s="1"/>
  <c r="BE14" i="9" a="1"/>
  <c r="BE14" i="9" s="1"/>
  <c r="BD14" i="9" a="1"/>
  <c r="BD14" i="9" s="1"/>
  <c r="BC14" i="9"/>
  <c r="BC14" i="9" a="1"/>
  <c r="BB14" i="9" a="1"/>
  <c r="BB14" i="9" s="1"/>
  <c r="BA14" i="9" a="1"/>
  <c r="BA14" i="9" s="1"/>
  <c r="AZ14" i="9"/>
  <c r="AZ14" i="9" a="1"/>
  <c r="AY14" i="9" a="1"/>
  <c r="AY14" i="9" s="1"/>
  <c r="AX14" i="9" a="1"/>
  <c r="AX14" i="9" s="1"/>
  <c r="AW14" i="9"/>
  <c r="AW14" i="9" a="1"/>
  <c r="AV14" i="9" a="1"/>
  <c r="AV14" i="9" s="1"/>
  <c r="AU14" i="9" a="1"/>
  <c r="AU14" i="9" s="1"/>
  <c r="AT14" i="9" a="1"/>
  <c r="AT14" i="9" s="1"/>
  <c r="AS14" i="9"/>
  <c r="AS14" i="9" a="1"/>
  <c r="AR14" i="9" a="1"/>
  <c r="AR14" i="9" s="1"/>
  <c r="AQ14" i="9"/>
  <c r="AQ14" i="9" a="1"/>
  <c r="AP14" i="9" a="1"/>
  <c r="AP14" i="9" s="1"/>
  <c r="AO14" i="9"/>
  <c r="AO14" i="9" a="1"/>
  <c r="AN14" i="9"/>
  <c r="AN14" i="9" a="1"/>
  <c r="AM14" i="9" a="1"/>
  <c r="AM14" i="9" s="1"/>
  <c r="AL14" i="9" a="1"/>
  <c r="AL14" i="9" s="1"/>
  <c r="AK14" i="9" a="1"/>
  <c r="AK14" i="9" s="1"/>
  <c r="AJ14" i="9"/>
  <c r="AJ14" i="9" a="1"/>
  <c r="AI14" i="9" a="1"/>
  <c r="AI14" i="9" s="1"/>
  <c r="AH14" i="9" a="1"/>
  <c r="AH14" i="9" s="1"/>
  <c r="AG14" i="9" a="1"/>
  <c r="AG14" i="9" s="1"/>
  <c r="AF14" i="9"/>
  <c r="AF14" i="9" a="1"/>
  <c r="AE14" i="9"/>
  <c r="AE14" i="9" a="1"/>
  <c r="AD14" i="9" a="1"/>
  <c r="AD14" i="9" s="1"/>
  <c r="AC14" i="9"/>
  <c r="AC14" i="9" a="1"/>
  <c r="AB14" i="9" a="1"/>
  <c r="AB14" i="9" s="1"/>
  <c r="Z14" i="9" a="1"/>
  <c r="Z14" i="9" s="1"/>
  <c r="DF13" i="9" a="1"/>
  <c r="DF13" i="9" s="1"/>
  <c r="DE13" i="9"/>
  <c r="DE13" i="9" a="1"/>
  <c r="DD13" i="9" a="1"/>
  <c r="DD13" i="9" s="1"/>
  <c r="DC13" i="9" a="1"/>
  <c r="DC13" i="9" s="1"/>
  <c r="DB13" i="9"/>
  <c r="DB13" i="9" a="1"/>
  <c r="DA13" i="9" a="1"/>
  <c r="DA13" i="9" s="1"/>
  <c r="CZ13" i="9" a="1"/>
  <c r="CZ13" i="9" s="1"/>
  <c r="CY13" i="9"/>
  <c r="CY13" i="9" a="1"/>
  <c r="CX13" i="9" a="1"/>
  <c r="CX13" i="9" s="1"/>
  <c r="CW13" i="9" a="1"/>
  <c r="CW13" i="9" s="1"/>
  <c r="CV13" i="9" a="1"/>
  <c r="CV13" i="9" s="1"/>
  <c r="CU13" i="9" a="1"/>
  <c r="CU13" i="9" s="1"/>
  <c r="CT13" i="9" a="1"/>
  <c r="CT13" i="9" s="1"/>
  <c r="CS13" i="9"/>
  <c r="CS13" i="9" a="1"/>
  <c r="CR13" i="9" a="1"/>
  <c r="CR13" i="9" s="1"/>
  <c r="CQ13" i="9"/>
  <c r="CQ13" i="9" a="1"/>
  <c r="CP13" i="9"/>
  <c r="CP13" i="9" a="1"/>
  <c r="CO13" i="9" a="1"/>
  <c r="CO13" i="9" s="1"/>
  <c r="CN13" i="9" a="1"/>
  <c r="CN13" i="9" s="1"/>
  <c r="CM13" i="9" a="1"/>
  <c r="CM13" i="9" s="1"/>
  <c r="CL13" i="9"/>
  <c r="CL13" i="9" a="1"/>
  <c r="CK13" i="9" a="1"/>
  <c r="CK13" i="9" s="1"/>
  <c r="CJ13" i="9" a="1"/>
  <c r="CJ13" i="9" s="1"/>
  <c r="CI13" i="9" a="1"/>
  <c r="CI13" i="9" s="1"/>
  <c r="CH13" i="9"/>
  <c r="CH13" i="9" a="1"/>
  <c r="CG13" i="9"/>
  <c r="CG13" i="9" a="1"/>
  <c r="CF13" i="9" a="1"/>
  <c r="CF13" i="9" s="1"/>
  <c r="CE13" i="9"/>
  <c r="CE13" i="9" a="1"/>
  <c r="CD13" i="9" a="1"/>
  <c r="CD13" i="9" s="1"/>
  <c r="CC13" i="9"/>
  <c r="CC13" i="9" a="1"/>
  <c r="CB13" i="9" a="1"/>
  <c r="CB13" i="9" s="1"/>
  <c r="CA13" i="9" a="1"/>
  <c r="CA13" i="9" s="1"/>
  <c r="BZ13" i="9" a="1"/>
  <c r="BZ13" i="9" s="1"/>
  <c r="BY13" i="9"/>
  <c r="BY13" i="9" a="1"/>
  <c r="BX13" i="9" a="1"/>
  <c r="BX13" i="9" s="1"/>
  <c r="BW13" i="9" a="1"/>
  <c r="BW13" i="9" s="1"/>
  <c r="BV13" i="9"/>
  <c r="BV13" i="9" a="1"/>
  <c r="BU13" i="9" a="1"/>
  <c r="BU13" i="9" s="1"/>
  <c r="BT13" i="9" a="1"/>
  <c r="BT13" i="9" s="1"/>
  <c r="BS13" i="9"/>
  <c r="BS13" i="9" a="1"/>
  <c r="BR13" i="9" a="1"/>
  <c r="BR13" i="9" s="1"/>
  <c r="BQ13" i="9" a="1"/>
  <c r="BQ13" i="9" s="1"/>
  <c r="BP13" i="9" a="1"/>
  <c r="BP13" i="9" s="1"/>
  <c r="BO13" i="9"/>
  <c r="BO13" i="9" a="1"/>
  <c r="BN13" i="9" a="1"/>
  <c r="BN13" i="9" s="1"/>
  <c r="BM13" i="9"/>
  <c r="BM13" i="9" a="1"/>
  <c r="BL13" i="9" a="1"/>
  <c r="BL13" i="9" s="1"/>
  <c r="BK13" i="9"/>
  <c r="BK13" i="9" a="1"/>
  <c r="BJ13" i="9"/>
  <c r="BJ13" i="9" a="1"/>
  <c r="BI13" i="9" a="1"/>
  <c r="BI13" i="9" s="1"/>
  <c r="BH13" i="9" a="1"/>
  <c r="BH13" i="9" s="1"/>
  <c r="BG13" i="9"/>
  <c r="BG13" i="9" a="1"/>
  <c r="BF13" i="9"/>
  <c r="BF13" i="9" a="1"/>
  <c r="BE13" i="9" a="1"/>
  <c r="BE13" i="9" s="1"/>
  <c r="BD13" i="9" a="1"/>
  <c r="BD13" i="9" s="1"/>
  <c r="BC13" i="9" a="1"/>
  <c r="BC13" i="9" s="1"/>
  <c r="BB13" i="9"/>
  <c r="BB13" i="9" a="1"/>
  <c r="BA13" i="9"/>
  <c r="BA13" i="9" a="1"/>
  <c r="AZ13" i="9" a="1"/>
  <c r="AZ13" i="9" s="1"/>
  <c r="AY13" i="9"/>
  <c r="AY13" i="9" a="1"/>
  <c r="AX13" i="9"/>
  <c r="AX13" i="9" a="1"/>
  <c r="AW13" i="9"/>
  <c r="AW13" i="9" a="1"/>
  <c r="AV13" i="9" a="1"/>
  <c r="AV13" i="9" s="1"/>
  <c r="AU13" i="9" a="1"/>
  <c r="AU13" i="9" s="1"/>
  <c r="AT13" i="9" a="1"/>
  <c r="AT13" i="9" s="1"/>
  <c r="AS13" i="9"/>
  <c r="AS13" i="9" a="1"/>
  <c r="AR13" i="9" a="1"/>
  <c r="AR13" i="9" s="1"/>
  <c r="AQ13" i="9" a="1"/>
  <c r="AQ13" i="9" s="1"/>
  <c r="AP13" i="9"/>
  <c r="AP13" i="9" a="1"/>
  <c r="AO13" i="9"/>
  <c r="AO13" i="9" a="1"/>
  <c r="AN13" i="9" a="1"/>
  <c r="AN13" i="9" s="1"/>
  <c r="AM13" i="9"/>
  <c r="AM13" i="9" a="1"/>
  <c r="AL13" i="9" a="1"/>
  <c r="AL13" i="9" s="1"/>
  <c r="AK13" i="9" a="1"/>
  <c r="AK13" i="9" s="1"/>
  <c r="AJ13" i="9" a="1"/>
  <c r="AJ13" i="9" s="1"/>
  <c r="AI13" i="9"/>
  <c r="AI13" i="9" a="1"/>
  <c r="AH13" i="9" a="1"/>
  <c r="AH13" i="9" s="1"/>
  <c r="AG13" i="9"/>
  <c r="AG13" i="9" a="1"/>
  <c r="AF13" i="9" a="1"/>
  <c r="AF13" i="9" s="1"/>
  <c r="AE13" i="9"/>
  <c r="AE13" i="9" a="1"/>
  <c r="AD13" i="9"/>
  <c r="AD13" i="9" a="1"/>
  <c r="AC13" i="9" a="1"/>
  <c r="AC13" i="9" s="1"/>
  <c r="AB13" i="9" a="1"/>
  <c r="AB13" i="9" s="1"/>
  <c r="Z13" i="9"/>
  <c r="Z13" i="9" a="1"/>
  <c r="DF12" i="9" a="1"/>
  <c r="DF12" i="9" s="1"/>
  <c r="DE12" i="9" a="1"/>
  <c r="DE12" i="9" s="1"/>
  <c r="DD12" i="9"/>
  <c r="DD12" i="9" a="1"/>
  <c r="DC12" i="9"/>
  <c r="DC12" i="9" a="1"/>
  <c r="DB12" i="9" a="1"/>
  <c r="DB12" i="9" s="1"/>
  <c r="DA12" i="9"/>
  <c r="DA12" i="9" a="1"/>
  <c r="CZ12" i="9"/>
  <c r="CZ12" i="9" a="1"/>
  <c r="CY12" i="9"/>
  <c r="CY12" i="9" a="1"/>
  <c r="CX12" i="9" a="1"/>
  <c r="CX12" i="9" s="1"/>
  <c r="CW12" i="9" a="1"/>
  <c r="CW12" i="9" s="1"/>
  <c r="CV12" i="9" a="1"/>
  <c r="CV12" i="9" s="1"/>
  <c r="CU12" i="9"/>
  <c r="CU12" i="9" a="1"/>
  <c r="CT12" i="9" a="1"/>
  <c r="CT12" i="9" s="1"/>
  <c r="CS12" i="9" a="1"/>
  <c r="CS12" i="9" s="1"/>
  <c r="CR12" i="9"/>
  <c r="CR12" i="9" a="1"/>
  <c r="CQ12" i="9"/>
  <c r="CQ12" i="9" a="1"/>
  <c r="CP12" i="9" a="1"/>
  <c r="CP12" i="9" s="1"/>
  <c r="CO12" i="9"/>
  <c r="CO12" i="9" a="1"/>
  <c r="CN12" i="9" a="1"/>
  <c r="CN12" i="9" s="1"/>
  <c r="CM12" i="9" a="1"/>
  <c r="CM12" i="9" s="1"/>
  <c r="CL12" i="9" a="1"/>
  <c r="CL12" i="9" s="1"/>
  <c r="CK12" i="9"/>
  <c r="CK12" i="9" a="1"/>
  <c r="CJ12" i="9" a="1"/>
  <c r="CJ12" i="9" s="1"/>
  <c r="CI12" i="9"/>
  <c r="CI12" i="9" a="1"/>
  <c r="CH12" i="9" a="1"/>
  <c r="CH12" i="9" s="1"/>
  <c r="CG12" i="9"/>
  <c r="CG12" i="9" a="1"/>
  <c r="CF12" i="9"/>
  <c r="CF12" i="9" a="1"/>
  <c r="CE12" i="9" a="1"/>
  <c r="CE12" i="9" s="1"/>
  <c r="CD12" i="9" a="1"/>
  <c r="CD12" i="9" s="1"/>
  <c r="CC12" i="9"/>
  <c r="CC12" i="9" a="1"/>
  <c r="CB12" i="9"/>
  <c r="CB12" i="9" a="1"/>
  <c r="CA12" i="9" a="1"/>
  <c r="CA12" i="9" s="1"/>
  <c r="BZ12" i="9" a="1"/>
  <c r="BZ12" i="9" s="1"/>
  <c r="BY12" i="9" a="1"/>
  <c r="BY12" i="9" s="1"/>
  <c r="BX12" i="9"/>
  <c r="BX12" i="9" a="1"/>
  <c r="BW12" i="9"/>
  <c r="BW12" i="9" a="1"/>
  <c r="BV12" i="9" a="1"/>
  <c r="BV12" i="9" s="1"/>
  <c r="BU12" i="9"/>
  <c r="BU12" i="9" a="1"/>
  <c r="BT12" i="9"/>
  <c r="BT12" i="9" a="1"/>
  <c r="BS12" i="9"/>
  <c r="BS12" i="9" a="1"/>
  <c r="BR12" i="9" a="1"/>
  <c r="BR12" i="9" s="1"/>
  <c r="BQ12" i="9" a="1"/>
  <c r="BQ12" i="9" s="1"/>
  <c r="BP12" i="9" a="1"/>
  <c r="BP12" i="9" s="1"/>
  <c r="BO12" i="9"/>
  <c r="BO12" i="9" a="1"/>
  <c r="BN12" i="9" a="1"/>
  <c r="BN12" i="9" s="1"/>
  <c r="BM12" i="9" a="1"/>
  <c r="BM12" i="9" s="1"/>
  <c r="BL12" i="9"/>
  <c r="BL12" i="9" a="1"/>
  <c r="BK12" i="9"/>
  <c r="BK12" i="9" a="1"/>
  <c r="BJ12" i="9" a="1"/>
  <c r="BJ12" i="9" s="1"/>
  <c r="BI12" i="9"/>
  <c r="BI12" i="9" a="1"/>
  <c r="BH12" i="9" a="1"/>
  <c r="BH12" i="9" s="1"/>
  <c r="BG12" i="9" a="1"/>
  <c r="BG12" i="9" s="1"/>
  <c r="BF12" i="9" a="1"/>
  <c r="BF12" i="9" s="1"/>
  <c r="BE12" i="9"/>
  <c r="BE12" i="9" a="1"/>
  <c r="BD12" i="9" a="1"/>
  <c r="BD12" i="9" s="1"/>
  <c r="BC12" i="9"/>
  <c r="BC12" i="9" a="1"/>
  <c r="BB12" i="9" a="1"/>
  <c r="BB12" i="9" s="1"/>
  <c r="BA12" i="9"/>
  <c r="BA12" i="9" a="1"/>
  <c r="AZ12" i="9"/>
  <c r="AZ12" i="9" a="1"/>
  <c r="AY12" i="9" a="1"/>
  <c r="AY12" i="9" s="1"/>
  <c r="AX12" i="9" a="1"/>
  <c r="AX12" i="9" s="1"/>
  <c r="AW12" i="9" a="1"/>
  <c r="AW12" i="9" s="1"/>
  <c r="AV12" i="9"/>
  <c r="AV12" i="9" a="1"/>
  <c r="AU12" i="9" a="1"/>
  <c r="AU12" i="9" s="1"/>
  <c r="AT12" i="9" a="1"/>
  <c r="AT12" i="9" s="1"/>
  <c r="AS12" i="9" a="1"/>
  <c r="AS12" i="9" s="1"/>
  <c r="AR12" i="9" a="1"/>
  <c r="AR12" i="9" s="1"/>
  <c r="AQ12" i="9"/>
  <c r="AQ12" i="9" a="1"/>
  <c r="AP12" i="9" a="1"/>
  <c r="AP12" i="9" s="1"/>
  <c r="AO12" i="9"/>
  <c r="AO12" i="9" a="1"/>
  <c r="AN12" i="9"/>
  <c r="AN12" i="9" a="1"/>
  <c r="AM12" i="9"/>
  <c r="AM12" i="9" a="1"/>
  <c r="AL12" i="9" a="1"/>
  <c r="AL12" i="9" s="1"/>
  <c r="AK12" i="9" a="1"/>
  <c r="AK12" i="9" s="1"/>
  <c r="AJ12" i="9" a="1"/>
  <c r="AJ12" i="9" s="1"/>
  <c r="AI12" i="9"/>
  <c r="AI12" i="9" a="1"/>
  <c r="AH12" i="9" a="1"/>
  <c r="AH12" i="9" s="1"/>
  <c r="AG12" i="9" a="1"/>
  <c r="AG12" i="9" s="1"/>
  <c r="AF12" i="9"/>
  <c r="AF12" i="9" a="1"/>
  <c r="AE12" i="9" a="1"/>
  <c r="AE12" i="9" s="1"/>
  <c r="AD12" i="9" a="1"/>
  <c r="AD12" i="9" s="1"/>
  <c r="AC12" i="9"/>
  <c r="AC12" i="9" a="1"/>
  <c r="AB12" i="9" a="1"/>
  <c r="AB12" i="9" s="1"/>
  <c r="Z12" i="9" a="1"/>
  <c r="Z12" i="9" s="1"/>
  <c r="DF11" i="9" a="1"/>
  <c r="DF11" i="9" s="1"/>
  <c r="DE11" i="9" a="1"/>
  <c r="DE11" i="9" s="1"/>
  <c r="DD11" i="9" a="1"/>
  <c r="DD11" i="9" s="1"/>
  <c r="DC11" i="9"/>
  <c r="DC11" i="9" a="1"/>
  <c r="DB11" i="9"/>
  <c r="DB11" i="9" a="1"/>
  <c r="DA11" i="9" a="1"/>
  <c r="DA11" i="9" s="1"/>
  <c r="CZ11" i="9" a="1"/>
  <c r="CZ11" i="9" s="1"/>
  <c r="CY11" i="9"/>
  <c r="CY11" i="9" a="1"/>
  <c r="CX11" i="9"/>
  <c r="CX11" i="9" a="1"/>
  <c r="CW11" i="9" a="1"/>
  <c r="CW11" i="9" s="1"/>
  <c r="CV11" i="9" a="1"/>
  <c r="CV11" i="9" s="1"/>
  <c r="CU11" i="9"/>
  <c r="CU11" i="9" a="1"/>
  <c r="CT11" i="9" a="1"/>
  <c r="CT11" i="9" s="1"/>
  <c r="CS11" i="9"/>
  <c r="CS11" i="9" a="1"/>
  <c r="CR11" i="9" a="1"/>
  <c r="CR11" i="9" s="1"/>
  <c r="CQ11" i="9" a="1"/>
  <c r="CQ11" i="9" s="1"/>
  <c r="CP11" i="9" a="1"/>
  <c r="CP11" i="9" s="1"/>
  <c r="CO11" i="9"/>
  <c r="CO11" i="9" a="1"/>
  <c r="CN11" i="9" a="1"/>
  <c r="CN11" i="9" s="1"/>
  <c r="CM11" i="9" a="1"/>
  <c r="CM11" i="9" s="1"/>
  <c r="CL11" i="9"/>
  <c r="CL11" i="9" a="1"/>
  <c r="CK11" i="9" a="1"/>
  <c r="CK11" i="9" s="1"/>
  <c r="CJ11" i="9" a="1"/>
  <c r="CJ11" i="9" s="1"/>
  <c r="CI11" i="9" a="1"/>
  <c r="CI11" i="9" s="1"/>
  <c r="CH11" i="9" a="1"/>
  <c r="CH11" i="9" s="1"/>
  <c r="CG11" i="9" a="1"/>
  <c r="CG11" i="9" s="1"/>
  <c r="CF11" i="9" a="1"/>
  <c r="CF11" i="9" s="1"/>
  <c r="CE11" i="9" a="1"/>
  <c r="CE11" i="9" s="1"/>
  <c r="CD11" i="9" a="1"/>
  <c r="CD11" i="9" s="1"/>
  <c r="CC11" i="9"/>
  <c r="CC11" i="9" a="1"/>
  <c r="CB11" i="9" a="1"/>
  <c r="CB11" i="9" s="1"/>
  <c r="CA11" i="9" a="1"/>
  <c r="CA11" i="9" s="1"/>
  <c r="BZ11" i="9"/>
  <c r="BZ11" i="9" a="1"/>
  <c r="BY11" i="9" a="1"/>
  <c r="BY11" i="9" s="1"/>
  <c r="BX11" i="9"/>
  <c r="BX11" i="9" a="1"/>
  <c r="BW11" i="9" a="1"/>
  <c r="BW11" i="9" s="1"/>
  <c r="BV11" i="9"/>
  <c r="BV11" i="9" a="1"/>
  <c r="BU11" i="9" a="1"/>
  <c r="BU11" i="9" s="1"/>
  <c r="BT11" i="9" a="1"/>
  <c r="BT11" i="9" s="1"/>
  <c r="BS11" i="9" a="1"/>
  <c r="BS11" i="9" s="1"/>
  <c r="BR11" i="9" a="1"/>
  <c r="BR11" i="9" s="1"/>
  <c r="BQ11" i="9"/>
  <c r="BQ11" i="9" a="1"/>
  <c r="BP11" i="9" a="1"/>
  <c r="BP11" i="9" s="1"/>
  <c r="BO11" i="9" a="1"/>
  <c r="BO11" i="9" s="1"/>
  <c r="BN11" i="9" a="1"/>
  <c r="BN11" i="9" s="1"/>
  <c r="BM11" i="9"/>
  <c r="BM11" i="9" a="1"/>
  <c r="BL11" i="9" a="1"/>
  <c r="BL11" i="9" s="1"/>
  <c r="BK11" i="9" a="1"/>
  <c r="BK11" i="9" s="1"/>
  <c r="BJ11" i="9"/>
  <c r="BJ11" i="9" a="1"/>
  <c r="BI11" i="9" a="1"/>
  <c r="BI11" i="9" s="1"/>
  <c r="BH11" i="9"/>
  <c r="BH11" i="9" a="1"/>
  <c r="BG11" i="9" a="1"/>
  <c r="BG11" i="9" s="1"/>
  <c r="BF11" i="9" a="1"/>
  <c r="BF11" i="9" s="1"/>
  <c r="BE11" i="9" a="1"/>
  <c r="BE11" i="9" s="1"/>
  <c r="BD11" i="9"/>
  <c r="BD11" i="9" a="1"/>
  <c r="BC11" i="9" a="1"/>
  <c r="BC11" i="9" s="1"/>
  <c r="BB11" i="9" a="1"/>
  <c r="BB11" i="9" s="1"/>
  <c r="BA11" i="9"/>
  <c r="BA11" i="9" a="1"/>
  <c r="AZ11" i="9" a="1"/>
  <c r="AZ11" i="9" s="1"/>
  <c r="AY11" i="9" a="1"/>
  <c r="AY11" i="9" s="1"/>
  <c r="AX11" i="9" a="1"/>
  <c r="AX11" i="9" s="1"/>
  <c r="AW11" i="9"/>
  <c r="AW11" i="9" a="1"/>
  <c r="AV11" i="9" a="1"/>
  <c r="AV11" i="9" s="1"/>
  <c r="AU11" i="9" a="1"/>
  <c r="AU11" i="9" s="1"/>
  <c r="AT11" i="9"/>
  <c r="AT11" i="9" a="1"/>
  <c r="AS11" i="9" a="1"/>
  <c r="AS11" i="9" s="1"/>
  <c r="AR11" i="9"/>
  <c r="AR11" i="9" a="1"/>
  <c r="AQ11" i="9" a="1"/>
  <c r="AQ11" i="9" s="1"/>
  <c r="AP11" i="9"/>
  <c r="AP11" i="9" a="1"/>
  <c r="AO11" i="9"/>
  <c r="AO11" i="9" a="1"/>
  <c r="AN11" i="9"/>
  <c r="AN11" i="9" a="1"/>
  <c r="AM11" i="9" a="1"/>
  <c r="AM11" i="9" s="1"/>
  <c r="AL11" i="9" a="1"/>
  <c r="AL11" i="9" s="1"/>
  <c r="AK11" i="9"/>
  <c r="AK11" i="9" a="1"/>
  <c r="AJ11" i="9" a="1"/>
  <c r="AJ11" i="9" s="1"/>
  <c r="AI11" i="9" a="1"/>
  <c r="AI11" i="9" s="1"/>
  <c r="AH11" i="9" a="1"/>
  <c r="AH11" i="9" s="1"/>
  <c r="AG11" i="9"/>
  <c r="AG11" i="9" a="1"/>
  <c r="AF11" i="9"/>
  <c r="AF11" i="9" a="1"/>
  <c r="AE11" i="9" a="1"/>
  <c r="AE11" i="9" s="1"/>
  <c r="AD11" i="9"/>
  <c r="AD11" i="9" a="1"/>
  <c r="AC11" i="9" a="1"/>
  <c r="AC11" i="9" s="1"/>
  <c r="AB11" i="9"/>
  <c r="AB11" i="9" a="1"/>
  <c r="Z11" i="9"/>
  <c r="Z11" i="9" a="1"/>
  <c r="DF10" i="9"/>
  <c r="DF10" i="9" a="1"/>
  <c r="DE10" i="9" a="1"/>
  <c r="DE10" i="9" s="1"/>
  <c r="DD10" i="9" a="1"/>
  <c r="DD10" i="9" s="1"/>
  <c r="DC10" i="9"/>
  <c r="DC10" i="9" a="1"/>
  <c r="DB10" i="9" a="1"/>
  <c r="DB10" i="9" s="1"/>
  <c r="DA10" i="9" a="1"/>
  <c r="DA10" i="9" s="1"/>
  <c r="CZ10" i="9"/>
  <c r="CZ10" i="9" a="1"/>
  <c r="CY10" i="9"/>
  <c r="CY10" i="9" a="1"/>
  <c r="CX10" i="9" a="1"/>
  <c r="CX10" i="9" s="1"/>
  <c r="CW10" i="9" a="1"/>
  <c r="CW10" i="9" s="1"/>
  <c r="CV10" i="9"/>
  <c r="CV10" i="9" a="1"/>
  <c r="CU10" i="9" a="1"/>
  <c r="CU10" i="9" s="1"/>
  <c r="CT10" i="9" a="1"/>
  <c r="CT10" i="9" s="1"/>
  <c r="CS10" i="9" a="1"/>
  <c r="CS10" i="9" s="1"/>
  <c r="CR10" i="9"/>
  <c r="CR10" i="9" a="1"/>
  <c r="CQ10" i="9"/>
  <c r="CQ10" i="9" a="1"/>
  <c r="CP10" i="9"/>
  <c r="CP10" i="9" a="1"/>
  <c r="CO10" i="9" a="1"/>
  <c r="CO10" i="9" s="1"/>
  <c r="CN10" i="9" a="1"/>
  <c r="CN10" i="9" s="1"/>
  <c r="CM10" i="9"/>
  <c r="CM10" i="9" a="1"/>
  <c r="CL10" i="9" a="1"/>
  <c r="CL10" i="9" s="1"/>
  <c r="CK10" i="9" a="1"/>
  <c r="CK10" i="9" s="1"/>
  <c r="CJ10" i="9" a="1"/>
  <c r="CJ10" i="9" s="1"/>
  <c r="CI10" i="9"/>
  <c r="CI10" i="9" a="1"/>
  <c r="CH10" i="9"/>
  <c r="CH10" i="9" a="1"/>
  <c r="CG10" i="9" a="1"/>
  <c r="CG10" i="9" s="1"/>
  <c r="CF10" i="9" a="1"/>
  <c r="CF10" i="9" s="1"/>
  <c r="CE10" i="9" a="1"/>
  <c r="CE10" i="9" s="1"/>
  <c r="CD10" i="9"/>
  <c r="CD10" i="9" a="1"/>
  <c r="CC10" i="9" a="1"/>
  <c r="CC10" i="9" s="1"/>
  <c r="CB10" i="9"/>
  <c r="CB10" i="9" a="1"/>
  <c r="CA10" i="9"/>
  <c r="CA10" i="9" a="1"/>
  <c r="BZ10" i="9"/>
  <c r="BZ10" i="9" a="1"/>
  <c r="BY10" i="9" a="1"/>
  <c r="BY10" i="9" s="1"/>
  <c r="BX10" i="9" a="1"/>
  <c r="BX10" i="9" s="1"/>
  <c r="BW10" i="9" a="1"/>
  <c r="BW10" i="9" s="1"/>
  <c r="BV10" i="9" a="1"/>
  <c r="BV10" i="9" s="1"/>
  <c r="BU10" i="9" a="1"/>
  <c r="BU10" i="9" s="1"/>
  <c r="BT10" i="9"/>
  <c r="BT10" i="9" a="1"/>
  <c r="BS10" i="9"/>
  <c r="BS10" i="9" a="1"/>
  <c r="BR10" i="9" a="1"/>
  <c r="BR10" i="9" s="1"/>
  <c r="BQ10" i="9" a="1"/>
  <c r="BQ10" i="9" s="1"/>
  <c r="BP10" i="9"/>
  <c r="BP10" i="9" a="1"/>
  <c r="BO10" i="9" a="1"/>
  <c r="BO10" i="9" s="1"/>
  <c r="BN10" i="9" a="1"/>
  <c r="BN10" i="9" s="1"/>
  <c r="BM10" i="9" a="1"/>
  <c r="BM10" i="9" s="1"/>
  <c r="BL10" i="9"/>
  <c r="BL10" i="9" a="1"/>
  <c r="BK10" i="9"/>
  <c r="BK10" i="9" a="1"/>
  <c r="BJ10" i="9"/>
  <c r="BJ10" i="9" a="1"/>
  <c r="BI10" i="9" a="1"/>
  <c r="BI10" i="9" s="1"/>
  <c r="BH10" i="9" a="1"/>
  <c r="BH10" i="9" s="1"/>
  <c r="BG10" i="9"/>
  <c r="BG10" i="9" a="1"/>
  <c r="BF10" i="9" a="1"/>
  <c r="BF10" i="9" s="1"/>
  <c r="BE10" i="9" a="1"/>
  <c r="BE10" i="9" s="1"/>
  <c r="BD10" i="9" a="1"/>
  <c r="BD10" i="9" s="1"/>
  <c r="BC10" i="9"/>
  <c r="BC10" i="9" a="1"/>
  <c r="BB10" i="9"/>
  <c r="BB10" i="9" a="1"/>
  <c r="BA10" i="9" a="1"/>
  <c r="BA10" i="9" s="1"/>
  <c r="AZ10" i="9" a="1"/>
  <c r="AZ10" i="9" s="1"/>
  <c r="AY10" i="9" a="1"/>
  <c r="AY10" i="9" s="1"/>
  <c r="AX10" i="9"/>
  <c r="AX10" i="9" a="1"/>
  <c r="AW10" i="9" a="1"/>
  <c r="AW10" i="9" s="1"/>
  <c r="AV10" i="9"/>
  <c r="AV10" i="9" a="1"/>
  <c r="AU10" i="9" a="1"/>
  <c r="AU10" i="9" s="1"/>
  <c r="AT10" i="9"/>
  <c r="AT10" i="9" a="1"/>
  <c r="AS10" i="9" a="1"/>
  <c r="AS10" i="9" s="1"/>
  <c r="AR10" i="9" a="1"/>
  <c r="AR10" i="9" s="1"/>
  <c r="AQ10" i="9" a="1"/>
  <c r="AQ10" i="9" s="1"/>
  <c r="AP10" i="9" a="1"/>
  <c r="AP10" i="9" s="1"/>
  <c r="AO10" i="9" a="1"/>
  <c r="AO10" i="9" s="1"/>
  <c r="AN10" i="9"/>
  <c r="AN10" i="9" a="1"/>
  <c r="AM10" i="9"/>
  <c r="AM10" i="9" a="1"/>
  <c r="AL10" i="9" a="1"/>
  <c r="AL10" i="9" s="1"/>
  <c r="AK10" i="9" a="1"/>
  <c r="AK10" i="9" s="1"/>
  <c r="AJ10" i="9"/>
  <c r="AJ10" i="9" a="1"/>
  <c r="AI10" i="9" a="1"/>
  <c r="AI10" i="9" s="1"/>
  <c r="AH10" i="9" a="1"/>
  <c r="AH10" i="9" s="1"/>
  <c r="AG10" i="9" a="1"/>
  <c r="AG10" i="9" s="1"/>
  <c r="AF10" i="9"/>
  <c r="AF10" i="9" a="1"/>
  <c r="AE10" i="9"/>
  <c r="AE10" i="9" a="1"/>
  <c r="AD10" i="9"/>
  <c r="AD10" i="9" a="1"/>
  <c r="AC10" i="9" a="1"/>
  <c r="AC10" i="9" s="1"/>
  <c r="AB10" i="9" a="1"/>
  <c r="AB10" i="9" s="1"/>
  <c r="Z10" i="9" a="1"/>
  <c r="Z10" i="9" s="1"/>
  <c r="DF9" i="9" a="1"/>
  <c r="DF9" i="9" s="1"/>
  <c r="DE9" i="9"/>
  <c r="DE9" i="9" a="1"/>
  <c r="DD9" i="9"/>
  <c r="DD9" i="9" a="1"/>
  <c r="DC9" i="9" a="1"/>
  <c r="DC9" i="9" s="1"/>
  <c r="DB9" i="9" a="1"/>
  <c r="DB9" i="9" s="1"/>
  <c r="DA9" i="9" a="1"/>
  <c r="DA9" i="9" s="1"/>
  <c r="CZ9" i="9"/>
  <c r="CZ9" i="9" a="1"/>
  <c r="CY9" i="9" a="1"/>
  <c r="CY9" i="9" s="1"/>
  <c r="CX9" i="9"/>
  <c r="CX9" i="9" a="1"/>
  <c r="CW9" i="9" a="1"/>
  <c r="CW9" i="9" s="1"/>
  <c r="CV9" i="9" a="1"/>
  <c r="CV9" i="9" s="1"/>
  <c r="CU9" i="9" a="1"/>
  <c r="CU9" i="9" s="1"/>
  <c r="CT9" i="9" a="1"/>
  <c r="CT9" i="9" s="1"/>
  <c r="CS9" i="9"/>
  <c r="CS9" i="9" a="1"/>
  <c r="CR9" i="9" a="1"/>
  <c r="CR9" i="9" s="1"/>
  <c r="CQ9" i="9" a="1"/>
  <c r="CQ9" i="9" s="1"/>
  <c r="CP9" i="9"/>
  <c r="CP9" i="9" a="1"/>
  <c r="CO9" i="9"/>
  <c r="CO9" i="9" a="1"/>
  <c r="CN9" i="9" a="1"/>
  <c r="CN9" i="9" s="1"/>
  <c r="CM9" i="9" a="1"/>
  <c r="CM9" i="9" s="1"/>
  <c r="CL9" i="9"/>
  <c r="CL9" i="9" a="1"/>
  <c r="CK9" i="9" a="1"/>
  <c r="CK9" i="9" s="1"/>
  <c r="CJ9" i="9" a="1"/>
  <c r="CJ9" i="9" s="1"/>
  <c r="CI9" i="9" a="1"/>
  <c r="CI9" i="9" s="1"/>
  <c r="CH9" i="9" a="1"/>
  <c r="CH9" i="9" s="1"/>
  <c r="CG9" i="9"/>
  <c r="CG9" i="9" a="1"/>
  <c r="CF9" i="9"/>
  <c r="CF9" i="9" a="1"/>
  <c r="CE9" i="9" a="1"/>
  <c r="CE9" i="9" s="1"/>
  <c r="CD9" i="9" a="1"/>
  <c r="CD9" i="9" s="1"/>
  <c r="CC9" i="9"/>
  <c r="CC9" i="9" a="1"/>
  <c r="CB9" i="9" a="1"/>
  <c r="CB9" i="9" s="1"/>
  <c r="CA9" i="9" a="1"/>
  <c r="CA9" i="9" s="1"/>
  <c r="BZ9" i="9" a="1"/>
  <c r="BZ9" i="9" s="1"/>
  <c r="BY9" i="9" a="1"/>
  <c r="BY9" i="9" s="1"/>
  <c r="BX9" i="9"/>
  <c r="BX9" i="9" a="1"/>
  <c r="BW9" i="9" a="1"/>
  <c r="BW9" i="9" s="1"/>
  <c r="BV9" i="9" a="1"/>
  <c r="BV9" i="9" s="1"/>
  <c r="BU9" i="9" a="1"/>
  <c r="BU9" i="9" s="1"/>
  <c r="BT9" i="9"/>
  <c r="BT9" i="9" a="1"/>
  <c r="BS9" i="9" a="1"/>
  <c r="BS9" i="9" s="1"/>
  <c r="BR9" i="9"/>
  <c r="BR9" i="9" a="1"/>
  <c r="BQ9" i="9" a="1"/>
  <c r="BQ9" i="9" s="1"/>
  <c r="BP9" i="9" a="1"/>
  <c r="BP9" i="9" s="1"/>
  <c r="BO9" i="9" a="1"/>
  <c r="BO9" i="9" s="1"/>
  <c r="BN9" i="9" a="1"/>
  <c r="BN9" i="9" s="1"/>
  <c r="BM9" i="9" a="1"/>
  <c r="BM9" i="9" s="1"/>
  <c r="BL9" i="9" a="1"/>
  <c r="BL9" i="9" s="1"/>
  <c r="BK9" i="9" a="1"/>
  <c r="BK9" i="9" s="1"/>
  <c r="BJ9" i="9"/>
  <c r="BJ9" i="9" a="1"/>
  <c r="BI9" i="9"/>
  <c r="BI9" i="9" a="1"/>
  <c r="BH9" i="9" a="1"/>
  <c r="BH9" i="9" s="1"/>
  <c r="BG9" i="9" a="1"/>
  <c r="BG9" i="9" s="1"/>
  <c r="BF9" i="9"/>
  <c r="BF9" i="9" a="1"/>
  <c r="BE9" i="9" a="1"/>
  <c r="BE9" i="9" s="1"/>
  <c r="BD9" i="9" a="1"/>
  <c r="BD9" i="9" s="1"/>
  <c r="BC9" i="9" a="1"/>
  <c r="BC9" i="9" s="1"/>
  <c r="BB9" i="9" a="1"/>
  <c r="BB9" i="9" s="1"/>
  <c r="BA9" i="9"/>
  <c r="BA9" i="9" a="1"/>
  <c r="AZ9" i="9"/>
  <c r="AZ9" i="9" a="1"/>
  <c r="AY9" i="9" a="1"/>
  <c r="AY9" i="9" s="1"/>
  <c r="AX9" i="9" a="1"/>
  <c r="AX9" i="9" s="1"/>
  <c r="AW9" i="9"/>
  <c r="AW9" i="9" a="1"/>
  <c r="AV9" i="9" a="1"/>
  <c r="AV9" i="9" s="1"/>
  <c r="AU9" i="9" a="1"/>
  <c r="AU9" i="9" s="1"/>
  <c r="AT9" i="9" a="1"/>
  <c r="AT9" i="9" s="1"/>
  <c r="AS9" i="9" a="1"/>
  <c r="AS9" i="9" s="1"/>
  <c r="AR9" i="9"/>
  <c r="AR9" i="9" a="1"/>
  <c r="AQ9" i="9" a="1"/>
  <c r="AQ9" i="9" s="1"/>
  <c r="AP9" i="9" a="1"/>
  <c r="AP9" i="9" s="1"/>
  <c r="AO9" i="9" a="1"/>
  <c r="AO9" i="9" s="1"/>
  <c r="AN9" i="9"/>
  <c r="AN9" i="9" a="1"/>
  <c r="AM9" i="9" a="1"/>
  <c r="AM9" i="9" s="1"/>
  <c r="AL9" i="9"/>
  <c r="AL9" i="9" a="1"/>
  <c r="AK9" i="9" a="1"/>
  <c r="AK9" i="9" s="1"/>
  <c r="AJ9" i="9" a="1"/>
  <c r="AJ9" i="9" s="1"/>
  <c r="AI9" i="9" a="1"/>
  <c r="AI9" i="9" s="1"/>
  <c r="AH9" i="9" a="1"/>
  <c r="AH9" i="9" s="1"/>
  <c r="AG9" i="9" a="1"/>
  <c r="AG9" i="9" s="1"/>
  <c r="AF9" i="9" a="1"/>
  <c r="AF9" i="9" s="1"/>
  <c r="AE9" i="9" a="1"/>
  <c r="AE9" i="9" s="1"/>
  <c r="AD9" i="9"/>
  <c r="AD9" i="9" a="1"/>
  <c r="AC9" i="9"/>
  <c r="AC9" i="9" a="1"/>
  <c r="AB9" i="9" a="1"/>
  <c r="AB9" i="9" s="1"/>
  <c r="AA9" i="9" a="1"/>
  <c r="AA9" i="9" s="1"/>
  <c r="Z9" i="9"/>
  <c r="Z9" i="9" a="1"/>
  <c r="DF8" i="9" a="1"/>
  <c r="DF8" i="9" s="1"/>
  <c r="DE8" i="9"/>
  <c r="DE8" i="9" a="1"/>
  <c r="DD8" i="9"/>
  <c r="DD8" i="9" a="1"/>
  <c r="DC8" i="9"/>
  <c r="DC8" i="9" a="1"/>
  <c r="DB8" i="9" a="1"/>
  <c r="DB8" i="9" s="1"/>
  <c r="DA8" i="9"/>
  <c r="DA8" i="9" a="1"/>
  <c r="CZ8" i="9"/>
  <c r="CZ8" i="9" a="1"/>
  <c r="CY8" i="9"/>
  <c r="CY8" i="9" a="1"/>
  <c r="CX8" i="9" a="1"/>
  <c r="CX8" i="9" s="1"/>
  <c r="CW8" i="9" a="1"/>
  <c r="CW8" i="9" s="1"/>
  <c r="CV8" i="9" a="1"/>
  <c r="CV8" i="9" s="1"/>
  <c r="CU8" i="9"/>
  <c r="CU8" i="9" a="1"/>
  <c r="CT8" i="9" a="1"/>
  <c r="CT8" i="9" s="1"/>
  <c r="CS8" i="9" a="1"/>
  <c r="CS8" i="9" s="1"/>
  <c r="CR8" i="9" a="1"/>
  <c r="CR8" i="9" s="1"/>
  <c r="CQ8" i="9"/>
  <c r="CQ8" i="9" a="1"/>
  <c r="CP8" i="9" a="1"/>
  <c r="CP8" i="9" s="1"/>
  <c r="CO8" i="9" a="1"/>
  <c r="CO8" i="9" s="1"/>
  <c r="CN8" i="9" a="1"/>
  <c r="CN8" i="9" s="1"/>
  <c r="CM8" i="9"/>
  <c r="CM8" i="9" a="1"/>
  <c r="CL8" i="9" a="1"/>
  <c r="CL8" i="9" s="1"/>
  <c r="CK8" i="9" a="1"/>
  <c r="CK8" i="9" s="1"/>
  <c r="CJ8" i="9" a="1"/>
  <c r="CJ8" i="9" s="1"/>
  <c r="CI8" i="9"/>
  <c r="CI8" i="9" a="1"/>
  <c r="CH8" i="9" a="1"/>
  <c r="CH8" i="9" s="1"/>
  <c r="CG8" i="9" a="1"/>
  <c r="CG8" i="9" s="1"/>
  <c r="CF8" i="9" a="1"/>
  <c r="CF8" i="9" s="1"/>
  <c r="CE8" i="9" a="1"/>
  <c r="CE8" i="9" s="1"/>
  <c r="CD8" i="9" a="1"/>
  <c r="CD8" i="9" s="1"/>
  <c r="CC8" i="9" a="1"/>
  <c r="CC8" i="9" s="1"/>
  <c r="CB8" i="9" a="1"/>
  <c r="CB8" i="9" s="1"/>
  <c r="CA8" i="9"/>
  <c r="CA8" i="9" a="1"/>
  <c r="BZ8" i="9" a="1"/>
  <c r="BZ8" i="9" s="1"/>
  <c r="BY8" i="9" a="1"/>
  <c r="BY8" i="9" s="1"/>
  <c r="BX8" i="9" a="1"/>
  <c r="BX8" i="9" s="1"/>
  <c r="BW8" i="9"/>
  <c r="BW8" i="9" a="1"/>
  <c r="BV8" i="9" a="1"/>
  <c r="BV8" i="9" s="1"/>
  <c r="BU8" i="9" a="1"/>
  <c r="BU8" i="9" s="1"/>
  <c r="BT8" i="9" a="1"/>
  <c r="BT8" i="9" s="1"/>
  <c r="BS8" i="9" a="1"/>
  <c r="BS8" i="9" s="1"/>
  <c r="BR8" i="9" a="1"/>
  <c r="BR8" i="9" s="1"/>
  <c r="BQ8" i="9" a="1"/>
  <c r="BQ8" i="9" s="1"/>
  <c r="BP8" i="9" a="1"/>
  <c r="BP8" i="9" s="1"/>
  <c r="BO8" i="9" a="1"/>
  <c r="BO8" i="9" s="1"/>
  <c r="BN8" i="9" a="1"/>
  <c r="BN8" i="9" s="1"/>
  <c r="BM8" i="9" a="1"/>
  <c r="BM8" i="9" s="1"/>
  <c r="BL8" i="9" a="1"/>
  <c r="BL8" i="9" s="1"/>
  <c r="BK8" i="9"/>
  <c r="BK8" i="9" a="1"/>
  <c r="BJ8" i="9" a="1"/>
  <c r="BJ8" i="9" s="1"/>
  <c r="BI8" i="9" a="1"/>
  <c r="BI8" i="9" s="1"/>
  <c r="BH8" i="9" a="1"/>
  <c r="BH8" i="9" s="1"/>
  <c r="BG8" i="9"/>
  <c r="BG8" i="9" a="1"/>
  <c r="BF8" i="9" a="1"/>
  <c r="BF8" i="9" s="1"/>
  <c r="BE8" i="9" a="1"/>
  <c r="BE8" i="9" s="1"/>
  <c r="BD8" i="9" a="1"/>
  <c r="BD8" i="9" s="1"/>
  <c r="BC8" i="9" a="1"/>
  <c r="BC8" i="9" s="1"/>
  <c r="BB8" i="9" a="1"/>
  <c r="BB8" i="9" s="1"/>
  <c r="BA8" i="9" a="1"/>
  <c r="BA8" i="9" s="1"/>
  <c r="AZ8" i="9" a="1"/>
  <c r="AZ8" i="9" s="1"/>
  <c r="AY8" i="9" a="1"/>
  <c r="AY8" i="9" s="1"/>
  <c r="AX8" i="9" a="1"/>
  <c r="AX8" i="9" s="1"/>
  <c r="AW8" i="9" a="1"/>
  <c r="AW8" i="9" s="1"/>
  <c r="AV8" i="9" a="1"/>
  <c r="AV8" i="9" s="1"/>
  <c r="AU8" i="9"/>
  <c r="AU8" i="9" a="1"/>
  <c r="AT8" i="9" a="1"/>
  <c r="AT8" i="9" s="1"/>
  <c r="AS8" i="9" a="1"/>
  <c r="AS8" i="9" s="1"/>
  <c r="AR8" i="9" a="1"/>
  <c r="AR8" i="9" s="1"/>
  <c r="AQ8" i="9"/>
  <c r="AQ8" i="9" a="1"/>
  <c r="AP8" i="9" a="1"/>
  <c r="AP8" i="9" s="1"/>
  <c r="AO8" i="9" a="1"/>
  <c r="AO8" i="9" s="1"/>
  <c r="AN8" i="9" a="1"/>
  <c r="AN8" i="9" s="1"/>
  <c r="AM8" i="9"/>
  <c r="AM8" i="9" a="1"/>
  <c r="AL8" i="9" a="1"/>
  <c r="AL8" i="9" s="1"/>
  <c r="AK8" i="9" a="1"/>
  <c r="AK8" i="9" s="1"/>
  <c r="AJ8" i="9" a="1"/>
  <c r="AJ8" i="9" s="1"/>
  <c r="AI8" i="9" a="1"/>
  <c r="AI8" i="9" s="1"/>
  <c r="AH8" i="9" a="1"/>
  <c r="AH8" i="9" s="1"/>
  <c r="AG8" i="9" a="1"/>
  <c r="AG8" i="9" s="1"/>
  <c r="AF8" i="9" a="1"/>
  <c r="AF8" i="9" s="1"/>
  <c r="AE8" i="9"/>
  <c r="AE8" i="9" a="1"/>
  <c r="AD8" i="9" a="1"/>
  <c r="AD8" i="9" s="1"/>
  <c r="AC8" i="9" a="1"/>
  <c r="AC8" i="9" s="1"/>
  <c r="AB8" i="9" a="1"/>
  <c r="AB8" i="9" s="1"/>
  <c r="AA8" i="9"/>
  <c r="AA8" i="9" a="1"/>
  <c r="Z8" i="9" a="1"/>
  <c r="Z8" i="9" s="1"/>
  <c r="DF7" i="9" a="1"/>
  <c r="DF7" i="9" s="1"/>
  <c r="DE7" i="9"/>
  <c r="DE7" i="9" a="1"/>
  <c r="DD7" i="9" a="1"/>
  <c r="DD7" i="9" s="1"/>
  <c r="DC7" i="9" a="1"/>
  <c r="DC7" i="9" s="1"/>
  <c r="DB7" i="9" a="1"/>
  <c r="DB7" i="9" s="1"/>
  <c r="DA7" i="9" a="1"/>
  <c r="DA7" i="9" s="1"/>
  <c r="CZ7" i="9" a="1"/>
  <c r="CZ7" i="9" s="1"/>
  <c r="CY7" i="9" a="1"/>
  <c r="CY7" i="9" s="1"/>
  <c r="CX7" i="9" a="1"/>
  <c r="CX7" i="9" s="1"/>
  <c r="CW7" i="9"/>
  <c r="CW7" i="9" a="1"/>
  <c r="CV7" i="9" a="1"/>
  <c r="CV7" i="9" s="1"/>
  <c r="CU7" i="9" a="1"/>
  <c r="CU7" i="9" s="1"/>
  <c r="CT7" i="9" a="1"/>
  <c r="CT7" i="9" s="1"/>
  <c r="CS7" i="9"/>
  <c r="CS7" i="9" a="1"/>
  <c r="CR7" i="9" a="1"/>
  <c r="CR7" i="9" s="1"/>
  <c r="CQ7" i="9" a="1"/>
  <c r="CQ7" i="9" s="1"/>
  <c r="CP7" i="9" a="1"/>
  <c r="CP7" i="9" s="1"/>
  <c r="CO7" i="9"/>
  <c r="CO7" i="9" a="1"/>
  <c r="CN7" i="9" a="1"/>
  <c r="CN7" i="9" s="1"/>
  <c r="CM7" i="9" a="1"/>
  <c r="CM7" i="9" s="1"/>
  <c r="CL7" i="9" a="1"/>
  <c r="CL7" i="9" s="1"/>
  <c r="CK7" i="9" a="1"/>
  <c r="CK7" i="9" s="1"/>
  <c r="CJ7" i="9" a="1"/>
  <c r="CJ7" i="9" s="1"/>
  <c r="CI7" i="9" a="1"/>
  <c r="CI7" i="9" s="1"/>
  <c r="CH7" i="9" a="1"/>
  <c r="CH7" i="9" s="1"/>
  <c r="CG7" i="9"/>
  <c r="CG7" i="9" a="1"/>
  <c r="CF7" i="9" a="1"/>
  <c r="CF7" i="9" s="1"/>
  <c r="CE7" i="9" a="1"/>
  <c r="CE7" i="9" s="1"/>
  <c r="CD7" i="9" a="1"/>
  <c r="CD7" i="9" s="1"/>
  <c r="CC7" i="9"/>
  <c r="CC7" i="9" a="1"/>
  <c r="CB7" i="9" a="1"/>
  <c r="CB7" i="9" s="1"/>
  <c r="CA7" i="9" a="1"/>
  <c r="CA7" i="9" s="1"/>
  <c r="BZ7" i="9" a="1"/>
  <c r="BZ7" i="9" s="1"/>
  <c r="BY7" i="9"/>
  <c r="BY7" i="9" a="1"/>
  <c r="BX7" i="9" a="1"/>
  <c r="BX7" i="9" s="1"/>
  <c r="BW7" i="9" a="1"/>
  <c r="BW7" i="9" s="1"/>
  <c r="BV7" i="9" a="1"/>
  <c r="BV7" i="9" s="1"/>
  <c r="BU7" i="9" a="1"/>
  <c r="BU7" i="9" s="1"/>
  <c r="BT7" i="9" a="1"/>
  <c r="BT7" i="9" s="1"/>
  <c r="BS7" i="9" a="1"/>
  <c r="BS7" i="9" s="1"/>
  <c r="BR7" i="9" a="1"/>
  <c r="BR7" i="9" s="1"/>
  <c r="BQ7" i="9" a="1"/>
  <c r="BQ7" i="9" s="1"/>
  <c r="BP7" i="9" a="1"/>
  <c r="BP7" i="9" s="1"/>
  <c r="BO7" i="9" a="1"/>
  <c r="BO7" i="9" s="1"/>
  <c r="BN7" i="9" a="1"/>
  <c r="BN7" i="9" s="1"/>
  <c r="BM7" i="9"/>
  <c r="BM7" i="9" a="1"/>
  <c r="BL7" i="9" a="1"/>
  <c r="BL7" i="9" s="1"/>
  <c r="BK7" i="9"/>
  <c r="BK7" i="9" a="1"/>
  <c r="BJ7" i="9" a="1"/>
  <c r="BJ7" i="9" s="1"/>
  <c r="BI7" i="9"/>
  <c r="BI7" i="9" a="1"/>
  <c r="BH7" i="9" a="1"/>
  <c r="BH7" i="9" s="1"/>
  <c r="BG7" i="9" a="1"/>
  <c r="BG7" i="9" s="1"/>
  <c r="BF7" i="9" a="1"/>
  <c r="BF7" i="9" s="1"/>
  <c r="BE7" i="9" a="1"/>
  <c r="BE7" i="9" s="1"/>
  <c r="BD7" i="9" a="1"/>
  <c r="BD7" i="9" s="1"/>
  <c r="BC7" i="9" a="1"/>
  <c r="BC7" i="9" s="1"/>
  <c r="BB7" i="9" a="1"/>
  <c r="BB7" i="9" s="1"/>
  <c r="BA7" i="9" a="1"/>
  <c r="BA7" i="9" s="1"/>
  <c r="AZ7" i="9" a="1"/>
  <c r="AZ7" i="9" s="1"/>
  <c r="AY7" i="9" a="1"/>
  <c r="AY7" i="9" s="1"/>
  <c r="AX7" i="9" a="1"/>
  <c r="AX7" i="9" s="1"/>
  <c r="AW7" i="9"/>
  <c r="AW7" i="9" a="1"/>
  <c r="AV7" i="9" a="1"/>
  <c r="AV7" i="9" s="1"/>
  <c r="AU7" i="9"/>
  <c r="AU7" i="9" a="1"/>
  <c r="AT7" i="9" a="1"/>
  <c r="AT7" i="9" s="1"/>
  <c r="AS7" i="9"/>
  <c r="AS7" i="9" a="1"/>
  <c r="AR7" i="9" a="1"/>
  <c r="AR7" i="9" s="1"/>
  <c r="AQ7" i="9" a="1"/>
  <c r="AQ7" i="9" s="1"/>
  <c r="AP7" i="9" a="1"/>
  <c r="AP7" i="9" s="1"/>
  <c r="AO7" i="9" a="1"/>
  <c r="AO7" i="9" s="1"/>
  <c r="AN7" i="9" a="1"/>
  <c r="AN7" i="9" s="1"/>
  <c r="AM7" i="9" a="1"/>
  <c r="AM7" i="9" s="1"/>
  <c r="AL7" i="9" a="1"/>
  <c r="AL7" i="9" s="1"/>
  <c r="AK7" i="9"/>
  <c r="AK7" i="9" a="1"/>
  <c r="AJ7" i="9" a="1"/>
  <c r="AJ7" i="9" s="1"/>
  <c r="AI7" i="9" a="1"/>
  <c r="AI7" i="9" s="1"/>
  <c r="AH7" i="9" a="1"/>
  <c r="AH7" i="9" s="1"/>
  <c r="AG7" i="9"/>
  <c r="AG7" i="9" a="1"/>
  <c r="AF7" i="9" a="1"/>
  <c r="AF7" i="9" s="1"/>
  <c r="AE7" i="9"/>
  <c r="AE7" i="9" a="1"/>
  <c r="AD7" i="9" a="1"/>
  <c r="AD7" i="9" s="1"/>
  <c r="AC7" i="9"/>
  <c r="AC7" i="9" a="1"/>
  <c r="AB7" i="9" a="1"/>
  <c r="AB7" i="9" s="1"/>
  <c r="AA7" i="9" a="1"/>
  <c r="AA7" i="9" s="1"/>
  <c r="Z7" i="9" a="1"/>
  <c r="Z7" i="9" s="1"/>
  <c r="DF6" i="9" a="1"/>
  <c r="DF6" i="9" s="1"/>
  <c r="DE6" i="9" a="1"/>
  <c r="DE6" i="9" s="1"/>
  <c r="DD6" i="9" a="1"/>
  <c r="DD6" i="9" s="1"/>
  <c r="DC6" i="9"/>
  <c r="DC6" i="9" a="1"/>
  <c r="DB6" i="9" a="1"/>
  <c r="DB6" i="9" s="1"/>
  <c r="DA6" i="9" a="1"/>
  <c r="DA6" i="9" s="1"/>
  <c r="CZ6" i="9" a="1"/>
  <c r="CZ6" i="9" s="1"/>
  <c r="CY6" i="9"/>
  <c r="CY6" i="9" a="1"/>
  <c r="CX6" i="9" a="1"/>
  <c r="CX6" i="9" s="1"/>
  <c r="CW6" i="9" a="1"/>
  <c r="CW6" i="9" s="1"/>
  <c r="CV6" i="9" a="1"/>
  <c r="CV6" i="9" s="1"/>
  <c r="CU6" i="9"/>
  <c r="CU6" i="9" a="1"/>
  <c r="CT6" i="9" a="1"/>
  <c r="CT6" i="9" s="1"/>
  <c r="CS6" i="9" a="1"/>
  <c r="CS6" i="9" s="1"/>
  <c r="CR6" i="9" a="1"/>
  <c r="CR6" i="9" s="1"/>
  <c r="CQ6" i="9" a="1"/>
  <c r="CQ6" i="9" s="1"/>
  <c r="CP6" i="9" a="1"/>
  <c r="CP6" i="9" s="1"/>
  <c r="CO6" i="9" a="1"/>
  <c r="CO6" i="9" s="1"/>
  <c r="CN6" i="9" a="1"/>
  <c r="CN6" i="9" s="1"/>
  <c r="CM6" i="9"/>
  <c r="CM6" i="9" a="1"/>
  <c r="CL6" i="9" a="1"/>
  <c r="CL6" i="9" s="1"/>
  <c r="CK6" i="9" a="1"/>
  <c r="CK6" i="9" s="1"/>
  <c r="CJ6" i="9" a="1"/>
  <c r="CJ6" i="9" s="1"/>
  <c r="CI6" i="9"/>
  <c r="CI6" i="9" a="1"/>
  <c r="CH6" i="9" a="1"/>
  <c r="CH6" i="9" s="1"/>
  <c r="CG6" i="9" a="1"/>
  <c r="CG6" i="9" s="1"/>
  <c r="CF6" i="9" a="1"/>
  <c r="CF6" i="9" s="1"/>
  <c r="CE6" i="9"/>
  <c r="CE6" i="9" a="1"/>
  <c r="CD6" i="9" a="1"/>
  <c r="CD6" i="9" s="1"/>
  <c r="CC6" i="9" a="1"/>
  <c r="CC6" i="9" s="1"/>
  <c r="CB6" i="9" a="1"/>
  <c r="CB6" i="9" s="1"/>
  <c r="CA6" i="9" a="1"/>
  <c r="CA6" i="9" s="1"/>
  <c r="BZ6" i="9" a="1"/>
  <c r="BZ6" i="9" s="1"/>
  <c r="BY6" i="9" a="1"/>
  <c r="BY6" i="9" s="1"/>
  <c r="BX6" i="9" a="1"/>
  <c r="BX6" i="9" s="1"/>
  <c r="BW6" i="9"/>
  <c r="BW6" i="9" a="1"/>
  <c r="BV6" i="9" a="1"/>
  <c r="BV6" i="9" s="1"/>
  <c r="BU6" i="9" a="1"/>
  <c r="BU6" i="9" s="1"/>
  <c r="BT6" i="9" a="1"/>
  <c r="BT6" i="9" s="1"/>
  <c r="BS6" i="9"/>
  <c r="BS6" i="9" a="1"/>
  <c r="BR6" i="9" a="1"/>
  <c r="BR6" i="9" s="1"/>
  <c r="BQ6" i="9" a="1"/>
  <c r="BQ6" i="9" s="1"/>
  <c r="BP6" i="9" a="1"/>
  <c r="BP6" i="9" s="1"/>
  <c r="BO6" i="9"/>
  <c r="BO6" i="9" a="1"/>
  <c r="BN6" i="9" a="1"/>
  <c r="BN6" i="9" s="1"/>
  <c r="BM6" i="9" a="1"/>
  <c r="BM6" i="9" s="1"/>
  <c r="BL6" i="9" a="1"/>
  <c r="BL6" i="9" s="1"/>
  <c r="BK6" i="9" a="1"/>
  <c r="BK6" i="9" s="1"/>
  <c r="BJ6" i="9" a="1"/>
  <c r="BJ6" i="9" s="1"/>
  <c r="BI6" i="9" a="1"/>
  <c r="BI6" i="9" s="1"/>
  <c r="BH6" i="9" a="1"/>
  <c r="BH6" i="9" s="1"/>
  <c r="BG6" i="9"/>
  <c r="BG6" i="9" a="1"/>
  <c r="BF6" i="9" a="1"/>
  <c r="BF6" i="9" s="1"/>
  <c r="BE6" i="9" a="1"/>
  <c r="BE6" i="9" s="1"/>
  <c r="BD6" i="9" a="1"/>
  <c r="BD6" i="9" s="1"/>
  <c r="BC6" i="9"/>
  <c r="BC6" i="9" a="1"/>
  <c r="BB6" i="9" a="1"/>
  <c r="BB6" i="9" s="1"/>
  <c r="BA6" i="9" a="1"/>
  <c r="BA6" i="9" s="1"/>
  <c r="AZ6" i="9" a="1"/>
  <c r="AZ6" i="9" s="1"/>
  <c r="AY6" i="9"/>
  <c r="AY6" i="9" a="1"/>
  <c r="AX6" i="9" a="1"/>
  <c r="AX6" i="9" s="1"/>
  <c r="AW6" i="9" a="1"/>
  <c r="AW6" i="9" s="1"/>
  <c r="AV6" i="9" a="1"/>
  <c r="AV6" i="9" s="1"/>
  <c r="AU6" i="9" a="1"/>
  <c r="AU6" i="9" s="1"/>
  <c r="AT6" i="9" a="1"/>
  <c r="AT6" i="9" s="1"/>
  <c r="AS6" i="9" a="1"/>
  <c r="AS6" i="9" s="1"/>
  <c r="AR6" i="9" a="1"/>
  <c r="AR6" i="9" s="1"/>
  <c r="AQ6" i="9"/>
  <c r="AQ6" i="9" a="1"/>
  <c r="AP6" i="9" a="1"/>
  <c r="AP6" i="9" s="1"/>
  <c r="AO6" i="9" a="1"/>
  <c r="AO6" i="9" s="1"/>
  <c r="AN6" i="9" a="1"/>
  <c r="AN6" i="9" s="1"/>
  <c r="AM6" i="9"/>
  <c r="AM6" i="9" a="1"/>
  <c r="AL6" i="9"/>
  <c r="AL6" i="9" a="1"/>
  <c r="AK6" i="9" a="1"/>
  <c r="AK6" i="9" s="1"/>
  <c r="AJ6" i="9" a="1"/>
  <c r="AJ6" i="9" s="1"/>
  <c r="AI6" i="9" a="1"/>
  <c r="AI6" i="9" s="1"/>
  <c r="AH6" i="9" a="1"/>
  <c r="AH6" i="9" s="1"/>
  <c r="AG6" i="9" a="1"/>
  <c r="AG6" i="9" s="1"/>
  <c r="AF6" i="9" a="1"/>
  <c r="AF6" i="9" s="1"/>
  <c r="AE6" i="9"/>
  <c r="AE6" i="9" a="1"/>
  <c r="AD6" i="9"/>
  <c r="AD6" i="9" a="1"/>
  <c r="AC6" i="9"/>
  <c r="AC6" i="9" a="1"/>
  <c r="AB6" i="9" a="1"/>
  <c r="AB6" i="9" s="1"/>
  <c r="AA6" i="9"/>
  <c r="AA6" i="9" a="1"/>
  <c r="Z6" i="9" a="1"/>
  <c r="Z6" i="9" s="1"/>
  <c r="DF5" i="9" a="1"/>
  <c r="DF5" i="9" s="1"/>
  <c r="DE5" i="9" a="1"/>
  <c r="DE5" i="9" s="1"/>
  <c r="DD5" i="9"/>
  <c r="DD5" i="9" a="1"/>
  <c r="DC5" i="9"/>
  <c r="DC5" i="9" a="1"/>
  <c r="DB5" i="9" a="1"/>
  <c r="DB5" i="9" s="1"/>
  <c r="DA5" i="9"/>
  <c r="DA5" i="9" a="1"/>
  <c r="CZ5" i="9"/>
  <c r="CZ5" i="9" a="1"/>
  <c r="CY5" i="9" a="1"/>
  <c r="CY5" i="9" s="1"/>
  <c r="CX5" i="9" a="1"/>
  <c r="CX5" i="9" s="1"/>
  <c r="CW5" i="9" a="1"/>
  <c r="CW5" i="9" s="1"/>
  <c r="CV5" i="9" a="1"/>
  <c r="CV5" i="9" s="1"/>
  <c r="CU5" i="9"/>
  <c r="CU5" i="9" a="1"/>
  <c r="CT5" i="9" a="1"/>
  <c r="CT5" i="9" s="1"/>
  <c r="CS5" i="9" a="1"/>
  <c r="CS5" i="9" s="1"/>
  <c r="CR5" i="9"/>
  <c r="CR5" i="9" a="1"/>
  <c r="CQ5" i="9"/>
  <c r="CQ5" i="9" a="1"/>
  <c r="CP5" i="9" a="1"/>
  <c r="CP5" i="9" s="1"/>
  <c r="CO5" i="9"/>
  <c r="CO5" i="9" a="1"/>
  <c r="CN5" i="9" a="1"/>
  <c r="CN5" i="9" s="1"/>
  <c r="CM5" i="9" a="1"/>
  <c r="CM5" i="9" s="1"/>
  <c r="CL5" i="9" a="1"/>
  <c r="CL5" i="9" s="1"/>
  <c r="CK5" i="9" a="1"/>
  <c r="CK5" i="9" s="1"/>
  <c r="CJ5" i="9" a="1"/>
  <c r="CJ5" i="9" s="1"/>
  <c r="CI5" i="9"/>
  <c r="CI5" i="9" a="1"/>
  <c r="CH5" i="9" a="1"/>
  <c r="CH5" i="9" s="1"/>
  <c r="CG5" i="9"/>
  <c r="CG5" i="9" a="1"/>
  <c r="CF5" i="9"/>
  <c r="CF5" i="9" a="1"/>
  <c r="CE5" i="9" a="1"/>
  <c r="CE5" i="9" s="1"/>
  <c r="CD5" i="9" a="1"/>
  <c r="CD5" i="9" s="1"/>
  <c r="CC5" i="9"/>
  <c r="CC5" i="9" a="1"/>
  <c r="CB5" i="9" a="1"/>
  <c r="CB5" i="9" s="1"/>
  <c r="CA5" i="9" a="1"/>
  <c r="CA5" i="9" s="1"/>
  <c r="BZ5" i="9" a="1"/>
  <c r="BZ5" i="9" s="1"/>
  <c r="BY5" i="9" a="1"/>
  <c r="BY5" i="9" s="1"/>
  <c r="BX5" i="9"/>
  <c r="BX5" i="9" a="1"/>
  <c r="BW5" i="9"/>
  <c r="BW5" i="9" a="1"/>
  <c r="BV5" i="9" a="1"/>
  <c r="BV5" i="9" s="1"/>
  <c r="BU5" i="9"/>
  <c r="BU5" i="9" a="1"/>
  <c r="BT5" i="9"/>
  <c r="BT5" i="9" a="1"/>
  <c r="BS5" i="9" a="1"/>
  <c r="BS5" i="9" s="1"/>
  <c r="BR5" i="9" a="1"/>
  <c r="BR5" i="9" s="1"/>
  <c r="BQ5" i="9" a="1"/>
  <c r="BQ5" i="9" s="1"/>
  <c r="BP5" i="9" a="1"/>
  <c r="BP5" i="9" s="1"/>
  <c r="BO5" i="9"/>
  <c r="BO5" i="9" a="1"/>
  <c r="BN5" i="9" a="1"/>
  <c r="BN5" i="9" s="1"/>
  <c r="BM5" i="9" a="1"/>
  <c r="BM5" i="9" s="1"/>
  <c r="BL5" i="9"/>
  <c r="BL5" i="9" a="1"/>
  <c r="BK5" i="9"/>
  <c r="BK5" i="9" a="1"/>
  <c r="BJ5" i="9" a="1"/>
  <c r="BJ5" i="9" s="1"/>
  <c r="BI5" i="9"/>
  <c r="BI5" i="9" a="1"/>
  <c r="BH5" i="9" a="1"/>
  <c r="BH5" i="9" s="1"/>
  <c r="BG5" i="9" a="1"/>
  <c r="BG5" i="9" s="1"/>
  <c r="BF5" i="9" a="1"/>
  <c r="BF5" i="9" s="1"/>
  <c r="BE5" i="9" a="1"/>
  <c r="BE5" i="9" s="1"/>
  <c r="BD5" i="9" a="1"/>
  <c r="BD5" i="9" s="1"/>
  <c r="BC5" i="9"/>
  <c r="BC5" i="9" a="1"/>
  <c r="BB5" i="9" a="1"/>
  <c r="BB5" i="9" s="1"/>
  <c r="BA5" i="9"/>
  <c r="BA5" i="9" a="1"/>
  <c r="AZ5" i="9"/>
  <c r="AZ5" i="9" a="1"/>
  <c r="AY5" i="9" a="1"/>
  <c r="AY5" i="9" s="1"/>
  <c r="AX5" i="9" a="1"/>
  <c r="AX5" i="9" s="1"/>
  <c r="AW5" i="9"/>
  <c r="AW5" i="9" a="1"/>
  <c r="AV5" i="9" a="1"/>
  <c r="AV5" i="9" s="1"/>
  <c r="AU5" i="9" a="1"/>
  <c r="AU5" i="9" s="1"/>
  <c r="AT5" i="9" a="1"/>
  <c r="AT5" i="9" s="1"/>
  <c r="AS5" i="9" a="1"/>
  <c r="AS5" i="9" s="1"/>
  <c r="AR5" i="9"/>
  <c r="AR5" i="9" a="1"/>
  <c r="AQ5" i="9"/>
  <c r="AQ5" i="9" a="1"/>
  <c r="AP5" i="9" a="1"/>
  <c r="AP5" i="9" s="1"/>
  <c r="AO5" i="9"/>
  <c r="AO5" i="9" a="1"/>
  <c r="AN5" i="9"/>
  <c r="AN5" i="9" a="1"/>
  <c r="AM5" i="9" a="1"/>
  <c r="AM5" i="9" s="1"/>
  <c r="AL5" i="9" a="1"/>
  <c r="AL5" i="9" s="1"/>
  <c r="AK5" i="9" a="1"/>
  <c r="AK5" i="9" s="1"/>
  <c r="AJ5" i="9" a="1"/>
  <c r="AJ5" i="9" s="1"/>
  <c r="AI5" i="9"/>
  <c r="AI5" i="9" a="1"/>
  <c r="AH5" i="9" a="1"/>
  <c r="AH5" i="9" s="1"/>
  <c r="AG5" i="9"/>
  <c r="AG5" i="9" a="1"/>
  <c r="AF5" i="9"/>
  <c r="AF5" i="9" a="1"/>
  <c r="AE5" i="9"/>
  <c r="AE5" i="9" a="1"/>
  <c r="AD5" i="9" a="1"/>
  <c r="AD5" i="9" s="1"/>
  <c r="AC5" i="9"/>
  <c r="AC5" i="9" a="1"/>
  <c r="AB5" i="9" a="1"/>
  <c r="AB5" i="9" s="1"/>
  <c r="AA5" i="9" a="1"/>
  <c r="AA5" i="9" s="1"/>
  <c r="Z5" i="9" a="1"/>
  <c r="Z5" i="9" s="1"/>
  <c r="DF4" i="9" a="1"/>
  <c r="DF4" i="9" s="1"/>
  <c r="DE4" i="9"/>
  <c r="DE4" i="9" a="1"/>
  <c r="DD4" i="9" a="1"/>
  <c r="DD4" i="9" s="1"/>
  <c r="DC4" i="9"/>
  <c r="DC4" i="9" a="1"/>
  <c r="DB4" i="9"/>
  <c r="DB4" i="9" a="1"/>
  <c r="DA4" i="9" a="1"/>
  <c r="DA4" i="9" s="1"/>
  <c r="CZ4" i="9" a="1"/>
  <c r="CZ4" i="9" s="1"/>
  <c r="CY4" i="9"/>
  <c r="CY4" i="9" a="1"/>
  <c r="CX4" i="9" a="1"/>
  <c r="CX4" i="9" s="1"/>
  <c r="CW4" i="9" a="1"/>
  <c r="CW4" i="9" s="1"/>
  <c r="CV4" i="9" a="1"/>
  <c r="CV4" i="9" s="1"/>
  <c r="CU4" i="9" a="1"/>
  <c r="CU4" i="9" s="1"/>
  <c r="CT4" i="9"/>
  <c r="CT4" i="9" a="1"/>
  <c r="CS4" i="9"/>
  <c r="CS4" i="9" a="1"/>
  <c r="CR4" i="9" a="1"/>
  <c r="CR4" i="9" s="1"/>
  <c r="CQ4" i="9"/>
  <c r="CQ4" i="9" a="1"/>
  <c r="CP4" i="9"/>
  <c r="CP4" i="9" a="1"/>
  <c r="CO4" i="9" a="1"/>
  <c r="CO4" i="9" s="1"/>
  <c r="CN4" i="9" a="1"/>
  <c r="CN4" i="9" s="1"/>
  <c r="CM4" i="9" a="1"/>
  <c r="CM4" i="9" s="1"/>
  <c r="CL4" i="9" a="1"/>
  <c r="CL4" i="9" s="1"/>
  <c r="CK4" i="9"/>
  <c r="CK4" i="9" a="1"/>
  <c r="CJ4" i="9" a="1"/>
  <c r="CJ4" i="9" s="1"/>
  <c r="CI4" i="9" a="1"/>
  <c r="CI4" i="9" s="1"/>
  <c r="CH4" i="9"/>
  <c r="CH4" i="9" a="1"/>
  <c r="CG4" i="9"/>
  <c r="CG4" i="9" a="1"/>
  <c r="CF4" i="9" a="1"/>
  <c r="CF4" i="9" s="1"/>
  <c r="CE4" i="9"/>
  <c r="CE4" i="9" a="1"/>
  <c r="CD4" i="9" a="1"/>
  <c r="CD4" i="9" s="1"/>
  <c r="CC4" i="9" a="1"/>
  <c r="CC4" i="9" s="1"/>
  <c r="CB4" i="9" a="1"/>
  <c r="CB4" i="9" s="1"/>
  <c r="CA4" i="9" a="1"/>
  <c r="CA4" i="9" s="1"/>
  <c r="BZ4" i="9" a="1"/>
  <c r="BZ4" i="9" s="1"/>
  <c r="BY4" i="9"/>
  <c r="BY4" i="9" a="1"/>
  <c r="BX4" i="9" a="1"/>
  <c r="BX4" i="9" s="1"/>
  <c r="BW4" i="9"/>
  <c r="BW4" i="9" a="1"/>
  <c r="BV4" i="9"/>
  <c r="BV4" i="9" a="1"/>
  <c r="BU4" i="9" a="1"/>
  <c r="BU4" i="9" s="1"/>
  <c r="BT4" i="9" a="1"/>
  <c r="BT4" i="9" s="1"/>
  <c r="BS4" i="9"/>
  <c r="BS4" i="9" a="1"/>
  <c r="BR4" i="9" a="1"/>
  <c r="BR4" i="9" s="1"/>
  <c r="BQ4" i="9" a="1"/>
  <c r="BQ4" i="9" s="1"/>
  <c r="BP4" i="9" a="1"/>
  <c r="BP4" i="9" s="1"/>
  <c r="BO4" i="9" a="1"/>
  <c r="BO4" i="9" s="1"/>
  <c r="BN4" i="9"/>
  <c r="BN4" i="9" a="1"/>
  <c r="BM4" i="9"/>
  <c r="BM4" i="9" a="1"/>
  <c r="BL4" i="9" a="1"/>
  <c r="BL4" i="9" s="1"/>
  <c r="BK4" i="9"/>
  <c r="BK4" i="9" a="1"/>
  <c r="BJ4" i="9"/>
  <c r="BJ4" i="9" a="1"/>
  <c r="BI4" i="9" a="1"/>
  <c r="BI4" i="9" s="1"/>
  <c r="BH4" i="9" a="1"/>
  <c r="BH4" i="9" s="1"/>
  <c r="BG4" i="9" a="1"/>
  <c r="BG4" i="9" s="1"/>
  <c r="BF4" i="9" a="1"/>
  <c r="BF4" i="9" s="1"/>
  <c r="BE4" i="9"/>
  <c r="BE4" i="9" a="1"/>
  <c r="BD4" i="9" a="1"/>
  <c r="BD4" i="9" s="1"/>
  <c r="BC4" i="9" a="1"/>
  <c r="BC4" i="9" s="1"/>
  <c r="BB4" i="9"/>
  <c r="BB4" i="9" a="1"/>
  <c r="BA4" i="9"/>
  <c r="BA4" i="9" a="1"/>
  <c r="AZ4" i="9" a="1"/>
  <c r="AZ4" i="9" s="1"/>
  <c r="AY4" i="9"/>
  <c r="AY4" i="9" a="1"/>
  <c r="AX4" i="9" a="1"/>
  <c r="AX4" i="9" s="1"/>
  <c r="AW4" i="9" a="1"/>
  <c r="AW4" i="9" s="1"/>
  <c r="AV4" i="9" a="1"/>
  <c r="AV4" i="9" s="1"/>
  <c r="AU4" i="9" a="1"/>
  <c r="AU4" i="9" s="1"/>
  <c r="AT4" i="9" a="1"/>
  <c r="AT4" i="9" s="1"/>
  <c r="AS4" i="9"/>
  <c r="AS4" i="9" a="1"/>
  <c r="AR4" i="9" a="1"/>
  <c r="AR4" i="9" s="1"/>
  <c r="AQ4" i="9"/>
  <c r="AQ4" i="9" a="1"/>
  <c r="AP4" i="9"/>
  <c r="AP4" i="9" a="1"/>
  <c r="AO4" i="9" a="1"/>
  <c r="AO4" i="9" s="1"/>
  <c r="AN4" i="9" a="1"/>
  <c r="AN4" i="9" s="1"/>
  <c r="AM4" i="9"/>
  <c r="AM4" i="9" a="1"/>
  <c r="AL4" i="9" a="1"/>
  <c r="AL4" i="9" s="1"/>
  <c r="AK4" i="9" a="1"/>
  <c r="AK4" i="9" s="1"/>
  <c r="AJ4" i="9" a="1"/>
  <c r="AJ4" i="9" s="1"/>
  <c r="AI4" i="9" a="1"/>
  <c r="AI4" i="9" s="1"/>
  <c r="AH4" i="9"/>
  <c r="AH4" i="9" a="1"/>
  <c r="AG4" i="9"/>
  <c r="AG4" i="9" a="1"/>
  <c r="AF4" i="9" a="1"/>
  <c r="AF4" i="9" s="1"/>
  <c r="AE4" i="9"/>
  <c r="AE4" i="9" a="1"/>
  <c r="AD4" i="9"/>
  <c r="AD4" i="9" a="1"/>
  <c r="AC4" i="9" a="1"/>
  <c r="AC4" i="9" s="1"/>
  <c r="AB4" i="9" a="1"/>
  <c r="AB4" i="9" s="1"/>
  <c r="AA4" i="9" a="1"/>
  <c r="AA4" i="9" s="1"/>
  <c r="Z4" i="9" a="1"/>
  <c r="Z4" i="9" s="1"/>
  <c r="DF3" i="9" a="1"/>
  <c r="DF3" i="9" s="1"/>
  <c r="DE3" i="9" a="1"/>
  <c r="DE3" i="9" s="1"/>
  <c r="DD3" i="9" a="1"/>
  <c r="DD3" i="9" s="1"/>
  <c r="DC3" i="9" a="1"/>
  <c r="DC3" i="9" s="1"/>
  <c r="DB3" i="9" a="1"/>
  <c r="DB3" i="9" s="1"/>
  <c r="DA3" i="9" a="1"/>
  <c r="DA3" i="9" s="1"/>
  <c r="CZ3" i="9" a="1"/>
  <c r="CZ3" i="9" s="1"/>
  <c r="CY3" i="9" a="1"/>
  <c r="CY3" i="9" s="1"/>
  <c r="CX3" i="9" a="1"/>
  <c r="CX3" i="9" s="1"/>
  <c r="CW3" i="9" a="1"/>
  <c r="CW3" i="9" s="1"/>
  <c r="CV3" i="9" a="1"/>
  <c r="CV3" i="9" s="1"/>
  <c r="CU3" i="9" a="1"/>
  <c r="CU3" i="9" s="1"/>
  <c r="CT3" i="9" a="1"/>
  <c r="CT3" i="9" s="1"/>
  <c r="CS3" i="9" a="1"/>
  <c r="CS3" i="9" s="1"/>
  <c r="CR3" i="9" a="1"/>
  <c r="CR3" i="9" s="1"/>
  <c r="CQ3" i="9" a="1"/>
  <c r="CQ3" i="9" s="1"/>
  <c r="CP3" i="9" a="1"/>
  <c r="CP3" i="9" s="1"/>
  <c r="CO3" i="9" a="1"/>
  <c r="CO3" i="9" s="1"/>
  <c r="CN3" i="9" a="1"/>
  <c r="CN3" i="9" s="1"/>
  <c r="CM3" i="9" a="1"/>
  <c r="CM3" i="9" s="1"/>
  <c r="CL3" i="9" a="1"/>
  <c r="CL3" i="9" s="1"/>
  <c r="CK3" i="9" a="1"/>
  <c r="CK3" i="9" s="1"/>
  <c r="CJ3" i="9" a="1"/>
  <c r="CJ3" i="9" s="1"/>
  <c r="CI3" i="9" a="1"/>
  <c r="CI3" i="9" s="1"/>
  <c r="CH3" i="9" a="1"/>
  <c r="CH3" i="9" s="1"/>
  <c r="CG3" i="9" a="1"/>
  <c r="CG3" i="9" s="1"/>
  <c r="CF3" i="9" a="1"/>
  <c r="CF3" i="9" s="1"/>
  <c r="CE3" i="9" a="1"/>
  <c r="CE3" i="9" s="1"/>
  <c r="CD3" i="9" a="1"/>
  <c r="CD3" i="9" s="1"/>
  <c r="CC3" i="9" a="1"/>
  <c r="CC3" i="9" s="1"/>
  <c r="CB3" i="9" a="1"/>
  <c r="CB3" i="9" s="1"/>
  <c r="CA3" i="9" a="1"/>
  <c r="CA3" i="9" s="1"/>
  <c r="BZ3" i="9" a="1"/>
  <c r="BZ3" i="9" s="1"/>
  <c r="BY3" i="9" a="1"/>
  <c r="BY3" i="9" s="1"/>
  <c r="BX3" i="9" a="1"/>
  <c r="BX3" i="9" s="1"/>
  <c r="BW3" i="9" a="1"/>
  <c r="BW3" i="9" s="1"/>
  <c r="BV3" i="9" a="1"/>
  <c r="BV3" i="9" s="1"/>
  <c r="BU3" i="9" a="1"/>
  <c r="BU3" i="9" s="1"/>
  <c r="BT3" i="9" a="1"/>
  <c r="BT3" i="9" s="1"/>
  <c r="BS3" i="9" a="1"/>
  <c r="BS3" i="9" s="1"/>
  <c r="BR3" i="9" a="1"/>
  <c r="BR3" i="9" s="1"/>
  <c r="BQ3" i="9" a="1"/>
  <c r="BQ3" i="9" s="1"/>
  <c r="BP3" i="9" a="1"/>
  <c r="BP3" i="9" s="1"/>
  <c r="BO3" i="9" a="1"/>
  <c r="BO3" i="9" s="1"/>
  <c r="BN3" i="9" a="1"/>
  <c r="BN3" i="9" s="1"/>
  <c r="BM3" i="9" a="1"/>
  <c r="BM3" i="9" s="1"/>
  <c r="BL3" i="9" a="1"/>
  <c r="BL3" i="9" s="1"/>
  <c r="BK3" i="9" a="1"/>
  <c r="BK3" i="9" s="1"/>
  <c r="BJ3" i="9" a="1"/>
  <c r="BJ3" i="9" s="1"/>
  <c r="BI3" i="9" a="1"/>
  <c r="BI3" i="9" s="1"/>
  <c r="BH3" i="9" a="1"/>
  <c r="BH3" i="9" s="1"/>
  <c r="BG3" i="9" a="1"/>
  <c r="BG3" i="9" s="1"/>
  <c r="BF3" i="9" a="1"/>
  <c r="BF3" i="9" s="1"/>
  <c r="BE3" i="9" a="1"/>
  <c r="BE3" i="9" s="1"/>
  <c r="BD3" i="9" a="1"/>
  <c r="BD3" i="9" s="1"/>
  <c r="BC3" i="9" a="1"/>
  <c r="BC3" i="9" s="1"/>
  <c r="BB3" i="9" a="1"/>
  <c r="BB3" i="9" s="1"/>
  <c r="BA3" i="9" a="1"/>
  <c r="BA3" i="9" s="1"/>
  <c r="AZ3" i="9" a="1"/>
  <c r="AZ3" i="9" s="1"/>
  <c r="AY3" i="9" a="1"/>
  <c r="AY3" i="9" s="1"/>
  <c r="AX3" i="9" a="1"/>
  <c r="AX3" i="9" s="1"/>
  <c r="AW3" i="9" a="1"/>
  <c r="AW3" i="9" s="1"/>
  <c r="AV3" i="9" a="1"/>
  <c r="AV3" i="9" s="1"/>
  <c r="AU3" i="9" a="1"/>
  <c r="AU3" i="9" s="1"/>
  <c r="AT3" i="9" a="1"/>
  <c r="AT3" i="9" s="1"/>
  <c r="AS3" i="9" a="1"/>
  <c r="AS3" i="9" s="1"/>
  <c r="AR3" i="9" a="1"/>
  <c r="AR3" i="9" s="1"/>
  <c r="AQ3" i="9" a="1"/>
  <c r="AQ3" i="9" s="1"/>
  <c r="AP3" i="9" a="1"/>
  <c r="AP3" i="9" s="1"/>
  <c r="AO3" i="9" a="1"/>
  <c r="AO3" i="9" s="1"/>
  <c r="AN3" i="9" a="1"/>
  <c r="AN3" i="9" s="1"/>
  <c r="AM3" i="9" a="1"/>
  <c r="AM3" i="9" s="1"/>
  <c r="AL3" i="9" a="1"/>
  <c r="AL3" i="9" s="1"/>
  <c r="AK3" i="9" a="1"/>
  <c r="AK3" i="9" s="1"/>
  <c r="AJ3" i="9" a="1"/>
  <c r="AJ3" i="9" s="1"/>
  <c r="AI3" i="9" a="1"/>
  <c r="AI3" i="9" s="1"/>
  <c r="AH3" i="9" a="1"/>
  <c r="AH3" i="9" s="1"/>
  <c r="AG3" i="9" a="1"/>
  <c r="AG3" i="9" s="1"/>
  <c r="AF3" i="9" a="1"/>
  <c r="AF3" i="9" s="1"/>
  <c r="AE3" i="9" a="1"/>
  <c r="AE3" i="9" s="1"/>
  <c r="AD3" i="9" a="1"/>
  <c r="AD3" i="9" s="1"/>
  <c r="AC3" i="9" a="1"/>
  <c r="AC3" i="9" s="1"/>
  <c r="AB3" i="9" a="1"/>
  <c r="AB3" i="9" s="1"/>
  <c r="AA3" i="9" a="1"/>
  <c r="AA3" i="9" s="1"/>
  <c r="Z3" i="9" a="1"/>
  <c r="Z3" i="9" s="1"/>
  <c r="D940" i="9"/>
  <c r="E939" i="9"/>
  <c r="E938" i="9"/>
  <c r="F937" i="9"/>
  <c r="G937" i="9" s="1" a="1"/>
  <c r="G937" i="9" s="1"/>
  <c r="E937" i="9"/>
  <c r="E936" i="9"/>
  <c r="E935" i="9"/>
  <c r="E934" i="9"/>
  <c r="E933" i="9"/>
  <c r="E932" i="9"/>
  <c r="E931" i="9"/>
  <c r="E930" i="9"/>
  <c r="E929" i="9"/>
  <c r="E928" i="9"/>
  <c r="E927" i="9"/>
  <c r="E926" i="9"/>
  <c r="E925" i="9"/>
  <c r="E924" i="9"/>
  <c r="E923" i="9"/>
  <c r="F922" i="9"/>
  <c r="E922" i="9"/>
  <c r="E921" i="9"/>
  <c r="E920" i="9"/>
  <c r="E919" i="9"/>
  <c r="E918" i="9"/>
  <c r="E917" i="9"/>
  <c r="E916" i="9"/>
  <c r="E915" i="9"/>
  <c r="E914" i="9"/>
  <c r="E913" i="9"/>
  <c r="F912" i="9"/>
  <c r="G912" i="9" s="1" a="1"/>
  <c r="G912" i="9" s="1"/>
  <c r="E912" i="9"/>
  <c r="E911" i="9"/>
  <c r="E910" i="9"/>
  <c r="E909" i="9"/>
  <c r="E908" i="9"/>
  <c r="E907" i="9"/>
  <c r="E906" i="9"/>
  <c r="E905" i="9"/>
  <c r="E904" i="9"/>
  <c r="E903" i="9"/>
  <c r="E902" i="9"/>
  <c r="E901" i="9"/>
  <c r="E900" i="9"/>
  <c r="E899" i="9"/>
  <c r="E898" i="9"/>
  <c r="E897" i="9"/>
  <c r="E896" i="9"/>
  <c r="E895" i="9"/>
  <c r="E894" i="9"/>
  <c r="E893" i="9"/>
  <c r="E892" i="9"/>
  <c r="E891" i="9"/>
  <c r="E890" i="9"/>
  <c r="E889" i="9"/>
  <c r="E888" i="9"/>
  <c r="F887" i="9"/>
  <c r="G887" i="9" s="1" a="1"/>
  <c r="G887" i="9" s="1"/>
  <c r="E887" i="9"/>
  <c r="E886" i="9"/>
  <c r="E885" i="9"/>
  <c r="E884" i="9"/>
  <c r="E883" i="9"/>
  <c r="F882" i="9"/>
  <c r="F883" i="9" s="1"/>
  <c r="F884" i="9" s="1"/>
  <c r="E882" i="9"/>
  <c r="E881" i="9"/>
  <c r="E880" i="9"/>
  <c r="E879" i="9"/>
  <c r="E878" i="9"/>
  <c r="E877" i="9"/>
  <c r="E876" i="9"/>
  <c r="E875" i="9"/>
  <c r="E874" i="9"/>
  <c r="F873" i="9"/>
  <c r="G873" i="9" s="1" a="1"/>
  <c r="G873" i="9" s="1"/>
  <c r="E873" i="9"/>
  <c r="E872" i="9"/>
  <c r="E871" i="9"/>
  <c r="E870" i="9"/>
  <c r="E869" i="9"/>
  <c r="E868" i="9"/>
  <c r="E867" i="9"/>
  <c r="E866" i="9"/>
  <c r="E865" i="9"/>
  <c r="E864" i="9"/>
  <c r="E863" i="9"/>
  <c r="E862" i="9"/>
  <c r="E861" i="9"/>
  <c r="E860" i="9"/>
  <c r="E859" i="9"/>
  <c r="E858" i="9"/>
  <c r="E857" i="9"/>
  <c r="E856" i="9"/>
  <c r="E855" i="9"/>
  <c r="F854" i="9"/>
  <c r="G854" i="9" s="1" a="1"/>
  <c r="G854" i="9" s="1"/>
  <c r="E854" i="9"/>
  <c r="E853" i="9"/>
  <c r="E852" i="9"/>
  <c r="E851" i="9"/>
  <c r="E850" i="9"/>
  <c r="E849" i="9"/>
  <c r="E848" i="9"/>
  <c r="E847" i="9"/>
  <c r="F846" i="9"/>
  <c r="G846" i="9" s="1" a="1"/>
  <c r="G846" i="9" s="1"/>
  <c r="E846" i="9"/>
  <c r="E845" i="9"/>
  <c r="E844" i="9"/>
  <c r="E843" i="9"/>
  <c r="E842" i="9"/>
  <c r="E841" i="9"/>
  <c r="E840" i="9"/>
  <c r="E839" i="9"/>
  <c r="E838" i="9"/>
  <c r="F837" i="9"/>
  <c r="G837" i="9" s="1" a="1"/>
  <c r="G837" i="9" s="1"/>
  <c r="E837" i="9"/>
  <c r="E836" i="9"/>
  <c r="E835" i="9"/>
  <c r="E834" i="9"/>
  <c r="E833" i="9"/>
  <c r="E832" i="9"/>
  <c r="E831" i="9"/>
  <c r="F830" i="9"/>
  <c r="G830" i="9" s="1" a="1"/>
  <c r="G830" i="9" s="1"/>
  <c r="E830" i="9"/>
  <c r="G829" i="9"/>
  <c r="F829" i="9"/>
  <c r="G829" i="9" s="1" a="1"/>
  <c r="E829" i="9"/>
  <c r="E828" i="9"/>
  <c r="E827" i="9"/>
  <c r="E826" i="9"/>
  <c r="E825" i="9"/>
  <c r="E824" i="9"/>
  <c r="E823" i="9"/>
  <c r="E822" i="9"/>
  <c r="E821" i="9"/>
  <c r="G820" i="9"/>
  <c r="F820" i="9"/>
  <c r="G820" i="9" s="1" a="1"/>
  <c r="E820" i="9"/>
  <c r="E819" i="9"/>
  <c r="E818" i="9"/>
  <c r="E817" i="9"/>
  <c r="E816" i="9"/>
  <c r="E815" i="9"/>
  <c r="E814" i="9"/>
  <c r="E813" i="9"/>
  <c r="E812" i="9"/>
  <c r="E811" i="9"/>
  <c r="E810" i="9"/>
  <c r="E809" i="9"/>
  <c r="E808" i="9"/>
  <c r="E807" i="9"/>
  <c r="E806" i="9"/>
  <c r="E805" i="9"/>
  <c r="E804" i="9"/>
  <c r="E803" i="9"/>
  <c r="E802" i="9"/>
  <c r="E801" i="9"/>
  <c r="E800" i="9"/>
  <c r="E799" i="9"/>
  <c r="E798" i="9"/>
  <c r="E797" i="9"/>
  <c r="E796" i="9"/>
  <c r="G795" i="9"/>
  <c r="F795" i="9"/>
  <c r="G795" i="9" s="1" a="1"/>
  <c r="E795" i="9"/>
  <c r="E794" i="9"/>
  <c r="E793" i="9"/>
  <c r="E792" i="9"/>
  <c r="E791" i="9"/>
  <c r="E790" i="9"/>
  <c r="E789" i="9"/>
  <c r="E788" i="9"/>
  <c r="E787" i="9"/>
  <c r="E786" i="9"/>
  <c r="E785" i="9"/>
  <c r="E784" i="9"/>
  <c r="E783" i="9"/>
  <c r="E782" i="9"/>
  <c r="E781" i="9"/>
  <c r="E780" i="9"/>
  <c r="E779" i="9"/>
  <c r="F778" i="9"/>
  <c r="G778" i="9" s="1" a="1"/>
  <c r="G778" i="9" s="1"/>
  <c r="E778" i="9"/>
  <c r="F777" i="9"/>
  <c r="G777" i="9" s="1" a="1"/>
  <c r="G777" i="9" s="1"/>
  <c r="E777" i="9"/>
  <c r="E776" i="9"/>
  <c r="E775" i="9"/>
  <c r="E774" i="9"/>
  <c r="E773" i="9"/>
  <c r="E772" i="9"/>
  <c r="E771" i="9"/>
  <c r="E770" i="9"/>
  <c r="E769" i="9"/>
  <c r="E768" i="9"/>
  <c r="E767" i="9"/>
  <c r="E766" i="9"/>
  <c r="E765" i="9"/>
  <c r="E764" i="9"/>
  <c r="E763" i="9"/>
  <c r="E762" i="9"/>
  <c r="E761" i="9"/>
  <c r="E760" i="9"/>
  <c r="E759" i="9"/>
  <c r="E758" i="9"/>
  <c r="E757" i="9"/>
  <c r="E756" i="9"/>
  <c r="E755" i="9"/>
  <c r="E754" i="9"/>
  <c r="E753" i="9"/>
  <c r="F752" i="9"/>
  <c r="E752" i="9"/>
  <c r="E751" i="9"/>
  <c r="E750" i="9"/>
  <c r="E749" i="9"/>
  <c r="E748" i="9"/>
  <c r="E747" i="9"/>
  <c r="E746" i="9"/>
  <c r="E745" i="9"/>
  <c r="E744" i="9"/>
  <c r="E743" i="9"/>
  <c r="E742" i="9"/>
  <c r="E741" i="9"/>
  <c r="E740" i="9"/>
  <c r="E739" i="9"/>
  <c r="E738" i="9"/>
  <c r="E737" i="9"/>
  <c r="E736" i="9"/>
  <c r="F735" i="9"/>
  <c r="G735" i="9" s="1" a="1"/>
  <c r="G735" i="9" s="1"/>
  <c r="E735" i="9"/>
  <c r="F734" i="9"/>
  <c r="G734" i="9" s="1" a="1"/>
  <c r="G734" i="9" s="1"/>
  <c r="E734" i="9"/>
  <c r="E733" i="9"/>
  <c r="E732" i="9"/>
  <c r="F731" i="9"/>
  <c r="G731" i="9" s="1" a="1"/>
  <c r="G731" i="9" s="1"/>
  <c r="E731" i="9"/>
  <c r="E730" i="9"/>
  <c r="E729" i="9"/>
  <c r="E728" i="9"/>
  <c r="E727" i="9"/>
  <c r="E726" i="9"/>
  <c r="E725" i="9"/>
  <c r="E724" i="9"/>
  <c r="E723" i="9"/>
  <c r="E722" i="9"/>
  <c r="E721" i="9"/>
  <c r="E720" i="9"/>
  <c r="E719" i="9"/>
  <c r="E718" i="9"/>
  <c r="E717" i="9"/>
  <c r="E716" i="9"/>
  <c r="E715" i="9"/>
  <c r="E714" i="9"/>
  <c r="E713" i="9"/>
  <c r="E712" i="9"/>
  <c r="E711" i="9"/>
  <c r="E710" i="9"/>
  <c r="E709" i="9"/>
  <c r="F708" i="9"/>
  <c r="G708" i="9" s="1" a="1"/>
  <c r="G708" i="9" s="1"/>
  <c r="E708" i="9"/>
  <c r="E707" i="9"/>
  <c r="E706" i="9"/>
  <c r="E705" i="9"/>
  <c r="E704" i="9"/>
  <c r="E703" i="9"/>
  <c r="E702" i="9"/>
  <c r="F701" i="9"/>
  <c r="G701" i="9" s="1" a="1"/>
  <c r="G701" i="9" s="1"/>
  <c r="E701" i="9"/>
  <c r="F700" i="9"/>
  <c r="G700" i="9" s="1" a="1"/>
  <c r="G700" i="9" s="1"/>
  <c r="E700" i="9"/>
  <c r="E699" i="9"/>
  <c r="E698" i="9"/>
  <c r="E697" i="9"/>
  <c r="E696" i="9"/>
  <c r="E695" i="9"/>
  <c r="E694" i="9"/>
  <c r="E693" i="9"/>
  <c r="E692" i="9"/>
  <c r="E691" i="9"/>
  <c r="F690" i="9"/>
  <c r="G690" i="9" s="1" a="1"/>
  <c r="G690" i="9" s="1"/>
  <c r="E690" i="9"/>
  <c r="E689" i="9"/>
  <c r="E688" i="9"/>
  <c r="E687" i="9"/>
  <c r="E686" i="9"/>
  <c r="E685" i="9"/>
  <c r="E684" i="9"/>
  <c r="E683" i="9"/>
  <c r="E682" i="9"/>
  <c r="E681" i="9"/>
  <c r="E680" i="9"/>
  <c r="E679" i="9"/>
  <c r="E678" i="9"/>
  <c r="E677" i="9"/>
  <c r="E676" i="9"/>
  <c r="E675" i="9"/>
  <c r="E674" i="9"/>
  <c r="E673" i="9"/>
  <c r="E672" i="9"/>
  <c r="F671" i="9"/>
  <c r="G671" i="9" s="1" a="1"/>
  <c r="G671" i="9" s="1"/>
  <c r="E671" i="9"/>
  <c r="E670" i="9"/>
  <c r="E669" i="9"/>
  <c r="E668" i="9"/>
  <c r="E667" i="9"/>
  <c r="E666" i="9"/>
  <c r="E665" i="9"/>
  <c r="E664" i="9"/>
  <c r="E663" i="9"/>
  <c r="E662" i="9"/>
  <c r="E661" i="9"/>
  <c r="E660" i="9"/>
  <c r="E659" i="9"/>
  <c r="E658" i="9"/>
  <c r="E657" i="9"/>
  <c r="E656" i="9"/>
  <c r="E655" i="9"/>
  <c r="E654" i="9"/>
  <c r="E653" i="9"/>
  <c r="E652" i="9"/>
  <c r="E651" i="9"/>
  <c r="E650" i="9"/>
  <c r="E649" i="9"/>
  <c r="E648" i="9"/>
  <c r="F647" i="9"/>
  <c r="E647" i="9"/>
  <c r="G646" i="9"/>
  <c r="F646" i="9"/>
  <c r="G646" i="9" s="1" a="1"/>
  <c r="E646" i="9"/>
  <c r="E645" i="9"/>
  <c r="E644" i="9"/>
  <c r="E643" i="9"/>
  <c r="E642" i="9"/>
  <c r="E641" i="9"/>
  <c r="E640" i="9"/>
  <c r="E639" i="9"/>
  <c r="E638" i="9"/>
  <c r="E637" i="9"/>
  <c r="E636" i="9"/>
  <c r="E635" i="9"/>
  <c r="E634" i="9"/>
  <c r="E633" i="9"/>
  <c r="E632" i="9"/>
  <c r="E631" i="9"/>
  <c r="E630" i="9"/>
  <c r="E629" i="9"/>
  <c r="E628" i="9"/>
  <c r="E627" i="9"/>
  <c r="E626" i="9"/>
  <c r="E625" i="9"/>
  <c r="E624" i="9"/>
  <c r="E623" i="9"/>
  <c r="E622" i="9"/>
  <c r="F621" i="9"/>
  <c r="G621" i="9" s="1" a="1"/>
  <c r="G621" i="9" s="1"/>
  <c r="E621" i="9"/>
  <c r="E620" i="9"/>
  <c r="E619" i="9"/>
  <c r="E618" i="9"/>
  <c r="E617" i="9"/>
  <c r="E616" i="9"/>
  <c r="E615" i="9"/>
  <c r="E614" i="9"/>
  <c r="E613" i="9"/>
  <c r="E612" i="9"/>
  <c r="E611" i="9"/>
  <c r="E610" i="9"/>
  <c r="E609" i="9"/>
  <c r="E608" i="9"/>
  <c r="E607" i="9"/>
  <c r="E606" i="9"/>
  <c r="E605" i="9"/>
  <c r="E604" i="9"/>
  <c r="E603" i="9"/>
  <c r="E602" i="9"/>
  <c r="F601" i="9"/>
  <c r="G601" i="9" s="1" a="1"/>
  <c r="G601" i="9" s="1"/>
  <c r="E601" i="9"/>
  <c r="F600" i="9"/>
  <c r="G600" i="9" s="1" a="1"/>
  <c r="G600" i="9" s="1"/>
  <c r="E600" i="9"/>
  <c r="E599" i="9"/>
  <c r="E598" i="9"/>
  <c r="E597" i="9"/>
  <c r="E596" i="9"/>
  <c r="E595" i="9"/>
  <c r="E594" i="9"/>
  <c r="E593" i="9"/>
  <c r="E592" i="9"/>
  <c r="E591" i="9"/>
  <c r="E590" i="9"/>
  <c r="E589" i="9"/>
  <c r="E588" i="9"/>
  <c r="E587" i="9"/>
  <c r="E586" i="9"/>
  <c r="E585" i="9"/>
  <c r="E584" i="9"/>
  <c r="E583" i="9"/>
  <c r="E582" i="9"/>
  <c r="E581" i="9"/>
  <c r="E580" i="9"/>
  <c r="E579" i="9"/>
  <c r="E578" i="9"/>
  <c r="E577" i="9"/>
  <c r="E576" i="9"/>
  <c r="F575" i="9"/>
  <c r="E575" i="9"/>
  <c r="E574" i="9"/>
  <c r="E573" i="9"/>
  <c r="E572" i="9"/>
  <c r="E571" i="9"/>
  <c r="E570" i="9"/>
  <c r="E569" i="9"/>
  <c r="E568" i="9"/>
  <c r="E567" i="9"/>
  <c r="E566" i="9"/>
  <c r="E565" i="9"/>
  <c r="E564" i="9"/>
  <c r="E563" i="9"/>
  <c r="E562" i="9"/>
  <c r="E561" i="9"/>
  <c r="E560" i="9"/>
  <c r="E559" i="9"/>
  <c r="E558" i="9"/>
  <c r="E557" i="9"/>
  <c r="E556" i="9"/>
  <c r="E555" i="9"/>
  <c r="E554" i="9"/>
  <c r="E553" i="9"/>
  <c r="E552" i="9"/>
  <c r="E551" i="9"/>
  <c r="F550" i="9"/>
  <c r="G550" i="9" s="1" a="1"/>
  <c r="G550" i="9" s="1"/>
  <c r="E550" i="9"/>
  <c r="E549" i="9"/>
  <c r="E548" i="9"/>
  <c r="F547" i="9"/>
  <c r="G547" i="9" s="1" a="1"/>
  <c r="G547" i="9" s="1"/>
  <c r="E547" i="9"/>
  <c r="E546" i="9"/>
  <c r="E545" i="9"/>
  <c r="E544" i="9"/>
  <c r="E543" i="9"/>
  <c r="E542" i="9"/>
  <c r="E541" i="9"/>
  <c r="E540" i="9"/>
  <c r="F539" i="9"/>
  <c r="G539" i="9" s="1" a="1"/>
  <c r="G539" i="9" s="1"/>
  <c r="E539" i="9"/>
  <c r="E538" i="9"/>
  <c r="E537" i="9"/>
  <c r="E536" i="9"/>
  <c r="E535" i="9"/>
  <c r="E534" i="9"/>
  <c r="E533" i="9"/>
  <c r="E532" i="9"/>
  <c r="E531" i="9"/>
  <c r="E530" i="9"/>
  <c r="E529" i="9"/>
  <c r="E528" i="9"/>
  <c r="E527" i="9"/>
  <c r="E526" i="9"/>
  <c r="E525" i="9"/>
  <c r="E524" i="9"/>
  <c r="E523" i="9"/>
  <c r="E522" i="9"/>
  <c r="E521" i="9"/>
  <c r="E520" i="9"/>
  <c r="E519" i="9"/>
  <c r="E518" i="9"/>
  <c r="E517" i="9"/>
  <c r="E516" i="9"/>
  <c r="E515" i="9"/>
  <c r="F514" i="9"/>
  <c r="G514" i="9" s="1" a="1"/>
  <c r="G514" i="9" s="1"/>
  <c r="E514" i="9"/>
  <c r="E513" i="9"/>
  <c r="F512" i="9"/>
  <c r="G512" i="9" s="1" a="1"/>
  <c r="G512" i="9" s="1"/>
  <c r="E512" i="9"/>
  <c r="E511" i="9"/>
  <c r="E510" i="9"/>
  <c r="E509" i="9"/>
  <c r="E508" i="9"/>
  <c r="E507" i="9"/>
  <c r="E506" i="9"/>
  <c r="E505" i="9"/>
  <c r="E504" i="9"/>
  <c r="E503" i="9"/>
  <c r="F502" i="9"/>
  <c r="G502" i="9" s="1" a="1"/>
  <c r="G502" i="9" s="1"/>
  <c r="E502" i="9"/>
  <c r="E501" i="9"/>
  <c r="E500" i="9"/>
  <c r="E499" i="9"/>
  <c r="E498" i="9"/>
  <c r="E497" i="9"/>
  <c r="E496" i="9"/>
  <c r="E495" i="9"/>
  <c r="E494" i="9"/>
  <c r="E493" i="9"/>
  <c r="F492" i="9"/>
  <c r="G492" i="9" s="1" a="1"/>
  <c r="G492" i="9" s="1"/>
  <c r="E492" i="9"/>
  <c r="E491" i="9"/>
  <c r="E490" i="9"/>
  <c r="F489" i="9"/>
  <c r="E489" i="9"/>
  <c r="E488" i="9"/>
  <c r="E487" i="9"/>
  <c r="E486" i="9"/>
  <c r="E485" i="9"/>
  <c r="E484" i="9"/>
  <c r="E483" i="9"/>
  <c r="E482" i="9"/>
  <c r="E481" i="9"/>
  <c r="E480" i="9"/>
  <c r="E479" i="9"/>
  <c r="E478" i="9"/>
  <c r="E477" i="9"/>
  <c r="E476" i="9"/>
  <c r="E475" i="9"/>
  <c r="E474" i="9"/>
  <c r="E473" i="9"/>
  <c r="E472" i="9"/>
  <c r="E471" i="9"/>
  <c r="E470" i="9"/>
  <c r="E469" i="9"/>
  <c r="F468" i="9"/>
  <c r="G468" i="9" s="1" a="1"/>
  <c r="G468" i="9" s="1"/>
  <c r="E468" i="9"/>
  <c r="E467" i="9"/>
  <c r="E466" i="9"/>
  <c r="E465" i="9"/>
  <c r="E464" i="9"/>
  <c r="E463" i="9"/>
  <c r="E462" i="9"/>
  <c r="E461" i="9"/>
  <c r="E460" i="9"/>
  <c r="F459" i="9"/>
  <c r="G459" i="9" s="1" a="1"/>
  <c r="G459" i="9" s="1"/>
  <c r="E459" i="9"/>
  <c r="F458" i="9"/>
  <c r="G458" i="9" s="1" a="1"/>
  <c r="G458" i="9" s="1"/>
  <c r="E458" i="9"/>
  <c r="E457" i="9"/>
  <c r="E456" i="9"/>
  <c r="F455" i="9"/>
  <c r="E455" i="9"/>
  <c r="E454" i="9"/>
  <c r="E453" i="9"/>
  <c r="E452" i="9"/>
  <c r="E451" i="9"/>
  <c r="E450" i="9"/>
  <c r="E449" i="9"/>
  <c r="E448" i="9"/>
  <c r="E447" i="9"/>
  <c r="E446" i="9"/>
  <c r="E445" i="9"/>
  <c r="E444" i="9"/>
  <c r="E443" i="9"/>
  <c r="E442" i="9"/>
  <c r="E441" i="9"/>
  <c r="E440" i="9"/>
  <c r="E439" i="9"/>
  <c r="E438" i="9"/>
  <c r="E437" i="9"/>
  <c r="E436" i="9"/>
  <c r="E435" i="9"/>
  <c r="E434" i="9"/>
  <c r="E433" i="9"/>
  <c r="E432" i="9"/>
  <c r="F431" i="9"/>
  <c r="G431" i="9" s="1" a="1"/>
  <c r="G431" i="9" s="1"/>
  <c r="E431" i="9"/>
  <c r="E430" i="9"/>
  <c r="E429" i="9"/>
  <c r="E428" i="9"/>
  <c r="E427" i="9"/>
  <c r="E426" i="9"/>
  <c r="E425" i="9"/>
  <c r="E424" i="9"/>
  <c r="E423" i="9"/>
  <c r="E422" i="9"/>
  <c r="E421" i="9"/>
  <c r="E420" i="9"/>
  <c r="E419" i="9"/>
  <c r="E418" i="9"/>
  <c r="E417" i="9"/>
  <c r="E416" i="9"/>
  <c r="E415" i="9"/>
  <c r="E414" i="9"/>
  <c r="E413" i="9"/>
  <c r="E412" i="9"/>
  <c r="E411" i="9"/>
  <c r="E410" i="9"/>
  <c r="E409" i="9"/>
  <c r="E408" i="9"/>
  <c r="E407" i="9"/>
  <c r="F406" i="9"/>
  <c r="F407" i="9" s="1"/>
  <c r="E406" i="9"/>
  <c r="E405" i="9"/>
  <c r="E404" i="9"/>
  <c r="E403" i="9"/>
  <c r="E402" i="9"/>
  <c r="E401" i="9"/>
  <c r="E400" i="9"/>
  <c r="E399" i="9"/>
  <c r="E398" i="9"/>
  <c r="F397" i="9"/>
  <c r="G397" i="9" s="1" a="1"/>
  <c r="G397" i="9" s="1"/>
  <c r="E397" i="9"/>
  <c r="F396" i="9"/>
  <c r="G396" i="9" s="1" a="1"/>
  <c r="G396" i="9" s="1"/>
  <c r="E396" i="9"/>
  <c r="F395" i="9"/>
  <c r="G395" i="9" s="1" a="1"/>
  <c r="G395" i="9" s="1"/>
  <c r="E395" i="9"/>
  <c r="E394" i="9"/>
  <c r="F393" i="9"/>
  <c r="F394" i="9" s="1"/>
  <c r="G394" i="9" s="1" a="1"/>
  <c r="G394" i="9" s="1"/>
  <c r="E393" i="9"/>
  <c r="E392" i="9"/>
  <c r="E391" i="9"/>
  <c r="E390" i="9"/>
  <c r="F389" i="9"/>
  <c r="G389" i="9" s="1" a="1"/>
  <c r="G389" i="9" s="1"/>
  <c r="E389" i="9"/>
  <c r="E388" i="9"/>
  <c r="E387" i="9"/>
  <c r="E386" i="9"/>
  <c r="G385" i="9" a="1"/>
  <c r="G385" i="9" s="1"/>
  <c r="F385" i="9"/>
  <c r="F386" i="9" s="1"/>
  <c r="E385" i="9"/>
  <c r="E384" i="9"/>
  <c r="E383" i="9"/>
  <c r="E382" i="9"/>
  <c r="F381" i="9"/>
  <c r="G381" i="9" s="1" a="1"/>
  <c r="G381" i="9" s="1"/>
  <c r="E381" i="9"/>
  <c r="G380" i="9" a="1"/>
  <c r="G380" i="9" s="1"/>
  <c r="F380" i="9"/>
  <c r="E380" i="9"/>
  <c r="E379" i="9"/>
  <c r="E378" i="9"/>
  <c r="E377" i="9"/>
  <c r="E376" i="9"/>
  <c r="E375" i="9"/>
  <c r="E374" i="9"/>
  <c r="E373" i="9"/>
  <c r="E372" i="9"/>
  <c r="E371" i="9"/>
  <c r="E370" i="9"/>
  <c r="E369" i="9"/>
  <c r="E368" i="9"/>
  <c r="E367" i="9"/>
  <c r="E366" i="9"/>
  <c r="E365" i="9"/>
  <c r="F364" i="9"/>
  <c r="F365" i="9" s="1"/>
  <c r="G365" i="9" s="1" a="1"/>
  <c r="G365" i="9" s="1"/>
  <c r="E364" i="9"/>
  <c r="E363" i="9"/>
  <c r="E362" i="9"/>
  <c r="E361" i="9"/>
  <c r="E360" i="9"/>
  <c r="E359" i="9"/>
  <c r="E358" i="9"/>
  <c r="E357" i="9"/>
  <c r="E356" i="9"/>
  <c r="F355" i="9"/>
  <c r="F356" i="9" s="1"/>
  <c r="E355" i="9"/>
  <c r="E354" i="9"/>
  <c r="E353" i="9"/>
  <c r="E352" i="9"/>
  <c r="E351" i="9"/>
  <c r="E350" i="9"/>
  <c r="E349" i="9"/>
  <c r="E348" i="9"/>
  <c r="E347" i="9"/>
  <c r="E346" i="9"/>
  <c r="E345" i="9"/>
  <c r="E344" i="9"/>
  <c r="E343" i="9"/>
  <c r="E342" i="9"/>
  <c r="E341" i="9"/>
  <c r="E340" i="9"/>
  <c r="F339" i="9"/>
  <c r="F340" i="9" s="1"/>
  <c r="E339" i="9"/>
  <c r="E338" i="9"/>
  <c r="E337" i="9"/>
  <c r="E336" i="9"/>
  <c r="E335" i="9"/>
  <c r="E334" i="9"/>
  <c r="E333" i="9"/>
  <c r="E332" i="9"/>
  <c r="E331" i="9"/>
  <c r="E330" i="9"/>
  <c r="E329" i="9"/>
  <c r="E328" i="9"/>
  <c r="E327" i="9"/>
  <c r="E326" i="9"/>
  <c r="E325" i="9"/>
  <c r="E324" i="9"/>
  <c r="F323" i="9"/>
  <c r="F324" i="9" s="1"/>
  <c r="E323" i="9"/>
  <c r="E322" i="9"/>
  <c r="E321" i="9"/>
  <c r="E320" i="9"/>
  <c r="E319" i="9"/>
  <c r="E318" i="9"/>
  <c r="E317" i="9"/>
  <c r="E316" i="9"/>
  <c r="E315" i="9"/>
  <c r="E314" i="9"/>
  <c r="E313" i="9"/>
  <c r="E312" i="9"/>
  <c r="E311" i="9"/>
  <c r="G310" i="9" a="1"/>
  <c r="G310" i="9" s="1"/>
  <c r="F310" i="9"/>
  <c r="F311" i="9" s="1"/>
  <c r="F312" i="9" s="1"/>
  <c r="E310" i="9"/>
  <c r="E309" i="9"/>
  <c r="E308" i="9"/>
  <c r="E307" i="9"/>
  <c r="E306" i="9"/>
  <c r="E305" i="9"/>
  <c r="E304" i="9"/>
  <c r="E303" i="9"/>
  <c r="E302" i="9"/>
  <c r="F301" i="9"/>
  <c r="G301" i="9" s="1" a="1"/>
  <c r="G301" i="9" s="1"/>
  <c r="E301" i="9"/>
  <c r="E300" i="9"/>
  <c r="E299" i="9"/>
  <c r="E298" i="9"/>
  <c r="E297" i="9"/>
  <c r="E296" i="9"/>
  <c r="E295" i="9"/>
  <c r="E294" i="9"/>
  <c r="E293" i="9"/>
  <c r="E292" i="9"/>
  <c r="E291" i="9"/>
  <c r="E290" i="9"/>
  <c r="E289" i="9"/>
  <c r="E288" i="9"/>
  <c r="E287" i="9"/>
  <c r="E286" i="9"/>
  <c r="F285" i="9"/>
  <c r="G285" i="9" s="1" a="1"/>
  <c r="G285" i="9" s="1"/>
  <c r="E285" i="9"/>
  <c r="E284" i="9"/>
  <c r="E283" i="9"/>
  <c r="E282" i="9"/>
  <c r="E281" i="9"/>
  <c r="F280" i="9"/>
  <c r="G280" i="9" s="1" a="1"/>
  <c r="G280" i="9" s="1"/>
  <c r="E280" i="9"/>
  <c r="E279" i="9"/>
  <c r="E278" i="9"/>
  <c r="F277" i="9"/>
  <c r="G277" i="9" s="1" a="1"/>
  <c r="G277" i="9" s="1"/>
  <c r="E277" i="9"/>
  <c r="E276" i="9"/>
  <c r="E275" i="9"/>
  <c r="E274" i="9"/>
  <c r="E273" i="9"/>
  <c r="E272" i="9"/>
  <c r="E271" i="9"/>
  <c r="E270" i="9"/>
  <c r="E269" i="9"/>
  <c r="E268" i="9"/>
  <c r="E267" i="9"/>
  <c r="E266" i="9"/>
  <c r="E265" i="9"/>
  <c r="F264" i="9"/>
  <c r="F265" i="9" s="1"/>
  <c r="E264" i="9"/>
  <c r="E263" i="9"/>
  <c r="E262" i="9"/>
  <c r="E261" i="9"/>
  <c r="E260" i="9"/>
  <c r="E259" i="9"/>
  <c r="E258" i="9"/>
  <c r="E257" i="9"/>
  <c r="F256" i="9"/>
  <c r="F257" i="9" s="1"/>
  <c r="E256" i="9"/>
  <c r="E255" i="9"/>
  <c r="E254" i="9"/>
  <c r="E253" i="9"/>
  <c r="E252" i="9"/>
  <c r="E251" i="9"/>
  <c r="E250" i="9"/>
  <c r="E249" i="9"/>
  <c r="E248" i="9"/>
  <c r="F247" i="9"/>
  <c r="G247" i="9" s="1" a="1"/>
  <c r="G247" i="9" s="1"/>
  <c r="E247" i="9"/>
  <c r="E246" i="9"/>
  <c r="E245" i="9"/>
  <c r="E244" i="9"/>
  <c r="E243" i="9"/>
  <c r="F242" i="9"/>
  <c r="G242" i="9" s="1" a="1"/>
  <c r="G242" i="9" s="1"/>
  <c r="E242" i="9"/>
  <c r="E241" i="9"/>
  <c r="E240" i="9"/>
  <c r="E239" i="9"/>
  <c r="E238" i="9"/>
  <c r="E237" i="9"/>
  <c r="E236" i="9"/>
  <c r="E235" i="9"/>
  <c r="E234" i="9"/>
  <c r="E233" i="9"/>
  <c r="E232" i="9"/>
  <c r="E231" i="9"/>
  <c r="E230" i="9"/>
  <c r="E229" i="9"/>
  <c r="E228" i="9"/>
  <c r="E227" i="9"/>
  <c r="E226" i="9"/>
  <c r="E225" i="9"/>
  <c r="E224" i="9"/>
  <c r="E223" i="9"/>
  <c r="E222" i="9"/>
  <c r="E221" i="9"/>
  <c r="E220" i="9"/>
  <c r="N6" i="9" s="1"/>
  <c r="F219" i="9"/>
  <c r="G219" i="9" s="1" a="1"/>
  <c r="G219" i="9" s="1"/>
  <c r="E219" i="9"/>
  <c r="E218" i="9"/>
  <c r="E217" i="9"/>
  <c r="E216" i="9"/>
  <c r="E215" i="9"/>
  <c r="E214" i="9"/>
  <c r="E213" i="9"/>
  <c r="E212" i="9"/>
  <c r="E211" i="9"/>
  <c r="E210" i="9"/>
  <c r="E209" i="9"/>
  <c r="E208" i="9"/>
  <c r="E207" i="9"/>
  <c r="E206" i="9"/>
  <c r="E205" i="9"/>
  <c r="E204" i="9"/>
  <c r="E203" i="9"/>
  <c r="F202" i="9"/>
  <c r="G202" i="9" s="1" a="1"/>
  <c r="G202" i="9" s="1"/>
  <c r="E202" i="9"/>
  <c r="E201" i="9"/>
  <c r="E200" i="9"/>
  <c r="E199" i="9"/>
  <c r="E198" i="9"/>
  <c r="E197" i="9"/>
  <c r="E196" i="9"/>
  <c r="E195" i="9"/>
  <c r="E194" i="9"/>
  <c r="E193" i="9"/>
  <c r="E192" i="9"/>
  <c r="E191" i="9"/>
  <c r="E190" i="9"/>
  <c r="E189" i="9"/>
  <c r="E188" i="9"/>
  <c r="E187" i="9"/>
  <c r="E186" i="9"/>
  <c r="E185" i="9"/>
  <c r="E184" i="9"/>
  <c r="E183" i="9"/>
  <c r="E182" i="9"/>
  <c r="E181" i="9"/>
  <c r="E180" i="9"/>
  <c r="F179" i="9"/>
  <c r="G179" i="9" s="1" a="1"/>
  <c r="G179" i="9" s="1"/>
  <c r="E179" i="9"/>
  <c r="E178" i="9"/>
  <c r="E177" i="9"/>
  <c r="E176" i="9"/>
  <c r="E175" i="9"/>
  <c r="E174" i="9"/>
  <c r="E173" i="9"/>
  <c r="E172" i="9"/>
  <c r="E171" i="9"/>
  <c r="E170" i="9"/>
  <c r="E169" i="9"/>
  <c r="E168" i="9"/>
  <c r="E167" i="9"/>
  <c r="E166" i="9"/>
  <c r="E165" i="9"/>
  <c r="E164" i="9"/>
  <c r="F163" i="9"/>
  <c r="G163" i="9" s="1" a="1"/>
  <c r="G163" i="9" s="1"/>
  <c r="E163" i="9"/>
  <c r="E162" i="9"/>
  <c r="E161" i="9"/>
  <c r="E160" i="9"/>
  <c r="E159" i="9"/>
  <c r="E158" i="9"/>
  <c r="E157" i="9"/>
  <c r="E156" i="9"/>
  <c r="E155" i="9"/>
  <c r="E154" i="9"/>
  <c r="E153" i="9"/>
  <c r="E152" i="9"/>
  <c r="E151" i="9"/>
  <c r="E150" i="9"/>
  <c r="E149" i="9"/>
  <c r="E148" i="9"/>
  <c r="E147" i="9"/>
  <c r="E146" i="9"/>
  <c r="E145" i="9"/>
  <c r="E144" i="9"/>
  <c r="E143" i="9"/>
  <c r="F142" i="9"/>
  <c r="G142" i="9" s="1" a="1"/>
  <c r="G142" i="9" s="1"/>
  <c r="E142" i="9"/>
  <c r="E141" i="9"/>
  <c r="E140" i="9"/>
  <c r="E139" i="9"/>
  <c r="E138" i="9"/>
  <c r="E137" i="9"/>
  <c r="E136" i="9"/>
  <c r="F135" i="9"/>
  <c r="G135" i="9" s="1" a="1"/>
  <c r="G135" i="9" s="1"/>
  <c r="E135" i="9"/>
  <c r="E134" i="9"/>
  <c r="E133" i="9"/>
  <c r="E132" i="9"/>
  <c r="E131" i="9"/>
  <c r="E130" i="9"/>
  <c r="E129" i="9"/>
  <c r="E128" i="9"/>
  <c r="E127" i="9"/>
  <c r="E126" i="9"/>
  <c r="E125" i="9"/>
  <c r="E124" i="9"/>
  <c r="E123" i="9"/>
  <c r="E122" i="9"/>
  <c r="E121" i="9"/>
  <c r="E120" i="9"/>
  <c r="E119" i="9"/>
  <c r="E118" i="9"/>
  <c r="E117" i="9"/>
  <c r="E116" i="9"/>
  <c r="F115" i="9"/>
  <c r="G115" i="9" s="1" a="1"/>
  <c r="G115" i="9" s="1"/>
  <c r="E115" i="9"/>
  <c r="E114" i="9"/>
  <c r="E113" i="9"/>
  <c r="E112" i="9"/>
  <c r="E111" i="9"/>
  <c r="E110" i="9"/>
  <c r="E109" i="9"/>
  <c r="E108" i="9"/>
  <c r="E107" i="9"/>
  <c r="E106" i="9"/>
  <c r="E105" i="9"/>
  <c r="E104" i="9"/>
  <c r="E103" i="9"/>
  <c r="E102" i="9"/>
  <c r="E101" i="9"/>
  <c r="E100" i="9"/>
  <c r="E99" i="9"/>
  <c r="E98" i="9"/>
  <c r="E97" i="9"/>
  <c r="E96" i="9"/>
  <c r="E95" i="9"/>
  <c r="E94" i="9"/>
  <c r="E93" i="9"/>
  <c r="E92" i="9"/>
  <c r="F91" i="9"/>
  <c r="G91" i="9" s="1" a="1"/>
  <c r="G91" i="9" s="1"/>
  <c r="E91" i="9"/>
  <c r="F90" i="9"/>
  <c r="G90" i="9" s="1" a="1"/>
  <c r="G90" i="9" s="1"/>
  <c r="E90" i="9"/>
  <c r="E89" i="9"/>
  <c r="E88" i="9"/>
  <c r="E87" i="9"/>
  <c r="E86" i="9"/>
  <c r="E85" i="9"/>
  <c r="E84" i="9"/>
  <c r="E83" i="9"/>
  <c r="E82" i="9"/>
  <c r="E81" i="9"/>
  <c r="F80" i="9"/>
  <c r="G80" i="9" s="1" a="1"/>
  <c r="G80" i="9" s="1"/>
  <c r="E80" i="9"/>
  <c r="E79" i="9"/>
  <c r="E78" i="9"/>
  <c r="E77" i="9"/>
  <c r="E76" i="9"/>
  <c r="E75" i="9"/>
  <c r="E74" i="9"/>
  <c r="E73" i="9"/>
  <c r="E72" i="9"/>
  <c r="E71" i="9"/>
  <c r="E70" i="9"/>
  <c r="E69" i="9"/>
  <c r="E68" i="9"/>
  <c r="E67" i="9"/>
  <c r="E66" i="9"/>
  <c r="F65" i="9"/>
  <c r="G65" i="9" s="1" a="1"/>
  <c r="G65" i="9" s="1"/>
  <c r="E65" i="9"/>
  <c r="G64" i="9"/>
  <c r="F64" i="9"/>
  <c r="G64" i="9" s="1" a="1"/>
  <c r="E64" i="9"/>
  <c r="E63" i="9"/>
  <c r="E62" i="9"/>
  <c r="E61" i="9"/>
  <c r="F60" i="9"/>
  <c r="G60" i="9" s="1" a="1"/>
  <c r="G60" i="9" s="1"/>
  <c r="E60" i="9"/>
  <c r="E59" i="9"/>
  <c r="E58" i="9"/>
  <c r="E57" i="9"/>
  <c r="E56" i="9"/>
  <c r="E55" i="9"/>
  <c r="E54" i="9"/>
  <c r="E53" i="9"/>
  <c r="E52" i="9"/>
  <c r="N4" i="9" s="1"/>
  <c r="O4" i="9" s="1"/>
  <c r="F51" i="9"/>
  <c r="G51" i="9" s="1" a="1"/>
  <c r="G51" i="9" s="1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F38" i="9"/>
  <c r="G38" i="9" s="1" a="1"/>
  <c r="G38" i="9" s="1"/>
  <c r="E38" i="9"/>
  <c r="G37" i="9"/>
  <c r="F37" i="9"/>
  <c r="G37" i="9" s="1" a="1"/>
  <c r="E37" i="9"/>
  <c r="N3" i="9" s="1"/>
  <c r="E36" i="9"/>
  <c r="E35" i="9"/>
  <c r="E34" i="9"/>
  <c r="E33" i="9"/>
  <c r="E32" i="9"/>
  <c r="F31" i="9"/>
  <c r="E31" i="9"/>
  <c r="E30" i="9"/>
  <c r="E29" i="9"/>
  <c r="E28" i="9"/>
  <c r="U27" i="9" a="1"/>
  <c r="U27" i="9" s="1"/>
  <c r="T27" i="9" a="1"/>
  <c r="T27" i="9" s="1"/>
  <c r="S27" i="9" a="1"/>
  <c r="S27" i="9" s="1"/>
  <c r="F27" i="9"/>
  <c r="F28" i="9" s="1"/>
  <c r="E27" i="9"/>
  <c r="U26" i="9" a="1"/>
  <c r="U26" i="9" s="1"/>
  <c r="T26" i="9" a="1"/>
  <c r="T26" i="9" s="1"/>
  <c r="S26" i="9" a="1"/>
  <c r="S26" i="9" s="1"/>
  <c r="E26" i="9"/>
  <c r="U25" i="9" a="1"/>
  <c r="U25" i="9" s="1"/>
  <c r="T25" i="9" a="1"/>
  <c r="T25" i="9" s="1"/>
  <c r="S25" i="9" a="1"/>
  <c r="S25" i="9" s="1"/>
  <c r="F25" i="9"/>
  <c r="F26" i="9" s="1"/>
  <c r="G26" i="9" s="1" a="1"/>
  <c r="G26" i="9" s="1"/>
  <c r="E25" i="9"/>
  <c r="U24" i="9" a="1"/>
  <c r="U24" i="9" s="1"/>
  <c r="T24" i="9" a="1"/>
  <c r="T24" i="9" s="1"/>
  <c r="S24" i="9" a="1"/>
  <c r="S24" i="9" s="1"/>
  <c r="E24" i="9"/>
  <c r="U23" i="9" a="1"/>
  <c r="U23" i="9" s="1"/>
  <c r="T23" i="9" a="1"/>
  <c r="T23" i="9" s="1"/>
  <c r="S23" i="9" a="1"/>
  <c r="S23" i="9" s="1"/>
  <c r="E23" i="9"/>
  <c r="U22" i="9" a="1"/>
  <c r="U22" i="9" s="1"/>
  <c r="T22" i="9" a="1"/>
  <c r="T22" i="9" s="1"/>
  <c r="S22" i="9" a="1"/>
  <c r="S22" i="9" s="1"/>
  <c r="E22" i="9"/>
  <c r="U21" i="9" a="1"/>
  <c r="U21" i="9" s="1"/>
  <c r="T21" i="9" a="1"/>
  <c r="T21" i="9" s="1"/>
  <c r="S21" i="9" a="1"/>
  <c r="S21" i="9" s="1"/>
  <c r="F21" i="9"/>
  <c r="F22" i="9" s="1"/>
  <c r="F23" i="9" s="1"/>
  <c r="E21" i="9"/>
  <c r="U20" i="9" a="1"/>
  <c r="U20" i="9" s="1"/>
  <c r="T20" i="9" a="1"/>
  <c r="T20" i="9" s="1"/>
  <c r="S20" i="9" a="1"/>
  <c r="S20" i="9" s="1"/>
  <c r="E20" i="9"/>
  <c r="U19" i="9" a="1"/>
  <c r="U19" i="9" s="1"/>
  <c r="T19" i="9" a="1"/>
  <c r="T19" i="9" s="1"/>
  <c r="S19" i="9" a="1"/>
  <c r="S19" i="9" s="1"/>
  <c r="E19" i="9"/>
  <c r="U18" i="9" a="1"/>
  <c r="U18" i="9" s="1"/>
  <c r="T18" i="9"/>
  <c r="T18" i="9" a="1"/>
  <c r="S18" i="9" a="1"/>
  <c r="S18" i="9" s="1"/>
  <c r="E18" i="9"/>
  <c r="U17" i="9" a="1"/>
  <c r="U17" i="9" s="1"/>
  <c r="T17" i="9" a="1"/>
  <c r="T17" i="9" s="1"/>
  <c r="S17" i="9" a="1"/>
  <c r="S17" i="9" s="1"/>
  <c r="E17" i="9"/>
  <c r="U16" i="9" a="1"/>
  <c r="U16" i="9" s="1"/>
  <c r="T16" i="9" a="1"/>
  <c r="T16" i="9" s="1"/>
  <c r="S16" i="9" a="1"/>
  <c r="S16" i="9" s="1"/>
  <c r="E16" i="9"/>
  <c r="U15" i="9"/>
  <c r="U15" i="9" a="1"/>
  <c r="T15" i="9" a="1"/>
  <c r="T15" i="9" s="1"/>
  <c r="S15" i="9" a="1"/>
  <c r="S15" i="9" s="1"/>
  <c r="E15" i="9"/>
  <c r="U14" i="9" a="1"/>
  <c r="U14" i="9" s="1"/>
  <c r="T14" i="9" a="1"/>
  <c r="T14" i="9" s="1"/>
  <c r="S14" i="9" a="1"/>
  <c r="S14" i="9" s="1"/>
  <c r="E14" i="9"/>
  <c r="N21" i="9" s="1"/>
  <c r="U13" i="9" a="1"/>
  <c r="U13" i="9" s="1"/>
  <c r="T13" i="9"/>
  <c r="T13" i="9" a="1"/>
  <c r="S13" i="9" a="1"/>
  <c r="S13" i="9" s="1"/>
  <c r="E13" i="9"/>
  <c r="U12" i="9" a="1"/>
  <c r="U12" i="9" s="1"/>
  <c r="T12" i="9" a="1"/>
  <c r="T12" i="9" s="1"/>
  <c r="S12" i="9" a="1"/>
  <c r="S12" i="9" s="1"/>
  <c r="E12" i="9"/>
  <c r="U11" i="9"/>
  <c r="U11" i="9" a="1"/>
  <c r="T11" i="9" a="1"/>
  <c r="T11" i="9" s="1"/>
  <c r="S11" i="9" a="1"/>
  <c r="S11" i="9" s="1"/>
  <c r="E11" i="9"/>
  <c r="U10" i="9" a="1"/>
  <c r="U10" i="9" s="1"/>
  <c r="T10" i="9" a="1"/>
  <c r="T10" i="9" s="1"/>
  <c r="S10" i="9" a="1"/>
  <c r="S10" i="9" s="1"/>
  <c r="E10" i="9"/>
  <c r="U9" i="9" a="1"/>
  <c r="U9" i="9" s="1"/>
  <c r="T9" i="9" a="1"/>
  <c r="T9" i="9" s="1"/>
  <c r="S9" i="9" a="1"/>
  <c r="S9" i="9" s="1"/>
  <c r="E9" i="9"/>
  <c r="U8" i="9" a="1"/>
  <c r="U8" i="9" s="1"/>
  <c r="T8" i="9" a="1"/>
  <c r="T8" i="9" s="1"/>
  <c r="S8" i="9" a="1"/>
  <c r="S8" i="9" s="1"/>
  <c r="E8" i="9"/>
  <c r="U7" i="9" a="1"/>
  <c r="U7" i="9" s="1"/>
  <c r="T7" i="9" a="1"/>
  <c r="T7" i="9" s="1"/>
  <c r="S7" i="9" a="1"/>
  <c r="S7" i="9" s="1"/>
  <c r="E7" i="9"/>
  <c r="U6" i="9" a="1"/>
  <c r="U6" i="9" s="1"/>
  <c r="T6" i="9" a="1"/>
  <c r="T6" i="9" s="1"/>
  <c r="S6" i="9" a="1"/>
  <c r="S6" i="9" s="1"/>
  <c r="E6" i="9"/>
  <c r="U5" i="9" a="1"/>
  <c r="U5" i="9" s="1"/>
  <c r="T5" i="9" a="1"/>
  <c r="T5" i="9" s="1"/>
  <c r="S5" i="9" a="1"/>
  <c r="S5" i="9" s="1"/>
  <c r="E5" i="9"/>
  <c r="U4" i="9" a="1"/>
  <c r="U4" i="9" s="1"/>
  <c r="T4" i="9" a="1"/>
  <c r="T4" i="9" s="1"/>
  <c r="S4" i="9" a="1"/>
  <c r="S4" i="9" s="1"/>
  <c r="E4" i="9"/>
  <c r="U3" i="9" a="1"/>
  <c r="U3" i="9" s="1"/>
  <c r="T3" i="9" a="1"/>
  <c r="T3" i="9" s="1"/>
  <c r="S3" i="9" a="1"/>
  <c r="S3" i="9" s="1"/>
  <c r="E3" i="9"/>
  <c r="N10" i="9" s="1"/>
  <c r="F2" i="9"/>
  <c r="G2" i="9" s="1" a="1"/>
  <c r="G2" i="9" s="1"/>
  <c r="E2" i="9"/>
  <c r="V4" i="7" a="1"/>
  <c r="V4" i="7" s="1"/>
  <c r="V5" i="7" a="1"/>
  <c r="V5" i="7" s="1"/>
  <c r="V6" i="7" a="1"/>
  <c r="V6" i="7" s="1"/>
  <c r="V7" i="7" a="1"/>
  <c r="V7" i="7" s="1"/>
  <c r="V8" i="7" a="1"/>
  <c r="V8" i="7" s="1"/>
  <c r="V9" i="7" a="1"/>
  <c r="V9" i="7" s="1"/>
  <c r="V10" i="7" a="1"/>
  <c r="V10" i="7" s="1"/>
  <c r="V11" i="7" a="1"/>
  <c r="V11" i="7" s="1"/>
  <c r="V12" i="7" a="1"/>
  <c r="V12" i="7" s="1"/>
  <c r="V13" i="7" a="1"/>
  <c r="V13" i="7" s="1"/>
  <c r="V14" i="7" a="1"/>
  <c r="V14" i="7" s="1"/>
  <c r="V15" i="7" a="1"/>
  <c r="V15" i="7" s="1"/>
  <c r="V16" i="7" a="1"/>
  <c r="V16" i="7" s="1"/>
  <c r="V17" i="7" a="1"/>
  <c r="V17" i="7" s="1"/>
  <c r="V18" i="7" a="1"/>
  <c r="V18" i="7" s="1"/>
  <c r="V19" i="7" a="1"/>
  <c r="V19" i="7" s="1"/>
  <c r="V20" i="7" a="1"/>
  <c r="V20" i="7" s="1"/>
  <c r="V21" i="7" a="1"/>
  <c r="V21" i="7" s="1"/>
  <c r="V22" i="7" a="1"/>
  <c r="V22" i="7" s="1"/>
  <c r="V23" i="7" a="1"/>
  <c r="V23" i="7" s="1"/>
  <c r="V24" i="7" a="1"/>
  <c r="V24" i="7" s="1"/>
  <c r="V25" i="7" a="1"/>
  <c r="V25" i="7" s="1"/>
  <c r="V26" i="7" a="1"/>
  <c r="V26" i="7" s="1"/>
  <c r="V27" i="7" a="1"/>
  <c r="V27" i="7" s="1"/>
  <c r="V3" i="7" a="1"/>
  <c r="V3" i="7" s="1"/>
  <c r="U4" i="7" a="1"/>
  <c r="U4" i="7" s="1"/>
  <c r="U5" i="7" a="1"/>
  <c r="U5" i="7" s="1"/>
  <c r="U6" i="7" a="1"/>
  <c r="U6" i="7" s="1"/>
  <c r="U7" i="7" a="1"/>
  <c r="U7" i="7" s="1"/>
  <c r="U8" i="7" a="1"/>
  <c r="U8" i="7" s="1"/>
  <c r="U9" i="7" a="1"/>
  <c r="U9" i="7" s="1"/>
  <c r="U10" i="7" a="1"/>
  <c r="U10" i="7" s="1"/>
  <c r="U11" i="7" a="1"/>
  <c r="U11" i="7" s="1"/>
  <c r="U12" i="7" a="1"/>
  <c r="U12" i="7" s="1"/>
  <c r="U13" i="7" a="1"/>
  <c r="U13" i="7" s="1"/>
  <c r="U14" i="7" a="1"/>
  <c r="U14" i="7" s="1"/>
  <c r="U15" i="7" a="1"/>
  <c r="U15" i="7" s="1"/>
  <c r="U16" i="7" a="1"/>
  <c r="U16" i="7" s="1"/>
  <c r="U17" i="7" a="1"/>
  <c r="U17" i="7" s="1"/>
  <c r="U18" i="7" a="1"/>
  <c r="U18" i="7" s="1"/>
  <c r="U19" i="7" a="1"/>
  <c r="U19" i="7" s="1"/>
  <c r="U20" i="7" a="1"/>
  <c r="U20" i="7" s="1"/>
  <c r="U21" i="7" a="1"/>
  <c r="U21" i="7" s="1"/>
  <c r="U22" i="7" a="1"/>
  <c r="U22" i="7" s="1"/>
  <c r="U23" i="7" a="1"/>
  <c r="U23" i="7" s="1"/>
  <c r="U24" i="7" a="1"/>
  <c r="U24" i="7" s="1"/>
  <c r="U25" i="7" a="1"/>
  <c r="U25" i="7" s="1"/>
  <c r="U26" i="7" a="1"/>
  <c r="U26" i="7" s="1"/>
  <c r="U27" i="7" a="1"/>
  <c r="U27" i="7" s="1"/>
  <c r="U3" i="7" a="1"/>
  <c r="U3" i="7" s="1"/>
  <c r="T4" i="7" a="1"/>
  <c r="T4" i="7" s="1"/>
  <c r="T5" i="7" a="1"/>
  <c r="T5" i="7" s="1"/>
  <c r="T6" i="7" a="1"/>
  <c r="T6" i="7" s="1"/>
  <c r="T7" i="7" a="1"/>
  <c r="T7" i="7" s="1"/>
  <c r="T8" i="7" a="1"/>
  <c r="T8" i="7" s="1"/>
  <c r="T9" i="7" a="1"/>
  <c r="T9" i="7" s="1"/>
  <c r="T10" i="7" a="1"/>
  <c r="T10" i="7" s="1"/>
  <c r="T11" i="7" a="1"/>
  <c r="T11" i="7" s="1"/>
  <c r="T12" i="7" a="1"/>
  <c r="T12" i="7" s="1"/>
  <c r="T13" i="7" a="1"/>
  <c r="T13" i="7" s="1"/>
  <c r="T14" i="7" a="1"/>
  <c r="T14" i="7" s="1"/>
  <c r="T15" i="7" a="1"/>
  <c r="T15" i="7" s="1"/>
  <c r="T16" i="7" a="1"/>
  <c r="T16" i="7" s="1"/>
  <c r="T17" i="7" a="1"/>
  <c r="T17" i="7" s="1"/>
  <c r="T18" i="7" a="1"/>
  <c r="T18" i="7" s="1"/>
  <c r="T19" i="7" a="1"/>
  <c r="T19" i="7" s="1"/>
  <c r="T20" i="7" a="1"/>
  <c r="T20" i="7" s="1"/>
  <c r="T21" i="7" a="1"/>
  <c r="T21" i="7" s="1"/>
  <c r="T22" i="7" a="1"/>
  <c r="T22" i="7" s="1"/>
  <c r="T23" i="7" a="1"/>
  <c r="T23" i="7" s="1"/>
  <c r="T24" i="7" a="1"/>
  <c r="T24" i="7" s="1"/>
  <c r="T25" i="7" a="1"/>
  <c r="T25" i="7" s="1"/>
  <c r="T26" i="7" a="1"/>
  <c r="T26" i="7" s="1"/>
  <c r="T27" i="7" a="1"/>
  <c r="T27" i="7" s="1"/>
  <c r="T3" i="7" a="1"/>
  <c r="T3" i="7" s="1"/>
  <c r="D894" i="8"/>
  <c r="E893" i="8"/>
  <c r="E892" i="8"/>
  <c r="F891" i="8"/>
  <c r="G891" i="8" s="1" a="1"/>
  <c r="G891" i="8" s="1"/>
  <c r="E891" i="8"/>
  <c r="E890" i="8"/>
  <c r="E889" i="8"/>
  <c r="E888" i="8"/>
  <c r="E887" i="8"/>
  <c r="E886" i="8"/>
  <c r="E885" i="8"/>
  <c r="E884" i="8"/>
  <c r="E883" i="8"/>
  <c r="E882" i="8"/>
  <c r="E881" i="8"/>
  <c r="E880" i="8"/>
  <c r="E879" i="8"/>
  <c r="E878" i="8"/>
  <c r="E877" i="8"/>
  <c r="F876" i="8"/>
  <c r="E876" i="8"/>
  <c r="E875" i="8"/>
  <c r="E874" i="8"/>
  <c r="E873" i="8"/>
  <c r="E872" i="8"/>
  <c r="E871" i="8"/>
  <c r="E870" i="8"/>
  <c r="E869" i="8"/>
  <c r="F868" i="8"/>
  <c r="G868" i="8" s="1" a="1"/>
  <c r="G868" i="8" s="1"/>
  <c r="E868" i="8"/>
  <c r="E867" i="8"/>
  <c r="F866" i="8"/>
  <c r="F867" i="8" s="1"/>
  <c r="G867" i="8" s="1" a="1"/>
  <c r="G867" i="8" s="1"/>
  <c r="E866" i="8"/>
  <c r="E865" i="8"/>
  <c r="E864" i="8"/>
  <c r="E863" i="8"/>
  <c r="E862" i="8"/>
  <c r="E861" i="8"/>
  <c r="E860" i="8"/>
  <c r="E859" i="8"/>
  <c r="E858" i="8"/>
  <c r="E857" i="8"/>
  <c r="E856" i="8"/>
  <c r="E855" i="8"/>
  <c r="E854" i="8"/>
  <c r="E853" i="8"/>
  <c r="E852" i="8"/>
  <c r="E851" i="8"/>
  <c r="E850" i="8"/>
  <c r="E849" i="8"/>
  <c r="E848" i="8"/>
  <c r="E847" i="8"/>
  <c r="E846" i="8"/>
  <c r="E845" i="8"/>
  <c r="E844" i="8"/>
  <c r="E843" i="8"/>
  <c r="E842" i="8"/>
  <c r="F841" i="8"/>
  <c r="F842" i="8" s="1"/>
  <c r="F843" i="8" s="1"/>
  <c r="E841" i="8"/>
  <c r="E840" i="8"/>
  <c r="E839" i="8"/>
  <c r="E838" i="8"/>
  <c r="E837" i="8"/>
  <c r="F836" i="8"/>
  <c r="F837" i="8" s="1"/>
  <c r="E836" i="8"/>
  <c r="E835" i="8"/>
  <c r="E834" i="8"/>
  <c r="E833" i="8"/>
  <c r="E832" i="8"/>
  <c r="E831" i="8"/>
  <c r="E830" i="8"/>
  <c r="E829" i="8"/>
  <c r="E828" i="8"/>
  <c r="F827" i="8"/>
  <c r="F828" i="8" s="1"/>
  <c r="E827" i="8"/>
  <c r="E826" i="8"/>
  <c r="E825" i="8"/>
  <c r="E824" i="8"/>
  <c r="E823" i="8"/>
  <c r="E822" i="8"/>
  <c r="E821" i="8"/>
  <c r="E820" i="8"/>
  <c r="E819" i="8"/>
  <c r="E818" i="8"/>
  <c r="E817" i="8"/>
  <c r="E816" i="8"/>
  <c r="E815" i="8"/>
  <c r="E814" i="8"/>
  <c r="E813" i="8"/>
  <c r="E812" i="8"/>
  <c r="E811" i="8"/>
  <c r="E810" i="8"/>
  <c r="E809" i="8"/>
  <c r="F808" i="8"/>
  <c r="F809" i="8" s="1"/>
  <c r="E808" i="8"/>
  <c r="E807" i="8"/>
  <c r="E806" i="8"/>
  <c r="E805" i="8"/>
  <c r="E804" i="8"/>
  <c r="E803" i="8"/>
  <c r="E802" i="8"/>
  <c r="E801" i="8"/>
  <c r="F800" i="8"/>
  <c r="F801" i="8" s="1"/>
  <c r="E800" i="8"/>
  <c r="E799" i="8"/>
  <c r="E798" i="8"/>
  <c r="E797" i="8"/>
  <c r="E796" i="8"/>
  <c r="E795" i="8"/>
  <c r="E794" i="8"/>
  <c r="E793" i="8"/>
  <c r="E792" i="8"/>
  <c r="F791" i="8"/>
  <c r="E791" i="8"/>
  <c r="E790" i="8"/>
  <c r="E789" i="8"/>
  <c r="E788" i="8"/>
  <c r="E787" i="8"/>
  <c r="E786" i="8"/>
  <c r="E785" i="8"/>
  <c r="E784" i="8"/>
  <c r="F783" i="8"/>
  <c r="E783" i="8"/>
  <c r="E782" i="8"/>
  <c r="E781" i="8"/>
  <c r="E780" i="8"/>
  <c r="E779" i="8"/>
  <c r="E778" i="8"/>
  <c r="E777" i="8"/>
  <c r="E776" i="8"/>
  <c r="F775" i="8"/>
  <c r="G775" i="8" s="1" a="1"/>
  <c r="G775" i="8" s="1"/>
  <c r="E775" i="8"/>
  <c r="F774" i="8"/>
  <c r="G774" i="8" s="1" a="1"/>
  <c r="G774" i="8" s="1"/>
  <c r="E774" i="8"/>
  <c r="E773" i="8"/>
  <c r="E772" i="8"/>
  <c r="E771" i="8"/>
  <c r="E770" i="8"/>
  <c r="E769" i="8"/>
  <c r="E768" i="8"/>
  <c r="E767" i="8"/>
  <c r="E766" i="8"/>
  <c r="E765" i="8"/>
  <c r="E764" i="8"/>
  <c r="E763" i="8"/>
  <c r="E762" i="8"/>
  <c r="E761" i="8"/>
  <c r="E760" i="8"/>
  <c r="E759" i="8"/>
  <c r="E758" i="8"/>
  <c r="E757" i="8"/>
  <c r="E756" i="8"/>
  <c r="E755" i="8"/>
  <c r="E754" i="8"/>
  <c r="E753" i="8"/>
  <c r="E752" i="8"/>
  <c r="E751" i="8"/>
  <c r="E750" i="8"/>
  <c r="F749" i="8"/>
  <c r="F750" i="8" s="1"/>
  <c r="E749" i="8"/>
  <c r="E748" i="8"/>
  <c r="E747" i="8"/>
  <c r="E746" i="8"/>
  <c r="E745" i="8"/>
  <c r="E744" i="8"/>
  <c r="E743" i="8"/>
  <c r="E742" i="8"/>
  <c r="E741" i="8"/>
  <c r="E740" i="8"/>
  <c r="E739" i="8"/>
  <c r="E738" i="8"/>
  <c r="E737" i="8"/>
  <c r="E736" i="8"/>
  <c r="E735" i="8"/>
  <c r="E734" i="8"/>
  <c r="E733" i="8"/>
  <c r="F732" i="8"/>
  <c r="G732" i="8" s="1" a="1"/>
  <c r="G732" i="8" s="1"/>
  <c r="E732" i="8"/>
  <c r="F731" i="8"/>
  <c r="G731" i="8" s="1" a="1"/>
  <c r="G731" i="8" s="1"/>
  <c r="E731" i="8"/>
  <c r="E730" i="8"/>
  <c r="E729" i="8"/>
  <c r="E728" i="8"/>
  <c r="E727" i="8"/>
  <c r="E726" i="8"/>
  <c r="E725" i="8"/>
  <c r="E724" i="8"/>
  <c r="E723" i="8"/>
  <c r="E722" i="8"/>
  <c r="E721" i="8"/>
  <c r="E720" i="8"/>
  <c r="E719" i="8"/>
  <c r="E718" i="8"/>
  <c r="E717" i="8"/>
  <c r="E716" i="8"/>
  <c r="E715" i="8"/>
  <c r="F714" i="8"/>
  <c r="G714" i="8" s="1" a="1"/>
  <c r="G714" i="8" s="1"/>
  <c r="E714" i="8"/>
  <c r="F713" i="8"/>
  <c r="G713" i="8" s="1" a="1"/>
  <c r="G713" i="8" s="1"/>
  <c r="E713" i="8"/>
  <c r="E712" i="8"/>
  <c r="E711" i="8"/>
  <c r="G710" i="8" a="1"/>
  <c r="G710" i="8" s="1"/>
  <c r="F710" i="8"/>
  <c r="F711" i="8" s="1"/>
  <c r="E710" i="8"/>
  <c r="E709" i="8"/>
  <c r="E708" i="8"/>
  <c r="E707" i="8"/>
  <c r="E706" i="8"/>
  <c r="E705" i="8"/>
  <c r="E704" i="8"/>
  <c r="E703" i="8"/>
  <c r="E702" i="8"/>
  <c r="E701" i="8"/>
  <c r="E700" i="8"/>
  <c r="E699" i="8"/>
  <c r="E698" i="8"/>
  <c r="E697" i="8"/>
  <c r="E696" i="8"/>
  <c r="E695" i="8"/>
  <c r="E694" i="8"/>
  <c r="E693" i="8"/>
  <c r="E692" i="8"/>
  <c r="E691" i="8"/>
  <c r="E690" i="8"/>
  <c r="E689" i="8"/>
  <c r="F688" i="8"/>
  <c r="F689" i="8" s="1"/>
  <c r="E688" i="8"/>
  <c r="F687" i="8"/>
  <c r="G687" i="8" s="1" a="1"/>
  <c r="G687" i="8" s="1"/>
  <c r="E687" i="8"/>
  <c r="E686" i="8"/>
  <c r="E685" i="8"/>
  <c r="E684" i="8"/>
  <c r="E683" i="8"/>
  <c r="E682" i="8"/>
  <c r="E681" i="8"/>
  <c r="E680" i="8"/>
  <c r="F679" i="8"/>
  <c r="G679" i="8" s="1" a="1"/>
  <c r="G679" i="8" s="1"/>
  <c r="E679" i="8"/>
  <c r="E678" i="8"/>
  <c r="E677" i="8"/>
  <c r="E676" i="8"/>
  <c r="E675" i="8"/>
  <c r="E674" i="8"/>
  <c r="E673" i="8"/>
  <c r="E672" i="8"/>
  <c r="E671" i="8"/>
  <c r="E670" i="8"/>
  <c r="F669" i="8"/>
  <c r="E669" i="8"/>
  <c r="E668" i="8"/>
  <c r="E667" i="8"/>
  <c r="E666" i="8"/>
  <c r="E665" i="8"/>
  <c r="E664" i="8"/>
  <c r="E663" i="8"/>
  <c r="E662" i="8"/>
  <c r="E661" i="8"/>
  <c r="E660" i="8"/>
  <c r="E659" i="8"/>
  <c r="E658" i="8"/>
  <c r="E657" i="8"/>
  <c r="E656" i="8"/>
  <c r="E655" i="8"/>
  <c r="E654" i="8"/>
  <c r="E653" i="8"/>
  <c r="E652" i="8"/>
  <c r="E651" i="8"/>
  <c r="F650" i="8"/>
  <c r="G650" i="8" s="1" a="1"/>
  <c r="G650" i="8" s="1"/>
  <c r="E650" i="8"/>
  <c r="E649" i="8"/>
  <c r="E648" i="8"/>
  <c r="E647" i="8"/>
  <c r="E646" i="8"/>
  <c r="E645" i="8"/>
  <c r="E644" i="8"/>
  <c r="E643" i="8"/>
  <c r="E642" i="8"/>
  <c r="E641" i="8"/>
  <c r="E640" i="8"/>
  <c r="E639" i="8"/>
  <c r="E638" i="8"/>
  <c r="E637" i="8"/>
  <c r="E636" i="8"/>
  <c r="E635" i="8"/>
  <c r="E634" i="8"/>
  <c r="E633" i="8"/>
  <c r="E632" i="8"/>
  <c r="E631" i="8"/>
  <c r="E630" i="8"/>
  <c r="E629" i="8"/>
  <c r="E628" i="8"/>
  <c r="E627" i="8"/>
  <c r="E626" i="8"/>
  <c r="F625" i="8"/>
  <c r="G625" i="8" s="1" a="1"/>
  <c r="G625" i="8" s="1"/>
  <c r="E625" i="8"/>
  <c r="E624" i="8"/>
  <c r="E623" i="8"/>
  <c r="E622" i="8"/>
  <c r="E621" i="8"/>
  <c r="E620" i="8"/>
  <c r="E619" i="8"/>
  <c r="E618" i="8"/>
  <c r="E617" i="8"/>
  <c r="E616" i="8"/>
  <c r="E615" i="8"/>
  <c r="E614" i="8"/>
  <c r="E613" i="8"/>
  <c r="E612" i="8"/>
  <c r="E611" i="8"/>
  <c r="E610" i="8"/>
  <c r="E609" i="8"/>
  <c r="E608" i="8"/>
  <c r="E607" i="8"/>
  <c r="E606" i="8"/>
  <c r="E605" i="8"/>
  <c r="E604" i="8"/>
  <c r="E603" i="8"/>
  <c r="E602" i="8"/>
  <c r="F601" i="8"/>
  <c r="G601" i="8" s="1" a="1"/>
  <c r="G601" i="8" s="1"/>
  <c r="E601" i="8"/>
  <c r="F600" i="8"/>
  <c r="G600" i="8" s="1" a="1"/>
  <c r="G600" i="8" s="1"/>
  <c r="E600" i="8"/>
  <c r="E599" i="8"/>
  <c r="E598" i="8"/>
  <c r="E597" i="8"/>
  <c r="E596" i="8"/>
  <c r="E595" i="8"/>
  <c r="E594" i="8"/>
  <c r="E593" i="8"/>
  <c r="E592" i="8"/>
  <c r="E591" i="8"/>
  <c r="E590" i="8"/>
  <c r="E589" i="8"/>
  <c r="E588" i="8"/>
  <c r="E587" i="8"/>
  <c r="E586" i="8"/>
  <c r="E585" i="8"/>
  <c r="E584" i="8"/>
  <c r="E583" i="8"/>
  <c r="E582" i="8"/>
  <c r="E581" i="8"/>
  <c r="E580" i="8"/>
  <c r="F579" i="8"/>
  <c r="E579" i="8"/>
  <c r="E578" i="8"/>
  <c r="E577" i="8"/>
  <c r="E576" i="8"/>
  <c r="E575" i="8"/>
  <c r="E574" i="8"/>
  <c r="E573" i="8"/>
  <c r="E572" i="8"/>
  <c r="E571" i="8"/>
  <c r="E570" i="8"/>
  <c r="E569" i="8"/>
  <c r="E568" i="8"/>
  <c r="E567" i="8"/>
  <c r="E566" i="8"/>
  <c r="E565" i="8"/>
  <c r="E564" i="8"/>
  <c r="E563" i="8"/>
  <c r="E562" i="8"/>
  <c r="E561" i="8"/>
  <c r="E560" i="8"/>
  <c r="E559" i="8"/>
  <c r="E558" i="8"/>
  <c r="E557" i="8"/>
  <c r="F556" i="8"/>
  <c r="G556" i="8" s="1" a="1"/>
  <c r="G556" i="8" s="1"/>
  <c r="E556" i="8"/>
  <c r="F555" i="8"/>
  <c r="G555" i="8" s="1" a="1"/>
  <c r="G555" i="8" s="1"/>
  <c r="E555" i="8"/>
  <c r="F554" i="8"/>
  <c r="G554" i="8" s="1" a="1"/>
  <c r="G554" i="8" s="1"/>
  <c r="E554" i="8"/>
  <c r="E553" i="8"/>
  <c r="E552" i="8"/>
  <c r="E551" i="8"/>
  <c r="E550" i="8"/>
  <c r="E549" i="8"/>
  <c r="E548" i="8"/>
  <c r="E547" i="8"/>
  <c r="E546" i="8"/>
  <c r="E545" i="8"/>
  <c r="E544" i="8"/>
  <c r="E543" i="8"/>
  <c r="E542" i="8"/>
  <c r="E541" i="8"/>
  <c r="E540" i="8"/>
  <c r="E539" i="8"/>
  <c r="E538" i="8"/>
  <c r="E537" i="8"/>
  <c r="E536" i="8"/>
  <c r="E535" i="8"/>
  <c r="E534" i="8"/>
  <c r="E533" i="8"/>
  <c r="E532" i="8"/>
  <c r="E531" i="8"/>
  <c r="E530" i="8"/>
  <c r="F529" i="8"/>
  <c r="G529" i="8" s="1" a="1"/>
  <c r="G529" i="8" s="1"/>
  <c r="E529" i="8"/>
  <c r="E528" i="8"/>
  <c r="E527" i="8"/>
  <c r="F526" i="8"/>
  <c r="G526" i="8" s="1" a="1"/>
  <c r="G526" i="8" s="1"/>
  <c r="E526" i="8"/>
  <c r="E525" i="8"/>
  <c r="E524" i="8"/>
  <c r="E523" i="8"/>
  <c r="E522" i="8"/>
  <c r="E521" i="8"/>
  <c r="E520" i="8"/>
  <c r="E519" i="8"/>
  <c r="F518" i="8"/>
  <c r="G518" i="8" s="1" a="1"/>
  <c r="G518" i="8" s="1"/>
  <c r="E518" i="8"/>
  <c r="E517" i="8"/>
  <c r="E516" i="8"/>
  <c r="E515" i="8"/>
  <c r="E514" i="8"/>
  <c r="E513" i="8"/>
  <c r="E512" i="8"/>
  <c r="E511" i="8"/>
  <c r="E510" i="8"/>
  <c r="E509" i="8"/>
  <c r="E508" i="8"/>
  <c r="E507" i="8"/>
  <c r="E506" i="8"/>
  <c r="E505" i="8"/>
  <c r="E504" i="8"/>
  <c r="E503" i="8"/>
  <c r="E502" i="8"/>
  <c r="E501" i="8"/>
  <c r="E500" i="8"/>
  <c r="E499" i="8"/>
  <c r="E498" i="8"/>
  <c r="E497" i="8"/>
  <c r="E496" i="8"/>
  <c r="E495" i="8"/>
  <c r="E494" i="8"/>
  <c r="F493" i="8"/>
  <c r="G493" i="8" s="1" a="1"/>
  <c r="G493" i="8" s="1"/>
  <c r="E493" i="8"/>
  <c r="F492" i="8"/>
  <c r="G492" i="8" s="1" a="1"/>
  <c r="G492" i="8" s="1"/>
  <c r="E492" i="8"/>
  <c r="F491" i="8"/>
  <c r="G491" i="8" s="1" a="1"/>
  <c r="G491" i="8" s="1"/>
  <c r="E491" i="8"/>
  <c r="E490" i="8"/>
  <c r="E489" i="8"/>
  <c r="E488" i="8"/>
  <c r="E487" i="8"/>
  <c r="E486" i="8"/>
  <c r="E485" i="8"/>
  <c r="E484" i="8"/>
  <c r="E483" i="8"/>
  <c r="E482" i="8"/>
  <c r="F481" i="8"/>
  <c r="G481" i="8" s="1" a="1"/>
  <c r="G481" i="8" s="1"/>
  <c r="E481" i="8"/>
  <c r="E480" i="8"/>
  <c r="E479" i="8"/>
  <c r="E478" i="8"/>
  <c r="E477" i="8"/>
  <c r="E476" i="8"/>
  <c r="E475" i="8"/>
  <c r="E474" i="8"/>
  <c r="E473" i="8"/>
  <c r="F472" i="8"/>
  <c r="E472" i="8"/>
  <c r="F471" i="8"/>
  <c r="G471" i="8" s="1" a="1"/>
  <c r="G471" i="8" s="1"/>
  <c r="E471" i="8"/>
  <c r="E470" i="8"/>
  <c r="E469" i="8"/>
  <c r="F468" i="8"/>
  <c r="G468" i="8" s="1" a="1"/>
  <c r="G468" i="8" s="1"/>
  <c r="E468" i="8"/>
  <c r="E467" i="8"/>
  <c r="E466" i="8"/>
  <c r="E465" i="8"/>
  <c r="E464" i="8"/>
  <c r="E463" i="8"/>
  <c r="E462" i="8"/>
  <c r="E461" i="8"/>
  <c r="E460" i="8"/>
  <c r="E459" i="8"/>
  <c r="E458" i="8"/>
  <c r="E457" i="8"/>
  <c r="E456" i="8"/>
  <c r="E455" i="8"/>
  <c r="E454" i="8"/>
  <c r="E453" i="8"/>
  <c r="E452" i="8"/>
  <c r="E451" i="8"/>
  <c r="E450" i="8"/>
  <c r="E449" i="8"/>
  <c r="E448" i="8"/>
  <c r="F447" i="8"/>
  <c r="G447" i="8" s="1" a="1"/>
  <c r="G447" i="8" s="1"/>
  <c r="E447" i="8"/>
  <c r="E446" i="8"/>
  <c r="E445" i="8"/>
  <c r="E444" i="8"/>
  <c r="E443" i="8"/>
  <c r="E442" i="8"/>
  <c r="E441" i="8"/>
  <c r="E440" i="8"/>
  <c r="E439" i="8"/>
  <c r="E438" i="8"/>
  <c r="F437" i="8"/>
  <c r="G437" i="8" s="1" a="1"/>
  <c r="G437" i="8" s="1"/>
  <c r="E437" i="8"/>
  <c r="E436" i="8"/>
  <c r="E435" i="8"/>
  <c r="F434" i="8"/>
  <c r="F435" i="8" s="1"/>
  <c r="E434" i="8"/>
  <c r="E433" i="8"/>
  <c r="E432" i="8"/>
  <c r="E431" i="8"/>
  <c r="E430" i="8"/>
  <c r="E429" i="8"/>
  <c r="E428" i="8"/>
  <c r="E427" i="8"/>
  <c r="E426" i="8"/>
  <c r="E425" i="8"/>
  <c r="E424" i="8"/>
  <c r="E423" i="8"/>
  <c r="E422" i="8"/>
  <c r="E421" i="8"/>
  <c r="E420" i="8"/>
  <c r="E419" i="8"/>
  <c r="E418" i="8"/>
  <c r="E417" i="8"/>
  <c r="E416" i="8"/>
  <c r="E415" i="8"/>
  <c r="E414" i="8"/>
  <c r="E413" i="8"/>
  <c r="E412" i="8"/>
  <c r="E411" i="8"/>
  <c r="F410" i="8"/>
  <c r="F411" i="8" s="1"/>
  <c r="E410" i="8"/>
  <c r="E409" i="8"/>
  <c r="E408" i="8"/>
  <c r="E407" i="8"/>
  <c r="E406" i="8"/>
  <c r="E405" i="8"/>
  <c r="E404" i="8"/>
  <c r="E403" i="8"/>
  <c r="E402" i="8"/>
  <c r="E401" i="8"/>
  <c r="E400" i="8"/>
  <c r="E399" i="8"/>
  <c r="E398" i="8"/>
  <c r="E397" i="8"/>
  <c r="E396" i="8"/>
  <c r="E395" i="8"/>
  <c r="E394" i="8"/>
  <c r="E393" i="8"/>
  <c r="E392" i="8"/>
  <c r="E391" i="8"/>
  <c r="E390" i="8"/>
  <c r="E389" i="8"/>
  <c r="E388" i="8"/>
  <c r="E387" i="8"/>
  <c r="E386" i="8"/>
  <c r="F385" i="8"/>
  <c r="E385" i="8"/>
  <c r="E384" i="8"/>
  <c r="E383" i="8"/>
  <c r="E382" i="8"/>
  <c r="E381" i="8"/>
  <c r="E380" i="8"/>
  <c r="E379" i="8"/>
  <c r="E378" i="8"/>
  <c r="E377" i="8"/>
  <c r="E376" i="8"/>
  <c r="F375" i="8"/>
  <c r="G375" i="8" s="1" a="1"/>
  <c r="G375" i="8" s="1"/>
  <c r="E375" i="8"/>
  <c r="G374" i="8" a="1"/>
  <c r="G374" i="8" s="1"/>
  <c r="F374" i="8"/>
  <c r="E374" i="8"/>
  <c r="E373" i="8"/>
  <c r="F372" i="8"/>
  <c r="G372" i="8" s="1" a="1"/>
  <c r="G372" i="8" s="1"/>
  <c r="E372" i="8"/>
  <c r="E371" i="8"/>
  <c r="E370" i="8"/>
  <c r="E369" i="8"/>
  <c r="F368" i="8"/>
  <c r="G368" i="8" s="1" a="1"/>
  <c r="G368" i="8" s="1"/>
  <c r="E368" i="8"/>
  <c r="E367" i="8"/>
  <c r="E366" i="8"/>
  <c r="E365" i="8"/>
  <c r="F364" i="8"/>
  <c r="F365" i="8" s="1"/>
  <c r="E364" i="8"/>
  <c r="E363" i="8"/>
  <c r="E362" i="8"/>
  <c r="E361" i="8"/>
  <c r="E360" i="8"/>
  <c r="F359" i="8"/>
  <c r="G359" i="8" s="1" a="1"/>
  <c r="G359" i="8" s="1"/>
  <c r="E359" i="8"/>
  <c r="E358" i="8"/>
  <c r="E357" i="8"/>
  <c r="E356" i="8"/>
  <c r="E355" i="8"/>
  <c r="E354" i="8"/>
  <c r="E353" i="8"/>
  <c r="E352" i="8"/>
  <c r="E351" i="8"/>
  <c r="E350" i="8"/>
  <c r="E349" i="8"/>
  <c r="E348" i="8"/>
  <c r="E347" i="8"/>
  <c r="E346" i="8"/>
  <c r="E345" i="8"/>
  <c r="F344" i="8"/>
  <c r="G344" i="8" s="1" a="1"/>
  <c r="G344" i="8" s="1"/>
  <c r="E344" i="8"/>
  <c r="F343" i="8"/>
  <c r="G343" i="8" s="1" a="1"/>
  <c r="G343" i="8" s="1"/>
  <c r="E343" i="8"/>
  <c r="E342" i="8"/>
  <c r="E341" i="8"/>
  <c r="E340" i="8"/>
  <c r="E339" i="8"/>
  <c r="E338" i="8"/>
  <c r="E337" i="8"/>
  <c r="E336" i="8"/>
  <c r="E335" i="8"/>
  <c r="F334" i="8"/>
  <c r="F335" i="8" s="1"/>
  <c r="F336" i="8" s="1"/>
  <c r="E334" i="8"/>
  <c r="E333" i="8"/>
  <c r="E332" i="8"/>
  <c r="E331" i="8"/>
  <c r="E330" i="8"/>
  <c r="E329" i="8"/>
  <c r="E328" i="8"/>
  <c r="E327" i="8"/>
  <c r="E326" i="8"/>
  <c r="E325" i="8"/>
  <c r="E324" i="8"/>
  <c r="E323" i="8"/>
  <c r="E322" i="8"/>
  <c r="E321" i="8"/>
  <c r="E320" i="8"/>
  <c r="E319" i="8"/>
  <c r="F318" i="8"/>
  <c r="G318" i="8" s="1" a="1"/>
  <c r="G318" i="8" s="1"/>
  <c r="E318" i="8"/>
  <c r="E317" i="8"/>
  <c r="E316" i="8"/>
  <c r="E315" i="8"/>
  <c r="E314" i="8"/>
  <c r="E313" i="8"/>
  <c r="E312" i="8"/>
  <c r="E311" i="8"/>
  <c r="E310" i="8"/>
  <c r="E309" i="8"/>
  <c r="E308" i="8"/>
  <c r="E307" i="8"/>
  <c r="E306" i="8"/>
  <c r="E305" i="8"/>
  <c r="E304" i="8"/>
  <c r="E303" i="8"/>
  <c r="F302" i="8"/>
  <c r="G302" i="8" s="1" a="1"/>
  <c r="G302" i="8" s="1"/>
  <c r="E302" i="8"/>
  <c r="E301" i="8"/>
  <c r="E300" i="8"/>
  <c r="E299" i="8"/>
  <c r="E298" i="8"/>
  <c r="E297" i="8"/>
  <c r="E296" i="8"/>
  <c r="E295" i="8"/>
  <c r="E294" i="8"/>
  <c r="E293" i="8"/>
  <c r="E292" i="8"/>
  <c r="E291" i="8"/>
  <c r="E290" i="8"/>
  <c r="F289" i="8"/>
  <c r="G289" i="8" s="1" a="1"/>
  <c r="G289" i="8" s="1"/>
  <c r="E289" i="8"/>
  <c r="E288" i="8"/>
  <c r="E287" i="8"/>
  <c r="E286" i="8"/>
  <c r="E285" i="8"/>
  <c r="E284" i="8"/>
  <c r="E283" i="8"/>
  <c r="E282" i="8"/>
  <c r="E281" i="8"/>
  <c r="F280" i="8"/>
  <c r="G280" i="8" s="1" a="1"/>
  <c r="G280" i="8" s="1"/>
  <c r="E280" i="8"/>
  <c r="E279" i="8"/>
  <c r="E278" i="8"/>
  <c r="E277" i="8"/>
  <c r="E276" i="8"/>
  <c r="E275" i="8"/>
  <c r="E274" i="8"/>
  <c r="E273" i="8"/>
  <c r="E272" i="8"/>
  <c r="E271" i="8"/>
  <c r="E270" i="8"/>
  <c r="E269" i="8"/>
  <c r="E268" i="8"/>
  <c r="E267" i="8"/>
  <c r="E266" i="8"/>
  <c r="F265" i="8"/>
  <c r="G265" i="8" s="1" a="1"/>
  <c r="G265" i="8" s="1"/>
  <c r="E265" i="8"/>
  <c r="G264" i="8" a="1"/>
  <c r="G264" i="8" s="1"/>
  <c r="F264" i="8"/>
  <c r="E264" i="8"/>
  <c r="E263" i="8"/>
  <c r="E262" i="8"/>
  <c r="E261" i="8"/>
  <c r="E260" i="8"/>
  <c r="F259" i="8"/>
  <c r="G259" i="8" s="1" a="1"/>
  <c r="G259" i="8" s="1"/>
  <c r="E259" i="8"/>
  <c r="E258" i="8"/>
  <c r="E257" i="8"/>
  <c r="F256" i="8"/>
  <c r="G256" i="8" s="1" a="1"/>
  <c r="G256" i="8" s="1"/>
  <c r="E256" i="8"/>
  <c r="E255" i="8"/>
  <c r="E254" i="8"/>
  <c r="E253" i="8"/>
  <c r="E252" i="8"/>
  <c r="E251" i="8"/>
  <c r="E250" i="8"/>
  <c r="E249" i="8"/>
  <c r="E248" i="8"/>
  <c r="E247" i="8"/>
  <c r="E246" i="8"/>
  <c r="E245" i="8"/>
  <c r="E244" i="8"/>
  <c r="F243" i="8"/>
  <c r="G243" i="8" s="1" a="1"/>
  <c r="G243" i="8" s="1"/>
  <c r="E243" i="8"/>
  <c r="E242" i="8"/>
  <c r="E241" i="8"/>
  <c r="E240" i="8"/>
  <c r="E239" i="8"/>
  <c r="E238" i="8"/>
  <c r="E237" i="8"/>
  <c r="E236" i="8"/>
  <c r="F235" i="8"/>
  <c r="G235" i="8" s="1" a="1"/>
  <c r="G235" i="8" s="1"/>
  <c r="E235" i="8"/>
  <c r="E234" i="8"/>
  <c r="E233" i="8"/>
  <c r="E232" i="8"/>
  <c r="E231" i="8"/>
  <c r="E230" i="8"/>
  <c r="E229" i="8"/>
  <c r="E228" i="8"/>
  <c r="E227" i="8"/>
  <c r="F226" i="8"/>
  <c r="G226" i="8" s="1" a="1"/>
  <c r="G226" i="8" s="1"/>
  <c r="E226" i="8"/>
  <c r="E225" i="8"/>
  <c r="E224" i="8"/>
  <c r="E223" i="8"/>
  <c r="E222" i="8"/>
  <c r="F221" i="8"/>
  <c r="F222" i="8" s="1"/>
  <c r="G222" i="8" s="1" a="1"/>
  <c r="G222" i="8" s="1"/>
  <c r="E221" i="8"/>
  <c r="E220" i="8"/>
  <c r="E219" i="8"/>
  <c r="E218" i="8"/>
  <c r="E217" i="8"/>
  <c r="E216" i="8"/>
  <c r="E215" i="8"/>
  <c r="E214" i="8"/>
  <c r="E213" i="8"/>
  <c r="E212" i="8"/>
  <c r="E211" i="8"/>
  <c r="E210" i="8"/>
  <c r="E209" i="8"/>
  <c r="E208" i="8"/>
  <c r="E207" i="8"/>
  <c r="E206" i="8"/>
  <c r="E205" i="8"/>
  <c r="E204" i="8"/>
  <c r="E203" i="8"/>
  <c r="E202" i="8"/>
  <c r="E201" i="8"/>
  <c r="E200" i="8"/>
  <c r="E199" i="8"/>
  <c r="F198" i="8"/>
  <c r="G198" i="8" s="1" a="1"/>
  <c r="G198" i="8" s="1"/>
  <c r="E198" i="8"/>
  <c r="E197" i="8"/>
  <c r="E196" i="8"/>
  <c r="E195" i="8"/>
  <c r="E194" i="8"/>
  <c r="E193" i="8"/>
  <c r="E192" i="8"/>
  <c r="E191" i="8"/>
  <c r="E190" i="8"/>
  <c r="E189" i="8"/>
  <c r="E188" i="8"/>
  <c r="E187" i="8"/>
  <c r="E186" i="8"/>
  <c r="E185" i="8"/>
  <c r="E184" i="8"/>
  <c r="E183" i="8"/>
  <c r="E182" i="8"/>
  <c r="F181" i="8"/>
  <c r="G181" i="8" s="1" a="1"/>
  <c r="G181" i="8" s="1"/>
  <c r="E181" i="8"/>
  <c r="E180" i="8"/>
  <c r="E179" i="8"/>
  <c r="E178" i="8"/>
  <c r="E177" i="8"/>
  <c r="E176" i="8"/>
  <c r="E175" i="8"/>
  <c r="E174" i="8"/>
  <c r="E173" i="8"/>
  <c r="E172" i="8"/>
  <c r="E171" i="8"/>
  <c r="E170" i="8"/>
  <c r="E169" i="8"/>
  <c r="E168" i="8"/>
  <c r="E167" i="8"/>
  <c r="E166" i="8"/>
  <c r="E165" i="8"/>
  <c r="E164" i="8"/>
  <c r="E163" i="8"/>
  <c r="E162" i="8"/>
  <c r="E161" i="8"/>
  <c r="E160" i="8"/>
  <c r="E159" i="8"/>
  <c r="F158" i="8"/>
  <c r="G158" i="8" s="1" a="1"/>
  <c r="G158" i="8" s="1"/>
  <c r="E158" i="8"/>
  <c r="E157" i="8"/>
  <c r="E156" i="8"/>
  <c r="E155" i="8"/>
  <c r="E154" i="8"/>
  <c r="E153" i="8"/>
  <c r="E152" i="8"/>
  <c r="E151" i="8"/>
  <c r="E150" i="8"/>
  <c r="E149" i="8"/>
  <c r="E148" i="8"/>
  <c r="E147" i="8"/>
  <c r="E146" i="8"/>
  <c r="E145" i="8"/>
  <c r="E144" i="8"/>
  <c r="E143" i="8"/>
  <c r="F142" i="8"/>
  <c r="G142" i="8" s="1" a="1"/>
  <c r="G142" i="8" s="1"/>
  <c r="E142" i="8"/>
  <c r="E141" i="8"/>
  <c r="E140" i="8"/>
  <c r="E139" i="8"/>
  <c r="E138" i="8"/>
  <c r="E137" i="8"/>
  <c r="E136" i="8"/>
  <c r="F135" i="8"/>
  <c r="E135" i="8"/>
  <c r="E134" i="8"/>
  <c r="E133" i="8"/>
  <c r="E132" i="8"/>
  <c r="E131" i="8"/>
  <c r="E130" i="8"/>
  <c r="E129" i="8"/>
  <c r="E128" i="8"/>
  <c r="E127" i="8"/>
  <c r="E126" i="8"/>
  <c r="E125" i="8"/>
  <c r="E124" i="8"/>
  <c r="E123" i="8"/>
  <c r="E122" i="8"/>
  <c r="E121" i="8"/>
  <c r="E120" i="8"/>
  <c r="E119" i="8"/>
  <c r="E118" i="8"/>
  <c r="E117" i="8"/>
  <c r="E116" i="8"/>
  <c r="F115" i="8"/>
  <c r="G115" i="8" s="1" a="1"/>
  <c r="G115" i="8" s="1"/>
  <c r="E115" i="8"/>
  <c r="E114" i="8"/>
  <c r="E113" i="8"/>
  <c r="E112" i="8"/>
  <c r="E111" i="8"/>
  <c r="E110" i="8"/>
  <c r="E109" i="8"/>
  <c r="E108" i="8"/>
  <c r="E107" i="8"/>
  <c r="E106" i="8"/>
  <c r="E105" i="8"/>
  <c r="E104" i="8"/>
  <c r="E103" i="8"/>
  <c r="E102" i="8"/>
  <c r="E101" i="8"/>
  <c r="E100" i="8"/>
  <c r="E99" i="8"/>
  <c r="E98" i="8"/>
  <c r="E97" i="8"/>
  <c r="E96" i="8"/>
  <c r="E95" i="8"/>
  <c r="E94" i="8"/>
  <c r="E93" i="8"/>
  <c r="E92" i="8"/>
  <c r="F91" i="8"/>
  <c r="F92" i="8" s="1"/>
  <c r="E91" i="8"/>
  <c r="F90" i="8"/>
  <c r="G90" i="8" s="1" a="1"/>
  <c r="G90" i="8" s="1"/>
  <c r="E90" i="8"/>
  <c r="E89" i="8"/>
  <c r="E88" i="8"/>
  <c r="E87" i="8"/>
  <c r="E86" i="8"/>
  <c r="E85" i="8"/>
  <c r="E84" i="8"/>
  <c r="E83" i="8"/>
  <c r="E82" i="8"/>
  <c r="F81" i="8"/>
  <c r="G81" i="8" s="1" a="1"/>
  <c r="G81" i="8" s="1"/>
  <c r="E81" i="8"/>
  <c r="G80" i="8" a="1"/>
  <c r="G80" i="8" s="1"/>
  <c r="F80" i="8"/>
  <c r="E80" i="8"/>
  <c r="E79" i="8"/>
  <c r="E78" i="8"/>
  <c r="E77" i="8"/>
  <c r="E76" i="8"/>
  <c r="E75" i="8"/>
  <c r="E74" i="8"/>
  <c r="E73" i="8"/>
  <c r="E72" i="8"/>
  <c r="E71" i="8"/>
  <c r="E70" i="8"/>
  <c r="E69" i="8"/>
  <c r="E68" i="8"/>
  <c r="E67" i="8"/>
  <c r="E66" i="8"/>
  <c r="E65" i="8"/>
  <c r="F64" i="8"/>
  <c r="F65" i="8" s="1"/>
  <c r="E64" i="8"/>
  <c r="E63" i="8"/>
  <c r="E62" i="8"/>
  <c r="E61" i="8"/>
  <c r="F60" i="8"/>
  <c r="G60" i="8" s="1" a="1"/>
  <c r="G60" i="8" s="1"/>
  <c r="E60" i="8"/>
  <c r="E59" i="8"/>
  <c r="E58" i="8"/>
  <c r="E57" i="8"/>
  <c r="E56" i="8"/>
  <c r="E55" i="8"/>
  <c r="E54" i="8"/>
  <c r="F53" i="8"/>
  <c r="F54" i="8" s="1"/>
  <c r="E53" i="8"/>
  <c r="F52" i="8"/>
  <c r="G52" i="8" s="1" a="1"/>
  <c r="G52" i="8" s="1"/>
  <c r="E52" i="8"/>
  <c r="F51" i="8"/>
  <c r="G51" i="8" s="1" a="1"/>
  <c r="G51" i="8" s="1"/>
  <c r="E51" i="8"/>
  <c r="E50" i="8"/>
  <c r="E49" i="8"/>
  <c r="E48" i="8"/>
  <c r="E47" i="8"/>
  <c r="E46" i="8"/>
  <c r="E45" i="8"/>
  <c r="E44" i="8"/>
  <c r="E43" i="8"/>
  <c r="E42" i="8"/>
  <c r="E41" i="8"/>
  <c r="E40" i="8"/>
  <c r="E39" i="8"/>
  <c r="G38" i="8" a="1"/>
  <c r="G38" i="8" s="1"/>
  <c r="F38" i="8"/>
  <c r="F39" i="8" s="1"/>
  <c r="E38" i="8"/>
  <c r="F37" i="8"/>
  <c r="G37" i="8" s="1" a="1"/>
  <c r="G37" i="8" s="1"/>
  <c r="E37" i="8"/>
  <c r="E36" i="8"/>
  <c r="E35" i="8"/>
  <c r="E34" i="8"/>
  <c r="E33" i="8"/>
  <c r="E32" i="8"/>
  <c r="F31" i="8"/>
  <c r="F32" i="8" s="1"/>
  <c r="G32" i="8" s="1" a="1"/>
  <c r="G32" i="8" s="1"/>
  <c r="E31" i="8"/>
  <c r="E30" i="8"/>
  <c r="E29" i="8"/>
  <c r="E28" i="8"/>
  <c r="E27" i="8"/>
  <c r="E26" i="8"/>
  <c r="F25" i="8"/>
  <c r="F26" i="8" s="1"/>
  <c r="G26" i="8" s="1" a="1"/>
  <c r="G26" i="8" s="1"/>
  <c r="E25" i="8"/>
  <c r="E24" i="8"/>
  <c r="E23" i="8"/>
  <c r="E22" i="8"/>
  <c r="F21" i="8"/>
  <c r="G21" i="8" s="1" a="1"/>
  <c r="G21" i="8" s="1"/>
  <c r="E21" i="8"/>
  <c r="E20" i="8"/>
  <c r="E19" i="8"/>
  <c r="O26" i="8" s="1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E5" i="8"/>
  <c r="E4" i="8"/>
  <c r="E3" i="8"/>
  <c r="F2" i="8"/>
  <c r="G2" i="8" s="1" a="1"/>
  <c r="G2" i="8" s="1"/>
  <c r="E2" i="8"/>
  <c r="H2" i="7" a="1"/>
  <c r="H2" i="7" s="1"/>
  <c r="O3" i="7"/>
  <c r="N18" i="9" l="1"/>
  <c r="G21" i="9" a="1"/>
  <c r="G21" i="9" s="1"/>
  <c r="F220" i="9"/>
  <c r="G220" i="9" s="1" a="1"/>
  <c r="G220" i="9" s="1"/>
  <c r="N13" i="9"/>
  <c r="N8" i="9"/>
  <c r="F732" i="9"/>
  <c r="G732" i="9" s="1" a="1"/>
  <c r="G732" i="9" s="1"/>
  <c r="F736" i="9"/>
  <c r="G736" i="9" s="1" a="1"/>
  <c r="G736" i="9" s="1"/>
  <c r="N24" i="9"/>
  <c r="G339" i="9" a="1"/>
  <c r="G339" i="9" s="1"/>
  <c r="G393" i="9" a="1"/>
  <c r="G393" i="9" s="1"/>
  <c r="N26" i="9"/>
  <c r="G323" i="9" a="1"/>
  <c r="G323" i="9" s="1"/>
  <c r="F432" i="9"/>
  <c r="G432" i="9" s="1" a="1"/>
  <c r="G432" i="9" s="1"/>
  <c r="F515" i="9"/>
  <c r="G515" i="9" s="1" a="1"/>
  <c r="G515" i="9" s="1"/>
  <c r="N23" i="9"/>
  <c r="G882" i="9" a="1"/>
  <c r="G882" i="9" s="1"/>
  <c r="N20" i="9"/>
  <c r="F243" i="9"/>
  <c r="F244" i="9" s="1"/>
  <c r="G256" i="9" a="1"/>
  <c r="G256" i="9" s="1"/>
  <c r="F513" i="9"/>
  <c r="G513" i="9" s="1" a="1"/>
  <c r="G513" i="9" s="1"/>
  <c r="F821" i="9"/>
  <c r="G821" i="9" s="1" a="1"/>
  <c r="G821" i="9" s="1"/>
  <c r="N12" i="9"/>
  <c r="N5" i="9"/>
  <c r="N7" i="9"/>
  <c r="F622" i="9"/>
  <c r="G622" i="9" s="1" a="1"/>
  <c r="G622" i="9" s="1"/>
  <c r="F779" i="9"/>
  <c r="G779" i="9" s="1" a="1"/>
  <c r="G779" i="9" s="1"/>
  <c r="G407" i="9" a="1"/>
  <c r="G407" i="9" s="1"/>
  <c r="F408" i="9"/>
  <c r="G408" i="9" s="1" a="1"/>
  <c r="G408" i="9" s="1"/>
  <c r="O5" i="9"/>
  <c r="O6" i="9" s="1"/>
  <c r="O7" i="9" s="1"/>
  <c r="O8" i="9" s="1"/>
  <c r="G324" i="9" a="1"/>
  <c r="G324" i="9" s="1"/>
  <c r="F325" i="9"/>
  <c r="G325" i="9" s="1" a="1"/>
  <c r="G325" i="9" s="1"/>
  <c r="N16" i="9"/>
  <c r="N27" i="9"/>
  <c r="G355" i="9" a="1"/>
  <c r="G355" i="9" s="1"/>
  <c r="F493" i="9"/>
  <c r="G493" i="9" s="1" a="1"/>
  <c r="G493" i="9" s="1"/>
  <c r="F164" i="9"/>
  <c r="F165" i="9" s="1"/>
  <c r="G364" i="9" a="1"/>
  <c r="G364" i="9" s="1"/>
  <c r="G25" i="9" a="1"/>
  <c r="G25" i="9" s="1"/>
  <c r="F81" i="9"/>
  <c r="G81" i="9" s="1" a="1"/>
  <c r="G81" i="9" s="1"/>
  <c r="F92" i="9"/>
  <c r="G92" i="9" s="1" a="1"/>
  <c r="G92" i="9" s="1"/>
  <c r="F136" i="9"/>
  <c r="G136" i="9" s="1" a="1"/>
  <c r="G136" i="9" s="1"/>
  <c r="G264" i="9" a="1"/>
  <c r="G264" i="9" s="1"/>
  <c r="F278" i="9"/>
  <c r="G406" i="9" a="1"/>
  <c r="G406" i="9" s="1"/>
  <c r="N17" i="9"/>
  <c r="N22" i="9"/>
  <c r="N25" i="9"/>
  <c r="F180" i="9"/>
  <c r="F181" i="9" s="1"/>
  <c r="N15" i="9"/>
  <c r="N11" i="9"/>
  <c r="N14" i="9"/>
  <c r="F116" i="9"/>
  <c r="G116" i="9" s="1" a="1"/>
  <c r="G116" i="9" s="1"/>
  <c r="F469" i="9"/>
  <c r="G469" i="9" s="1" a="1"/>
  <c r="G469" i="9" s="1"/>
  <c r="F503" i="9"/>
  <c r="F672" i="9"/>
  <c r="N9" i="9"/>
  <c r="N19" i="9"/>
  <c r="F39" i="9"/>
  <c r="F40" i="9" s="1"/>
  <c r="F24" i="9"/>
  <c r="G24" i="9" s="1" a="1"/>
  <c r="G24" i="9" s="1"/>
  <c r="G23" i="9" a="1"/>
  <c r="G23" i="9" s="1"/>
  <c r="G22" i="9" a="1"/>
  <c r="G22" i="9" s="1"/>
  <c r="G28" i="9" a="1"/>
  <c r="G28" i="9" s="1"/>
  <c r="F29" i="9"/>
  <c r="F3" i="9"/>
  <c r="G27" i="9" a="1"/>
  <c r="G27" i="9" s="1"/>
  <c r="F52" i="9"/>
  <c r="F61" i="9"/>
  <c r="G164" i="9" a="1"/>
  <c r="G164" i="9" s="1"/>
  <c r="F66" i="9"/>
  <c r="G180" i="9" a="1"/>
  <c r="G180" i="9" s="1"/>
  <c r="G31" i="9" a="1"/>
  <c r="G31" i="9" s="1"/>
  <c r="F32" i="9"/>
  <c r="F137" i="9"/>
  <c r="F203" i="9"/>
  <c r="G39" i="9" a="1"/>
  <c r="G39" i="9" s="1"/>
  <c r="F143" i="9"/>
  <c r="F221" i="9"/>
  <c r="G257" i="9" a="1"/>
  <c r="G257" i="9" s="1"/>
  <c r="F258" i="9"/>
  <c r="G244" i="9" a="1"/>
  <c r="G244" i="9" s="1"/>
  <c r="F245" i="9"/>
  <c r="G265" i="9" a="1"/>
  <c r="G265" i="9" s="1"/>
  <c r="F266" i="9"/>
  <c r="G312" i="9" a="1"/>
  <c r="G312" i="9" s="1"/>
  <c r="F313" i="9"/>
  <c r="G243" i="9" a="1"/>
  <c r="G243" i="9" s="1"/>
  <c r="F302" i="9"/>
  <c r="G340" i="9" a="1"/>
  <c r="G340" i="9" s="1"/>
  <c r="F341" i="9"/>
  <c r="F281" i="9"/>
  <c r="F248" i="9"/>
  <c r="G311" i="9" a="1"/>
  <c r="G311" i="9" s="1"/>
  <c r="F387" i="9"/>
  <c r="G386" i="9" a="1"/>
  <c r="G386" i="9" s="1"/>
  <c r="F286" i="9"/>
  <c r="F326" i="9"/>
  <c r="G356" i="9" a="1"/>
  <c r="G356" i="9" s="1"/>
  <c r="F357" i="9"/>
  <c r="F433" i="9"/>
  <c r="G489" i="9" a="1"/>
  <c r="G489" i="9" s="1"/>
  <c r="F490" i="9"/>
  <c r="F366" i="9"/>
  <c r="F382" i="9"/>
  <c r="F390" i="9"/>
  <c r="F398" i="9"/>
  <c r="G455" i="9" a="1"/>
  <c r="G455" i="9" s="1"/>
  <c r="F456" i="9"/>
  <c r="F516" i="9"/>
  <c r="F551" i="9"/>
  <c r="G575" i="9" a="1"/>
  <c r="G575" i="9" s="1"/>
  <c r="F576" i="9"/>
  <c r="G503" i="9" a="1"/>
  <c r="G503" i="9" s="1"/>
  <c r="F504" i="9"/>
  <c r="F494" i="9"/>
  <c r="F460" i="9"/>
  <c r="F602" i="9"/>
  <c r="F623" i="9"/>
  <c r="F540" i="9"/>
  <c r="F548" i="9"/>
  <c r="G647" i="9" a="1"/>
  <c r="G647" i="9" s="1"/>
  <c r="F648" i="9"/>
  <c r="F702" i="9"/>
  <c r="F709" i="9"/>
  <c r="F733" i="9"/>
  <c r="G733" i="9" s="1" a="1"/>
  <c r="G733" i="9" s="1"/>
  <c r="F691" i="9"/>
  <c r="G752" i="9" a="1"/>
  <c r="G752" i="9" s="1"/>
  <c r="F753" i="9"/>
  <c r="F737" i="9"/>
  <c r="F780" i="9"/>
  <c r="F831" i="9"/>
  <c r="F847" i="9"/>
  <c r="F855" i="9"/>
  <c r="F822" i="9"/>
  <c r="F838" i="9"/>
  <c r="F874" i="9"/>
  <c r="F885" i="9"/>
  <c r="G884" i="9" a="1"/>
  <c r="G884" i="9" s="1"/>
  <c r="G922" i="9" a="1"/>
  <c r="G922" i="9" s="1"/>
  <c r="F923" i="9"/>
  <c r="F888" i="9"/>
  <c r="F796" i="9"/>
  <c r="F913" i="9"/>
  <c r="G883" i="9" a="1"/>
  <c r="G883" i="9" s="1"/>
  <c r="F938" i="9"/>
  <c r="O12" i="8"/>
  <c r="O5" i="8"/>
  <c r="F319" i="8"/>
  <c r="G319" i="8" s="1" a="1"/>
  <c r="G319" i="8" s="1"/>
  <c r="O16" i="8"/>
  <c r="O8" i="8"/>
  <c r="O19" i="8"/>
  <c r="F680" i="8"/>
  <c r="O13" i="8"/>
  <c r="O7" i="8"/>
  <c r="F27" i="8"/>
  <c r="F28" i="8" s="1"/>
  <c r="O4" i="8"/>
  <c r="P4" i="8" s="1"/>
  <c r="P5" i="8" s="1"/>
  <c r="P6" i="8" s="1"/>
  <c r="P7" i="8" s="1"/>
  <c r="P8" i="8" s="1"/>
  <c r="G800" i="8" a="1"/>
  <c r="G800" i="8" s="1"/>
  <c r="O6" i="8"/>
  <c r="O10" i="8"/>
  <c r="O22" i="8"/>
  <c r="G410" i="8" a="1"/>
  <c r="G410" i="8" s="1"/>
  <c r="F373" i="8"/>
  <c r="G373" i="8" s="1" a="1"/>
  <c r="G373" i="8" s="1"/>
  <c r="F227" i="8"/>
  <c r="G227" i="8" s="1" a="1"/>
  <c r="G227" i="8" s="1"/>
  <c r="F530" i="8"/>
  <c r="O15" i="8"/>
  <c r="F376" i="8"/>
  <c r="G376" i="8" s="1" a="1"/>
  <c r="G376" i="8" s="1"/>
  <c r="O11" i="8"/>
  <c r="G221" i="8" a="1"/>
  <c r="G221" i="8" s="1"/>
  <c r="O21" i="8"/>
  <c r="G25" i="8" a="1"/>
  <c r="G25" i="8" s="1"/>
  <c r="F494" i="8"/>
  <c r="F223" i="8"/>
  <c r="G223" i="8" s="1" a="1"/>
  <c r="G223" i="8" s="1"/>
  <c r="F369" i="8"/>
  <c r="G369" i="8" s="1" a="1"/>
  <c r="G369" i="8" s="1"/>
  <c r="F22" i="8"/>
  <c r="O18" i="8"/>
  <c r="O14" i="8"/>
  <c r="F844" i="8"/>
  <c r="G843" i="8" a="1"/>
  <c r="G843" i="8" s="1"/>
  <c r="G65" i="8" a="1"/>
  <c r="G65" i="8" s="1"/>
  <c r="F66" i="8"/>
  <c r="G66" i="8" s="1" a="1"/>
  <c r="G66" i="8" s="1"/>
  <c r="O23" i="8"/>
  <c r="F303" i="8"/>
  <c r="G303" i="8" s="1" a="1"/>
  <c r="G303" i="8" s="1"/>
  <c r="G836" i="8" a="1"/>
  <c r="G836" i="8" s="1"/>
  <c r="G841" i="8" a="1"/>
  <c r="G841" i="8" s="1"/>
  <c r="G434" i="8" a="1"/>
  <c r="G434" i="8" s="1"/>
  <c r="G31" i="8" a="1"/>
  <c r="G31" i="8" s="1"/>
  <c r="G64" i="8" a="1"/>
  <c r="G64" i="8" s="1"/>
  <c r="G335" i="8" a="1"/>
  <c r="G335" i="8" s="1"/>
  <c r="F3" i="8"/>
  <c r="F33" i="8"/>
  <c r="F61" i="8"/>
  <c r="F182" i="8"/>
  <c r="G182" i="8" s="1" a="1"/>
  <c r="G182" i="8" s="1"/>
  <c r="F257" i="8"/>
  <c r="G257" i="8" s="1" a="1"/>
  <c r="G257" i="8" s="1"/>
  <c r="F281" i="8"/>
  <c r="G281" i="8" s="1" a="1"/>
  <c r="G281" i="8" s="1"/>
  <c r="F360" i="8"/>
  <c r="F377" i="8"/>
  <c r="F378" i="8" s="1"/>
  <c r="G749" i="8" a="1"/>
  <c r="G749" i="8" s="1"/>
  <c r="F776" i="8"/>
  <c r="G776" i="8" s="1" a="1"/>
  <c r="G776" i="8" s="1"/>
  <c r="F892" i="8"/>
  <c r="O9" i="8"/>
  <c r="O17" i="8"/>
  <c r="O27" i="8"/>
  <c r="F228" i="8"/>
  <c r="F229" i="8" s="1"/>
  <c r="F230" i="8" s="1"/>
  <c r="G230" i="8" s="1" a="1"/>
  <c r="G230" i="8" s="1"/>
  <c r="F448" i="8"/>
  <c r="O24" i="8"/>
  <c r="F82" i="8"/>
  <c r="F83" i="8" s="1"/>
  <c r="F84" i="8" s="1"/>
  <c r="F116" i="8"/>
  <c r="G116" i="8" s="1" a="1"/>
  <c r="G116" i="8" s="1"/>
  <c r="F482" i="8"/>
  <c r="F345" i="8"/>
  <c r="O3" i="8"/>
  <c r="O20" i="8"/>
  <c r="O25" i="8"/>
  <c r="G827" i="8" a="1"/>
  <c r="G827" i="8" s="1"/>
  <c r="G866" i="8" a="1"/>
  <c r="G866" i="8" s="1"/>
  <c r="F40" i="8"/>
  <c r="G39" i="8" a="1"/>
  <c r="G39" i="8" s="1"/>
  <c r="F93" i="8"/>
  <c r="G92" i="8" a="1"/>
  <c r="G92" i="8" s="1"/>
  <c r="F55" i="8"/>
  <c r="G54" i="8" a="1"/>
  <c r="G54" i="8" s="1"/>
  <c r="G28" i="8" a="1"/>
  <c r="G28" i="8" s="1"/>
  <c r="F29" i="8"/>
  <c r="G135" i="8" a="1"/>
  <c r="G135" i="8" s="1"/>
  <c r="F136" i="8"/>
  <c r="G27" i="8" a="1"/>
  <c r="G27" i="8" s="1"/>
  <c r="G53" i="8" a="1"/>
  <c r="G53" i="8" s="1"/>
  <c r="G82" i="8" a="1"/>
  <c r="G82" i="8" s="1"/>
  <c r="G91" i="8" a="1"/>
  <c r="G91" i="8" s="1"/>
  <c r="F117" i="8"/>
  <c r="G229" i="8" a="1"/>
  <c r="G229" i="8" s="1"/>
  <c r="F244" i="8"/>
  <c r="F224" i="8"/>
  <c r="G336" i="8" a="1"/>
  <c r="G336" i="8" s="1"/>
  <c r="F337" i="8"/>
  <c r="F366" i="8"/>
  <c r="G365" i="8" a="1"/>
  <c r="G365" i="8" s="1"/>
  <c r="F143" i="8"/>
  <c r="G228" i="8" a="1"/>
  <c r="G228" i="8" s="1"/>
  <c r="F236" i="8"/>
  <c r="F260" i="8"/>
  <c r="F159" i="8"/>
  <c r="F183" i="8"/>
  <c r="F199" i="8"/>
  <c r="G334" i="8" a="1"/>
  <c r="G334" i="8" s="1"/>
  <c r="G411" i="8" a="1"/>
  <c r="G411" i="8" s="1"/>
  <c r="F412" i="8"/>
  <c r="G435" i="8" a="1"/>
  <c r="G435" i="8" s="1"/>
  <c r="F436" i="8"/>
  <c r="G436" i="8" s="1" a="1"/>
  <c r="G436" i="8" s="1"/>
  <c r="F258" i="8"/>
  <c r="G258" i="8" s="1" a="1"/>
  <c r="G258" i="8" s="1"/>
  <c r="F266" i="8"/>
  <c r="F282" i="8"/>
  <c r="F290" i="8"/>
  <c r="G364" i="8" a="1"/>
  <c r="G364" i="8" s="1"/>
  <c r="G385" i="8" a="1"/>
  <c r="G385" i="8" s="1"/>
  <c r="F386" i="8"/>
  <c r="F304" i="8"/>
  <c r="F320" i="8"/>
  <c r="F370" i="8"/>
  <c r="G377" i="8" a="1"/>
  <c r="G377" i="8" s="1"/>
  <c r="F438" i="8"/>
  <c r="G472" i="8" a="1"/>
  <c r="G472" i="8" s="1"/>
  <c r="F473" i="8"/>
  <c r="G494" i="8" a="1"/>
  <c r="G494" i="8" s="1"/>
  <c r="F495" i="8"/>
  <c r="F469" i="8"/>
  <c r="F557" i="8"/>
  <c r="F580" i="8"/>
  <c r="G579" i="8" a="1"/>
  <c r="G579" i="8" s="1"/>
  <c r="F519" i="8"/>
  <c r="F527" i="8"/>
  <c r="F602" i="8"/>
  <c r="F626" i="8"/>
  <c r="F651" i="8"/>
  <c r="F712" i="8"/>
  <c r="G712" i="8" s="1" a="1"/>
  <c r="G712" i="8" s="1"/>
  <c r="G711" i="8" a="1"/>
  <c r="G711" i="8" s="1"/>
  <c r="G689" i="8" a="1"/>
  <c r="G689" i="8" s="1"/>
  <c r="F690" i="8"/>
  <c r="G669" i="8" a="1"/>
  <c r="G669" i="8" s="1"/>
  <c r="F670" i="8"/>
  <c r="F681" i="8"/>
  <c r="G680" i="8" a="1"/>
  <c r="G680" i="8" s="1"/>
  <c r="G688" i="8" a="1"/>
  <c r="G688" i="8" s="1"/>
  <c r="F733" i="8"/>
  <c r="G750" i="8" a="1"/>
  <c r="G750" i="8" s="1"/>
  <c r="F751" i="8"/>
  <c r="F715" i="8"/>
  <c r="F802" i="8"/>
  <c r="G801" i="8" a="1"/>
  <c r="G801" i="8" s="1"/>
  <c r="F810" i="8"/>
  <c r="G809" i="8" a="1"/>
  <c r="G809" i="8" s="1"/>
  <c r="F777" i="8"/>
  <c r="G783" i="8" a="1"/>
  <c r="G783" i="8" s="1"/>
  <c r="F784" i="8"/>
  <c r="G791" i="8" a="1"/>
  <c r="G791" i="8" s="1"/>
  <c r="F792" i="8"/>
  <c r="G876" i="8" a="1"/>
  <c r="G876" i="8" s="1"/>
  <c r="F877" i="8"/>
  <c r="G808" i="8" a="1"/>
  <c r="G808" i="8" s="1"/>
  <c r="F869" i="8"/>
  <c r="G837" i="8" a="1"/>
  <c r="G837" i="8" s="1"/>
  <c r="F838" i="8"/>
  <c r="F845" i="8"/>
  <c r="G844" i="8" a="1"/>
  <c r="G844" i="8" s="1"/>
  <c r="F829" i="8"/>
  <c r="G828" i="8" a="1"/>
  <c r="G828" i="8" s="1"/>
  <c r="G842" i="8" a="1"/>
  <c r="G842" i="8" s="1"/>
  <c r="F893" i="8"/>
  <c r="G893" i="8" s="1" a="1"/>
  <c r="G893" i="8" s="1"/>
  <c r="G892" i="8" a="1"/>
  <c r="G892" i="8" s="1"/>
  <c r="E2" i="7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102" i="7"/>
  <c r="E103" i="7"/>
  <c r="E104" i="7"/>
  <c r="E105" i="7"/>
  <c r="E106" i="7"/>
  <c r="E107" i="7"/>
  <c r="E108" i="7"/>
  <c r="E109" i="7"/>
  <c r="E110" i="7"/>
  <c r="E111" i="7"/>
  <c r="E113" i="7"/>
  <c r="E114" i="7"/>
  <c r="E115" i="7"/>
  <c r="E116" i="7"/>
  <c r="E117" i="7"/>
  <c r="E118" i="7"/>
  <c r="E119" i="7"/>
  <c r="E120" i="7"/>
  <c r="E121" i="7"/>
  <c r="E122" i="7"/>
  <c r="E123" i="7"/>
  <c r="E124" i="7"/>
  <c r="E125" i="7"/>
  <c r="E126" i="7"/>
  <c r="E127" i="7"/>
  <c r="E128" i="7"/>
  <c r="E129" i="7"/>
  <c r="E130" i="7"/>
  <c r="E131" i="7"/>
  <c r="E132" i="7"/>
  <c r="E133" i="7"/>
  <c r="E134" i="7"/>
  <c r="E135" i="7"/>
  <c r="E136" i="7"/>
  <c r="E137" i="7"/>
  <c r="E138" i="7"/>
  <c r="E139" i="7"/>
  <c r="E140" i="7"/>
  <c r="E141" i="7"/>
  <c r="E142" i="7"/>
  <c r="E143" i="7"/>
  <c r="E144" i="7"/>
  <c r="E145" i="7"/>
  <c r="E146" i="7"/>
  <c r="E147" i="7"/>
  <c r="E148" i="7"/>
  <c r="E149" i="7"/>
  <c r="E150" i="7"/>
  <c r="E151" i="7"/>
  <c r="E152" i="7"/>
  <c r="E153" i="7"/>
  <c r="E154" i="7"/>
  <c r="E155" i="7"/>
  <c r="E156" i="7"/>
  <c r="E157" i="7"/>
  <c r="E158" i="7"/>
  <c r="E159" i="7"/>
  <c r="E160" i="7"/>
  <c r="E161" i="7"/>
  <c r="E162" i="7"/>
  <c r="E163" i="7"/>
  <c r="E164" i="7"/>
  <c r="E165" i="7"/>
  <c r="E166" i="7"/>
  <c r="E167" i="7"/>
  <c r="E168" i="7"/>
  <c r="E169" i="7"/>
  <c r="E170" i="7"/>
  <c r="E171" i="7"/>
  <c r="E172" i="7"/>
  <c r="E173" i="7"/>
  <c r="E174" i="7"/>
  <c r="E175" i="7"/>
  <c r="E177" i="7"/>
  <c r="E178" i="7"/>
  <c r="E179" i="7"/>
  <c r="E180" i="7"/>
  <c r="E181" i="7"/>
  <c r="E182" i="7"/>
  <c r="E183" i="7"/>
  <c r="E184" i="7"/>
  <c r="E185" i="7"/>
  <c r="E186" i="7"/>
  <c r="E187" i="7"/>
  <c r="E188" i="7"/>
  <c r="E189" i="7"/>
  <c r="E190" i="7"/>
  <c r="E191" i="7"/>
  <c r="E192" i="7"/>
  <c r="E193" i="7"/>
  <c r="E194" i="7"/>
  <c r="E195" i="7"/>
  <c r="E196" i="7"/>
  <c r="E197" i="7"/>
  <c r="E198" i="7"/>
  <c r="E199" i="7"/>
  <c r="E200" i="7"/>
  <c r="E201" i="7"/>
  <c r="E202" i="7"/>
  <c r="E203" i="7"/>
  <c r="E204" i="7"/>
  <c r="E205" i="7"/>
  <c r="E206" i="7"/>
  <c r="E207" i="7"/>
  <c r="E208" i="7"/>
  <c r="E209" i="7"/>
  <c r="E210" i="7"/>
  <c r="E211" i="7"/>
  <c r="E212" i="7"/>
  <c r="E213" i="7"/>
  <c r="E214" i="7"/>
  <c r="E215" i="7"/>
  <c r="E217" i="7"/>
  <c r="E218" i="7"/>
  <c r="E219" i="7"/>
  <c r="E220" i="7"/>
  <c r="E221" i="7"/>
  <c r="E222" i="7"/>
  <c r="E223" i="7"/>
  <c r="E224" i="7"/>
  <c r="E225" i="7"/>
  <c r="E226" i="7"/>
  <c r="E227" i="7"/>
  <c r="E228" i="7"/>
  <c r="E229" i="7"/>
  <c r="E230" i="7"/>
  <c r="E231" i="7"/>
  <c r="E232" i="7"/>
  <c r="E233" i="7"/>
  <c r="E234" i="7"/>
  <c r="E235" i="7"/>
  <c r="E236" i="7"/>
  <c r="E237" i="7"/>
  <c r="E238" i="7"/>
  <c r="E239" i="7"/>
  <c r="E240" i="7"/>
  <c r="E241" i="7"/>
  <c r="E242" i="7"/>
  <c r="E243" i="7"/>
  <c r="E244" i="7"/>
  <c r="E245" i="7"/>
  <c r="E246" i="7"/>
  <c r="E247" i="7"/>
  <c r="E248" i="7"/>
  <c r="E249" i="7"/>
  <c r="E250" i="7"/>
  <c r="E251" i="7"/>
  <c r="E252" i="7"/>
  <c r="E253" i="7"/>
  <c r="E254" i="7"/>
  <c r="E255" i="7"/>
  <c r="E256" i="7"/>
  <c r="E257" i="7"/>
  <c r="E258" i="7"/>
  <c r="E259" i="7"/>
  <c r="E260" i="7"/>
  <c r="E261" i="7"/>
  <c r="E262" i="7"/>
  <c r="E263" i="7"/>
  <c r="E264" i="7"/>
  <c r="E265" i="7"/>
  <c r="E266" i="7"/>
  <c r="E267" i="7"/>
  <c r="E268" i="7"/>
  <c r="E269" i="7"/>
  <c r="E270" i="7"/>
  <c r="E271" i="7"/>
  <c r="E272" i="7"/>
  <c r="E273" i="7"/>
  <c r="E274" i="7"/>
  <c r="E275" i="7"/>
  <c r="E276" i="7"/>
  <c r="E277" i="7"/>
  <c r="E278" i="7"/>
  <c r="E279" i="7"/>
  <c r="E280" i="7"/>
  <c r="E281" i="7"/>
  <c r="E282" i="7"/>
  <c r="E283" i="7"/>
  <c r="E284" i="7"/>
  <c r="E285" i="7"/>
  <c r="E286" i="7"/>
  <c r="E287" i="7"/>
  <c r="E288" i="7"/>
  <c r="E289" i="7"/>
  <c r="E290" i="7"/>
  <c r="E291" i="7"/>
  <c r="E292" i="7"/>
  <c r="E293" i="7"/>
  <c r="E294" i="7"/>
  <c r="E295" i="7"/>
  <c r="E296" i="7"/>
  <c r="E297" i="7"/>
  <c r="E298" i="7"/>
  <c r="E299" i="7"/>
  <c r="E300" i="7"/>
  <c r="E301" i="7"/>
  <c r="E302" i="7"/>
  <c r="E303" i="7"/>
  <c r="E304" i="7"/>
  <c r="E305" i="7"/>
  <c r="E306" i="7"/>
  <c r="E307" i="7"/>
  <c r="E308" i="7"/>
  <c r="E309" i="7"/>
  <c r="E310" i="7"/>
  <c r="E311" i="7"/>
  <c r="E312" i="7"/>
  <c r="E313" i="7"/>
  <c r="E314" i="7"/>
  <c r="E315" i="7"/>
  <c r="E316" i="7"/>
  <c r="E317" i="7"/>
  <c r="E318" i="7"/>
  <c r="E319" i="7"/>
  <c r="E320" i="7"/>
  <c r="E321" i="7"/>
  <c r="E322" i="7"/>
  <c r="E323" i="7"/>
  <c r="E324" i="7"/>
  <c r="E325" i="7"/>
  <c r="E326" i="7"/>
  <c r="E327" i="7"/>
  <c r="E328" i="7"/>
  <c r="E329" i="7"/>
  <c r="E330" i="7"/>
  <c r="E331" i="7"/>
  <c r="E332" i="7"/>
  <c r="E333" i="7"/>
  <c r="E334" i="7"/>
  <c r="E335" i="7"/>
  <c r="E336" i="7"/>
  <c r="E337" i="7"/>
  <c r="E338" i="7"/>
  <c r="E339" i="7"/>
  <c r="E340" i="7"/>
  <c r="E341" i="7"/>
  <c r="E342" i="7"/>
  <c r="E343" i="7"/>
  <c r="E344" i="7"/>
  <c r="E345" i="7"/>
  <c r="E346" i="7"/>
  <c r="E347" i="7"/>
  <c r="E348" i="7"/>
  <c r="E349" i="7"/>
  <c r="E350" i="7"/>
  <c r="E351" i="7"/>
  <c r="E352" i="7"/>
  <c r="E353" i="7"/>
  <c r="E354" i="7"/>
  <c r="E355" i="7"/>
  <c r="E356" i="7"/>
  <c r="E357" i="7"/>
  <c r="E358" i="7"/>
  <c r="E359" i="7"/>
  <c r="E360" i="7"/>
  <c r="E361" i="7"/>
  <c r="E362" i="7"/>
  <c r="E363" i="7"/>
  <c r="E364" i="7"/>
  <c r="E365" i="7"/>
  <c r="E366" i="7"/>
  <c r="E367" i="7"/>
  <c r="E368" i="7"/>
  <c r="E369" i="7"/>
  <c r="E370" i="7"/>
  <c r="E371" i="7"/>
  <c r="E372" i="7"/>
  <c r="E373" i="7"/>
  <c r="E374" i="7"/>
  <c r="E375" i="7"/>
  <c r="E376" i="7"/>
  <c r="E377" i="7"/>
  <c r="E378" i="7"/>
  <c r="E379" i="7"/>
  <c r="E380" i="7"/>
  <c r="E381" i="7"/>
  <c r="E382" i="7"/>
  <c r="E383" i="7"/>
  <c r="E384" i="7"/>
  <c r="E385" i="7"/>
  <c r="E386" i="7"/>
  <c r="E387" i="7"/>
  <c r="E388" i="7"/>
  <c r="E389" i="7"/>
  <c r="E390" i="7"/>
  <c r="E391" i="7"/>
  <c r="E392" i="7"/>
  <c r="E393" i="7"/>
  <c r="E394" i="7"/>
  <c r="E395" i="7"/>
  <c r="E396" i="7"/>
  <c r="E397" i="7"/>
  <c r="E398" i="7"/>
  <c r="E399" i="7"/>
  <c r="E400" i="7"/>
  <c r="E401" i="7"/>
  <c r="E402" i="7"/>
  <c r="E403" i="7"/>
  <c r="E404" i="7"/>
  <c r="E405" i="7"/>
  <c r="E406" i="7"/>
  <c r="E407" i="7"/>
  <c r="E408" i="7"/>
  <c r="E409" i="7"/>
  <c r="E410" i="7"/>
  <c r="E411" i="7"/>
  <c r="E412" i="7"/>
  <c r="E413" i="7"/>
  <c r="E414" i="7"/>
  <c r="E415" i="7"/>
  <c r="E416" i="7"/>
  <c r="E417" i="7"/>
  <c r="E418" i="7"/>
  <c r="E419" i="7"/>
  <c r="E420" i="7"/>
  <c r="E421" i="7"/>
  <c r="E422" i="7"/>
  <c r="E423" i="7"/>
  <c r="E424" i="7"/>
  <c r="E425" i="7"/>
  <c r="E426" i="7"/>
  <c r="E427" i="7"/>
  <c r="E428" i="7"/>
  <c r="E429" i="7"/>
  <c r="E430" i="7"/>
  <c r="E431" i="7"/>
  <c r="E432" i="7"/>
  <c r="E433" i="7"/>
  <c r="E434" i="7"/>
  <c r="E435" i="7"/>
  <c r="E436" i="7"/>
  <c r="E437" i="7"/>
  <c r="E438" i="7"/>
  <c r="E439" i="7"/>
  <c r="E440" i="7"/>
  <c r="E441" i="7"/>
  <c r="E442" i="7"/>
  <c r="E443" i="7"/>
  <c r="E444" i="7"/>
  <c r="E445" i="7"/>
  <c r="E446" i="7"/>
  <c r="E447" i="7"/>
  <c r="E448" i="7"/>
  <c r="E449" i="7"/>
  <c r="E450" i="7"/>
  <c r="E451" i="7"/>
  <c r="E452" i="7"/>
  <c r="E453" i="7"/>
  <c r="E454" i="7"/>
  <c r="E455" i="7"/>
  <c r="E456" i="7"/>
  <c r="E457" i="7"/>
  <c r="E458" i="7"/>
  <c r="E459" i="7"/>
  <c r="E460" i="7"/>
  <c r="E461" i="7"/>
  <c r="E462" i="7"/>
  <c r="E463" i="7"/>
  <c r="E464" i="7"/>
  <c r="E465" i="7"/>
  <c r="E466" i="7"/>
  <c r="E467" i="7"/>
  <c r="E468" i="7"/>
  <c r="E469" i="7"/>
  <c r="E470" i="7"/>
  <c r="E471" i="7"/>
  <c r="E472" i="7"/>
  <c r="E473" i="7"/>
  <c r="E474" i="7"/>
  <c r="E475" i="7"/>
  <c r="E476" i="7"/>
  <c r="E477" i="7"/>
  <c r="E478" i="7"/>
  <c r="E479" i="7"/>
  <c r="E480" i="7"/>
  <c r="E481" i="7"/>
  <c r="E482" i="7"/>
  <c r="E483" i="7"/>
  <c r="E484" i="7"/>
  <c r="E485" i="7"/>
  <c r="E486" i="7"/>
  <c r="E487" i="7"/>
  <c r="E488" i="7"/>
  <c r="E489" i="7"/>
  <c r="E490" i="7"/>
  <c r="E491" i="7"/>
  <c r="E492" i="7"/>
  <c r="E493" i="7"/>
  <c r="E494" i="7"/>
  <c r="E495" i="7"/>
  <c r="E496" i="7"/>
  <c r="E497" i="7"/>
  <c r="E498" i="7"/>
  <c r="E499" i="7"/>
  <c r="E500" i="7"/>
  <c r="E501" i="7"/>
  <c r="E502" i="7"/>
  <c r="E503" i="7"/>
  <c r="E504" i="7"/>
  <c r="E505" i="7"/>
  <c r="E506" i="7"/>
  <c r="E507" i="7"/>
  <c r="E508" i="7"/>
  <c r="E509" i="7"/>
  <c r="E510" i="7"/>
  <c r="E511" i="7"/>
  <c r="E512" i="7"/>
  <c r="E513" i="7"/>
  <c r="E514" i="7"/>
  <c r="E515" i="7"/>
  <c r="E516" i="7"/>
  <c r="E517" i="7"/>
  <c r="E518" i="7"/>
  <c r="E519" i="7"/>
  <c r="E520" i="7"/>
  <c r="E521" i="7"/>
  <c r="E522" i="7"/>
  <c r="E523" i="7"/>
  <c r="E524" i="7"/>
  <c r="E525" i="7"/>
  <c r="E526" i="7"/>
  <c r="E527" i="7"/>
  <c r="E528" i="7"/>
  <c r="E529" i="7"/>
  <c r="E530" i="7"/>
  <c r="E531" i="7"/>
  <c r="E532" i="7"/>
  <c r="E533" i="7"/>
  <c r="E534" i="7"/>
  <c r="E535" i="7"/>
  <c r="E537" i="7"/>
  <c r="E538" i="7"/>
  <c r="E539" i="7"/>
  <c r="E540" i="7"/>
  <c r="E541" i="7"/>
  <c r="E542" i="7"/>
  <c r="E543" i="7"/>
  <c r="E544" i="7"/>
  <c r="E545" i="7"/>
  <c r="E546" i="7"/>
  <c r="E547" i="7"/>
  <c r="E548" i="7"/>
  <c r="E549" i="7"/>
  <c r="E550" i="7"/>
  <c r="E551" i="7"/>
  <c r="E552" i="7"/>
  <c r="E553" i="7"/>
  <c r="E554" i="7"/>
  <c r="E555" i="7"/>
  <c r="E556" i="7"/>
  <c r="E557" i="7"/>
  <c r="E558" i="7"/>
  <c r="E559" i="7"/>
  <c r="E560" i="7"/>
  <c r="E561" i="7"/>
  <c r="E562" i="7"/>
  <c r="E563" i="7"/>
  <c r="E564" i="7"/>
  <c r="E565" i="7"/>
  <c r="E566" i="7"/>
  <c r="E567" i="7"/>
  <c r="E568" i="7"/>
  <c r="E569" i="7"/>
  <c r="E570" i="7"/>
  <c r="E571" i="7"/>
  <c r="E572" i="7"/>
  <c r="E573" i="7"/>
  <c r="E574" i="7"/>
  <c r="E575" i="7"/>
  <c r="E576" i="7"/>
  <c r="E577" i="7"/>
  <c r="E578" i="7"/>
  <c r="E579" i="7"/>
  <c r="E580" i="7"/>
  <c r="E581" i="7"/>
  <c r="E582" i="7"/>
  <c r="E583" i="7"/>
  <c r="E584" i="7"/>
  <c r="E585" i="7"/>
  <c r="E586" i="7"/>
  <c r="E587" i="7"/>
  <c r="E588" i="7"/>
  <c r="E589" i="7"/>
  <c r="E590" i="7"/>
  <c r="E591" i="7"/>
  <c r="E592" i="7"/>
  <c r="E593" i="7"/>
  <c r="E594" i="7"/>
  <c r="E595" i="7"/>
  <c r="E596" i="7"/>
  <c r="E597" i="7"/>
  <c r="E598" i="7"/>
  <c r="E599" i="7"/>
  <c r="E600" i="7"/>
  <c r="E601" i="7"/>
  <c r="E602" i="7"/>
  <c r="E603" i="7"/>
  <c r="E604" i="7"/>
  <c r="E605" i="7"/>
  <c r="E606" i="7"/>
  <c r="E607" i="7"/>
  <c r="E608" i="7"/>
  <c r="E609" i="7"/>
  <c r="E610" i="7"/>
  <c r="E611" i="7"/>
  <c r="E612" i="7"/>
  <c r="E613" i="7"/>
  <c r="E614" i="7"/>
  <c r="E615" i="7"/>
  <c r="E616" i="7"/>
  <c r="E617" i="7"/>
  <c r="E618" i="7"/>
  <c r="E619" i="7"/>
  <c r="E620" i="7"/>
  <c r="E621" i="7"/>
  <c r="E622" i="7"/>
  <c r="E623" i="7"/>
  <c r="E624" i="7"/>
  <c r="E625" i="7"/>
  <c r="E626" i="7"/>
  <c r="E627" i="7"/>
  <c r="E628" i="7"/>
  <c r="E629" i="7"/>
  <c r="E630" i="7"/>
  <c r="E631" i="7"/>
  <c r="E632" i="7"/>
  <c r="E633" i="7"/>
  <c r="E634" i="7"/>
  <c r="E635" i="7"/>
  <c r="E636" i="7"/>
  <c r="E637" i="7"/>
  <c r="E638" i="7"/>
  <c r="E639" i="7"/>
  <c r="E640" i="7"/>
  <c r="E641" i="7"/>
  <c r="E642" i="7"/>
  <c r="E643" i="7"/>
  <c r="E644" i="7"/>
  <c r="E645" i="7"/>
  <c r="E646" i="7"/>
  <c r="E647" i="7"/>
  <c r="E648" i="7"/>
  <c r="E649" i="7"/>
  <c r="E650" i="7"/>
  <c r="E651" i="7"/>
  <c r="E652" i="7"/>
  <c r="E653" i="7"/>
  <c r="E654" i="7"/>
  <c r="E655" i="7"/>
  <c r="E656" i="7"/>
  <c r="E657" i="7"/>
  <c r="E658" i="7"/>
  <c r="E659" i="7"/>
  <c r="E660" i="7"/>
  <c r="E661" i="7"/>
  <c r="E662" i="7"/>
  <c r="E663" i="7"/>
  <c r="E664" i="7"/>
  <c r="E665" i="7"/>
  <c r="E666" i="7"/>
  <c r="E667" i="7"/>
  <c r="E669" i="7"/>
  <c r="E670" i="7"/>
  <c r="E671" i="7"/>
  <c r="E112" i="7" s="1"/>
  <c r="E672" i="7"/>
  <c r="E673" i="7"/>
  <c r="E674" i="7"/>
  <c r="E675" i="7"/>
  <c r="E676" i="7"/>
  <c r="E677" i="7"/>
  <c r="E678" i="7"/>
  <c r="E679" i="7"/>
  <c r="E680" i="7"/>
  <c r="E681" i="7"/>
  <c r="E682" i="7"/>
  <c r="E683" i="7"/>
  <c r="E684" i="7"/>
  <c r="E685" i="7"/>
  <c r="E686" i="7"/>
  <c r="E687" i="7"/>
  <c r="E688" i="7"/>
  <c r="E689" i="7"/>
  <c r="E690" i="7"/>
  <c r="E691" i="7"/>
  <c r="E692" i="7"/>
  <c r="E693" i="7"/>
  <c r="E694" i="7"/>
  <c r="E695" i="7"/>
  <c r="E696" i="7"/>
  <c r="E697" i="7"/>
  <c r="E698" i="7"/>
  <c r="E699" i="7"/>
  <c r="E700" i="7"/>
  <c r="E701" i="7"/>
  <c r="E702" i="7"/>
  <c r="E703" i="7"/>
  <c r="E704" i="7"/>
  <c r="E705" i="7"/>
  <c r="E706" i="7"/>
  <c r="E707" i="7"/>
  <c r="E708" i="7"/>
  <c r="E709" i="7"/>
  <c r="E710" i="7"/>
  <c r="E711" i="7"/>
  <c r="E712" i="7"/>
  <c r="E713" i="7"/>
  <c r="E714" i="7"/>
  <c r="E715" i="7"/>
  <c r="E716" i="7"/>
  <c r="E717" i="7"/>
  <c r="E718" i="7"/>
  <c r="E719" i="7"/>
  <c r="E720" i="7"/>
  <c r="E721" i="7"/>
  <c r="E722" i="7"/>
  <c r="E723" i="7"/>
  <c r="E724" i="7"/>
  <c r="E725" i="7"/>
  <c r="E726" i="7"/>
  <c r="E727" i="7"/>
  <c r="E728" i="7"/>
  <c r="E729" i="7"/>
  <c r="E730" i="7"/>
  <c r="E731" i="7"/>
  <c r="E732" i="7"/>
  <c r="E733" i="7"/>
  <c r="E734" i="7"/>
  <c r="E735" i="7"/>
  <c r="E736" i="7"/>
  <c r="E737" i="7"/>
  <c r="E738" i="7"/>
  <c r="E739" i="7"/>
  <c r="E740" i="7"/>
  <c r="E741" i="7"/>
  <c r="E742" i="7"/>
  <c r="E743" i="7"/>
  <c r="E744" i="7"/>
  <c r="E745" i="7"/>
  <c r="E746" i="7"/>
  <c r="E747" i="7"/>
  <c r="E748" i="7"/>
  <c r="E749" i="7"/>
  <c r="E750" i="7"/>
  <c r="E751" i="7"/>
  <c r="E752" i="7"/>
  <c r="E753" i="7"/>
  <c r="E754" i="7"/>
  <c r="E755" i="7"/>
  <c r="E756" i="7"/>
  <c r="E757" i="7"/>
  <c r="E758" i="7"/>
  <c r="E759" i="7"/>
  <c r="E760" i="7"/>
  <c r="E761" i="7"/>
  <c r="E762" i="7"/>
  <c r="E763" i="7"/>
  <c r="E764" i="7"/>
  <c r="E765" i="7"/>
  <c r="E766" i="7"/>
  <c r="E767" i="7"/>
  <c r="E768" i="7"/>
  <c r="E769" i="7"/>
  <c r="E770" i="7"/>
  <c r="E771" i="7"/>
  <c r="E772" i="7"/>
  <c r="E773" i="7"/>
  <c r="E774" i="7"/>
  <c r="E775" i="7"/>
  <c r="E776" i="7"/>
  <c r="E777" i="7"/>
  <c r="E778" i="7"/>
  <c r="E779" i="7"/>
  <c r="E780" i="7"/>
  <c r="E781" i="7"/>
  <c r="E782" i="7"/>
  <c r="E783" i="7"/>
  <c r="E784" i="7"/>
  <c r="E785" i="7"/>
  <c r="E786" i="7"/>
  <c r="E787" i="7"/>
  <c r="E788" i="7"/>
  <c r="E789" i="7"/>
  <c r="E790" i="7"/>
  <c r="E791" i="7"/>
  <c r="E792" i="7"/>
  <c r="E793" i="7"/>
  <c r="E794" i="7"/>
  <c r="E795" i="7"/>
  <c r="E796" i="7"/>
  <c r="E797" i="7"/>
  <c r="E798" i="7"/>
  <c r="E799" i="7"/>
  <c r="E800" i="7"/>
  <c r="E801" i="7"/>
  <c r="E802" i="7"/>
  <c r="E803" i="7"/>
  <c r="E804" i="7"/>
  <c r="E805" i="7"/>
  <c r="E806" i="7"/>
  <c r="E807" i="7"/>
  <c r="E808" i="7"/>
  <c r="E809" i="7"/>
  <c r="E810" i="7"/>
  <c r="E811" i="7"/>
  <c r="E812" i="7"/>
  <c r="E813" i="7"/>
  <c r="E814" i="7"/>
  <c r="E815" i="7"/>
  <c r="E816" i="7"/>
  <c r="E817" i="7"/>
  <c r="E818" i="7"/>
  <c r="E819" i="7"/>
  <c r="E820" i="7"/>
  <c r="E821" i="7"/>
  <c r="E822" i="7"/>
  <c r="E823" i="7"/>
  <c r="E824" i="7"/>
  <c r="E825" i="7"/>
  <c r="E826" i="7"/>
  <c r="E827" i="7"/>
  <c r="E828" i="7"/>
  <c r="E829" i="7"/>
  <c r="E830" i="7"/>
  <c r="E831" i="7"/>
  <c r="E832" i="7"/>
  <c r="E833" i="7"/>
  <c r="E834" i="7"/>
  <c r="E835" i="7"/>
  <c r="E836" i="7"/>
  <c r="E837" i="7"/>
  <c r="E838" i="7"/>
  <c r="E839" i="7"/>
  <c r="E840" i="7"/>
  <c r="E841" i="7"/>
  <c r="E842" i="7"/>
  <c r="E843" i="7"/>
  <c r="E844" i="7"/>
  <c r="E845" i="7"/>
  <c r="E846" i="7"/>
  <c r="E847" i="7"/>
  <c r="E848" i="7"/>
  <c r="E849" i="7"/>
  <c r="E850" i="7"/>
  <c r="E851" i="7"/>
  <c r="E852" i="7"/>
  <c r="E853" i="7"/>
  <c r="E854" i="7"/>
  <c r="E855" i="7"/>
  <c r="E856" i="7"/>
  <c r="E857" i="7"/>
  <c r="E858" i="7"/>
  <c r="E859" i="7"/>
  <c r="E860" i="7"/>
  <c r="E861" i="7"/>
  <c r="E862" i="7"/>
  <c r="E863" i="7"/>
  <c r="E864" i="7"/>
  <c r="E865" i="7"/>
  <c r="E866" i="7"/>
  <c r="E867" i="7"/>
  <c r="E868" i="7"/>
  <c r="E869" i="7"/>
  <c r="E870" i="7"/>
  <c r="E871" i="7"/>
  <c r="E872" i="7"/>
  <c r="E873" i="7"/>
  <c r="E874" i="7"/>
  <c r="E875" i="7"/>
  <c r="E876" i="7"/>
  <c r="E877" i="7"/>
  <c r="E878" i="7"/>
  <c r="E879" i="7"/>
  <c r="E880" i="7"/>
  <c r="E881" i="7"/>
  <c r="E882" i="7"/>
  <c r="E883" i="7"/>
  <c r="E884" i="7"/>
  <c r="E885" i="7"/>
  <c r="E886" i="7"/>
  <c r="E887" i="7"/>
  <c r="E888" i="7"/>
  <c r="E889" i="7"/>
  <c r="E890" i="7"/>
  <c r="E891" i="7"/>
  <c r="E892" i="7"/>
  <c r="E893" i="7"/>
  <c r="E894" i="7"/>
  <c r="E895" i="7"/>
  <c r="E896" i="7"/>
  <c r="E897" i="7"/>
  <c r="E898" i="7"/>
  <c r="E899" i="7"/>
  <c r="E900" i="7"/>
  <c r="E901" i="7"/>
  <c r="E902" i="7"/>
  <c r="E903" i="7"/>
  <c r="E904" i="7"/>
  <c r="E905" i="7"/>
  <c r="E906" i="7"/>
  <c r="E907" i="7"/>
  <c r="E908" i="7"/>
  <c r="E909" i="7"/>
  <c r="E910" i="7"/>
  <c r="E911" i="7"/>
  <c r="E912" i="7"/>
  <c r="E913" i="7"/>
  <c r="E914" i="7"/>
  <c r="E915" i="7"/>
  <c r="E916" i="7"/>
  <c r="E917" i="7"/>
  <c r="E918" i="7"/>
  <c r="E919" i="7"/>
  <c r="E920" i="7"/>
  <c r="E921" i="7"/>
  <c r="E922" i="7"/>
  <c r="E923" i="7"/>
  <c r="E924" i="7"/>
  <c r="E925" i="7"/>
  <c r="E926" i="7"/>
  <c r="E927" i="7"/>
  <c r="E928" i="7"/>
  <c r="E929" i="7"/>
  <c r="E930" i="7"/>
  <c r="E931" i="7"/>
  <c r="E932" i="7"/>
  <c r="E933" i="7"/>
  <c r="E934" i="7"/>
  <c r="E935" i="7"/>
  <c r="E936" i="7"/>
  <c r="E937" i="7"/>
  <c r="E938" i="7"/>
  <c r="E939" i="7"/>
  <c r="F37" i="7"/>
  <c r="G37" i="7" s="1" a="1"/>
  <c r="G37" i="7" s="1"/>
  <c r="F38" i="7"/>
  <c r="G38" i="7" s="1" a="1"/>
  <c r="G38" i="7" s="1"/>
  <c r="F51" i="7"/>
  <c r="G51" i="7" s="1" a="1"/>
  <c r="G51" i="7" s="1"/>
  <c r="F64" i="7"/>
  <c r="G64" i="7" s="1" a="1"/>
  <c r="G64" i="7" s="1"/>
  <c r="F80" i="7"/>
  <c r="G80" i="7" s="1" a="1"/>
  <c r="G80" i="7" s="1"/>
  <c r="F90" i="7"/>
  <c r="F115" i="7"/>
  <c r="G115" i="7" s="1" a="1"/>
  <c r="G115" i="7" s="1"/>
  <c r="F135" i="7"/>
  <c r="G135" i="7" s="1" a="1"/>
  <c r="G135" i="7" s="1"/>
  <c r="F142" i="7"/>
  <c r="G142" i="7" s="1" a="1"/>
  <c r="G142" i="7" s="1"/>
  <c r="F247" i="7"/>
  <c r="F264" i="7"/>
  <c r="G264" i="7" s="1" a="1"/>
  <c r="G264" i="7" s="1"/>
  <c r="F280" i="7"/>
  <c r="G280" i="7" s="1" a="1"/>
  <c r="G280" i="7" s="1"/>
  <c r="F285" i="7"/>
  <c r="F301" i="7"/>
  <c r="F310" i="7"/>
  <c r="G310" i="7" s="1" a="1"/>
  <c r="G310" i="7" s="1"/>
  <c r="F323" i="7"/>
  <c r="G323" i="7" s="1" a="1"/>
  <c r="G323" i="7" s="1"/>
  <c r="F339" i="7"/>
  <c r="G339" i="7" s="1" a="1"/>
  <c r="G339" i="7" s="1"/>
  <c r="F355" i="7"/>
  <c r="G355" i="7" s="1" a="1"/>
  <c r="G355" i="7" s="1"/>
  <c r="F364" i="7"/>
  <c r="G364" i="7" s="1" a="1"/>
  <c r="G364" i="7" s="1"/>
  <c r="F385" i="7"/>
  <c r="G385" i="7" s="1" a="1"/>
  <c r="G385" i="7" s="1"/>
  <c r="F389" i="7"/>
  <c r="G389" i="7" s="1" a="1"/>
  <c r="G389" i="7" s="1"/>
  <c r="F393" i="7"/>
  <c r="F395" i="7"/>
  <c r="G395" i="7" s="1" a="1"/>
  <c r="G395" i="7" s="1"/>
  <c r="F396" i="7"/>
  <c r="G396" i="7" s="1" a="1"/>
  <c r="G396" i="7" s="1"/>
  <c r="F406" i="7"/>
  <c r="G406" i="7" s="1" a="1"/>
  <c r="G406" i="7" s="1"/>
  <c r="F455" i="7"/>
  <c r="G455" i="7" s="1" a="1"/>
  <c r="G455" i="7" s="1"/>
  <c r="F458" i="7"/>
  <c r="G458" i="7" s="1" a="1"/>
  <c r="G458" i="7" s="1"/>
  <c r="F468" i="7"/>
  <c r="G468" i="7" s="1" a="1"/>
  <c r="G468" i="7" s="1"/>
  <c r="F489" i="7"/>
  <c r="G489" i="7" s="1" a="1"/>
  <c r="G489" i="7" s="1"/>
  <c r="F492" i="7"/>
  <c r="F502" i="7"/>
  <c r="G502" i="7" s="1" a="1"/>
  <c r="G502" i="7" s="1"/>
  <c r="F512" i="7"/>
  <c r="G512" i="7" s="1" a="1"/>
  <c r="G512" i="7" s="1"/>
  <c r="F514" i="7"/>
  <c r="G514" i="7" s="1" a="1"/>
  <c r="G514" i="7" s="1"/>
  <c r="F539" i="7"/>
  <c r="G539" i="7" s="1" a="1"/>
  <c r="G539" i="7" s="1"/>
  <c r="F547" i="7"/>
  <c r="G547" i="7" s="1" a="1"/>
  <c r="G547" i="7" s="1"/>
  <c r="F550" i="7"/>
  <c r="F575" i="7"/>
  <c r="F600" i="7"/>
  <c r="G600" i="7" s="1" a="1"/>
  <c r="G600" i="7" s="1"/>
  <c r="F621" i="7"/>
  <c r="F646" i="7"/>
  <c r="G646" i="7" s="1" a="1"/>
  <c r="G646" i="7" s="1"/>
  <c r="F690" i="7"/>
  <c r="G690" i="7" s="1" a="1"/>
  <c r="G690" i="7" s="1"/>
  <c r="F700" i="7"/>
  <c r="G700" i="7" s="1" a="1"/>
  <c r="G700" i="7" s="1"/>
  <c r="F731" i="7"/>
  <c r="G731" i="7" s="1" a="1"/>
  <c r="G731" i="7" s="1"/>
  <c r="F734" i="7"/>
  <c r="G734" i="7" s="1" a="1"/>
  <c r="G734" i="7" s="1"/>
  <c r="F735" i="7"/>
  <c r="G735" i="7" s="1" a="1"/>
  <c r="G735" i="7" s="1"/>
  <c r="F752" i="7"/>
  <c r="G752" i="7" s="1" a="1"/>
  <c r="G752" i="7" s="1"/>
  <c r="F777" i="7"/>
  <c r="G777" i="7" s="1" a="1"/>
  <c r="G777" i="7" s="1"/>
  <c r="F795" i="7"/>
  <c r="G795" i="7" s="1" a="1"/>
  <c r="G795" i="7" s="1"/>
  <c r="F820" i="7"/>
  <c r="F829" i="7"/>
  <c r="G829" i="7" s="1" a="1"/>
  <c r="G829" i="7" s="1"/>
  <c r="F837" i="7"/>
  <c r="G837" i="7" s="1" a="1"/>
  <c r="G837" i="7" s="1"/>
  <c r="F854" i="7"/>
  <c r="G854" i="7" s="1" a="1"/>
  <c r="G854" i="7" s="1"/>
  <c r="F873" i="7"/>
  <c r="F887" i="7"/>
  <c r="G887" i="7" s="1" a="1"/>
  <c r="G887" i="7" s="1"/>
  <c r="F2" i="7"/>
  <c r="G90" i="7" a="1"/>
  <c r="G90" i="7" s="1"/>
  <c r="G247" i="7" a="1"/>
  <c r="G247" i="7" s="1"/>
  <c r="G301" i="7" a="1"/>
  <c r="G301" i="7" s="1"/>
  <c r="G393" i="7" a="1"/>
  <c r="G393" i="7" s="1"/>
  <c r="D940" i="7"/>
  <c r="D62" i="3"/>
  <c r="E3" i="5"/>
  <c r="E4" i="5"/>
  <c r="E5" i="5"/>
  <c r="E6" i="5"/>
  <c r="E7" i="5" s="1"/>
  <c r="E8" i="5" s="1"/>
  <c r="E9" i="5" s="1"/>
  <c r="E10" i="5" s="1"/>
  <c r="E11" i="5" s="1"/>
  <c r="E12" i="5" s="1"/>
  <c r="E13" i="5" s="1"/>
  <c r="E14" i="5" s="1"/>
  <c r="E15" i="5" s="1"/>
  <c r="E16" i="5" s="1"/>
  <c r="E17" i="5" s="1"/>
  <c r="E18" i="5" s="1"/>
  <c r="E19" i="5" s="1"/>
  <c r="E20" i="5" s="1"/>
  <c r="E21" i="5" s="1"/>
  <c r="E22" i="5" s="1"/>
  <c r="E23" i="5"/>
  <c r="E24" i="5"/>
  <c r="E25" i="5" s="1"/>
  <c r="E26" i="5" s="1"/>
  <c r="E27" i="5" s="1"/>
  <c r="E28" i="5"/>
  <c r="E29" i="5" s="1"/>
  <c r="E30" i="5" s="1"/>
  <c r="E31" i="5"/>
  <c r="E32" i="5"/>
  <c r="E33" i="5" s="1"/>
  <c r="E34" i="5"/>
  <c r="E35" i="5"/>
  <c r="E36" i="5"/>
  <c r="E37" i="5" s="1"/>
  <c r="E38" i="5" s="1"/>
  <c r="E39" i="5" s="1"/>
  <c r="E40" i="5"/>
  <c r="E41" i="5"/>
  <c r="E42" i="5" s="1"/>
  <c r="E43" i="5" s="1"/>
  <c r="E44" i="5" s="1"/>
  <c r="E45" i="5"/>
  <c r="E46" i="5"/>
  <c r="E47" i="5" s="1"/>
  <c r="E48" i="5" s="1"/>
  <c r="E49" i="5" s="1"/>
  <c r="E50" i="5" s="1"/>
  <c r="E51" i="5" s="1"/>
  <c r="E52" i="5" s="1"/>
  <c r="E53" i="5" s="1"/>
  <c r="E54" i="5" s="1"/>
  <c r="E55" i="5" s="1"/>
  <c r="E56" i="5" s="1"/>
  <c r="E57" i="5" s="1"/>
  <c r="E58" i="5" s="1"/>
  <c r="E59" i="5"/>
  <c r="E60" i="5"/>
  <c r="E61" i="5" s="1"/>
  <c r="E62" i="5" s="1"/>
  <c r="E63" i="5" s="1"/>
  <c r="E64" i="5" s="1"/>
  <c r="E65" i="5" s="1"/>
  <c r="E66" i="5" s="1"/>
  <c r="E67" i="5" s="1"/>
  <c r="E68" i="5"/>
  <c r="E69" i="5" s="1"/>
  <c r="E70" i="5" s="1"/>
  <c r="E71" i="5" s="1"/>
  <c r="E72" i="5"/>
  <c r="E73" i="5"/>
  <c r="E74" i="5" s="1"/>
  <c r="E75" i="5" s="1"/>
  <c r="E76" i="5" s="1"/>
  <c r="E77" i="5" s="1"/>
  <c r="E78" i="5" s="1"/>
  <c r="E79" i="5" s="1"/>
  <c r="E80" i="5" s="1"/>
  <c r="E81" i="5" s="1"/>
  <c r="E82" i="5" s="1"/>
  <c r="E83" i="5" s="1"/>
  <c r="E84" i="5" s="1"/>
  <c r="E85" i="5" s="1"/>
  <c r="E86" i="5" s="1"/>
  <c r="E87" i="5" s="1"/>
  <c r="E88" i="5"/>
  <c r="E89" i="5"/>
  <c r="E90" i="5" s="1"/>
  <c r="E91" i="5" s="1"/>
  <c r="E92" i="5" s="1"/>
  <c r="E93" i="5" s="1"/>
  <c r="E94" i="5" s="1"/>
  <c r="E95" i="5" s="1"/>
  <c r="E96" i="5" s="1"/>
  <c r="E97" i="5" s="1"/>
  <c r="E98" i="5"/>
  <c r="E99" i="5"/>
  <c r="E100" i="5"/>
  <c r="E101" i="5" s="1"/>
  <c r="E102" i="5" s="1"/>
  <c r="E103" i="5" s="1"/>
  <c r="E104" i="5" s="1"/>
  <c r="E105" i="5" s="1"/>
  <c r="E106" i="5" s="1"/>
  <c r="E107" i="5" s="1"/>
  <c r="E108" i="5" s="1"/>
  <c r="E109" i="5" s="1"/>
  <c r="E110" i="5" s="1"/>
  <c r="E111" i="5" s="1"/>
  <c r="E112" i="5" s="1"/>
  <c r="E113" i="5" s="1"/>
  <c r="E114" i="5" s="1"/>
  <c r="E115" i="5" s="1"/>
  <c r="E116" i="5" s="1"/>
  <c r="E117" i="5" s="1"/>
  <c r="E118" i="5" s="1"/>
  <c r="E119" i="5" s="1"/>
  <c r="E120" i="5" s="1"/>
  <c r="E121" i="5" s="1"/>
  <c r="E122" i="5" s="1"/>
  <c r="E123" i="5"/>
  <c r="E124" i="5" s="1"/>
  <c r="E125" i="5" s="1"/>
  <c r="E126" i="5" s="1"/>
  <c r="E127" i="5" s="1"/>
  <c r="E128" i="5" s="1"/>
  <c r="E129" i="5" s="1"/>
  <c r="E130" i="5" s="1"/>
  <c r="E131" i="5" s="1"/>
  <c r="E132" i="5" s="1"/>
  <c r="E133" i="5" s="1"/>
  <c r="E134" i="5" s="1"/>
  <c r="E135" i="5" s="1"/>
  <c r="E136" i="5" s="1"/>
  <c r="E137" i="5" s="1"/>
  <c r="E138" i="5" s="1"/>
  <c r="E139" i="5" s="1"/>
  <c r="E140" i="5" s="1"/>
  <c r="E141" i="5" s="1"/>
  <c r="E142" i="5" s="1"/>
  <c r="E143" i="5"/>
  <c r="E144" i="5" s="1"/>
  <c r="E145" i="5" s="1"/>
  <c r="E146" i="5" s="1"/>
  <c r="E147" i="5" s="1"/>
  <c r="E148" i="5" s="1"/>
  <c r="E149" i="5" s="1"/>
  <c r="E150" i="5"/>
  <c r="E151" i="5" s="1"/>
  <c r="E152" i="5" s="1"/>
  <c r="E153" i="5" s="1"/>
  <c r="E154" i="5" s="1"/>
  <c r="E155" i="5" s="1"/>
  <c r="E156" i="5" s="1"/>
  <c r="E157" i="5" s="1"/>
  <c r="E158" i="5" s="1"/>
  <c r="E159" i="5" s="1"/>
  <c r="E160" i="5" s="1"/>
  <c r="E161" i="5" s="1"/>
  <c r="E162" i="5" s="1"/>
  <c r="E163" i="5" s="1"/>
  <c r="E164" i="5" s="1"/>
  <c r="E165" i="5" s="1"/>
  <c r="E166" i="5" s="1"/>
  <c r="E167" i="5" s="1"/>
  <c r="E168" i="5" s="1"/>
  <c r="E169" i="5" s="1"/>
  <c r="E170" i="5"/>
  <c r="E171" i="5" s="1"/>
  <c r="E172" i="5" s="1"/>
  <c r="E173" i="5" s="1"/>
  <c r="E174" i="5" s="1"/>
  <c r="E175" i="5" s="1"/>
  <c r="E176" i="5" s="1"/>
  <c r="E177" i="5" s="1"/>
  <c r="E178" i="5" s="1"/>
  <c r="E179" i="5" s="1"/>
  <c r="E180" i="5" s="1"/>
  <c r="E181" i="5" s="1"/>
  <c r="E182" i="5" s="1"/>
  <c r="E183" i="5" s="1"/>
  <c r="E184" i="5" s="1"/>
  <c r="E185" i="5" s="1"/>
  <c r="E186" i="5"/>
  <c r="E187" i="5" s="1"/>
  <c r="E188" i="5" s="1"/>
  <c r="E189" i="5" s="1"/>
  <c r="E190" i="5" s="1"/>
  <c r="E191" i="5" s="1"/>
  <c r="E192" i="5" s="1"/>
  <c r="E193" i="5" s="1"/>
  <c r="E194" i="5" s="1"/>
  <c r="E195" i="5" s="1"/>
  <c r="E196" i="5" s="1"/>
  <c r="E197" i="5" s="1"/>
  <c r="E198" i="5" s="1"/>
  <c r="E199" i="5" s="1"/>
  <c r="E200" i="5" s="1"/>
  <c r="E201" i="5" s="1"/>
  <c r="E202" i="5" s="1"/>
  <c r="E203" i="5" s="1"/>
  <c r="E204" i="5" s="1"/>
  <c r="E205" i="5" s="1"/>
  <c r="E206" i="5" s="1"/>
  <c r="E207" i="5" s="1"/>
  <c r="E208" i="5" s="1"/>
  <c r="E209" i="5" s="1"/>
  <c r="E210" i="5" s="1"/>
  <c r="E211" i="5"/>
  <c r="E212" i="5"/>
  <c r="E213" i="5" s="1"/>
  <c r="E214" i="5" s="1"/>
  <c r="E215" i="5" s="1"/>
  <c r="E216" i="5" s="1"/>
  <c r="E217" i="5" s="1"/>
  <c r="E218" i="5" s="1"/>
  <c r="E219" i="5" s="1"/>
  <c r="E220" i="5" s="1"/>
  <c r="E221" i="5" s="1"/>
  <c r="E222" i="5" s="1"/>
  <c r="E223" i="5" s="1"/>
  <c r="E224" i="5" s="1"/>
  <c r="E225" i="5" s="1"/>
  <c r="E226" i="5" s="1"/>
  <c r="E227" i="5" s="1"/>
  <c r="E228" i="5"/>
  <c r="E229" i="5" s="1"/>
  <c r="E230" i="5" s="1"/>
  <c r="E231" i="5" s="1"/>
  <c r="E232" i="5" s="1"/>
  <c r="E233" i="5"/>
  <c r="E234" i="5"/>
  <c r="E235" i="5" s="1"/>
  <c r="E236" i="5"/>
  <c r="E237" i="5" s="1"/>
  <c r="E238" i="5" s="1"/>
  <c r="E239" i="5"/>
  <c r="E240" i="5" s="1"/>
  <c r="E241" i="5" s="1"/>
  <c r="E242" i="5" s="1"/>
  <c r="E243" i="5" s="1"/>
  <c r="E244" i="5" s="1"/>
  <c r="E245" i="5" s="1"/>
  <c r="E246" i="5" s="1"/>
  <c r="E247" i="5"/>
  <c r="E248" i="5" s="1"/>
  <c r="E249" i="5" s="1"/>
  <c r="E250" i="5" s="1"/>
  <c r="E251" i="5" s="1"/>
  <c r="E252" i="5" s="1"/>
  <c r="E253" i="5" s="1"/>
  <c r="E254" i="5" s="1"/>
  <c r="E255" i="5" s="1"/>
  <c r="E256" i="5"/>
  <c r="E257" i="5"/>
  <c r="E258" i="5"/>
  <c r="E259" i="5" s="1"/>
  <c r="E260" i="5" s="1"/>
  <c r="E261" i="5" s="1"/>
  <c r="E262" i="5" s="1"/>
  <c r="E263" i="5" s="1"/>
  <c r="E264" i="5" s="1"/>
  <c r="E265" i="5" s="1"/>
  <c r="E266" i="5" s="1"/>
  <c r="E267" i="5" s="1"/>
  <c r="E268" i="5" s="1"/>
  <c r="E269" i="5"/>
  <c r="E270" i="5" s="1"/>
  <c r="E271" i="5" s="1"/>
  <c r="E272" i="5" s="1"/>
  <c r="E273" i="5"/>
  <c r="E274" i="5"/>
  <c r="E275" i="5" s="1"/>
  <c r="E276" i="5" s="1"/>
  <c r="E277" i="5" s="1"/>
  <c r="E278" i="5"/>
  <c r="E279" i="5" s="1"/>
  <c r="E280" i="5" s="1"/>
  <c r="E281" i="5" s="1"/>
  <c r="E282" i="5" s="1"/>
  <c r="E283" i="5" s="1"/>
  <c r="E284" i="5" s="1"/>
  <c r="E285" i="5" s="1"/>
  <c r="E286" i="5" s="1"/>
  <c r="E287" i="5" s="1"/>
  <c r="E288" i="5" s="1"/>
  <c r="E289" i="5" s="1"/>
  <c r="E290" i="5" s="1"/>
  <c r="E291" i="5" s="1"/>
  <c r="E292" i="5" s="1"/>
  <c r="E293" i="5" s="1"/>
  <c r="E294" i="5"/>
  <c r="E295" i="5" s="1"/>
  <c r="E296" i="5" s="1"/>
  <c r="E297" i="5" s="1"/>
  <c r="E298" i="5" s="1"/>
  <c r="E299" i="5" s="1"/>
  <c r="E300" i="5" s="1"/>
  <c r="E301" i="5" s="1"/>
  <c r="E302" i="5" s="1"/>
  <c r="E303" i="5"/>
  <c r="E304" i="5" s="1"/>
  <c r="E305" i="5" s="1"/>
  <c r="E306" i="5" s="1"/>
  <c r="E307" i="5" s="1"/>
  <c r="E308" i="5" s="1"/>
  <c r="E309" i="5" s="1"/>
  <c r="E310" i="5" s="1"/>
  <c r="E311" i="5" s="1"/>
  <c r="E312" i="5" s="1"/>
  <c r="E313" i="5" s="1"/>
  <c r="E314" i="5" s="1"/>
  <c r="E315" i="5" s="1"/>
  <c r="E316" i="5"/>
  <c r="E317" i="5" s="1"/>
  <c r="E318" i="5"/>
  <c r="E319" i="5" s="1"/>
  <c r="E320" i="5" s="1"/>
  <c r="E321" i="5" s="1"/>
  <c r="E322" i="5" s="1"/>
  <c r="E323" i="5" s="1"/>
  <c r="E324" i="5" s="1"/>
  <c r="E325" i="5" s="1"/>
  <c r="E326" i="5" s="1"/>
  <c r="E327" i="5" s="1"/>
  <c r="E328" i="5" s="1"/>
  <c r="E329" i="5" s="1"/>
  <c r="E330" i="5" s="1"/>
  <c r="E331" i="5" s="1"/>
  <c r="E332" i="5" s="1"/>
  <c r="E333" i="5" s="1"/>
  <c r="E334" i="5"/>
  <c r="E335" i="5" s="1"/>
  <c r="E336" i="5" s="1"/>
  <c r="E337" i="5" s="1"/>
  <c r="E338" i="5" s="1"/>
  <c r="E339" i="5" s="1"/>
  <c r="E340" i="5" s="1"/>
  <c r="E341" i="5" s="1"/>
  <c r="E342" i="5" s="1"/>
  <c r="E343" i="5" s="1"/>
  <c r="E344" i="5" s="1"/>
  <c r="E345" i="5" s="1"/>
  <c r="E346" i="5" s="1"/>
  <c r="E347" i="5" s="1"/>
  <c r="E348" i="5" s="1"/>
  <c r="E349" i="5" s="1"/>
  <c r="E350" i="5"/>
  <c r="E351" i="5" s="1"/>
  <c r="E352" i="5" s="1"/>
  <c r="E353" i="5" s="1"/>
  <c r="E354" i="5" s="1"/>
  <c r="E355" i="5" s="1"/>
  <c r="E356" i="5" s="1"/>
  <c r="E357" i="5" s="1"/>
  <c r="E358" i="5" s="1"/>
  <c r="E359" i="5"/>
  <c r="E360" i="5" s="1"/>
  <c r="E361" i="5" s="1"/>
  <c r="E362" i="5" s="1"/>
  <c r="E363" i="5" s="1"/>
  <c r="E364" i="5" s="1"/>
  <c r="E365" i="5" s="1"/>
  <c r="E366" i="5" s="1"/>
  <c r="E367" i="5" s="1"/>
  <c r="E368" i="5" s="1"/>
  <c r="E369" i="5" s="1"/>
  <c r="E370" i="5" s="1"/>
  <c r="E371" i="5" s="1"/>
  <c r="E372" i="5" s="1"/>
  <c r="E373" i="5" s="1"/>
  <c r="E374" i="5"/>
  <c r="E375" i="5" s="1"/>
  <c r="E376" i="5" s="1"/>
  <c r="E377" i="5" s="1"/>
  <c r="E378" i="5"/>
  <c r="E379" i="5" s="1"/>
  <c r="E380" i="5" s="1"/>
  <c r="E381" i="5" s="1"/>
  <c r="E382" i="5" s="1"/>
  <c r="E383" i="5"/>
  <c r="E384" i="5" s="1"/>
  <c r="E385" i="5" s="1"/>
  <c r="E386" i="5" s="1"/>
  <c r="E387" i="5"/>
  <c r="E388" i="5"/>
  <c r="E389" i="5" s="1"/>
  <c r="E390" i="5" s="1"/>
  <c r="E391" i="5" s="1"/>
  <c r="E392" i="5" s="1"/>
  <c r="E393" i="5" s="1"/>
  <c r="E394" i="5" s="1"/>
  <c r="E395" i="5" s="1"/>
  <c r="E396" i="5" s="1"/>
  <c r="E397" i="5" s="1"/>
  <c r="E398" i="5"/>
  <c r="E399" i="5" s="1"/>
  <c r="E400" i="5" s="1"/>
  <c r="E401" i="5" s="1"/>
  <c r="E402" i="5" s="1"/>
  <c r="E403" i="5" s="1"/>
  <c r="E404" i="5" s="1"/>
  <c r="E405" i="5" s="1"/>
  <c r="E406" i="5" s="1"/>
  <c r="E407" i="5" s="1"/>
  <c r="E408" i="5"/>
  <c r="E409" i="5"/>
  <c r="E410" i="5"/>
  <c r="E411" i="5" s="1"/>
  <c r="E412" i="5"/>
  <c r="E413" i="5" s="1"/>
  <c r="E414" i="5" s="1"/>
  <c r="E415" i="5" s="1"/>
  <c r="E416" i="5" s="1"/>
  <c r="E417" i="5" s="1"/>
  <c r="E418" i="5" s="1"/>
  <c r="E419" i="5" s="1"/>
  <c r="E420" i="5" s="1"/>
  <c r="E421" i="5" s="1"/>
  <c r="E422" i="5"/>
  <c r="E423" i="5" s="1"/>
  <c r="E424" i="5" s="1"/>
  <c r="E425" i="5" s="1"/>
  <c r="E426" i="5" s="1"/>
  <c r="E427" i="5" s="1"/>
  <c r="E428" i="5" s="1"/>
  <c r="E429" i="5" s="1"/>
  <c r="E430" i="5" s="1"/>
  <c r="E431" i="5" s="1"/>
  <c r="E432" i="5"/>
  <c r="E433" i="5"/>
  <c r="E434" i="5" s="1"/>
  <c r="E435" i="5" s="1"/>
  <c r="E436" i="5" s="1"/>
  <c r="E437" i="5" s="1"/>
  <c r="E438" i="5" s="1"/>
  <c r="E439" i="5" s="1"/>
  <c r="E440" i="5" s="1"/>
  <c r="E441" i="5" s="1"/>
  <c r="E442" i="5" s="1"/>
  <c r="E443" i="5" s="1"/>
  <c r="E444" i="5" s="1"/>
  <c r="E445" i="5" s="1"/>
  <c r="E446" i="5" s="1"/>
  <c r="E447" i="5" s="1"/>
  <c r="E448" i="5" s="1"/>
  <c r="E449" i="5" s="1"/>
  <c r="E450" i="5" s="1"/>
  <c r="E451" i="5" s="1"/>
  <c r="E452" i="5" s="1"/>
  <c r="E453" i="5" s="1"/>
  <c r="E454" i="5" s="1"/>
  <c r="E455" i="5" s="1"/>
  <c r="E456" i="5" s="1"/>
  <c r="E457" i="5"/>
  <c r="E458" i="5" s="1"/>
  <c r="E459" i="5" s="1"/>
  <c r="E460" i="5" s="1"/>
  <c r="E461" i="5" s="1"/>
  <c r="E462" i="5" s="1"/>
  <c r="E463" i="5" s="1"/>
  <c r="E464" i="5" s="1"/>
  <c r="E465" i="5"/>
  <c r="E466" i="5" s="1"/>
  <c r="E467" i="5" s="1"/>
  <c r="E468" i="5" s="1"/>
  <c r="E469" i="5" s="1"/>
  <c r="E470" i="5" s="1"/>
  <c r="E471" i="5" s="1"/>
  <c r="E472" i="5" s="1"/>
  <c r="E473" i="5" s="1"/>
  <c r="E474" i="5" s="1"/>
  <c r="E475" i="5" s="1"/>
  <c r="E476" i="5" s="1"/>
  <c r="E477" i="5" s="1"/>
  <c r="E478" i="5" s="1"/>
  <c r="E479" i="5" s="1"/>
  <c r="E480" i="5" s="1"/>
  <c r="E481" i="5" s="1"/>
  <c r="E482" i="5" s="1"/>
  <c r="E483" i="5" s="1"/>
  <c r="E484" i="5" s="1"/>
  <c r="E485" i="5" s="1"/>
  <c r="E486" i="5" s="1"/>
  <c r="E487" i="5" s="1"/>
  <c r="E488" i="5" s="1"/>
  <c r="E489" i="5" s="1"/>
  <c r="E490" i="5"/>
  <c r="E491" i="5"/>
  <c r="E492" i="5"/>
  <c r="E493" i="5"/>
  <c r="E494" i="5" s="1"/>
  <c r="E495" i="5" s="1"/>
  <c r="E496" i="5" s="1"/>
  <c r="E497" i="5" s="1"/>
  <c r="E498" i="5" s="1"/>
  <c r="E499" i="5" s="1"/>
  <c r="E500" i="5" s="1"/>
  <c r="E501" i="5" s="1"/>
  <c r="E502" i="5" s="1"/>
  <c r="E503" i="5" s="1"/>
  <c r="E504" i="5" s="1"/>
  <c r="E505" i="5" s="1"/>
  <c r="E506" i="5" s="1"/>
  <c r="E507" i="5" s="1"/>
  <c r="E508" i="5" s="1"/>
  <c r="E509" i="5"/>
  <c r="E510" i="5" s="1"/>
  <c r="E511" i="5" s="1"/>
  <c r="E512" i="5" s="1"/>
  <c r="E513" i="5" s="1"/>
  <c r="E514" i="5" s="1"/>
  <c r="E515" i="5" s="1"/>
  <c r="E516" i="5" s="1"/>
  <c r="E517" i="5" s="1"/>
  <c r="E518" i="5" s="1"/>
  <c r="E519" i="5" s="1"/>
  <c r="E520" i="5" s="1"/>
  <c r="E521" i="5" s="1"/>
  <c r="E522" i="5" s="1"/>
  <c r="E523" i="5" s="1"/>
  <c r="E524" i="5" s="1"/>
  <c r="E525" i="5" s="1"/>
  <c r="E526" i="5" s="1"/>
  <c r="E527" i="5" s="1"/>
  <c r="E528" i="5" s="1"/>
  <c r="E529" i="5" s="1"/>
  <c r="E530" i="5" s="1"/>
  <c r="E531" i="5" s="1"/>
  <c r="E532" i="5" s="1"/>
  <c r="E533" i="5" s="1"/>
  <c r="E534" i="5"/>
  <c r="E535" i="5"/>
  <c r="E536" i="5" s="1"/>
  <c r="E537" i="5" s="1"/>
  <c r="E538" i="5" s="1"/>
  <c r="E539" i="5" s="1"/>
  <c r="E540" i="5" s="1"/>
  <c r="E541" i="5" s="1"/>
  <c r="E542" i="5" s="1"/>
  <c r="E543" i="5"/>
  <c r="E544" i="5" s="1"/>
  <c r="E545" i="5" s="1"/>
  <c r="E546" i="5" s="1"/>
  <c r="E547" i="5" s="1"/>
  <c r="E548" i="5" s="1"/>
  <c r="E549" i="5" s="1"/>
  <c r="E550" i="5" s="1"/>
  <c r="E551" i="5" s="1"/>
  <c r="E552" i="5" s="1"/>
  <c r="E553" i="5" s="1"/>
  <c r="E554" i="5" s="1"/>
  <c r="E555" i="5" s="1"/>
  <c r="E556" i="5" s="1"/>
  <c r="E557" i="5" s="1"/>
  <c r="E558" i="5" s="1"/>
  <c r="E559" i="5" s="1"/>
  <c r="E560" i="5" s="1"/>
  <c r="E561" i="5" s="1"/>
  <c r="E562" i="5" s="1"/>
  <c r="E563" i="5" s="1"/>
  <c r="E564" i="5" s="1"/>
  <c r="E565" i="5" s="1"/>
  <c r="E566" i="5"/>
  <c r="E567" i="5" s="1"/>
  <c r="E568" i="5" s="1"/>
  <c r="E569" i="5"/>
  <c r="E570" i="5" s="1"/>
  <c r="E571" i="5" s="1"/>
  <c r="E572" i="5" s="1"/>
  <c r="E573" i="5" s="1"/>
  <c r="E574" i="5" s="1"/>
  <c r="E575" i="5" s="1"/>
  <c r="E576" i="5" s="1"/>
  <c r="E577" i="5" s="1"/>
  <c r="E578" i="5" s="1"/>
  <c r="E579" i="5" s="1"/>
  <c r="E580" i="5" s="1"/>
  <c r="E581" i="5" s="1"/>
  <c r="E582" i="5" s="1"/>
  <c r="E583" i="5" s="1"/>
  <c r="E584" i="5" s="1"/>
  <c r="E585" i="5" s="1"/>
  <c r="E586" i="5" s="1"/>
  <c r="E587" i="5" s="1"/>
  <c r="E588" i="5" s="1"/>
  <c r="E589" i="5" s="1"/>
  <c r="E590" i="5" s="1"/>
  <c r="E591" i="5" s="1"/>
  <c r="E592" i="5" s="1"/>
  <c r="E593" i="5" s="1"/>
  <c r="E594" i="5"/>
  <c r="E595" i="5" s="1"/>
  <c r="E596" i="5" s="1"/>
  <c r="E597" i="5" s="1"/>
  <c r="E598" i="5" s="1"/>
  <c r="E599" i="5" s="1"/>
  <c r="E600" i="5" s="1"/>
  <c r="E601" i="5" s="1"/>
  <c r="E602" i="5" s="1"/>
  <c r="E603" i="5" s="1"/>
  <c r="E604" i="5" s="1"/>
  <c r="E605" i="5" s="1"/>
  <c r="E606" i="5" s="1"/>
  <c r="E607" i="5" s="1"/>
  <c r="E608" i="5" s="1"/>
  <c r="E609" i="5" s="1"/>
  <c r="E610" i="5" s="1"/>
  <c r="E611" i="5" s="1"/>
  <c r="E612" i="5" s="1"/>
  <c r="E613" i="5" s="1"/>
  <c r="E614" i="5" s="1"/>
  <c r="E615" i="5"/>
  <c r="E616" i="5"/>
  <c r="E617" i="5"/>
  <c r="E618" i="5"/>
  <c r="E619" i="5"/>
  <c r="E620" i="5"/>
  <c r="E621" i="5" s="1"/>
  <c r="E622" i="5" s="1"/>
  <c r="E623" i="5" s="1"/>
  <c r="E624" i="5" s="1"/>
  <c r="E625" i="5" s="1"/>
  <c r="E626" i="5"/>
  <c r="E627" i="5"/>
  <c r="E628" i="5"/>
  <c r="E629" i="5"/>
  <c r="E630" i="5" s="1"/>
  <c r="E631" i="5" s="1"/>
  <c r="E632" i="5" s="1"/>
  <c r="E633" i="5" s="1"/>
  <c r="E634" i="5" s="1"/>
  <c r="E635" i="5" s="1"/>
  <c r="E636" i="5" s="1"/>
  <c r="E637" i="5" s="1"/>
  <c r="E638" i="5" s="1"/>
  <c r="E639" i="5" s="1"/>
  <c r="E640" i="5" s="1"/>
  <c r="E641" i="5" s="1"/>
  <c r="E642" i="5" s="1"/>
  <c r="E643" i="5" s="1"/>
  <c r="E644" i="5" s="1"/>
  <c r="E645" i="5" s="1"/>
  <c r="E646" i="5" s="1"/>
  <c r="E647" i="5" s="1"/>
  <c r="E648" i="5" s="1"/>
  <c r="E649" i="5" s="1"/>
  <c r="E650" i="5" s="1"/>
  <c r="E651" i="5" s="1"/>
  <c r="E652" i="5" s="1"/>
  <c r="E653" i="5" s="1"/>
  <c r="E654" i="5"/>
  <c r="E655" i="5" s="1"/>
  <c r="E656" i="5" s="1"/>
  <c r="E657" i="5" s="1"/>
  <c r="E658" i="5" s="1"/>
  <c r="E659" i="5" s="1"/>
  <c r="E660" i="5" s="1"/>
  <c r="E661" i="5" s="1"/>
  <c r="E662" i="5" s="1"/>
  <c r="E663" i="5" s="1"/>
  <c r="E664" i="5" s="1"/>
  <c r="E665" i="5" s="1"/>
  <c r="E666" i="5" s="1"/>
  <c r="E667" i="5" s="1"/>
  <c r="E668" i="5" s="1"/>
  <c r="E669" i="5" s="1"/>
  <c r="E670" i="5" s="1"/>
  <c r="E671" i="5" s="1"/>
  <c r="E672" i="5" s="1"/>
  <c r="E673" i="5" s="1"/>
  <c r="E674" i="5" s="1"/>
  <c r="E675" i="5" s="1"/>
  <c r="E676" i="5" s="1"/>
  <c r="E677" i="5" s="1"/>
  <c r="E678" i="5" s="1"/>
  <c r="E679" i="5"/>
  <c r="E680" i="5"/>
  <c r="E681" i="5"/>
  <c r="E682" i="5" s="1"/>
  <c r="E683" i="5" s="1"/>
  <c r="E684" i="5" s="1"/>
  <c r="E685" i="5" s="1"/>
  <c r="E686" i="5" s="1"/>
  <c r="E687" i="5" s="1"/>
  <c r="E688" i="5" s="1"/>
  <c r="E689" i="5" s="1"/>
  <c r="E690" i="5" s="1"/>
  <c r="E691" i="5" s="1"/>
  <c r="E692" i="5" s="1"/>
  <c r="E693" i="5" s="1"/>
  <c r="E694" i="5" s="1"/>
  <c r="E695" i="5" s="1"/>
  <c r="E696" i="5" s="1"/>
  <c r="E697" i="5" s="1"/>
  <c r="E698" i="5" s="1"/>
  <c r="E699" i="5" s="1"/>
  <c r="E700" i="5"/>
  <c r="E701" i="5" s="1"/>
  <c r="E702" i="5" s="1"/>
  <c r="E703" i="5" s="1"/>
  <c r="E704" i="5" s="1"/>
  <c r="E705" i="5" s="1"/>
  <c r="E706" i="5" s="1"/>
  <c r="E707" i="5" s="1"/>
  <c r="E708" i="5" s="1"/>
  <c r="E709" i="5" s="1"/>
  <c r="E710" i="5" s="1"/>
  <c r="E711" i="5" s="1"/>
  <c r="E712" i="5" s="1"/>
  <c r="E713" i="5" s="1"/>
  <c r="E714" i="5" s="1"/>
  <c r="E715" i="5" s="1"/>
  <c r="E716" i="5" s="1"/>
  <c r="E717" i="5" s="1"/>
  <c r="E718" i="5" s="1"/>
  <c r="E719" i="5" s="1"/>
  <c r="E720" i="5" s="1"/>
  <c r="E721" i="5" s="1"/>
  <c r="E722" i="5" s="1"/>
  <c r="E723" i="5" s="1"/>
  <c r="E724" i="5" s="1"/>
  <c r="E725" i="5"/>
  <c r="E726" i="5"/>
  <c r="E727" i="5" s="1"/>
  <c r="E728" i="5" s="1"/>
  <c r="E729" i="5"/>
  <c r="E730" i="5" s="1"/>
  <c r="E731" i="5" s="1"/>
  <c r="E732" i="5" s="1"/>
  <c r="E733" i="5" s="1"/>
  <c r="E734" i="5" s="1"/>
  <c r="E735" i="5" s="1"/>
  <c r="E736" i="5" s="1"/>
  <c r="E737" i="5" s="1"/>
  <c r="E738" i="5" s="1"/>
  <c r="E739" i="5" s="1"/>
  <c r="E740" i="5" s="1"/>
  <c r="E741" i="5" s="1"/>
  <c r="E742" i="5" s="1"/>
  <c r="E743" i="5" s="1"/>
  <c r="E744" i="5" s="1"/>
  <c r="E745" i="5" s="1"/>
  <c r="E746" i="5" s="1"/>
  <c r="E747" i="5" s="1"/>
  <c r="E748" i="5" s="1"/>
  <c r="E749" i="5" s="1"/>
  <c r="E750" i="5"/>
  <c r="E751" i="5" s="1"/>
  <c r="E752" i="5" s="1"/>
  <c r="E753" i="5"/>
  <c r="E754" i="5"/>
  <c r="E755" i="5"/>
  <c r="E756" i="5" s="1"/>
  <c r="E757" i="5" s="1"/>
  <c r="E758" i="5" s="1"/>
  <c r="E759" i="5" s="1"/>
  <c r="E760" i="5" s="1"/>
  <c r="E761" i="5" s="1"/>
  <c r="E762" i="5" s="1"/>
  <c r="E763" i="5" s="1"/>
  <c r="E764" i="5" s="1"/>
  <c r="E765" i="5" s="1"/>
  <c r="E766" i="5" s="1"/>
  <c r="E767" i="5"/>
  <c r="E768" i="5"/>
  <c r="E769" i="5" s="1"/>
  <c r="E770" i="5" s="1"/>
  <c r="E771" i="5" s="1"/>
  <c r="E772" i="5" s="1"/>
  <c r="E773" i="5" s="1"/>
  <c r="E774" i="5" s="1"/>
  <c r="E775" i="5" s="1"/>
  <c r="E776" i="5" s="1"/>
  <c r="E777" i="5"/>
  <c r="E778" i="5"/>
  <c r="E779" i="5"/>
  <c r="E780" i="5"/>
  <c r="E781" i="5"/>
  <c r="E782" i="5" s="1"/>
  <c r="E783" i="5" s="1"/>
  <c r="E784" i="5" s="1"/>
  <c r="E785" i="5" s="1"/>
  <c r="E786" i="5" s="1"/>
  <c r="E787" i="5" s="1"/>
  <c r="E788" i="5" s="1"/>
  <c r="E789" i="5" s="1"/>
  <c r="E790" i="5" s="1"/>
  <c r="E791" i="5" s="1"/>
  <c r="E792" i="5" s="1"/>
  <c r="E793" i="5" s="1"/>
  <c r="E794" i="5" s="1"/>
  <c r="E795" i="5" s="1"/>
  <c r="E796" i="5" s="1"/>
  <c r="E797" i="5" s="1"/>
  <c r="E798" i="5"/>
  <c r="E799" i="5"/>
  <c r="E800" i="5"/>
  <c r="E801" i="5" s="1"/>
  <c r="E802" i="5" s="1"/>
  <c r="E803" i="5" s="1"/>
  <c r="E804" i="5" s="1"/>
  <c r="E805" i="5" s="1"/>
  <c r="E806" i="5" s="1"/>
  <c r="E807" i="5" s="1"/>
  <c r="E808" i="5" s="1"/>
  <c r="E809" i="5" s="1"/>
  <c r="E810" i="5" s="1"/>
  <c r="E811" i="5" s="1"/>
  <c r="E812" i="5" s="1"/>
  <c r="E813" i="5" s="1"/>
  <c r="E814" i="5" s="1"/>
  <c r="E815" i="5" s="1"/>
  <c r="E816" i="5" s="1"/>
  <c r="E817" i="5" s="1"/>
  <c r="E818" i="5" s="1"/>
  <c r="E819" i="5" s="1"/>
  <c r="E820" i="5" s="1"/>
  <c r="E821" i="5" s="1"/>
  <c r="E822" i="5" s="1"/>
  <c r="E823" i="5"/>
  <c r="E824" i="5"/>
  <c r="E825" i="5" s="1"/>
  <c r="E826" i="5" s="1"/>
  <c r="E827" i="5" s="1"/>
  <c r="E828" i="5" s="1"/>
  <c r="E829" i="5" s="1"/>
  <c r="E830" i="5" s="1"/>
  <c r="E831" i="5"/>
  <c r="E832" i="5"/>
  <c r="E833" i="5" s="1"/>
  <c r="E834" i="5" s="1"/>
  <c r="E835" i="5" s="1"/>
  <c r="E836" i="5" s="1"/>
  <c r="E837" i="5" s="1"/>
  <c r="E838" i="5" s="1"/>
  <c r="E839" i="5" s="1"/>
  <c r="E840" i="5"/>
  <c r="E841" i="5" s="1"/>
  <c r="E842" i="5" s="1"/>
  <c r="E843" i="5"/>
  <c r="E844" i="5"/>
  <c r="E845" i="5" s="1"/>
  <c r="E846" i="5" s="1"/>
  <c r="E847" i="5" s="1"/>
  <c r="E848" i="5" s="1"/>
  <c r="E849" i="5" s="1"/>
  <c r="E850" i="5" s="1"/>
  <c r="E851" i="5"/>
  <c r="E852" i="5"/>
  <c r="E853" i="5" s="1"/>
  <c r="E854" i="5" s="1"/>
  <c r="E855" i="5" s="1"/>
  <c r="E856" i="5" s="1"/>
  <c r="E857" i="5" s="1"/>
  <c r="E858" i="5" s="1"/>
  <c r="E859" i="5" s="1"/>
  <c r="E860" i="5" s="1"/>
  <c r="E861" i="5" s="1"/>
  <c r="E862" i="5" s="1"/>
  <c r="E863" i="5" s="1"/>
  <c r="E864" i="5" s="1"/>
  <c r="E865" i="5" s="1"/>
  <c r="E866" i="5" s="1"/>
  <c r="E867" i="5" s="1"/>
  <c r="E868" i="5" s="1"/>
  <c r="E869" i="5" s="1"/>
  <c r="E870" i="5"/>
  <c r="E871" i="5"/>
  <c r="E872" i="5"/>
  <c r="E873" i="5" s="1"/>
  <c r="E874" i="5" s="1"/>
  <c r="E875" i="5" s="1"/>
  <c r="E876" i="5" s="1"/>
  <c r="E877" i="5" s="1"/>
  <c r="E878" i="5" s="1"/>
  <c r="E879" i="5"/>
  <c r="E880" i="5"/>
  <c r="E881" i="5" s="1"/>
  <c r="E882" i="5" s="1"/>
  <c r="E883" i="5" s="1"/>
  <c r="E884" i="5" s="1"/>
  <c r="E885" i="5" s="1"/>
  <c r="E886" i="5" s="1"/>
  <c r="E887" i="5" s="1"/>
  <c r="E888" i="5" s="1"/>
  <c r="E889" i="5"/>
  <c r="E890" i="5"/>
  <c r="E891" i="5"/>
  <c r="E892" i="5"/>
  <c r="E893" i="5" s="1"/>
  <c r="E894" i="5" s="1"/>
  <c r="E895" i="5" s="1"/>
  <c r="E896" i="5" s="1"/>
  <c r="E897" i="5" s="1"/>
  <c r="E898" i="5" s="1"/>
  <c r="E899" i="5" s="1"/>
  <c r="E900" i="5" s="1"/>
  <c r="E901" i="5" s="1"/>
  <c r="E902" i="5" s="1"/>
  <c r="E903" i="5" s="1"/>
  <c r="E904" i="5"/>
  <c r="E905" i="5" s="1"/>
  <c r="E906" i="5" s="1"/>
  <c r="E907" i="5" s="1"/>
  <c r="E908" i="5" s="1"/>
  <c r="E909" i="5" s="1"/>
  <c r="E910" i="5"/>
  <c r="E911" i="5"/>
  <c r="E912" i="5"/>
  <c r="E913" i="5" s="1"/>
  <c r="E914" i="5" s="1"/>
  <c r="E915" i="5" s="1"/>
  <c r="E916" i="5" s="1"/>
  <c r="E917" i="5" s="1"/>
  <c r="E918" i="5" s="1"/>
  <c r="E919" i="5" s="1"/>
  <c r="E920" i="5" s="1"/>
  <c r="E921" i="5" s="1"/>
  <c r="E922" i="5" s="1"/>
  <c r="E923" i="5" s="1"/>
  <c r="E924" i="5" s="1"/>
  <c r="E925" i="5" s="1"/>
  <c r="E926" i="5" s="1"/>
  <c r="E927" i="5" s="1"/>
  <c r="E928" i="5" s="1"/>
  <c r="E929" i="5" s="1"/>
  <c r="E930" i="5" s="1"/>
  <c r="E931" i="5" s="1"/>
  <c r="E932" i="5" s="1"/>
  <c r="E933" i="5" s="1"/>
  <c r="E934" i="5" s="1"/>
  <c r="E935" i="5"/>
  <c r="E936" i="5"/>
  <c r="E937" i="5" s="1"/>
  <c r="E938" i="5" s="1"/>
  <c r="E939" i="5"/>
  <c r="E940" i="5"/>
  <c r="E941" i="5" s="1"/>
  <c r="E942" i="5"/>
  <c r="E943" i="5"/>
  <c r="E944" i="5"/>
  <c r="E945" i="5" s="1"/>
  <c r="E946" i="5" s="1"/>
  <c r="E947" i="5" s="1"/>
  <c r="E948" i="5" s="1"/>
  <c r="E949" i="5" s="1"/>
  <c r="E950" i="5" s="1"/>
  <c r="E951" i="5" s="1"/>
  <c r="E952" i="5" s="1"/>
  <c r="E953" i="5" s="1"/>
  <c r="E954" i="5" s="1"/>
  <c r="E955" i="5" s="1"/>
  <c r="E956" i="5" s="1"/>
  <c r="E957" i="5" s="1"/>
  <c r="E958" i="5" s="1"/>
  <c r="E959" i="5" s="1"/>
  <c r="E960" i="5" s="1"/>
  <c r="E961" i="5" s="1"/>
  <c r="E962" i="5" s="1"/>
  <c r="E963" i="5" s="1"/>
  <c r="E964" i="5" s="1"/>
  <c r="E965" i="5" s="1"/>
  <c r="E2" i="5"/>
  <c r="D2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155" i="5"/>
  <c r="D156" i="5"/>
  <c r="D157" i="5"/>
  <c r="D158" i="5"/>
  <c r="D159" i="5"/>
  <c r="D160" i="5"/>
  <c r="D161" i="5"/>
  <c r="D162" i="5"/>
  <c r="D163" i="5"/>
  <c r="D164" i="5"/>
  <c r="D165" i="5"/>
  <c r="D166" i="5"/>
  <c r="D167" i="5"/>
  <c r="D168" i="5"/>
  <c r="D169" i="5"/>
  <c r="D170" i="5"/>
  <c r="D171" i="5"/>
  <c r="D172" i="5"/>
  <c r="D173" i="5"/>
  <c r="D174" i="5"/>
  <c r="D175" i="5"/>
  <c r="D176" i="5"/>
  <c r="D177" i="5"/>
  <c r="D178" i="5"/>
  <c r="D179" i="5"/>
  <c r="D180" i="5"/>
  <c r="D181" i="5"/>
  <c r="D182" i="5"/>
  <c r="D183" i="5"/>
  <c r="D184" i="5"/>
  <c r="D185" i="5"/>
  <c r="D186" i="5"/>
  <c r="D187" i="5"/>
  <c r="D188" i="5"/>
  <c r="D189" i="5"/>
  <c r="D190" i="5"/>
  <c r="D191" i="5"/>
  <c r="D192" i="5"/>
  <c r="D193" i="5"/>
  <c r="D194" i="5"/>
  <c r="D195" i="5"/>
  <c r="D196" i="5"/>
  <c r="D197" i="5"/>
  <c r="D198" i="5"/>
  <c r="D199" i="5"/>
  <c r="D200" i="5"/>
  <c r="D201" i="5"/>
  <c r="D202" i="5"/>
  <c r="D203" i="5"/>
  <c r="D204" i="5"/>
  <c r="D205" i="5"/>
  <c r="D206" i="5"/>
  <c r="D207" i="5"/>
  <c r="D208" i="5"/>
  <c r="D209" i="5"/>
  <c r="D210" i="5"/>
  <c r="D211" i="5"/>
  <c r="D212" i="5"/>
  <c r="D213" i="5"/>
  <c r="D214" i="5"/>
  <c r="D215" i="5"/>
  <c r="D216" i="5"/>
  <c r="D217" i="5"/>
  <c r="D218" i="5"/>
  <c r="D219" i="5"/>
  <c r="D220" i="5"/>
  <c r="D221" i="5"/>
  <c r="D222" i="5"/>
  <c r="D223" i="5"/>
  <c r="D224" i="5"/>
  <c r="D225" i="5"/>
  <c r="D226" i="5"/>
  <c r="D227" i="5"/>
  <c r="D228" i="5"/>
  <c r="D229" i="5"/>
  <c r="D230" i="5"/>
  <c r="D231" i="5"/>
  <c r="D232" i="5"/>
  <c r="D233" i="5"/>
  <c r="D234" i="5"/>
  <c r="D235" i="5"/>
  <c r="D236" i="5"/>
  <c r="D237" i="5"/>
  <c r="D238" i="5"/>
  <c r="D239" i="5"/>
  <c r="D240" i="5"/>
  <c r="D241" i="5"/>
  <c r="D242" i="5"/>
  <c r="D243" i="5"/>
  <c r="D244" i="5"/>
  <c r="D245" i="5"/>
  <c r="D246" i="5"/>
  <c r="D247" i="5"/>
  <c r="D248" i="5"/>
  <c r="D249" i="5"/>
  <c r="D250" i="5"/>
  <c r="D251" i="5"/>
  <c r="D252" i="5"/>
  <c r="D253" i="5"/>
  <c r="D254" i="5"/>
  <c r="D255" i="5"/>
  <c r="D256" i="5"/>
  <c r="D257" i="5"/>
  <c r="D258" i="5"/>
  <c r="D259" i="5"/>
  <c r="D260" i="5"/>
  <c r="D261" i="5"/>
  <c r="D262" i="5"/>
  <c r="D263" i="5"/>
  <c r="D264" i="5"/>
  <c r="D265" i="5"/>
  <c r="D266" i="5"/>
  <c r="D267" i="5"/>
  <c r="D268" i="5"/>
  <c r="D269" i="5"/>
  <c r="D270" i="5"/>
  <c r="D271" i="5"/>
  <c r="D272" i="5"/>
  <c r="D273" i="5"/>
  <c r="D274" i="5"/>
  <c r="D275" i="5"/>
  <c r="D276" i="5"/>
  <c r="D277" i="5"/>
  <c r="D278" i="5"/>
  <c r="D279" i="5"/>
  <c r="D280" i="5"/>
  <c r="D281" i="5"/>
  <c r="D282" i="5"/>
  <c r="D283" i="5"/>
  <c r="D284" i="5"/>
  <c r="D285" i="5"/>
  <c r="D286" i="5"/>
  <c r="D287" i="5"/>
  <c r="D288" i="5"/>
  <c r="D289" i="5"/>
  <c r="D290" i="5"/>
  <c r="D291" i="5"/>
  <c r="D292" i="5"/>
  <c r="D293" i="5"/>
  <c r="D294" i="5"/>
  <c r="D295" i="5"/>
  <c r="D296" i="5"/>
  <c r="D297" i="5"/>
  <c r="D298" i="5"/>
  <c r="D299" i="5"/>
  <c r="D300" i="5"/>
  <c r="D301" i="5"/>
  <c r="D302" i="5"/>
  <c r="D303" i="5"/>
  <c r="D304" i="5"/>
  <c r="D305" i="5"/>
  <c r="D306" i="5"/>
  <c r="D307" i="5"/>
  <c r="D308" i="5"/>
  <c r="D309" i="5"/>
  <c r="D310" i="5"/>
  <c r="D311" i="5"/>
  <c r="D312" i="5"/>
  <c r="D313" i="5"/>
  <c r="D314" i="5"/>
  <c r="D315" i="5"/>
  <c r="D316" i="5"/>
  <c r="D317" i="5"/>
  <c r="D318" i="5"/>
  <c r="D319" i="5"/>
  <c r="D320" i="5"/>
  <c r="D321" i="5"/>
  <c r="D322" i="5"/>
  <c r="D323" i="5"/>
  <c r="D324" i="5"/>
  <c r="D325" i="5"/>
  <c r="D326" i="5"/>
  <c r="D327" i="5"/>
  <c r="D328" i="5"/>
  <c r="D329" i="5"/>
  <c r="D330" i="5"/>
  <c r="D331" i="5"/>
  <c r="D332" i="5"/>
  <c r="D333" i="5"/>
  <c r="D334" i="5"/>
  <c r="D335" i="5"/>
  <c r="D336" i="5"/>
  <c r="D337" i="5"/>
  <c r="D338" i="5"/>
  <c r="D339" i="5"/>
  <c r="D340" i="5"/>
  <c r="D341" i="5"/>
  <c r="D342" i="5"/>
  <c r="D343" i="5"/>
  <c r="D344" i="5"/>
  <c r="D345" i="5"/>
  <c r="D346" i="5"/>
  <c r="D347" i="5"/>
  <c r="D348" i="5"/>
  <c r="D349" i="5"/>
  <c r="D350" i="5"/>
  <c r="D351" i="5"/>
  <c r="D352" i="5"/>
  <c r="D353" i="5"/>
  <c r="D354" i="5"/>
  <c r="D355" i="5"/>
  <c r="D356" i="5"/>
  <c r="D357" i="5"/>
  <c r="D358" i="5"/>
  <c r="D359" i="5"/>
  <c r="D360" i="5"/>
  <c r="D361" i="5"/>
  <c r="D362" i="5"/>
  <c r="D363" i="5"/>
  <c r="D364" i="5"/>
  <c r="D365" i="5"/>
  <c r="D366" i="5"/>
  <c r="D367" i="5"/>
  <c r="D368" i="5"/>
  <c r="D369" i="5"/>
  <c r="D370" i="5"/>
  <c r="D371" i="5"/>
  <c r="D372" i="5"/>
  <c r="D373" i="5"/>
  <c r="D374" i="5"/>
  <c r="D375" i="5"/>
  <c r="D376" i="5"/>
  <c r="D377" i="5"/>
  <c r="D378" i="5"/>
  <c r="D379" i="5"/>
  <c r="D380" i="5"/>
  <c r="D381" i="5"/>
  <c r="D382" i="5"/>
  <c r="D383" i="5"/>
  <c r="D384" i="5"/>
  <c r="D385" i="5"/>
  <c r="D386" i="5"/>
  <c r="D387" i="5"/>
  <c r="D388" i="5"/>
  <c r="D389" i="5"/>
  <c r="D390" i="5"/>
  <c r="D391" i="5"/>
  <c r="D392" i="5"/>
  <c r="D393" i="5"/>
  <c r="D394" i="5"/>
  <c r="D395" i="5"/>
  <c r="D396" i="5"/>
  <c r="D397" i="5"/>
  <c r="D398" i="5"/>
  <c r="D399" i="5"/>
  <c r="D400" i="5"/>
  <c r="D401" i="5"/>
  <c r="D402" i="5"/>
  <c r="D403" i="5"/>
  <c r="D404" i="5"/>
  <c r="D405" i="5"/>
  <c r="D406" i="5"/>
  <c r="D407" i="5"/>
  <c r="D408" i="5"/>
  <c r="D409" i="5"/>
  <c r="D410" i="5"/>
  <c r="D411" i="5"/>
  <c r="D412" i="5"/>
  <c r="D413" i="5"/>
  <c r="D414" i="5"/>
  <c r="D415" i="5"/>
  <c r="D416" i="5"/>
  <c r="D417" i="5"/>
  <c r="D418" i="5"/>
  <c r="D419" i="5"/>
  <c r="D420" i="5"/>
  <c r="D421" i="5"/>
  <c r="D422" i="5"/>
  <c r="D423" i="5"/>
  <c r="D424" i="5"/>
  <c r="D425" i="5"/>
  <c r="D426" i="5"/>
  <c r="D427" i="5"/>
  <c r="D428" i="5"/>
  <c r="D429" i="5"/>
  <c r="D430" i="5"/>
  <c r="D431" i="5"/>
  <c r="D432" i="5"/>
  <c r="D433" i="5"/>
  <c r="D434" i="5"/>
  <c r="D435" i="5"/>
  <c r="D436" i="5"/>
  <c r="D437" i="5"/>
  <c r="D438" i="5"/>
  <c r="D439" i="5"/>
  <c r="D440" i="5"/>
  <c r="D441" i="5"/>
  <c r="D442" i="5"/>
  <c r="D443" i="5"/>
  <c r="D444" i="5"/>
  <c r="D445" i="5"/>
  <c r="D446" i="5"/>
  <c r="D447" i="5"/>
  <c r="D448" i="5"/>
  <c r="D449" i="5"/>
  <c r="D450" i="5"/>
  <c r="D451" i="5"/>
  <c r="D452" i="5"/>
  <c r="D453" i="5"/>
  <c r="D454" i="5"/>
  <c r="D455" i="5"/>
  <c r="D456" i="5"/>
  <c r="D457" i="5"/>
  <c r="D458" i="5"/>
  <c r="D459" i="5"/>
  <c r="D460" i="5"/>
  <c r="D461" i="5"/>
  <c r="D462" i="5"/>
  <c r="D463" i="5"/>
  <c r="D464" i="5"/>
  <c r="D465" i="5"/>
  <c r="D466" i="5"/>
  <c r="D467" i="5"/>
  <c r="D468" i="5"/>
  <c r="D469" i="5"/>
  <c r="D470" i="5"/>
  <c r="D471" i="5"/>
  <c r="D472" i="5"/>
  <c r="D473" i="5"/>
  <c r="D474" i="5"/>
  <c r="D475" i="5"/>
  <c r="D476" i="5"/>
  <c r="D477" i="5"/>
  <c r="D478" i="5"/>
  <c r="D479" i="5"/>
  <c r="D480" i="5"/>
  <c r="D481" i="5"/>
  <c r="D482" i="5"/>
  <c r="D483" i="5"/>
  <c r="D484" i="5"/>
  <c r="D485" i="5"/>
  <c r="D486" i="5"/>
  <c r="D487" i="5"/>
  <c r="D488" i="5"/>
  <c r="D489" i="5"/>
  <c r="D490" i="5"/>
  <c r="D491" i="5"/>
  <c r="D492" i="5"/>
  <c r="D493" i="5"/>
  <c r="D494" i="5"/>
  <c r="D495" i="5"/>
  <c r="D496" i="5"/>
  <c r="D497" i="5"/>
  <c r="D498" i="5"/>
  <c r="D499" i="5"/>
  <c r="D500" i="5"/>
  <c r="D501" i="5"/>
  <c r="D502" i="5"/>
  <c r="D503" i="5"/>
  <c r="D504" i="5"/>
  <c r="D505" i="5"/>
  <c r="D506" i="5"/>
  <c r="D507" i="5"/>
  <c r="D508" i="5"/>
  <c r="D509" i="5"/>
  <c r="D510" i="5"/>
  <c r="D511" i="5"/>
  <c r="D512" i="5"/>
  <c r="D513" i="5"/>
  <c r="D514" i="5"/>
  <c r="D515" i="5"/>
  <c r="D516" i="5"/>
  <c r="D517" i="5"/>
  <c r="D518" i="5"/>
  <c r="D519" i="5"/>
  <c r="D520" i="5"/>
  <c r="D521" i="5"/>
  <c r="D522" i="5"/>
  <c r="D523" i="5"/>
  <c r="D524" i="5"/>
  <c r="D525" i="5"/>
  <c r="D526" i="5"/>
  <c r="D527" i="5"/>
  <c r="D528" i="5"/>
  <c r="D529" i="5"/>
  <c r="D530" i="5"/>
  <c r="D531" i="5"/>
  <c r="D532" i="5"/>
  <c r="D533" i="5"/>
  <c r="D534" i="5"/>
  <c r="D535" i="5"/>
  <c r="D536" i="5"/>
  <c r="D537" i="5"/>
  <c r="D538" i="5"/>
  <c r="D539" i="5"/>
  <c r="D540" i="5"/>
  <c r="D541" i="5"/>
  <c r="D542" i="5"/>
  <c r="D543" i="5"/>
  <c r="D544" i="5"/>
  <c r="D545" i="5"/>
  <c r="D546" i="5"/>
  <c r="D547" i="5"/>
  <c r="D548" i="5"/>
  <c r="D549" i="5"/>
  <c r="D550" i="5"/>
  <c r="D551" i="5"/>
  <c r="D552" i="5"/>
  <c r="D553" i="5"/>
  <c r="D554" i="5"/>
  <c r="D555" i="5"/>
  <c r="D556" i="5"/>
  <c r="D557" i="5"/>
  <c r="D558" i="5"/>
  <c r="D559" i="5"/>
  <c r="D560" i="5"/>
  <c r="D561" i="5"/>
  <c r="D562" i="5"/>
  <c r="D563" i="5"/>
  <c r="D564" i="5"/>
  <c r="D565" i="5"/>
  <c r="D566" i="5"/>
  <c r="D567" i="5"/>
  <c r="D568" i="5"/>
  <c r="D569" i="5"/>
  <c r="D570" i="5"/>
  <c r="D571" i="5"/>
  <c r="D572" i="5"/>
  <c r="D573" i="5"/>
  <c r="D574" i="5"/>
  <c r="D575" i="5"/>
  <c r="D576" i="5"/>
  <c r="D577" i="5"/>
  <c r="D578" i="5"/>
  <c r="D579" i="5"/>
  <c r="D580" i="5"/>
  <c r="D581" i="5"/>
  <c r="D582" i="5"/>
  <c r="D583" i="5"/>
  <c r="D584" i="5"/>
  <c r="D585" i="5"/>
  <c r="D586" i="5"/>
  <c r="D587" i="5"/>
  <c r="D588" i="5"/>
  <c r="D589" i="5"/>
  <c r="D590" i="5"/>
  <c r="D591" i="5"/>
  <c r="D592" i="5"/>
  <c r="D593" i="5"/>
  <c r="D594" i="5"/>
  <c r="D595" i="5"/>
  <c r="D596" i="5"/>
  <c r="D597" i="5"/>
  <c r="D598" i="5"/>
  <c r="D599" i="5"/>
  <c r="D600" i="5"/>
  <c r="D601" i="5"/>
  <c r="D602" i="5"/>
  <c r="D603" i="5"/>
  <c r="D604" i="5"/>
  <c r="D605" i="5"/>
  <c r="D606" i="5"/>
  <c r="D607" i="5"/>
  <c r="D608" i="5"/>
  <c r="D609" i="5"/>
  <c r="D610" i="5"/>
  <c r="D611" i="5"/>
  <c r="D612" i="5"/>
  <c r="D613" i="5"/>
  <c r="D614" i="5"/>
  <c r="D615" i="5"/>
  <c r="D616" i="5"/>
  <c r="D617" i="5"/>
  <c r="D618" i="5"/>
  <c r="D619" i="5"/>
  <c r="D620" i="5"/>
  <c r="D621" i="5"/>
  <c r="D622" i="5"/>
  <c r="D623" i="5"/>
  <c r="D624" i="5"/>
  <c r="D625" i="5"/>
  <c r="D626" i="5"/>
  <c r="D627" i="5"/>
  <c r="D628" i="5"/>
  <c r="D629" i="5"/>
  <c r="D630" i="5"/>
  <c r="D631" i="5"/>
  <c r="D632" i="5"/>
  <c r="D633" i="5"/>
  <c r="D634" i="5"/>
  <c r="D635" i="5"/>
  <c r="D636" i="5"/>
  <c r="D637" i="5"/>
  <c r="D638" i="5"/>
  <c r="D639" i="5"/>
  <c r="D640" i="5"/>
  <c r="D641" i="5"/>
  <c r="D642" i="5"/>
  <c r="D643" i="5"/>
  <c r="D644" i="5"/>
  <c r="D645" i="5"/>
  <c r="D646" i="5"/>
  <c r="D647" i="5"/>
  <c r="D648" i="5"/>
  <c r="D649" i="5"/>
  <c r="D650" i="5"/>
  <c r="D651" i="5"/>
  <c r="D652" i="5"/>
  <c r="D653" i="5"/>
  <c r="D654" i="5"/>
  <c r="D655" i="5"/>
  <c r="D656" i="5"/>
  <c r="D657" i="5"/>
  <c r="D658" i="5"/>
  <c r="D659" i="5"/>
  <c r="D660" i="5"/>
  <c r="D661" i="5"/>
  <c r="D662" i="5"/>
  <c r="D663" i="5"/>
  <c r="D664" i="5"/>
  <c r="D665" i="5"/>
  <c r="D666" i="5"/>
  <c r="D667" i="5"/>
  <c r="D668" i="5"/>
  <c r="D669" i="5"/>
  <c r="D670" i="5"/>
  <c r="D671" i="5"/>
  <c r="D672" i="5"/>
  <c r="D673" i="5"/>
  <c r="D674" i="5"/>
  <c r="D675" i="5"/>
  <c r="D676" i="5"/>
  <c r="D677" i="5"/>
  <c r="D678" i="5"/>
  <c r="D679" i="5"/>
  <c r="D680" i="5"/>
  <c r="D681" i="5"/>
  <c r="D682" i="5"/>
  <c r="D683" i="5"/>
  <c r="D684" i="5"/>
  <c r="D685" i="5"/>
  <c r="D686" i="5"/>
  <c r="D687" i="5"/>
  <c r="D688" i="5"/>
  <c r="D689" i="5"/>
  <c r="D690" i="5"/>
  <c r="D691" i="5"/>
  <c r="D692" i="5"/>
  <c r="D693" i="5"/>
  <c r="D694" i="5"/>
  <c r="D695" i="5"/>
  <c r="D696" i="5"/>
  <c r="D697" i="5"/>
  <c r="D698" i="5"/>
  <c r="D699" i="5"/>
  <c r="D700" i="5"/>
  <c r="D701" i="5"/>
  <c r="D702" i="5"/>
  <c r="D703" i="5"/>
  <c r="D704" i="5"/>
  <c r="D705" i="5"/>
  <c r="D706" i="5"/>
  <c r="D707" i="5"/>
  <c r="D708" i="5"/>
  <c r="D709" i="5"/>
  <c r="D710" i="5"/>
  <c r="D711" i="5"/>
  <c r="D712" i="5"/>
  <c r="D713" i="5"/>
  <c r="D714" i="5"/>
  <c r="D715" i="5"/>
  <c r="D716" i="5"/>
  <c r="D717" i="5"/>
  <c r="D718" i="5"/>
  <c r="D719" i="5"/>
  <c r="D720" i="5"/>
  <c r="D721" i="5"/>
  <c r="D722" i="5"/>
  <c r="D723" i="5"/>
  <c r="D724" i="5"/>
  <c r="D725" i="5"/>
  <c r="D726" i="5"/>
  <c r="D727" i="5"/>
  <c r="D728" i="5"/>
  <c r="D729" i="5"/>
  <c r="D730" i="5"/>
  <c r="D731" i="5"/>
  <c r="D732" i="5"/>
  <c r="D733" i="5"/>
  <c r="D734" i="5"/>
  <c r="D735" i="5"/>
  <c r="D736" i="5"/>
  <c r="D737" i="5"/>
  <c r="D738" i="5"/>
  <c r="D739" i="5"/>
  <c r="D740" i="5"/>
  <c r="D741" i="5"/>
  <c r="D742" i="5"/>
  <c r="D743" i="5"/>
  <c r="D744" i="5"/>
  <c r="D745" i="5"/>
  <c r="D746" i="5"/>
  <c r="D747" i="5"/>
  <c r="D748" i="5"/>
  <c r="D749" i="5"/>
  <c r="D750" i="5"/>
  <c r="D751" i="5"/>
  <c r="D752" i="5"/>
  <c r="D753" i="5"/>
  <c r="D754" i="5"/>
  <c r="D755" i="5"/>
  <c r="D756" i="5"/>
  <c r="D757" i="5"/>
  <c r="D758" i="5"/>
  <c r="D759" i="5"/>
  <c r="D760" i="5"/>
  <c r="D761" i="5"/>
  <c r="D762" i="5"/>
  <c r="D763" i="5"/>
  <c r="D764" i="5"/>
  <c r="D765" i="5"/>
  <c r="D766" i="5"/>
  <c r="D767" i="5"/>
  <c r="D768" i="5"/>
  <c r="D769" i="5"/>
  <c r="D770" i="5"/>
  <c r="D771" i="5"/>
  <c r="D772" i="5"/>
  <c r="D773" i="5"/>
  <c r="D774" i="5"/>
  <c r="D775" i="5"/>
  <c r="D776" i="5"/>
  <c r="D777" i="5"/>
  <c r="D778" i="5"/>
  <c r="D779" i="5"/>
  <c r="D780" i="5"/>
  <c r="D781" i="5"/>
  <c r="D782" i="5"/>
  <c r="D783" i="5"/>
  <c r="D784" i="5"/>
  <c r="D785" i="5"/>
  <c r="D786" i="5"/>
  <c r="D787" i="5"/>
  <c r="D788" i="5"/>
  <c r="D789" i="5"/>
  <c r="D790" i="5"/>
  <c r="D791" i="5"/>
  <c r="D792" i="5"/>
  <c r="D793" i="5"/>
  <c r="D794" i="5"/>
  <c r="D795" i="5"/>
  <c r="D796" i="5"/>
  <c r="D797" i="5"/>
  <c r="D798" i="5"/>
  <c r="D799" i="5"/>
  <c r="D800" i="5"/>
  <c r="D801" i="5"/>
  <c r="D802" i="5"/>
  <c r="D803" i="5"/>
  <c r="D804" i="5"/>
  <c r="D805" i="5"/>
  <c r="D806" i="5"/>
  <c r="D807" i="5"/>
  <c r="D808" i="5"/>
  <c r="D809" i="5"/>
  <c r="D810" i="5"/>
  <c r="D811" i="5"/>
  <c r="D812" i="5"/>
  <c r="D813" i="5"/>
  <c r="D814" i="5"/>
  <c r="D815" i="5"/>
  <c r="D816" i="5"/>
  <c r="D817" i="5"/>
  <c r="D818" i="5"/>
  <c r="D819" i="5"/>
  <c r="D820" i="5"/>
  <c r="D821" i="5"/>
  <c r="D822" i="5"/>
  <c r="D823" i="5"/>
  <c r="D824" i="5"/>
  <c r="D825" i="5"/>
  <c r="D826" i="5"/>
  <c r="D827" i="5"/>
  <c r="D828" i="5"/>
  <c r="D829" i="5"/>
  <c r="D830" i="5"/>
  <c r="D831" i="5"/>
  <c r="D832" i="5"/>
  <c r="D833" i="5"/>
  <c r="D834" i="5"/>
  <c r="D835" i="5"/>
  <c r="D836" i="5"/>
  <c r="D837" i="5"/>
  <c r="D838" i="5"/>
  <c r="D839" i="5"/>
  <c r="D840" i="5"/>
  <c r="D841" i="5"/>
  <c r="D842" i="5"/>
  <c r="D843" i="5"/>
  <c r="D844" i="5"/>
  <c r="D845" i="5"/>
  <c r="D846" i="5"/>
  <c r="D847" i="5"/>
  <c r="D848" i="5"/>
  <c r="D849" i="5"/>
  <c r="D850" i="5"/>
  <c r="D851" i="5"/>
  <c r="D852" i="5"/>
  <c r="D853" i="5"/>
  <c r="D854" i="5"/>
  <c r="D855" i="5"/>
  <c r="D856" i="5"/>
  <c r="D857" i="5"/>
  <c r="D858" i="5"/>
  <c r="D859" i="5"/>
  <c r="D860" i="5"/>
  <c r="D861" i="5"/>
  <c r="D862" i="5"/>
  <c r="D863" i="5"/>
  <c r="D864" i="5"/>
  <c r="D865" i="5"/>
  <c r="D866" i="5"/>
  <c r="D867" i="5"/>
  <c r="D868" i="5"/>
  <c r="D869" i="5"/>
  <c r="D870" i="5"/>
  <c r="D871" i="5"/>
  <c r="D872" i="5"/>
  <c r="D873" i="5"/>
  <c r="D874" i="5"/>
  <c r="D875" i="5"/>
  <c r="D876" i="5"/>
  <c r="D877" i="5"/>
  <c r="D878" i="5"/>
  <c r="D879" i="5"/>
  <c r="D880" i="5"/>
  <c r="D881" i="5"/>
  <c r="D882" i="5"/>
  <c r="D883" i="5"/>
  <c r="D884" i="5"/>
  <c r="D885" i="5"/>
  <c r="D886" i="5"/>
  <c r="D887" i="5"/>
  <c r="D888" i="5"/>
  <c r="D889" i="5"/>
  <c r="D890" i="5"/>
  <c r="D891" i="5"/>
  <c r="D892" i="5"/>
  <c r="D893" i="5"/>
  <c r="D894" i="5"/>
  <c r="D895" i="5"/>
  <c r="D896" i="5"/>
  <c r="D897" i="5"/>
  <c r="D898" i="5"/>
  <c r="D899" i="5"/>
  <c r="D900" i="5"/>
  <c r="D901" i="5"/>
  <c r="D902" i="5"/>
  <c r="D903" i="5"/>
  <c r="D904" i="5"/>
  <c r="D905" i="5"/>
  <c r="D906" i="5"/>
  <c r="D907" i="5"/>
  <c r="D908" i="5"/>
  <c r="D909" i="5"/>
  <c r="D910" i="5"/>
  <c r="D911" i="5"/>
  <c r="D912" i="5"/>
  <c r="D913" i="5"/>
  <c r="D914" i="5"/>
  <c r="D915" i="5"/>
  <c r="D916" i="5"/>
  <c r="D917" i="5"/>
  <c r="D918" i="5"/>
  <c r="D919" i="5"/>
  <c r="D920" i="5"/>
  <c r="D921" i="5"/>
  <c r="D922" i="5"/>
  <c r="D923" i="5"/>
  <c r="D924" i="5"/>
  <c r="D925" i="5"/>
  <c r="D926" i="5"/>
  <c r="D927" i="5"/>
  <c r="D928" i="5"/>
  <c r="D929" i="5"/>
  <c r="D930" i="5"/>
  <c r="D931" i="5"/>
  <c r="D932" i="5"/>
  <c r="D933" i="5"/>
  <c r="D934" i="5"/>
  <c r="D935" i="5"/>
  <c r="D936" i="5"/>
  <c r="D937" i="5"/>
  <c r="D938" i="5"/>
  <c r="D939" i="5"/>
  <c r="D940" i="5"/>
  <c r="D941" i="5"/>
  <c r="D942" i="5"/>
  <c r="D943" i="5"/>
  <c r="D944" i="5"/>
  <c r="D945" i="5"/>
  <c r="D946" i="5"/>
  <c r="D947" i="5"/>
  <c r="D948" i="5"/>
  <c r="D949" i="5"/>
  <c r="D950" i="5"/>
  <c r="D951" i="5"/>
  <c r="D952" i="5"/>
  <c r="D953" i="5"/>
  <c r="D954" i="5"/>
  <c r="D955" i="5"/>
  <c r="D956" i="5"/>
  <c r="D957" i="5"/>
  <c r="D958" i="5"/>
  <c r="D959" i="5"/>
  <c r="D960" i="5"/>
  <c r="D961" i="5"/>
  <c r="D962" i="5"/>
  <c r="D963" i="5"/>
  <c r="D964" i="5"/>
  <c r="D965" i="5"/>
  <c r="D1" i="5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33" i="3"/>
  <c r="C4" i="4"/>
  <c r="D4" i="3"/>
  <c r="D5" i="3"/>
  <c r="D6" i="3"/>
  <c r="D7" i="3"/>
  <c r="A7" i="3" s="1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3" i="3"/>
  <c r="F93" i="9" l="1"/>
  <c r="F470" i="9"/>
  <c r="G470" i="9" s="1" a="1"/>
  <c r="G470" i="9" s="1"/>
  <c r="F409" i="9"/>
  <c r="F117" i="9"/>
  <c r="F82" i="9"/>
  <c r="G82" i="9" s="1" a="1"/>
  <c r="G82" i="9" s="1"/>
  <c r="G672" i="9" a="1"/>
  <c r="G672" i="9" s="1"/>
  <c r="F673" i="9"/>
  <c r="O9" i="9"/>
  <c r="G278" i="9" a="1"/>
  <c r="G278" i="9" s="1"/>
  <c r="F279" i="9"/>
  <c r="G279" i="9" s="1" a="1"/>
  <c r="G279" i="9" s="1"/>
  <c r="G540" i="9" a="1"/>
  <c r="G540" i="9" s="1"/>
  <c r="F541" i="9"/>
  <c r="G516" i="9" a="1"/>
  <c r="G516" i="9" s="1"/>
  <c r="F517" i="9"/>
  <c r="G382" i="9" a="1"/>
  <c r="G382" i="9" s="1"/>
  <c r="F383" i="9"/>
  <c r="G281" i="9" a="1"/>
  <c r="G281" i="9" s="1"/>
  <c r="F282" i="9"/>
  <c r="G313" i="9" a="1"/>
  <c r="G313" i="9" s="1"/>
  <c r="F314" i="9"/>
  <c r="G137" i="9" a="1"/>
  <c r="G137" i="9" s="1"/>
  <c r="F138" i="9"/>
  <c r="G117" i="9" a="1"/>
  <c r="G117" i="9" s="1"/>
  <c r="F118" i="9"/>
  <c r="G3" i="9" a="1"/>
  <c r="G3" i="9" s="1"/>
  <c r="F4" i="9"/>
  <c r="G29" i="9" a="1"/>
  <c r="G29" i="9" s="1"/>
  <c r="F30" i="9"/>
  <c r="G30" i="9" s="1" a="1"/>
  <c r="G30" i="9" s="1"/>
  <c r="G494" i="9" a="1"/>
  <c r="G494" i="9" s="1"/>
  <c r="F495" i="9"/>
  <c r="G366" i="9" a="1"/>
  <c r="G366" i="9" s="1"/>
  <c r="F367" i="9"/>
  <c r="G245" i="9" a="1"/>
  <c r="G245" i="9" s="1"/>
  <c r="F246" i="9"/>
  <c r="G246" i="9" s="1" a="1"/>
  <c r="G246" i="9" s="1"/>
  <c r="G221" i="9" a="1"/>
  <c r="G221" i="9" s="1"/>
  <c r="F222" i="9"/>
  <c r="G40" i="9" a="1"/>
  <c r="G40" i="9" s="1"/>
  <c r="F41" i="9"/>
  <c r="G32" i="9" a="1"/>
  <c r="G32" i="9" s="1"/>
  <c r="F33" i="9"/>
  <c r="G822" i="9" a="1"/>
  <c r="G822" i="9" s="1"/>
  <c r="F823" i="9"/>
  <c r="F939" i="9"/>
  <c r="G939" i="9" s="1" a="1"/>
  <c r="G939" i="9" s="1"/>
  <c r="G938" i="9" a="1"/>
  <c r="G938" i="9" s="1"/>
  <c r="F889" i="9"/>
  <c r="G888" i="9" a="1"/>
  <c r="G888" i="9" s="1"/>
  <c r="G737" i="9" a="1"/>
  <c r="G737" i="9" s="1"/>
  <c r="F738" i="9"/>
  <c r="G709" i="9" a="1"/>
  <c r="G709" i="9" s="1"/>
  <c r="F710" i="9"/>
  <c r="F471" i="9"/>
  <c r="G551" i="9" a="1"/>
  <c r="G551" i="9" s="1"/>
  <c r="F552" i="9"/>
  <c r="F267" i="9"/>
  <c r="G266" i="9" a="1"/>
  <c r="G266" i="9" s="1"/>
  <c r="G165" i="9" a="1"/>
  <c r="G165" i="9" s="1"/>
  <c r="F166" i="9"/>
  <c r="G648" i="9" a="1"/>
  <c r="G648" i="9" s="1"/>
  <c r="F649" i="9"/>
  <c r="G602" i="9" a="1"/>
  <c r="G602" i="9" s="1"/>
  <c r="F603" i="9"/>
  <c r="G490" i="9" a="1"/>
  <c r="G490" i="9" s="1"/>
  <c r="F491" i="9"/>
  <c r="G491" i="9" s="1" a="1"/>
  <c r="G491" i="9" s="1"/>
  <c r="G286" i="9" a="1"/>
  <c r="G286" i="9" s="1"/>
  <c r="F287" i="9"/>
  <c r="F259" i="9"/>
  <c r="G258" i="9" a="1"/>
  <c r="G258" i="9" s="1"/>
  <c r="G203" i="9" a="1"/>
  <c r="G203" i="9" s="1"/>
  <c r="F204" i="9"/>
  <c r="G66" i="9" a="1"/>
  <c r="G66" i="9" s="1"/>
  <c r="F67" i="9"/>
  <c r="G456" i="9" a="1"/>
  <c r="G456" i="9" s="1"/>
  <c r="F457" i="9"/>
  <c r="G457" i="9" s="1" a="1"/>
  <c r="G457" i="9" s="1"/>
  <c r="G326" i="9" a="1"/>
  <c r="G326" i="9" s="1"/>
  <c r="F327" i="9"/>
  <c r="G248" i="9" a="1"/>
  <c r="G248" i="9" s="1"/>
  <c r="F249" i="9"/>
  <c r="G93" i="9" a="1"/>
  <c r="G93" i="9" s="1"/>
  <c r="F94" i="9"/>
  <c r="G796" i="9" a="1"/>
  <c r="G796" i="9" s="1"/>
  <c r="F797" i="9"/>
  <c r="F924" i="9"/>
  <c r="G923" i="9" a="1"/>
  <c r="G923" i="9" s="1"/>
  <c r="G855" i="9" a="1"/>
  <c r="G855" i="9" s="1"/>
  <c r="F856" i="9"/>
  <c r="F914" i="9"/>
  <c r="G913" i="9" a="1"/>
  <c r="G913" i="9" s="1"/>
  <c r="G831" i="9" a="1"/>
  <c r="G831" i="9" s="1"/>
  <c r="F832" i="9"/>
  <c r="G753" i="9" a="1"/>
  <c r="G753" i="9" s="1"/>
  <c r="F754" i="9"/>
  <c r="F434" i="9"/>
  <c r="G433" i="9" a="1"/>
  <c r="G433" i="9" s="1"/>
  <c r="G341" i="9" a="1"/>
  <c r="G341" i="9" s="1"/>
  <c r="F342" i="9"/>
  <c r="G181" i="9" a="1"/>
  <c r="G181" i="9" s="1"/>
  <c r="F182" i="9"/>
  <c r="G61" i="9" a="1"/>
  <c r="G61" i="9" s="1"/>
  <c r="F62" i="9"/>
  <c r="G623" i="9" a="1"/>
  <c r="G623" i="9" s="1"/>
  <c r="F624" i="9"/>
  <c r="G702" i="9" a="1"/>
  <c r="G702" i="9" s="1"/>
  <c r="F703" i="9"/>
  <c r="G847" i="9" a="1"/>
  <c r="G847" i="9" s="1"/>
  <c r="F848" i="9"/>
  <c r="G885" i="9" a="1"/>
  <c r="G885" i="9" s="1"/>
  <c r="F886" i="9"/>
  <c r="G886" i="9" s="1" a="1"/>
  <c r="G886" i="9" s="1"/>
  <c r="G504" i="9" a="1"/>
  <c r="G504" i="9" s="1"/>
  <c r="F505" i="9"/>
  <c r="G398" i="9" a="1"/>
  <c r="G398" i="9" s="1"/>
  <c r="F399" i="9"/>
  <c r="F410" i="9"/>
  <c r="G409" i="9" a="1"/>
  <c r="G409" i="9" s="1"/>
  <c r="G387" i="9" a="1"/>
  <c r="G387" i="9" s="1"/>
  <c r="F388" i="9"/>
  <c r="G388" i="9" s="1" a="1"/>
  <c r="G388" i="9" s="1"/>
  <c r="G143" i="9" a="1"/>
  <c r="G143" i="9" s="1"/>
  <c r="F144" i="9"/>
  <c r="G52" i="9" a="1"/>
  <c r="G52" i="9" s="1"/>
  <c r="F53" i="9"/>
  <c r="G838" i="9" a="1"/>
  <c r="G838" i="9" s="1"/>
  <c r="F839" i="9"/>
  <c r="G576" i="9" a="1"/>
  <c r="G576" i="9" s="1"/>
  <c r="F577" i="9"/>
  <c r="F875" i="9"/>
  <c r="G874" i="9" a="1"/>
  <c r="G874" i="9" s="1"/>
  <c r="G780" i="9" a="1"/>
  <c r="G780" i="9" s="1"/>
  <c r="F781" i="9"/>
  <c r="G691" i="9" a="1"/>
  <c r="G691" i="9" s="1"/>
  <c r="F692" i="9"/>
  <c r="G548" i="9" a="1"/>
  <c r="G548" i="9" s="1"/>
  <c r="F549" i="9"/>
  <c r="G549" i="9" s="1" a="1"/>
  <c r="G549" i="9" s="1"/>
  <c r="G460" i="9" a="1"/>
  <c r="G460" i="9" s="1"/>
  <c r="F461" i="9"/>
  <c r="G390" i="9" a="1"/>
  <c r="G390" i="9" s="1"/>
  <c r="F391" i="9"/>
  <c r="G357" i="9" a="1"/>
  <c r="G357" i="9" s="1"/>
  <c r="F358" i="9"/>
  <c r="F303" i="9"/>
  <c r="G302" i="9" a="1"/>
  <c r="G302" i="9" s="1"/>
  <c r="F67" i="8"/>
  <c r="F23" i="8"/>
  <c r="G22" i="8" a="1"/>
  <c r="G22" i="8" s="1"/>
  <c r="G530" i="8" a="1"/>
  <c r="G530" i="8" s="1"/>
  <c r="F531" i="8"/>
  <c r="P9" i="8"/>
  <c r="G83" i="8" a="1"/>
  <c r="G83" i="8" s="1"/>
  <c r="G448" i="8" a="1"/>
  <c r="G448" i="8" s="1"/>
  <c r="F449" i="8"/>
  <c r="G360" i="8" a="1"/>
  <c r="G360" i="8" s="1"/>
  <c r="F361" i="8"/>
  <c r="G345" i="8" a="1"/>
  <c r="G345" i="8" s="1"/>
  <c r="F346" i="8"/>
  <c r="G482" i="8" a="1"/>
  <c r="G482" i="8" s="1"/>
  <c r="F483" i="8"/>
  <c r="G61" i="8" a="1"/>
  <c r="G61" i="8" s="1"/>
  <c r="F62" i="8"/>
  <c r="G33" i="8" a="1"/>
  <c r="G33" i="8" s="1"/>
  <c r="F34" i="8"/>
  <c r="F231" i="8"/>
  <c r="F4" i="8"/>
  <c r="G3" i="8" a="1"/>
  <c r="G3" i="8" s="1"/>
  <c r="F652" i="8"/>
  <c r="G651" i="8" a="1"/>
  <c r="G651" i="8" s="1"/>
  <c r="G869" i="8" a="1"/>
  <c r="G869" i="8" s="1"/>
  <c r="F870" i="8"/>
  <c r="G829" i="8" a="1"/>
  <c r="G829" i="8" s="1"/>
  <c r="F830" i="8"/>
  <c r="G580" i="8" a="1"/>
  <c r="G580" i="8" s="1"/>
  <c r="F581" i="8"/>
  <c r="G495" i="8" a="1"/>
  <c r="G495" i="8" s="1"/>
  <c r="F496" i="8"/>
  <c r="G412" i="8" a="1"/>
  <c r="G412" i="8" s="1"/>
  <c r="F413" i="8"/>
  <c r="G159" i="8" a="1"/>
  <c r="G159" i="8" s="1"/>
  <c r="F160" i="8"/>
  <c r="F41" i="8"/>
  <c r="G40" i="8" a="1"/>
  <c r="G40" i="8" s="1"/>
  <c r="G845" i="8" a="1"/>
  <c r="G845" i="8" s="1"/>
  <c r="F846" i="8"/>
  <c r="G838" i="8" a="1"/>
  <c r="G838" i="8" s="1"/>
  <c r="F839" i="8"/>
  <c r="G877" i="8" a="1"/>
  <c r="G877" i="8" s="1"/>
  <c r="F878" i="8"/>
  <c r="G777" i="8" a="1"/>
  <c r="G777" i="8" s="1"/>
  <c r="F778" i="8"/>
  <c r="G626" i="8" a="1"/>
  <c r="G626" i="8" s="1"/>
  <c r="F627" i="8"/>
  <c r="G290" i="8" a="1"/>
  <c r="G290" i="8" s="1"/>
  <c r="F291" i="8"/>
  <c r="F245" i="8"/>
  <c r="G244" i="8" a="1"/>
  <c r="G244" i="8" s="1"/>
  <c r="F793" i="8"/>
  <c r="G792" i="8" a="1"/>
  <c r="G792" i="8" s="1"/>
  <c r="G751" i="8" a="1"/>
  <c r="G751" i="8" s="1"/>
  <c r="F752" i="8"/>
  <c r="F371" i="8"/>
  <c r="G371" i="8" s="1" a="1"/>
  <c r="G371" i="8" s="1"/>
  <c r="G370" i="8" a="1"/>
  <c r="G370" i="8" s="1"/>
  <c r="F387" i="8"/>
  <c r="G386" i="8" a="1"/>
  <c r="G386" i="8" s="1"/>
  <c r="G282" i="8" a="1"/>
  <c r="G282" i="8" s="1"/>
  <c r="F283" i="8"/>
  <c r="G143" i="8" a="1"/>
  <c r="G143" i="8" s="1"/>
  <c r="F144" i="8"/>
  <c r="G29" i="8" a="1"/>
  <c r="G29" i="8" s="1"/>
  <c r="F30" i="8"/>
  <c r="G30" i="8" s="1" a="1"/>
  <c r="G30" i="8" s="1"/>
  <c r="G802" i="8" a="1"/>
  <c r="G802" i="8" s="1"/>
  <c r="F803" i="8"/>
  <c r="G602" i="8" a="1"/>
  <c r="G602" i="8" s="1"/>
  <c r="F603" i="8"/>
  <c r="G266" i="8" a="1"/>
  <c r="G266" i="8" s="1"/>
  <c r="F267" i="8"/>
  <c r="F118" i="8"/>
  <c r="G117" i="8" a="1"/>
  <c r="G117" i="8" s="1"/>
  <c r="G84" i="8" a="1"/>
  <c r="G84" i="8" s="1"/>
  <c r="F85" i="8"/>
  <c r="G469" i="8" a="1"/>
  <c r="G469" i="8" s="1"/>
  <c r="F470" i="8"/>
  <c r="G470" i="8" s="1" a="1"/>
  <c r="G470" i="8" s="1"/>
  <c r="G473" i="8" a="1"/>
  <c r="G473" i="8" s="1"/>
  <c r="F474" i="8"/>
  <c r="G320" i="8" a="1"/>
  <c r="G320" i="8" s="1"/>
  <c r="F321" i="8"/>
  <c r="F261" i="8"/>
  <c r="G260" i="8" a="1"/>
  <c r="G260" i="8" s="1"/>
  <c r="F225" i="8"/>
  <c r="G225" i="8" s="1" a="1"/>
  <c r="G225" i="8" s="1"/>
  <c r="G224" i="8" a="1"/>
  <c r="G224" i="8" s="1"/>
  <c r="G136" i="8" a="1"/>
  <c r="G136" i="8" s="1"/>
  <c r="F137" i="8"/>
  <c r="G93" i="8" a="1"/>
  <c r="G93" i="8" s="1"/>
  <c r="F94" i="8"/>
  <c r="G690" i="8" a="1"/>
  <c r="G690" i="8" s="1"/>
  <c r="F691" i="8"/>
  <c r="G527" i="8" a="1"/>
  <c r="G527" i="8" s="1"/>
  <c r="F528" i="8"/>
  <c r="G528" i="8" s="1" a="1"/>
  <c r="G528" i="8" s="1"/>
  <c r="G557" i="8" a="1"/>
  <c r="G557" i="8" s="1"/>
  <c r="F558" i="8"/>
  <c r="F439" i="8"/>
  <c r="G438" i="8" a="1"/>
  <c r="G438" i="8" s="1"/>
  <c r="G304" i="8" a="1"/>
  <c r="G304" i="8" s="1"/>
  <c r="F305" i="8"/>
  <c r="F367" i="8"/>
  <c r="G367" i="8" s="1" a="1"/>
  <c r="G367" i="8" s="1"/>
  <c r="G366" i="8" a="1"/>
  <c r="G366" i="8" s="1"/>
  <c r="G337" i="8" a="1"/>
  <c r="G337" i="8" s="1"/>
  <c r="F338" i="8"/>
  <c r="G715" i="8" a="1"/>
  <c r="G715" i="8" s="1"/>
  <c r="F716" i="8"/>
  <c r="G519" i="8" a="1"/>
  <c r="G519" i="8" s="1"/>
  <c r="F520" i="8"/>
  <c r="F379" i="8"/>
  <c r="G378" i="8" a="1"/>
  <c r="G378" i="8" s="1"/>
  <c r="G199" i="8" a="1"/>
  <c r="G199" i="8" s="1"/>
  <c r="F200" i="8"/>
  <c r="F237" i="8"/>
  <c r="G236" i="8" a="1"/>
  <c r="G236" i="8" s="1"/>
  <c r="G67" i="8" a="1"/>
  <c r="G67" i="8" s="1"/>
  <c r="F68" i="8"/>
  <c r="G733" i="8" a="1"/>
  <c r="G733" i="8" s="1"/>
  <c r="F734" i="8"/>
  <c r="G810" i="8" a="1"/>
  <c r="G810" i="8" s="1"/>
  <c r="F811" i="8"/>
  <c r="F682" i="8"/>
  <c r="G681" i="8" a="1"/>
  <c r="G681" i="8" s="1"/>
  <c r="F785" i="8"/>
  <c r="G784" i="8" a="1"/>
  <c r="G784" i="8" s="1"/>
  <c r="F671" i="8"/>
  <c r="G670" i="8" a="1"/>
  <c r="G670" i="8" s="1"/>
  <c r="G183" i="8" a="1"/>
  <c r="G183" i="8" s="1"/>
  <c r="F184" i="8"/>
  <c r="G231" i="8" a="1"/>
  <c r="G231" i="8" s="1"/>
  <c r="F232" i="8"/>
  <c r="F56" i="8"/>
  <c r="G55" i="8" a="1"/>
  <c r="G55" i="8" s="1"/>
  <c r="O15" i="7"/>
  <c r="O22" i="7"/>
  <c r="O4" i="7"/>
  <c r="O6" i="7"/>
  <c r="O20" i="7"/>
  <c r="O12" i="7"/>
  <c r="O14" i="7"/>
  <c r="O21" i="7"/>
  <c r="O5" i="7"/>
  <c r="O19" i="7"/>
  <c r="O11" i="7"/>
  <c r="O24" i="7"/>
  <c r="O8" i="7"/>
  <c r="O7" i="7"/>
  <c r="O13" i="7"/>
  <c r="P4" i="7"/>
  <c r="P5" i="7" s="1"/>
  <c r="P6" i="7" s="1"/>
  <c r="O27" i="7"/>
  <c r="O18" i="7"/>
  <c r="O10" i="7"/>
  <c r="O16" i="7"/>
  <c r="O23" i="7"/>
  <c r="O26" i="7"/>
  <c r="O17" i="7"/>
  <c r="O9" i="7"/>
  <c r="E34" i="7"/>
  <c r="E18" i="7"/>
  <c r="E668" i="7"/>
  <c r="E536" i="7"/>
  <c r="E216" i="7"/>
  <c r="E176" i="7"/>
  <c r="G2" i="7" a="1"/>
  <c r="G2" i="7" s="1"/>
  <c r="G575" i="7" a="1"/>
  <c r="G575" i="7" s="1"/>
  <c r="G285" i="7" a="1"/>
  <c r="G285" i="7" s="1"/>
  <c r="G621" i="7" a="1"/>
  <c r="G621" i="7" s="1"/>
  <c r="G820" i="7" a="1"/>
  <c r="G820" i="7" s="1"/>
  <c r="G550" i="7" a="1"/>
  <c r="G550" i="7" s="1"/>
  <c r="G873" i="7" a="1"/>
  <c r="G873" i="7" s="1"/>
  <c r="G492" i="7" a="1"/>
  <c r="G492" i="7" s="1"/>
  <c r="F22" i="3"/>
  <c r="F14" i="3"/>
  <c r="F6" i="3"/>
  <c r="F20" i="3"/>
  <c r="F12" i="3"/>
  <c r="F3" i="3"/>
  <c r="F27" i="3"/>
  <c r="F19" i="3"/>
  <c r="F11" i="3"/>
  <c r="A3" i="3"/>
  <c r="A22" i="3"/>
  <c r="E30" i="3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20" i="4"/>
  <c r="D21" i="4"/>
  <c r="D22" i="4"/>
  <c r="D23" i="4"/>
  <c r="D24" i="4"/>
  <c r="D25" i="4"/>
  <c r="D26" i="4"/>
  <c r="D27" i="4"/>
  <c r="D28" i="4"/>
  <c r="D29" i="4"/>
  <c r="D19" i="4"/>
  <c r="E4" i="4"/>
  <c r="C5" i="4"/>
  <c r="C6" i="4"/>
  <c r="F4" i="3" s="1"/>
  <c r="C7" i="4"/>
  <c r="F5" i="3" s="1"/>
  <c r="C8" i="4"/>
  <c r="C9" i="4"/>
  <c r="F7" i="3" s="1"/>
  <c r="C10" i="4"/>
  <c r="F8" i="3" s="1"/>
  <c r="C11" i="4"/>
  <c r="F9" i="3" s="1"/>
  <c r="C12" i="4"/>
  <c r="F10" i="3" s="1"/>
  <c r="C13" i="4"/>
  <c r="C14" i="4"/>
  <c r="C15" i="4"/>
  <c r="F13" i="3" s="1"/>
  <c r="C16" i="4"/>
  <c r="C17" i="4"/>
  <c r="F15" i="3" s="1"/>
  <c r="C18" i="4"/>
  <c r="F16" i="3" s="1"/>
  <c r="C19" i="4"/>
  <c r="F17" i="3" s="1"/>
  <c r="C20" i="4"/>
  <c r="F18" i="3" s="1"/>
  <c r="C21" i="4"/>
  <c r="C22" i="4"/>
  <c r="C23" i="4"/>
  <c r="F21" i="3" s="1"/>
  <c r="C24" i="4"/>
  <c r="C25" i="4"/>
  <c r="F23" i="3" s="1"/>
  <c r="C26" i="4"/>
  <c r="F24" i="3" s="1"/>
  <c r="C27" i="4"/>
  <c r="F25" i="3" s="1"/>
  <c r="C28" i="4"/>
  <c r="F26" i="3" s="1"/>
  <c r="C29" i="4"/>
  <c r="F83" i="9" l="1"/>
  <c r="O10" i="9"/>
  <c r="O11" i="9" s="1"/>
  <c r="O12" i="9" s="1"/>
  <c r="O13" i="9" s="1"/>
  <c r="O14" i="9" s="1"/>
  <c r="O15" i="9" s="1"/>
  <c r="O16" i="9" s="1"/>
  <c r="O17" i="9" s="1"/>
  <c r="O18" i="9" s="1"/>
  <c r="O19" i="9" s="1"/>
  <c r="O20" i="9" s="1"/>
  <c r="O21" i="9" s="1"/>
  <c r="O22" i="9" s="1"/>
  <c r="O23" i="9" s="1"/>
  <c r="O24" i="9" s="1"/>
  <c r="O25" i="9" s="1"/>
  <c r="O26" i="9" s="1"/>
  <c r="O27" i="9" s="1"/>
  <c r="I2" i="9" a="1"/>
  <c r="I2" i="9" s="1"/>
  <c r="G673" i="9" a="1"/>
  <c r="G673" i="9" s="1"/>
  <c r="F674" i="9"/>
  <c r="G889" i="9" a="1"/>
  <c r="G889" i="9" s="1"/>
  <c r="F890" i="9"/>
  <c r="G33" i="9" a="1"/>
  <c r="G33" i="9" s="1"/>
  <c r="F34" i="9"/>
  <c r="G83" i="9" a="1"/>
  <c r="G83" i="9" s="1"/>
  <c r="F84" i="9"/>
  <c r="G471" i="9" a="1"/>
  <c r="G471" i="9" s="1"/>
  <c r="F472" i="9"/>
  <c r="G517" i="9" a="1"/>
  <c r="G517" i="9" s="1"/>
  <c r="F518" i="9"/>
  <c r="G624" i="9" a="1"/>
  <c r="G624" i="9" s="1"/>
  <c r="F625" i="9"/>
  <c r="G327" i="9" a="1"/>
  <c r="G327" i="9" s="1"/>
  <c r="F328" i="9"/>
  <c r="G391" i="9" a="1"/>
  <c r="G391" i="9" s="1"/>
  <c r="F392" i="9"/>
  <c r="G392" i="9" s="1" a="1"/>
  <c r="G392" i="9" s="1"/>
  <c r="G577" i="9" a="1"/>
  <c r="G577" i="9" s="1"/>
  <c r="F578" i="9"/>
  <c r="G399" i="9" a="1"/>
  <c r="G399" i="9" s="1"/>
  <c r="F400" i="9"/>
  <c r="G182" i="9" a="1"/>
  <c r="G182" i="9" s="1"/>
  <c r="F183" i="9"/>
  <c r="G832" i="9" a="1"/>
  <c r="G832" i="9" s="1"/>
  <c r="F833" i="9"/>
  <c r="G67" i="9" a="1"/>
  <c r="G67" i="9" s="1"/>
  <c r="F68" i="9"/>
  <c r="G41" i="9" a="1"/>
  <c r="G41" i="9" s="1"/>
  <c r="F42" i="9"/>
  <c r="G367" i="9" a="1"/>
  <c r="G367" i="9" s="1"/>
  <c r="F368" i="9"/>
  <c r="G118" i="9" a="1"/>
  <c r="G118" i="9" s="1"/>
  <c r="F119" i="9"/>
  <c r="F283" i="9"/>
  <c r="G282" i="9" a="1"/>
  <c r="G282" i="9" s="1"/>
  <c r="G710" i="9" a="1"/>
  <c r="G710" i="9" s="1"/>
  <c r="F711" i="9"/>
  <c r="G823" i="9" a="1"/>
  <c r="G823" i="9" s="1"/>
  <c r="F824" i="9"/>
  <c r="G541" i="9" a="1"/>
  <c r="G541" i="9" s="1"/>
  <c r="F542" i="9"/>
  <c r="G204" i="9" a="1"/>
  <c r="G204" i="9" s="1"/>
  <c r="F205" i="9"/>
  <c r="G287" i="9" a="1"/>
  <c r="G287" i="9" s="1"/>
  <c r="F288" i="9"/>
  <c r="G603" i="9" a="1"/>
  <c r="G603" i="9" s="1"/>
  <c r="F604" i="9"/>
  <c r="G166" i="9" a="1"/>
  <c r="G166" i="9" s="1"/>
  <c r="F167" i="9"/>
  <c r="F268" i="9"/>
  <c r="G267" i="9" a="1"/>
  <c r="G267" i="9" s="1"/>
  <c r="G222" i="9" a="1"/>
  <c r="G222" i="9" s="1"/>
  <c r="F223" i="9"/>
  <c r="G138" i="9" a="1"/>
  <c r="G138" i="9" s="1"/>
  <c r="F139" i="9"/>
  <c r="G358" i="9" a="1"/>
  <c r="G358" i="9" s="1"/>
  <c r="F359" i="9"/>
  <c r="F857" i="9"/>
  <c r="G856" i="9" a="1"/>
  <c r="G856" i="9" s="1"/>
  <c r="F411" i="9"/>
  <c r="G410" i="9" a="1"/>
  <c r="G410" i="9" s="1"/>
  <c r="G505" i="9" a="1"/>
  <c r="G505" i="9" s="1"/>
  <c r="F506" i="9"/>
  <c r="G848" i="9" a="1"/>
  <c r="G848" i="9" s="1"/>
  <c r="F849" i="9"/>
  <c r="G62" i="9" a="1"/>
  <c r="G62" i="9" s="1"/>
  <c r="F63" i="9"/>
  <c r="G63" i="9" s="1" a="1"/>
  <c r="G63" i="9" s="1"/>
  <c r="G342" i="9" a="1"/>
  <c r="G342" i="9" s="1"/>
  <c r="F343" i="9"/>
  <c r="G738" i="9" a="1"/>
  <c r="G738" i="9" s="1"/>
  <c r="F739" i="9"/>
  <c r="G754" i="9" a="1"/>
  <c r="G754" i="9" s="1"/>
  <c r="F755" i="9"/>
  <c r="G94" i="9" a="1"/>
  <c r="G94" i="9" s="1"/>
  <c r="F95" i="9"/>
  <c r="F876" i="9"/>
  <c r="G875" i="9" a="1"/>
  <c r="G875" i="9" s="1"/>
  <c r="G53" i="9" a="1"/>
  <c r="G53" i="9" s="1"/>
  <c r="F54" i="9"/>
  <c r="G839" i="9" a="1"/>
  <c r="G839" i="9" s="1"/>
  <c r="F840" i="9"/>
  <c r="G781" i="9" a="1"/>
  <c r="G781" i="9" s="1"/>
  <c r="F782" i="9"/>
  <c r="G797" i="9" a="1"/>
  <c r="G797" i="9" s="1"/>
  <c r="F798" i="9"/>
  <c r="G649" i="9" a="1"/>
  <c r="G649" i="9" s="1"/>
  <c r="F650" i="9"/>
  <c r="F5" i="9"/>
  <c r="G4" i="9" a="1"/>
  <c r="G4" i="9" s="1"/>
  <c r="F315" i="9"/>
  <c r="G314" i="9" a="1"/>
  <c r="G314" i="9" s="1"/>
  <c r="G144" i="9" a="1"/>
  <c r="G144" i="9" s="1"/>
  <c r="F145" i="9"/>
  <c r="F435" i="9"/>
  <c r="G434" i="9" a="1"/>
  <c r="G434" i="9" s="1"/>
  <c r="F925" i="9"/>
  <c r="G924" i="9" a="1"/>
  <c r="G924" i="9" s="1"/>
  <c r="G692" i="9" a="1"/>
  <c r="G692" i="9" s="1"/>
  <c r="F693" i="9"/>
  <c r="G303" i="9" a="1"/>
  <c r="G303" i="9" s="1"/>
  <c r="F304" i="9"/>
  <c r="G461" i="9" a="1"/>
  <c r="G461" i="9" s="1"/>
  <c r="F462" i="9"/>
  <c r="G703" i="9" a="1"/>
  <c r="G703" i="9" s="1"/>
  <c r="F704" i="9"/>
  <c r="F915" i="9"/>
  <c r="G914" i="9" a="1"/>
  <c r="G914" i="9" s="1"/>
  <c r="G249" i="9" a="1"/>
  <c r="G249" i="9" s="1"/>
  <c r="F250" i="9"/>
  <c r="F260" i="9"/>
  <c r="G259" i="9" a="1"/>
  <c r="G259" i="9" s="1"/>
  <c r="G552" i="9" a="1"/>
  <c r="G552" i="9" s="1"/>
  <c r="F553" i="9"/>
  <c r="G495" i="9" a="1"/>
  <c r="G495" i="9" s="1"/>
  <c r="F496" i="9"/>
  <c r="I3" i="9" a="1"/>
  <c r="I3" i="9" s="1"/>
  <c r="G383" i="9" a="1"/>
  <c r="G383" i="9" s="1"/>
  <c r="F384" i="9"/>
  <c r="G384" i="9" s="1" a="1"/>
  <c r="G384" i="9" s="1"/>
  <c r="P10" i="8"/>
  <c r="P11" i="8" s="1"/>
  <c r="P12" i="8" s="1"/>
  <c r="P13" i="8" s="1"/>
  <c r="P14" i="8" s="1"/>
  <c r="P15" i="8" s="1"/>
  <c r="P16" i="8" s="1"/>
  <c r="P17" i="8" s="1"/>
  <c r="P18" i="8" s="1"/>
  <c r="P19" i="8" s="1"/>
  <c r="P20" i="8" s="1"/>
  <c r="P21" i="8" s="1"/>
  <c r="P22" i="8" s="1"/>
  <c r="P23" i="8" s="1"/>
  <c r="P24" i="8" s="1"/>
  <c r="P25" i="8" s="1"/>
  <c r="P26" i="8" s="1"/>
  <c r="P27" i="8" s="1"/>
  <c r="I2" i="8" a="1"/>
  <c r="I2" i="8" s="1"/>
  <c r="G531" i="8" a="1"/>
  <c r="G531" i="8" s="1"/>
  <c r="F532" i="8"/>
  <c r="F24" i="8"/>
  <c r="G24" i="8" s="1" a="1"/>
  <c r="G24" i="8" s="1"/>
  <c r="G23" i="8" a="1"/>
  <c r="G23" i="8" s="1"/>
  <c r="F35" i="8"/>
  <c r="G34" i="8" a="1"/>
  <c r="G34" i="8" s="1"/>
  <c r="F347" i="8"/>
  <c r="G346" i="8" a="1"/>
  <c r="G346" i="8" s="1"/>
  <c r="G62" i="8" a="1"/>
  <c r="G62" i="8" s="1"/>
  <c r="F63" i="8"/>
  <c r="G63" i="8" s="1" a="1"/>
  <c r="G63" i="8" s="1"/>
  <c r="G361" i="8" a="1"/>
  <c r="G361" i="8" s="1"/>
  <c r="F362" i="8"/>
  <c r="G4" i="8" a="1"/>
  <c r="G4" i="8" s="1"/>
  <c r="F5" i="8"/>
  <c r="G483" i="8" a="1"/>
  <c r="G483" i="8" s="1"/>
  <c r="F484" i="8"/>
  <c r="G449" i="8" a="1"/>
  <c r="G449" i="8" s="1"/>
  <c r="F450" i="8"/>
  <c r="G671" i="8" a="1"/>
  <c r="G671" i="8" s="1"/>
  <c r="F672" i="8"/>
  <c r="G184" i="8" a="1"/>
  <c r="G184" i="8" s="1"/>
  <c r="F185" i="8"/>
  <c r="G56" i="8" a="1"/>
  <c r="G56" i="8" s="1"/>
  <c r="F57" i="8"/>
  <c r="F233" i="8"/>
  <c r="G232" i="8" a="1"/>
  <c r="G232" i="8" s="1"/>
  <c r="G811" i="8" a="1"/>
  <c r="G811" i="8" s="1"/>
  <c r="F812" i="8"/>
  <c r="G520" i="8" a="1"/>
  <c r="G520" i="8" s="1"/>
  <c r="F521" i="8"/>
  <c r="F440" i="8"/>
  <c r="G439" i="8" a="1"/>
  <c r="G439" i="8" s="1"/>
  <c r="F628" i="8"/>
  <c r="G627" i="8" a="1"/>
  <c r="G627" i="8" s="1"/>
  <c r="G878" i="8" a="1"/>
  <c r="G878" i="8" s="1"/>
  <c r="F879" i="8"/>
  <c r="G581" i="8" a="1"/>
  <c r="G581" i="8" s="1"/>
  <c r="F582" i="8"/>
  <c r="G691" i="8" a="1"/>
  <c r="G691" i="8" s="1"/>
  <c r="F692" i="8"/>
  <c r="F138" i="8"/>
  <c r="G137" i="8" a="1"/>
  <c r="G137" i="8" s="1"/>
  <c r="G321" i="8" a="1"/>
  <c r="G321" i="8" s="1"/>
  <c r="F322" i="8"/>
  <c r="G803" i="8" a="1"/>
  <c r="G803" i="8" s="1"/>
  <c r="F804" i="8"/>
  <c r="F794" i="8"/>
  <c r="G793" i="8" a="1"/>
  <c r="G793" i="8" s="1"/>
  <c r="G41" i="8" a="1"/>
  <c r="G41" i="8" s="1"/>
  <c r="F42" i="8"/>
  <c r="G160" i="8" a="1"/>
  <c r="G160" i="8" s="1"/>
  <c r="F161" i="8"/>
  <c r="F653" i="8"/>
  <c r="G652" i="8" a="1"/>
  <c r="G652" i="8" s="1"/>
  <c r="G379" i="8" a="1"/>
  <c r="G379" i="8" s="1"/>
  <c r="F380" i="8"/>
  <c r="F262" i="8"/>
  <c r="G261" i="8" a="1"/>
  <c r="G261" i="8" s="1"/>
  <c r="G752" i="8" a="1"/>
  <c r="G752" i="8" s="1"/>
  <c r="F753" i="8"/>
  <c r="G291" i="8" a="1"/>
  <c r="G291" i="8" s="1"/>
  <c r="F292" i="8"/>
  <c r="G830" i="8" a="1"/>
  <c r="G830" i="8" s="1"/>
  <c r="F831" i="8"/>
  <c r="F69" i="8"/>
  <c r="G68" i="8" a="1"/>
  <c r="G68" i="8" s="1"/>
  <c r="G267" i="8" a="1"/>
  <c r="G267" i="8" s="1"/>
  <c r="F268" i="8"/>
  <c r="G144" i="8" a="1"/>
  <c r="G144" i="8" s="1"/>
  <c r="F145" i="8"/>
  <c r="G283" i="8" a="1"/>
  <c r="G283" i="8" s="1"/>
  <c r="F284" i="8"/>
  <c r="F246" i="8"/>
  <c r="G245" i="8" a="1"/>
  <c r="G245" i="8" s="1"/>
  <c r="G413" i="8" a="1"/>
  <c r="G413" i="8" s="1"/>
  <c r="F414" i="8"/>
  <c r="F238" i="8"/>
  <c r="G237" i="8" a="1"/>
  <c r="G237" i="8" s="1"/>
  <c r="G716" i="8" a="1"/>
  <c r="G716" i="8" s="1"/>
  <c r="F717" i="8"/>
  <c r="G474" i="8" a="1"/>
  <c r="G474" i="8" s="1"/>
  <c r="F475" i="8"/>
  <c r="G85" i="8" a="1"/>
  <c r="G85" i="8" s="1"/>
  <c r="F86" i="8"/>
  <c r="G839" i="8" a="1"/>
  <c r="G839" i="8" s="1"/>
  <c r="F840" i="8"/>
  <c r="G840" i="8" s="1" a="1"/>
  <c r="G840" i="8" s="1"/>
  <c r="G870" i="8" a="1"/>
  <c r="G870" i="8" s="1"/>
  <c r="F871" i="8"/>
  <c r="G200" i="8" a="1"/>
  <c r="G200" i="8" s="1"/>
  <c r="F201" i="8"/>
  <c r="G305" i="8" a="1"/>
  <c r="G305" i="8" s="1"/>
  <c r="F306" i="8"/>
  <c r="G558" i="8" a="1"/>
  <c r="G558" i="8" s="1"/>
  <c r="F559" i="8"/>
  <c r="F735" i="8"/>
  <c r="G734" i="8" a="1"/>
  <c r="G734" i="8" s="1"/>
  <c r="G387" i="8" a="1"/>
  <c r="G387" i="8" s="1"/>
  <c r="F388" i="8"/>
  <c r="G778" i="8" a="1"/>
  <c r="G778" i="8" s="1"/>
  <c r="F779" i="8"/>
  <c r="G846" i="8" a="1"/>
  <c r="G846" i="8" s="1"/>
  <c r="F847" i="8"/>
  <c r="G496" i="8" a="1"/>
  <c r="G496" i="8" s="1"/>
  <c r="F497" i="8"/>
  <c r="F786" i="8"/>
  <c r="G785" i="8" a="1"/>
  <c r="G785" i="8" s="1"/>
  <c r="G682" i="8" a="1"/>
  <c r="G682" i="8" s="1"/>
  <c r="F683" i="8"/>
  <c r="F339" i="8"/>
  <c r="G338" i="8" a="1"/>
  <c r="G338" i="8" s="1"/>
  <c r="G94" i="8" a="1"/>
  <c r="G94" i="8" s="1"/>
  <c r="F95" i="8"/>
  <c r="F119" i="8"/>
  <c r="G118" i="8" a="1"/>
  <c r="G118" i="8" s="1"/>
  <c r="F604" i="8"/>
  <c r="G603" i="8" a="1"/>
  <c r="G603" i="8" s="1"/>
  <c r="P7" i="7"/>
  <c r="P8" i="7" s="1"/>
  <c r="O25" i="7"/>
  <c r="P9" i="7"/>
  <c r="G674" i="9" l="1" a="1"/>
  <c r="G674" i="9" s="1"/>
  <c r="F675" i="9"/>
  <c r="G435" i="9" a="1"/>
  <c r="G435" i="9" s="1"/>
  <c r="F436" i="9"/>
  <c r="G462" i="9" a="1"/>
  <c r="G462" i="9" s="1"/>
  <c r="F463" i="9"/>
  <c r="G857" i="9" a="1"/>
  <c r="G857" i="9" s="1"/>
  <c r="F858" i="9"/>
  <c r="G693" i="9" a="1"/>
  <c r="G693" i="9" s="1"/>
  <c r="F694" i="9"/>
  <c r="G95" i="9" a="1"/>
  <c r="G95" i="9" s="1"/>
  <c r="F96" i="9"/>
  <c r="G411" i="9" a="1"/>
  <c r="G411" i="9" s="1"/>
  <c r="F412" i="9"/>
  <c r="G205" i="9" a="1"/>
  <c r="G205" i="9" s="1"/>
  <c r="F206" i="9"/>
  <c r="G183" i="9" a="1"/>
  <c r="G183" i="9" s="1"/>
  <c r="F184" i="9"/>
  <c r="G824" i="9" a="1"/>
  <c r="G824" i="9" s="1"/>
  <c r="F825" i="9"/>
  <c r="F369" i="9"/>
  <c r="G368" i="9" a="1"/>
  <c r="G368" i="9" s="1"/>
  <c r="F329" i="9"/>
  <c r="G328" i="9" a="1"/>
  <c r="G328" i="9" s="1"/>
  <c r="G625" i="9" a="1"/>
  <c r="G625" i="9" s="1"/>
  <c r="F626" i="9"/>
  <c r="G472" i="9" a="1"/>
  <c r="G472" i="9" s="1"/>
  <c r="F473" i="9"/>
  <c r="G755" i="9" a="1"/>
  <c r="G755" i="9" s="1"/>
  <c r="F756" i="9"/>
  <c r="G739" i="9" a="1"/>
  <c r="G739" i="9" s="1"/>
  <c r="F740" i="9"/>
  <c r="G359" i="9" a="1"/>
  <c r="G359" i="9" s="1"/>
  <c r="F360" i="9"/>
  <c r="G223" i="9" a="1"/>
  <c r="G223" i="9" s="1"/>
  <c r="F224" i="9"/>
  <c r="G167" i="9" a="1"/>
  <c r="G167" i="9" s="1"/>
  <c r="F168" i="9"/>
  <c r="G542" i="9" a="1"/>
  <c r="G542" i="9" s="1"/>
  <c r="F543" i="9"/>
  <c r="G496" i="9" a="1"/>
  <c r="G496" i="9" s="1"/>
  <c r="F497" i="9"/>
  <c r="G711" i="9" a="1"/>
  <c r="G711" i="9" s="1"/>
  <c r="F712" i="9"/>
  <c r="G42" i="9" a="1"/>
  <c r="G42" i="9" s="1"/>
  <c r="F43" i="9"/>
  <c r="G578" i="9" a="1"/>
  <c r="G578" i="9" s="1"/>
  <c r="F579" i="9"/>
  <c r="G518" i="9" a="1"/>
  <c r="G518" i="9" s="1"/>
  <c r="F519" i="9"/>
  <c r="G84" i="9" a="1"/>
  <c r="G84" i="9" s="1"/>
  <c r="F85" i="9"/>
  <c r="G268" i="9" a="1"/>
  <c r="G268" i="9" s="1"/>
  <c r="F269" i="9"/>
  <c r="G54" i="9" a="1"/>
  <c r="G54" i="9" s="1"/>
  <c r="F55" i="9"/>
  <c r="G604" i="9" a="1"/>
  <c r="G604" i="9" s="1"/>
  <c r="F605" i="9"/>
  <c r="G68" i="9" a="1"/>
  <c r="G68" i="9" s="1"/>
  <c r="F69" i="9"/>
  <c r="G833" i="9" a="1"/>
  <c r="G833" i="9" s="1"/>
  <c r="F834" i="9"/>
  <c r="G34" i="9" a="1"/>
  <c r="G34" i="9" s="1"/>
  <c r="F35" i="9"/>
  <c r="G798" i="9" a="1"/>
  <c r="G798" i="9" s="1"/>
  <c r="F799" i="9"/>
  <c r="F916" i="9"/>
  <c r="G915" i="9" a="1"/>
  <c r="G915" i="9" s="1"/>
  <c r="G704" i="9" a="1"/>
  <c r="G704" i="9" s="1"/>
  <c r="F705" i="9"/>
  <c r="G925" i="9" a="1"/>
  <c r="G925" i="9" s="1"/>
  <c r="F926" i="9"/>
  <c r="I4" i="9" a="1"/>
  <c r="I4" i="9" s="1"/>
  <c r="G782" i="9" a="1"/>
  <c r="G782" i="9" s="1"/>
  <c r="F783" i="9"/>
  <c r="F877" i="9"/>
  <c r="G876" i="9" a="1"/>
  <c r="G876" i="9" s="1"/>
  <c r="G506" i="9" a="1"/>
  <c r="G506" i="9" s="1"/>
  <c r="F507" i="9"/>
  <c r="G849" i="9" a="1"/>
  <c r="G849" i="9" s="1"/>
  <c r="F850" i="9"/>
  <c r="F316" i="9"/>
  <c r="G315" i="9" a="1"/>
  <c r="G315" i="9" s="1"/>
  <c r="G260" i="9" a="1"/>
  <c r="G260" i="9" s="1"/>
  <c r="F261" i="9"/>
  <c r="F251" i="9"/>
  <c r="G250" i="9" a="1"/>
  <c r="G250" i="9" s="1"/>
  <c r="F305" i="9"/>
  <c r="G304" i="9" a="1"/>
  <c r="G304" i="9" s="1"/>
  <c r="G145" i="9" a="1"/>
  <c r="G145" i="9" s="1"/>
  <c r="F146" i="9"/>
  <c r="F6" i="9"/>
  <c r="G5" i="9" a="1"/>
  <c r="G5" i="9" s="1"/>
  <c r="G139" i="9" a="1"/>
  <c r="G139" i="9" s="1"/>
  <c r="F140" i="9"/>
  <c r="F289" i="9"/>
  <c r="G288" i="9" a="1"/>
  <c r="G288" i="9" s="1"/>
  <c r="F284" i="9"/>
  <c r="G284" i="9" s="1" a="1"/>
  <c r="G284" i="9" s="1"/>
  <c r="G283" i="9" a="1"/>
  <c r="G283" i="9" s="1"/>
  <c r="G400" i="9" a="1"/>
  <c r="G400" i="9" s="1"/>
  <c r="F401" i="9"/>
  <c r="F891" i="9"/>
  <c r="G890" i="9" a="1"/>
  <c r="G890" i="9" s="1"/>
  <c r="G650" i="9" a="1"/>
  <c r="G650" i="9" s="1"/>
  <c r="F651" i="9"/>
  <c r="G553" i="9" a="1"/>
  <c r="G553" i="9" s="1"/>
  <c r="F554" i="9"/>
  <c r="G840" i="9" a="1"/>
  <c r="G840" i="9" s="1"/>
  <c r="F841" i="9"/>
  <c r="G343" i="9" a="1"/>
  <c r="G343" i="9" s="1"/>
  <c r="F344" i="9"/>
  <c r="G119" i="9" a="1"/>
  <c r="G119" i="9" s="1"/>
  <c r="F120" i="9"/>
  <c r="G532" i="8" a="1"/>
  <c r="G532" i="8" s="1"/>
  <c r="F533" i="8"/>
  <c r="I3" i="8" a="1"/>
  <c r="I3" i="8" s="1"/>
  <c r="I4" i="8" s="1" a="1"/>
  <c r="I4" i="8" s="1"/>
  <c r="G450" i="8" a="1"/>
  <c r="G450" i="8" s="1"/>
  <c r="F451" i="8"/>
  <c r="G484" i="8" a="1"/>
  <c r="G484" i="8" s="1"/>
  <c r="F485" i="8"/>
  <c r="F348" i="8"/>
  <c r="G347" i="8" a="1"/>
  <c r="G347" i="8" s="1"/>
  <c r="G5" i="8" a="1"/>
  <c r="G5" i="8" s="1"/>
  <c r="F6" i="8"/>
  <c r="F36" i="8"/>
  <c r="G36" i="8" s="1" a="1"/>
  <c r="G36" i="8" s="1"/>
  <c r="G35" i="8" a="1"/>
  <c r="G35" i="8" s="1"/>
  <c r="G362" i="8" a="1"/>
  <c r="G362" i="8" s="1"/>
  <c r="F363" i="8"/>
  <c r="G363" i="8" s="1" a="1"/>
  <c r="G363" i="8" s="1"/>
  <c r="G871" i="8" a="1"/>
  <c r="G871" i="8" s="1"/>
  <c r="F872" i="8"/>
  <c r="G717" i="8" a="1"/>
  <c r="G717" i="8" s="1"/>
  <c r="F718" i="8"/>
  <c r="F269" i="8"/>
  <c r="G268" i="8" a="1"/>
  <c r="G268" i="8" s="1"/>
  <c r="G380" i="8" a="1"/>
  <c r="G380" i="8" s="1"/>
  <c r="F381" i="8"/>
  <c r="G161" i="8" a="1"/>
  <c r="G161" i="8" s="1"/>
  <c r="F162" i="8"/>
  <c r="G794" i="8" a="1"/>
  <c r="G794" i="8" s="1"/>
  <c r="F795" i="8"/>
  <c r="G322" i="8" a="1"/>
  <c r="G322" i="8" s="1"/>
  <c r="F323" i="8"/>
  <c r="G879" i="8" a="1"/>
  <c r="G879" i="8" s="1"/>
  <c r="F880" i="8"/>
  <c r="G683" i="8" a="1"/>
  <c r="G683" i="8" s="1"/>
  <c r="F684" i="8"/>
  <c r="G831" i="8" a="1"/>
  <c r="G831" i="8" s="1"/>
  <c r="F832" i="8"/>
  <c r="G753" i="8" a="1"/>
  <c r="G753" i="8" s="1"/>
  <c r="F754" i="8"/>
  <c r="G42" i="8" a="1"/>
  <c r="G42" i="8" s="1"/>
  <c r="F43" i="8"/>
  <c r="G804" i="8" a="1"/>
  <c r="G804" i="8" s="1"/>
  <c r="F805" i="8"/>
  <c r="G440" i="8" a="1"/>
  <c r="G440" i="8" s="1"/>
  <c r="F441" i="8"/>
  <c r="G847" i="8" a="1"/>
  <c r="G847" i="8" s="1"/>
  <c r="F848" i="8"/>
  <c r="F285" i="8"/>
  <c r="G284" i="8" a="1"/>
  <c r="G284" i="8" s="1"/>
  <c r="G262" i="8" a="1"/>
  <c r="G262" i="8" s="1"/>
  <c r="F263" i="8"/>
  <c r="G263" i="8" s="1" a="1"/>
  <c r="G263" i="8" s="1"/>
  <c r="F583" i="8"/>
  <c r="G582" i="8" a="1"/>
  <c r="G582" i="8" s="1"/>
  <c r="F673" i="8"/>
  <c r="G672" i="8" a="1"/>
  <c r="G672" i="8" s="1"/>
  <c r="F736" i="8"/>
  <c r="G735" i="8" a="1"/>
  <c r="G735" i="8" s="1"/>
  <c r="F415" i="8"/>
  <c r="G414" i="8" a="1"/>
  <c r="G414" i="8" s="1"/>
  <c r="G306" i="8" a="1"/>
  <c r="G306" i="8" s="1"/>
  <c r="F307" i="8"/>
  <c r="F96" i="8"/>
  <c r="G95" i="8" a="1"/>
  <c r="G95" i="8" s="1"/>
  <c r="G145" i="8" a="1"/>
  <c r="G145" i="8" s="1"/>
  <c r="F146" i="8"/>
  <c r="F629" i="8"/>
  <c r="G628" i="8" a="1"/>
  <c r="G628" i="8" s="1"/>
  <c r="G233" i="8" a="1"/>
  <c r="G233" i="8" s="1"/>
  <c r="F234" i="8"/>
  <c r="G234" i="8" s="1" a="1"/>
  <c r="G234" i="8" s="1"/>
  <c r="G786" i="8" a="1"/>
  <c r="G786" i="8" s="1"/>
  <c r="F787" i="8"/>
  <c r="G779" i="8" a="1"/>
  <c r="G779" i="8" s="1"/>
  <c r="F780" i="8"/>
  <c r="G475" i="8" a="1"/>
  <c r="G475" i="8" s="1"/>
  <c r="F476" i="8"/>
  <c r="G238" i="8" a="1"/>
  <c r="G238" i="8" s="1"/>
  <c r="F239" i="8"/>
  <c r="G521" i="8" a="1"/>
  <c r="G521" i="8" s="1"/>
  <c r="F522" i="8"/>
  <c r="G57" i="8" a="1"/>
  <c r="G57" i="8" s="1"/>
  <c r="F58" i="8"/>
  <c r="G559" i="8" a="1"/>
  <c r="G559" i="8" s="1"/>
  <c r="F560" i="8"/>
  <c r="G86" i="8" a="1"/>
  <c r="G86" i="8" s="1"/>
  <c r="F87" i="8"/>
  <c r="G339" i="8" a="1"/>
  <c r="G339" i="8" s="1"/>
  <c r="F340" i="8"/>
  <c r="F605" i="8"/>
  <c r="G604" i="8" a="1"/>
  <c r="G604" i="8" s="1"/>
  <c r="G653" i="8" a="1"/>
  <c r="G653" i="8" s="1"/>
  <c r="F654" i="8"/>
  <c r="F293" i="8"/>
  <c r="G292" i="8" a="1"/>
  <c r="G292" i="8" s="1"/>
  <c r="F139" i="8"/>
  <c r="G138" i="8" a="1"/>
  <c r="G138" i="8" s="1"/>
  <c r="G388" i="8" a="1"/>
  <c r="G388" i="8" s="1"/>
  <c r="F389" i="8"/>
  <c r="F120" i="8"/>
  <c r="G119" i="8" a="1"/>
  <c r="G119" i="8" s="1"/>
  <c r="G497" i="8" a="1"/>
  <c r="G497" i="8" s="1"/>
  <c r="F498" i="8"/>
  <c r="G201" i="8" a="1"/>
  <c r="G201" i="8" s="1"/>
  <c r="F202" i="8"/>
  <c r="G246" i="8" a="1"/>
  <c r="G246" i="8" s="1"/>
  <c r="F247" i="8"/>
  <c r="G69" i="8" a="1"/>
  <c r="G69" i="8" s="1"/>
  <c r="F70" i="8"/>
  <c r="G692" i="8" a="1"/>
  <c r="G692" i="8" s="1"/>
  <c r="F693" i="8"/>
  <c r="F813" i="8"/>
  <c r="G812" i="8" a="1"/>
  <c r="G812" i="8" s="1"/>
  <c r="G185" i="8" a="1"/>
  <c r="G185" i="8" s="1"/>
  <c r="F186" i="8"/>
  <c r="P10" i="7"/>
  <c r="P11" i="7" s="1"/>
  <c r="P12" i="7" s="1"/>
  <c r="P13" i="7" s="1"/>
  <c r="P14" i="7" s="1"/>
  <c r="P15" i="7" s="1"/>
  <c r="P16" i="7" s="1"/>
  <c r="P17" i="7" s="1"/>
  <c r="P18" i="7" s="1"/>
  <c r="P19" i="7" s="1"/>
  <c r="P20" i="7" s="1"/>
  <c r="P21" i="7" s="1"/>
  <c r="P22" i="7" s="1"/>
  <c r="P23" i="7" s="1"/>
  <c r="P24" i="7" s="1"/>
  <c r="P25" i="7"/>
  <c r="P26" i="7" s="1"/>
  <c r="P27" i="7" s="1"/>
  <c r="F431" i="7"/>
  <c r="G675" i="9" l="1" a="1"/>
  <c r="G675" i="9" s="1"/>
  <c r="F676" i="9"/>
  <c r="G850" i="9" a="1"/>
  <c r="G850" i="9" s="1"/>
  <c r="F851" i="9"/>
  <c r="G651" i="9" a="1"/>
  <c r="G651" i="9" s="1"/>
  <c r="F652" i="9"/>
  <c r="G926" i="9" a="1"/>
  <c r="G926" i="9" s="1"/>
  <c r="F927" i="9"/>
  <c r="G289" i="9" a="1"/>
  <c r="G289" i="9" s="1"/>
  <c r="F290" i="9"/>
  <c r="I5" i="9" a="1"/>
  <c r="I5" i="9" s="1"/>
  <c r="G43" i="9" a="1"/>
  <c r="G43" i="9" s="1"/>
  <c r="F44" i="9"/>
  <c r="G168" i="9" a="1"/>
  <c r="G168" i="9" s="1"/>
  <c r="F169" i="9"/>
  <c r="G146" i="9" a="1"/>
  <c r="G146" i="9" s="1"/>
  <c r="F147" i="9"/>
  <c r="F252" i="9"/>
  <c r="G251" i="9" a="1"/>
  <c r="G251" i="9" s="1"/>
  <c r="F345" i="9"/>
  <c r="G344" i="9" a="1"/>
  <c r="G344" i="9" s="1"/>
  <c r="G316" i="9" a="1"/>
  <c r="G316" i="9" s="1"/>
  <c r="F317" i="9"/>
  <c r="F917" i="9"/>
  <c r="G916" i="9" a="1"/>
  <c r="G916" i="9" s="1"/>
  <c r="G69" i="9" a="1"/>
  <c r="G69" i="9" s="1"/>
  <c r="F70" i="9"/>
  <c r="G55" i="9" a="1"/>
  <c r="G55" i="9" s="1"/>
  <c r="F56" i="9"/>
  <c r="G269" i="9" a="1"/>
  <c r="G269" i="9" s="1"/>
  <c r="F270" i="9"/>
  <c r="G519" i="9" a="1"/>
  <c r="G519" i="9" s="1"/>
  <c r="F520" i="9"/>
  <c r="F361" i="9"/>
  <c r="G360" i="9" a="1"/>
  <c r="G360" i="9" s="1"/>
  <c r="G756" i="9" a="1"/>
  <c r="G756" i="9" s="1"/>
  <c r="F757" i="9"/>
  <c r="G184" i="9" a="1"/>
  <c r="G184" i="9" s="1"/>
  <c r="F185" i="9"/>
  <c r="G463" i="9" a="1"/>
  <c r="G463" i="9" s="1"/>
  <c r="F464" i="9"/>
  <c r="G841" i="9" a="1"/>
  <c r="G841" i="9" s="1"/>
  <c r="F842" i="9"/>
  <c r="G497" i="9" a="1"/>
  <c r="G497" i="9" s="1"/>
  <c r="F498" i="9"/>
  <c r="G206" i="9" a="1"/>
  <c r="G206" i="9" s="1"/>
  <c r="F207" i="9"/>
  <c r="G694" i="9" a="1"/>
  <c r="G694" i="9" s="1"/>
  <c r="F695" i="9"/>
  <c r="G579" i="9" a="1"/>
  <c r="G579" i="9" s="1"/>
  <c r="F580" i="9"/>
  <c r="G543" i="9" a="1"/>
  <c r="G543" i="9" s="1"/>
  <c r="F544" i="9"/>
  <c r="F306" i="9"/>
  <c r="G305" i="9" a="1"/>
  <c r="G305" i="9" s="1"/>
  <c r="G825" i="9" a="1"/>
  <c r="G825" i="9" s="1"/>
  <c r="F826" i="9"/>
  <c r="G858" i="9" a="1"/>
  <c r="G858" i="9" s="1"/>
  <c r="F859" i="9"/>
  <c r="G554" i="9" a="1"/>
  <c r="G554" i="9" s="1"/>
  <c r="F555" i="9"/>
  <c r="G799" i="9" a="1"/>
  <c r="G799" i="9" s="1"/>
  <c r="F800" i="9"/>
  <c r="G96" i="9" a="1"/>
  <c r="G96" i="9" s="1"/>
  <c r="F97" i="9"/>
  <c r="G626" i="9" a="1"/>
  <c r="G626" i="9" s="1"/>
  <c r="F627" i="9"/>
  <c r="G120" i="9" a="1"/>
  <c r="G120" i="9" s="1"/>
  <c r="F121" i="9"/>
  <c r="G140" i="9" a="1"/>
  <c r="G140" i="9" s="1"/>
  <c r="F141" i="9"/>
  <c r="G141" i="9" s="1" a="1"/>
  <c r="G141" i="9" s="1"/>
  <c r="F7" i="9"/>
  <c r="G6" i="9" a="1"/>
  <c r="G6" i="9" s="1"/>
  <c r="G877" i="9" a="1"/>
  <c r="G877" i="9" s="1"/>
  <c r="F878" i="9"/>
  <c r="G705" i="9" a="1"/>
  <c r="G705" i="9" s="1"/>
  <c r="F706" i="9"/>
  <c r="G35" i="9" a="1"/>
  <c r="G35" i="9" s="1"/>
  <c r="F36" i="9"/>
  <c r="G36" i="9" s="1" a="1"/>
  <c r="G36" i="9" s="1"/>
  <c r="G436" i="9" a="1"/>
  <c r="G436" i="9" s="1"/>
  <c r="F437" i="9"/>
  <c r="F402" i="9"/>
  <c r="G401" i="9" a="1"/>
  <c r="G401" i="9" s="1"/>
  <c r="G473" i="9" a="1"/>
  <c r="G473" i="9" s="1"/>
  <c r="F474" i="9"/>
  <c r="F370" i="9"/>
  <c r="G369" i="9" a="1"/>
  <c r="G369" i="9" s="1"/>
  <c r="G783" i="9" a="1"/>
  <c r="G783" i="9" s="1"/>
  <c r="F784" i="9"/>
  <c r="G834" i="9" a="1"/>
  <c r="G834" i="9" s="1"/>
  <c r="F835" i="9"/>
  <c r="G605" i="9" a="1"/>
  <c r="G605" i="9" s="1"/>
  <c r="F606" i="9"/>
  <c r="G85" i="9" a="1"/>
  <c r="G85" i="9" s="1"/>
  <c r="F86" i="9"/>
  <c r="F225" i="9"/>
  <c r="G224" i="9" a="1"/>
  <c r="G224" i="9" s="1"/>
  <c r="G740" i="9" a="1"/>
  <c r="G740" i="9" s="1"/>
  <c r="F741" i="9"/>
  <c r="G412" i="9" a="1"/>
  <c r="G412" i="9" s="1"/>
  <c r="F413" i="9"/>
  <c r="F892" i="9"/>
  <c r="G891" i="9" a="1"/>
  <c r="G891" i="9" s="1"/>
  <c r="G261" i="9" a="1"/>
  <c r="G261" i="9" s="1"/>
  <c r="F262" i="9"/>
  <c r="G507" i="9" a="1"/>
  <c r="G507" i="9" s="1"/>
  <c r="F508" i="9"/>
  <c r="G712" i="9" a="1"/>
  <c r="G712" i="9" s="1"/>
  <c r="F713" i="9"/>
  <c r="F330" i="9"/>
  <c r="G329" i="9" a="1"/>
  <c r="G329" i="9" s="1"/>
  <c r="G533" i="8" a="1"/>
  <c r="G533" i="8" s="1"/>
  <c r="F534" i="8"/>
  <c r="I5" i="8" a="1"/>
  <c r="I5" i="8" s="1"/>
  <c r="F7" i="8"/>
  <c r="G6" i="8" a="1"/>
  <c r="G6" i="8" s="1"/>
  <c r="F349" i="8"/>
  <c r="G348" i="8" a="1"/>
  <c r="G348" i="8" s="1"/>
  <c r="G485" i="8" a="1"/>
  <c r="G485" i="8" s="1"/>
  <c r="F486" i="8"/>
  <c r="G451" i="8" a="1"/>
  <c r="G451" i="8" s="1"/>
  <c r="F452" i="8"/>
  <c r="G522" i="8" a="1"/>
  <c r="G522" i="8" s="1"/>
  <c r="F523" i="8"/>
  <c r="F416" i="8"/>
  <c r="G415" i="8" a="1"/>
  <c r="G415" i="8" s="1"/>
  <c r="F674" i="8"/>
  <c r="G673" i="8" a="1"/>
  <c r="G673" i="8" s="1"/>
  <c r="F286" i="8"/>
  <c r="G285" i="8" a="1"/>
  <c r="G285" i="8" s="1"/>
  <c r="G795" i="8" a="1"/>
  <c r="G795" i="8" s="1"/>
  <c r="F796" i="8"/>
  <c r="G654" i="8" a="1"/>
  <c r="G654" i="8" s="1"/>
  <c r="F655" i="8"/>
  <c r="G120" i="8" a="1"/>
  <c r="G120" i="8" s="1"/>
  <c r="F121" i="8"/>
  <c r="G560" i="8" a="1"/>
  <c r="G560" i="8" s="1"/>
  <c r="F561" i="8"/>
  <c r="G583" i="8" a="1"/>
  <c r="G583" i="8" s="1"/>
  <c r="F584" i="8"/>
  <c r="G43" i="8" a="1"/>
  <c r="G43" i="8" s="1"/>
  <c r="F44" i="8"/>
  <c r="G880" i="8" a="1"/>
  <c r="G880" i="8" s="1"/>
  <c r="F881" i="8"/>
  <c r="G872" i="8" a="1"/>
  <c r="G872" i="8" s="1"/>
  <c r="F873" i="8"/>
  <c r="F97" i="8"/>
  <c r="G96" i="8" a="1"/>
  <c r="G96" i="8" s="1"/>
  <c r="G186" i="8" a="1"/>
  <c r="G186" i="8" s="1"/>
  <c r="F187" i="8"/>
  <c r="G693" i="8" a="1"/>
  <c r="G693" i="8" s="1"/>
  <c r="F694" i="8"/>
  <c r="G139" i="8" a="1"/>
  <c r="G139" i="8" s="1"/>
  <c r="F140" i="8"/>
  <c r="G813" i="8" a="1"/>
  <c r="G813" i="8" s="1"/>
  <c r="F814" i="8"/>
  <c r="F781" i="8"/>
  <c r="G780" i="8" a="1"/>
  <c r="G780" i="8" s="1"/>
  <c r="G684" i="8" a="1"/>
  <c r="G684" i="8" s="1"/>
  <c r="F685" i="8"/>
  <c r="G498" i="8" a="1"/>
  <c r="G498" i="8" s="1"/>
  <c r="F499" i="8"/>
  <c r="G629" i="8" a="1"/>
  <c r="G629" i="8" s="1"/>
  <c r="F630" i="8"/>
  <c r="F270" i="8"/>
  <c r="G269" i="8" a="1"/>
  <c r="G269" i="8" s="1"/>
  <c r="G202" i="8" a="1"/>
  <c r="G202" i="8" s="1"/>
  <c r="F203" i="8"/>
  <c r="G70" i="8" a="1"/>
  <c r="G70" i="8" s="1"/>
  <c r="F71" i="8"/>
  <c r="G605" i="8" a="1"/>
  <c r="G605" i="8" s="1"/>
  <c r="F606" i="8"/>
  <c r="G340" i="8" a="1"/>
  <c r="G340" i="8" s="1"/>
  <c r="F341" i="8"/>
  <c r="F88" i="8"/>
  <c r="G87" i="8" a="1"/>
  <c r="G87" i="8" s="1"/>
  <c r="G239" i="8" a="1"/>
  <c r="G239" i="8" s="1"/>
  <c r="F240" i="8"/>
  <c r="G787" i="8" a="1"/>
  <c r="G787" i="8" s="1"/>
  <c r="F788" i="8"/>
  <c r="G146" i="8" a="1"/>
  <c r="G146" i="8" s="1"/>
  <c r="F147" i="8"/>
  <c r="G307" i="8" a="1"/>
  <c r="G307" i="8" s="1"/>
  <c r="F308" i="8"/>
  <c r="F849" i="8"/>
  <c r="G848" i="8" a="1"/>
  <c r="G848" i="8" s="1"/>
  <c r="G754" i="8" a="1"/>
  <c r="G754" i="8" s="1"/>
  <c r="F755" i="8"/>
  <c r="G162" i="8" a="1"/>
  <c r="G162" i="8" s="1"/>
  <c r="F163" i="8"/>
  <c r="G389" i="8" a="1"/>
  <c r="G389" i="8" s="1"/>
  <c r="F390" i="8"/>
  <c r="F294" i="8"/>
  <c r="G293" i="8" a="1"/>
  <c r="G293" i="8" s="1"/>
  <c r="F59" i="8"/>
  <c r="G59" i="8" s="1" a="1"/>
  <c r="G59" i="8" s="1"/>
  <c r="G58" i="8" a="1"/>
  <c r="G58" i="8" s="1"/>
  <c r="G736" i="8" a="1"/>
  <c r="G736" i="8" s="1"/>
  <c r="F737" i="8"/>
  <c r="G323" i="8" a="1"/>
  <c r="G323" i="8" s="1"/>
  <c r="F324" i="8"/>
  <c r="G247" i="8" a="1"/>
  <c r="G247" i="8" s="1"/>
  <c r="F248" i="8"/>
  <c r="G476" i="8" a="1"/>
  <c r="G476" i="8" s="1"/>
  <c r="F477" i="8"/>
  <c r="G441" i="8" a="1"/>
  <c r="G441" i="8" s="1"/>
  <c r="F442" i="8"/>
  <c r="G805" i="8" a="1"/>
  <c r="G805" i="8" s="1"/>
  <c r="F806" i="8"/>
  <c r="F833" i="8"/>
  <c r="G832" i="8" a="1"/>
  <c r="G832" i="8" s="1"/>
  <c r="G381" i="8" a="1"/>
  <c r="G381" i="8" s="1"/>
  <c r="F382" i="8"/>
  <c r="G718" i="8" a="1"/>
  <c r="G718" i="8" s="1"/>
  <c r="F719" i="8"/>
  <c r="G431" i="7" a="1"/>
  <c r="G431" i="7" s="1"/>
  <c r="F456" i="7"/>
  <c r="G676" i="9" l="1" a="1"/>
  <c r="G676" i="9" s="1"/>
  <c r="F677" i="9"/>
  <c r="G706" i="9" a="1"/>
  <c r="G706" i="9" s="1"/>
  <c r="F707" i="9"/>
  <c r="G707" i="9" s="1" a="1"/>
  <c r="G707" i="9" s="1"/>
  <c r="F307" i="9"/>
  <c r="G306" i="9" a="1"/>
  <c r="G306" i="9" s="1"/>
  <c r="G252" i="9" a="1"/>
  <c r="G252" i="9" s="1"/>
  <c r="F253" i="9"/>
  <c r="G464" i="9" a="1"/>
  <c r="G464" i="9" s="1"/>
  <c r="F465" i="9"/>
  <c r="G757" i="9" a="1"/>
  <c r="G757" i="9" s="1"/>
  <c r="F758" i="9"/>
  <c r="G270" i="9" a="1"/>
  <c r="G270" i="9" s="1"/>
  <c r="F271" i="9"/>
  <c r="G147" i="9" a="1"/>
  <c r="G147" i="9" s="1"/>
  <c r="F148" i="9"/>
  <c r="G652" i="9" a="1"/>
  <c r="G652" i="9" s="1"/>
  <c r="F653" i="9"/>
  <c r="F893" i="9"/>
  <c r="G892" i="9" a="1"/>
  <c r="G892" i="9" s="1"/>
  <c r="G917" i="9" a="1"/>
  <c r="G917" i="9" s="1"/>
  <c r="F918" i="9"/>
  <c r="G826" i="9" a="1"/>
  <c r="G826" i="9" s="1"/>
  <c r="F827" i="9"/>
  <c r="G262" i="9" a="1"/>
  <c r="G262" i="9" s="1"/>
  <c r="F263" i="9"/>
  <c r="G263" i="9" s="1" a="1"/>
  <c r="G263" i="9" s="1"/>
  <c r="G413" i="9" a="1"/>
  <c r="G413" i="9" s="1"/>
  <c r="F414" i="9"/>
  <c r="F371" i="9"/>
  <c r="G370" i="9" a="1"/>
  <c r="G370" i="9" s="1"/>
  <c r="G555" i="9" a="1"/>
  <c r="G555" i="9" s="1"/>
  <c r="F556" i="9"/>
  <c r="G695" i="9" a="1"/>
  <c r="G695" i="9" s="1"/>
  <c r="F696" i="9"/>
  <c r="G56" i="9" a="1"/>
  <c r="G56" i="9" s="1"/>
  <c r="F57" i="9"/>
  <c r="G851" i="9" a="1"/>
  <c r="G851" i="9" s="1"/>
  <c r="F852" i="9"/>
  <c r="G878" i="9" a="1"/>
  <c r="G878" i="9" s="1"/>
  <c r="F879" i="9"/>
  <c r="G7" i="9" a="1"/>
  <c r="G7" i="9" s="1"/>
  <c r="F8" i="9"/>
  <c r="F362" i="9"/>
  <c r="G361" i="9" a="1"/>
  <c r="G361" i="9" s="1"/>
  <c r="G169" i="9" a="1"/>
  <c r="G169" i="9" s="1"/>
  <c r="F170" i="9"/>
  <c r="G927" i="9" a="1"/>
  <c r="G927" i="9" s="1"/>
  <c r="F928" i="9"/>
  <c r="G784" i="9" a="1"/>
  <c r="G784" i="9" s="1"/>
  <c r="F785" i="9"/>
  <c r="I6" i="9" a="1"/>
  <c r="I6" i="9" s="1"/>
  <c r="F331" i="9"/>
  <c r="G330" i="9" a="1"/>
  <c r="G330" i="9" s="1"/>
  <c r="G474" i="9" a="1"/>
  <c r="G474" i="9" s="1"/>
  <c r="F475" i="9"/>
  <c r="G86" i="9" a="1"/>
  <c r="G86" i="9" s="1"/>
  <c r="F87" i="9"/>
  <c r="G627" i="9" a="1"/>
  <c r="G627" i="9" s="1"/>
  <c r="F628" i="9"/>
  <c r="F860" i="9"/>
  <c r="G859" i="9" a="1"/>
  <c r="G859" i="9" s="1"/>
  <c r="G207" i="9" a="1"/>
  <c r="G207" i="9" s="1"/>
  <c r="F208" i="9"/>
  <c r="G498" i="9" a="1"/>
  <c r="G498" i="9" s="1"/>
  <c r="F499" i="9"/>
  <c r="F346" i="9"/>
  <c r="G345" i="9" a="1"/>
  <c r="G345" i="9" s="1"/>
  <c r="G713" i="9" a="1"/>
  <c r="G713" i="9" s="1"/>
  <c r="F714" i="9"/>
  <c r="F226" i="9"/>
  <c r="G225" i="9" a="1"/>
  <c r="G225" i="9" s="1"/>
  <c r="G508" i="9" a="1"/>
  <c r="G508" i="9" s="1"/>
  <c r="F509" i="9"/>
  <c r="F403" i="9"/>
  <c r="G402" i="9" a="1"/>
  <c r="G402" i="9" s="1"/>
  <c r="G580" i="9" a="1"/>
  <c r="G580" i="9" s="1"/>
  <c r="F581" i="9"/>
  <c r="G70" i="9" a="1"/>
  <c r="G70" i="9" s="1"/>
  <c r="F71" i="9"/>
  <c r="G317" i="9" a="1"/>
  <c r="G317" i="9" s="1"/>
  <c r="F318" i="9"/>
  <c r="F291" i="9"/>
  <c r="G290" i="9" a="1"/>
  <c r="G290" i="9" s="1"/>
  <c r="G800" i="9" a="1"/>
  <c r="G800" i="9" s="1"/>
  <c r="F801" i="9"/>
  <c r="G835" i="9" a="1"/>
  <c r="G835" i="9" s="1"/>
  <c r="F836" i="9"/>
  <c r="G836" i="9" s="1" a="1"/>
  <c r="G836" i="9" s="1"/>
  <c r="G544" i="9" a="1"/>
  <c r="G544" i="9" s="1"/>
  <c r="F545" i="9"/>
  <c r="G741" i="9" a="1"/>
  <c r="G741" i="9" s="1"/>
  <c r="F742" i="9"/>
  <c r="G606" i="9" a="1"/>
  <c r="G606" i="9" s="1"/>
  <c r="F607" i="9"/>
  <c r="G437" i="9" a="1"/>
  <c r="G437" i="9" s="1"/>
  <c r="F438" i="9"/>
  <c r="G121" i="9" a="1"/>
  <c r="G121" i="9" s="1"/>
  <c r="F122" i="9"/>
  <c r="G97" i="9" a="1"/>
  <c r="G97" i="9" s="1"/>
  <c r="F98" i="9"/>
  <c r="G842" i="9" a="1"/>
  <c r="G842" i="9" s="1"/>
  <c r="F843" i="9"/>
  <c r="G185" i="9" a="1"/>
  <c r="G185" i="9" s="1"/>
  <c r="F186" i="9"/>
  <c r="G520" i="9" a="1"/>
  <c r="G520" i="9" s="1"/>
  <c r="F521" i="9"/>
  <c r="G44" i="9" a="1"/>
  <c r="G44" i="9" s="1"/>
  <c r="F45" i="9"/>
  <c r="G534" i="8" a="1"/>
  <c r="G534" i="8" s="1"/>
  <c r="F535" i="8"/>
  <c r="I6" i="8" a="1"/>
  <c r="I6" i="8" s="1"/>
  <c r="G486" i="8" a="1"/>
  <c r="G486" i="8" s="1"/>
  <c r="F487" i="8"/>
  <c r="F350" i="8"/>
  <c r="G349" i="8" a="1"/>
  <c r="G349" i="8" s="1"/>
  <c r="G452" i="8" a="1"/>
  <c r="G452" i="8" s="1"/>
  <c r="F453" i="8"/>
  <c r="F8" i="8"/>
  <c r="G7" i="8" a="1"/>
  <c r="G7" i="8" s="1"/>
  <c r="I7" i="8" s="1" a="1"/>
  <c r="I7" i="8" s="1"/>
  <c r="F782" i="8"/>
  <c r="G782" i="8" s="1" a="1"/>
  <c r="G782" i="8" s="1"/>
  <c r="G781" i="8" a="1"/>
  <c r="G781" i="8" s="1"/>
  <c r="G814" i="8" a="1"/>
  <c r="G814" i="8" s="1"/>
  <c r="F815" i="8"/>
  <c r="G881" i="8" a="1"/>
  <c r="G881" i="8" s="1"/>
  <c r="F882" i="8"/>
  <c r="G584" i="8" a="1"/>
  <c r="G584" i="8" s="1"/>
  <c r="F585" i="8"/>
  <c r="G606" i="8" a="1"/>
  <c r="G606" i="8" s="1"/>
  <c r="F607" i="8"/>
  <c r="G203" i="8" a="1"/>
  <c r="G203" i="8" s="1"/>
  <c r="F204" i="8"/>
  <c r="G561" i="8" a="1"/>
  <c r="G561" i="8" s="1"/>
  <c r="F562" i="8"/>
  <c r="F720" i="8"/>
  <c r="G719" i="8" a="1"/>
  <c r="G719" i="8" s="1"/>
  <c r="G755" i="8" a="1"/>
  <c r="G755" i="8" s="1"/>
  <c r="F756" i="8"/>
  <c r="G499" i="8" a="1"/>
  <c r="G499" i="8" s="1"/>
  <c r="F500" i="8"/>
  <c r="G140" i="8" a="1"/>
  <c r="G140" i="8" s="1"/>
  <c r="F141" i="8"/>
  <c r="G141" i="8" s="1" a="1"/>
  <c r="G141" i="8" s="1"/>
  <c r="G873" i="8" a="1"/>
  <c r="G873" i="8" s="1"/>
  <c r="F874" i="8"/>
  <c r="F122" i="8"/>
  <c r="G121" i="8" a="1"/>
  <c r="G121" i="8" s="1"/>
  <c r="G523" i="8" a="1"/>
  <c r="G523" i="8" s="1"/>
  <c r="F524" i="8"/>
  <c r="G806" i="8" a="1"/>
  <c r="G806" i="8" s="1"/>
  <c r="F807" i="8"/>
  <c r="G807" i="8" s="1" a="1"/>
  <c r="G807" i="8" s="1"/>
  <c r="F309" i="8"/>
  <c r="G308" i="8" a="1"/>
  <c r="G308" i="8" s="1"/>
  <c r="G187" i="8" a="1"/>
  <c r="G187" i="8" s="1"/>
  <c r="F188" i="8"/>
  <c r="F45" i="8"/>
  <c r="G44" i="8" a="1"/>
  <c r="G44" i="8" s="1"/>
  <c r="G674" i="8" a="1"/>
  <c r="G674" i="8" s="1"/>
  <c r="F675" i="8"/>
  <c r="G477" i="8" a="1"/>
  <c r="G477" i="8" s="1"/>
  <c r="F478" i="8"/>
  <c r="G324" i="8" a="1"/>
  <c r="G324" i="8" s="1"/>
  <c r="F325" i="8"/>
  <c r="F850" i="8"/>
  <c r="G849" i="8" a="1"/>
  <c r="G849" i="8" s="1"/>
  <c r="G270" i="8" a="1"/>
  <c r="G270" i="8" s="1"/>
  <c r="F271" i="8"/>
  <c r="G796" i="8" a="1"/>
  <c r="G796" i="8" s="1"/>
  <c r="F797" i="8"/>
  <c r="G737" i="8" a="1"/>
  <c r="G737" i="8" s="1"/>
  <c r="F738" i="8"/>
  <c r="G163" i="8" a="1"/>
  <c r="G163" i="8" s="1"/>
  <c r="F164" i="8"/>
  <c r="F295" i="8"/>
  <c r="G294" i="8" a="1"/>
  <c r="G294" i="8" s="1"/>
  <c r="F241" i="8"/>
  <c r="G240" i="8" a="1"/>
  <c r="G240" i="8" s="1"/>
  <c r="F391" i="8"/>
  <c r="G390" i="8" a="1"/>
  <c r="G390" i="8" s="1"/>
  <c r="G694" i="8" a="1"/>
  <c r="G694" i="8" s="1"/>
  <c r="F695" i="8"/>
  <c r="F249" i="8"/>
  <c r="G248" i="8" a="1"/>
  <c r="G248" i="8" s="1"/>
  <c r="G685" i="8" a="1"/>
  <c r="G685" i="8" s="1"/>
  <c r="F686" i="8"/>
  <c r="G686" i="8" s="1" a="1"/>
  <c r="G686" i="8" s="1"/>
  <c r="F287" i="8"/>
  <c r="G286" i="8" a="1"/>
  <c r="G286" i="8" s="1"/>
  <c r="G416" i="8" a="1"/>
  <c r="G416" i="8" s="1"/>
  <c r="F417" i="8"/>
  <c r="G788" i="8" a="1"/>
  <c r="G788" i="8" s="1"/>
  <c r="F789" i="8"/>
  <c r="G833" i="8" a="1"/>
  <c r="G833" i="8" s="1"/>
  <c r="F834" i="8"/>
  <c r="F383" i="8"/>
  <c r="G382" i="8" a="1"/>
  <c r="G382" i="8" s="1"/>
  <c r="G630" i="8" a="1"/>
  <c r="G630" i="8" s="1"/>
  <c r="F631" i="8"/>
  <c r="G442" i="8" a="1"/>
  <c r="G442" i="8" s="1"/>
  <c r="F443" i="8"/>
  <c r="F148" i="8"/>
  <c r="G147" i="8" a="1"/>
  <c r="G147" i="8" s="1"/>
  <c r="G88" i="8" a="1"/>
  <c r="G88" i="8" s="1"/>
  <c r="F89" i="8"/>
  <c r="G89" i="8" s="1" a="1"/>
  <c r="G89" i="8" s="1"/>
  <c r="G341" i="8" a="1"/>
  <c r="G341" i="8" s="1"/>
  <c r="F342" i="8"/>
  <c r="G342" i="8" s="1" a="1"/>
  <c r="G342" i="8" s="1"/>
  <c r="F72" i="8"/>
  <c r="G71" i="8" a="1"/>
  <c r="G71" i="8" s="1"/>
  <c r="G97" i="8" a="1"/>
  <c r="G97" i="8" s="1"/>
  <c r="F98" i="8"/>
  <c r="G655" i="8" a="1"/>
  <c r="G655" i="8" s="1"/>
  <c r="F656" i="8"/>
  <c r="F459" i="7"/>
  <c r="G456" i="7" a="1"/>
  <c r="G456" i="7" s="1"/>
  <c r="G677" i="9" l="1" a="1"/>
  <c r="G677" i="9" s="1"/>
  <c r="F678" i="9"/>
  <c r="G742" i="9" a="1"/>
  <c r="G742" i="9" s="1"/>
  <c r="F743" i="9"/>
  <c r="G71" i="9" a="1"/>
  <c r="G71" i="9" s="1"/>
  <c r="F72" i="9"/>
  <c r="G928" i="9" a="1"/>
  <c r="G928" i="9" s="1"/>
  <c r="F929" i="9"/>
  <c r="G696" i="9" a="1"/>
  <c r="G696" i="9" s="1"/>
  <c r="F697" i="9"/>
  <c r="G403" i="9" a="1"/>
  <c r="G403" i="9" s="1"/>
  <c r="F404" i="9"/>
  <c r="F363" i="9"/>
  <c r="G363" i="9" s="1" a="1"/>
  <c r="G363" i="9" s="1"/>
  <c r="G362" i="9" a="1"/>
  <c r="G362" i="9" s="1"/>
  <c r="G827" i="9" a="1"/>
  <c r="G827" i="9" s="1"/>
  <c r="F828" i="9"/>
  <c r="G828" i="9" s="1" a="1"/>
  <c r="G828" i="9" s="1"/>
  <c r="G918" i="9" a="1"/>
  <c r="G918" i="9" s="1"/>
  <c r="F919" i="9"/>
  <c r="G271" i="9" a="1"/>
  <c r="G271" i="9" s="1"/>
  <c r="F272" i="9"/>
  <c r="G852" i="9" a="1"/>
  <c r="G852" i="9" s="1"/>
  <c r="F853" i="9"/>
  <c r="G853" i="9" s="1" a="1"/>
  <c r="G853" i="9" s="1"/>
  <c r="G499" i="9" a="1"/>
  <c r="G499" i="9" s="1"/>
  <c r="F500" i="9"/>
  <c r="G331" i="9" a="1"/>
  <c r="G331" i="9" s="1"/>
  <c r="F332" i="9"/>
  <c r="G45" i="9" a="1"/>
  <c r="G45" i="9" s="1"/>
  <c r="F46" i="9"/>
  <c r="G521" i="9" a="1"/>
  <c r="G521" i="9" s="1"/>
  <c r="F522" i="9"/>
  <c r="G57" i="9" a="1"/>
  <c r="G57" i="9" s="1"/>
  <c r="F58" i="9"/>
  <c r="G893" i="9" a="1"/>
  <c r="G893" i="9" s="1"/>
  <c r="F894" i="9"/>
  <c r="G253" i="9" a="1"/>
  <c r="G253" i="9" s="1"/>
  <c r="F254" i="9"/>
  <c r="G653" i="9" a="1"/>
  <c r="G653" i="9" s="1"/>
  <c r="F654" i="9"/>
  <c r="G758" i="9" a="1"/>
  <c r="G758" i="9" s="1"/>
  <c r="F759" i="9"/>
  <c r="F308" i="9"/>
  <c r="G307" i="9" a="1"/>
  <c r="G307" i="9" s="1"/>
  <c r="G475" i="9" a="1"/>
  <c r="G475" i="9" s="1"/>
  <c r="F476" i="9"/>
  <c r="G170" i="9" a="1"/>
  <c r="G170" i="9" s="1"/>
  <c r="F171" i="9"/>
  <c r="G186" i="9" a="1"/>
  <c r="G186" i="9" s="1"/>
  <c r="F187" i="9"/>
  <c r="G98" i="9" a="1"/>
  <c r="G98" i="9" s="1"/>
  <c r="F99" i="9"/>
  <c r="G785" i="9" a="1"/>
  <c r="G785" i="9" s="1"/>
  <c r="F786" i="9"/>
  <c r="G8" i="9" a="1"/>
  <c r="G8" i="9" s="1"/>
  <c r="F9" i="9"/>
  <c r="G371" i="9" a="1"/>
  <c r="G371" i="9" s="1"/>
  <c r="F372" i="9"/>
  <c r="G438" i="9" a="1"/>
  <c r="G438" i="9" s="1"/>
  <c r="F439" i="9"/>
  <c r="G208" i="9" a="1"/>
  <c r="G208" i="9" s="1"/>
  <c r="F209" i="9"/>
  <c r="F227" i="9"/>
  <c r="G226" i="9" a="1"/>
  <c r="G226" i="9" s="1"/>
  <c r="G556" i="9" a="1"/>
  <c r="G556" i="9" s="1"/>
  <c r="F557" i="9"/>
  <c r="F292" i="9"/>
  <c r="G291" i="9" a="1"/>
  <c r="G291" i="9" s="1"/>
  <c r="I7" i="9" a="1"/>
  <c r="I7" i="9" s="1"/>
  <c r="G148" i="9" a="1"/>
  <c r="G148" i="9" s="1"/>
  <c r="F149" i="9"/>
  <c r="G465" i="9" a="1"/>
  <c r="G465" i="9" s="1"/>
  <c r="F466" i="9"/>
  <c r="G607" i="9" a="1"/>
  <c r="G607" i="9" s="1"/>
  <c r="F608" i="9"/>
  <c r="G545" i="9" a="1"/>
  <c r="G545" i="9" s="1"/>
  <c r="F546" i="9"/>
  <c r="G546" i="9" s="1" a="1"/>
  <c r="G546" i="9" s="1"/>
  <c r="G801" i="9" a="1"/>
  <c r="G801" i="9" s="1"/>
  <c r="F802" i="9"/>
  <c r="F319" i="9"/>
  <c r="G318" i="9" a="1"/>
  <c r="G318" i="9" s="1"/>
  <c r="G509" i="9" a="1"/>
  <c r="G509" i="9" s="1"/>
  <c r="F510" i="9"/>
  <c r="F861" i="9"/>
  <c r="G860" i="9" a="1"/>
  <c r="G860" i="9" s="1"/>
  <c r="G87" i="9" a="1"/>
  <c r="G87" i="9" s="1"/>
  <c r="F88" i="9"/>
  <c r="G879" i="9" a="1"/>
  <c r="G879" i="9" s="1"/>
  <c r="F880" i="9"/>
  <c r="G843" i="9" a="1"/>
  <c r="G843" i="9" s="1"/>
  <c r="F844" i="9"/>
  <c r="G122" i="9" a="1"/>
  <c r="G122" i="9" s="1"/>
  <c r="F123" i="9"/>
  <c r="G581" i="9" a="1"/>
  <c r="G581" i="9" s="1"/>
  <c r="F582" i="9"/>
  <c r="G714" i="9" a="1"/>
  <c r="G714" i="9" s="1"/>
  <c r="F715" i="9"/>
  <c r="F347" i="9"/>
  <c r="G346" i="9" a="1"/>
  <c r="G346" i="9" s="1"/>
  <c r="G628" i="9" a="1"/>
  <c r="G628" i="9" s="1"/>
  <c r="F629" i="9"/>
  <c r="G414" i="9" a="1"/>
  <c r="G414" i="9" s="1"/>
  <c r="F415" i="9"/>
  <c r="G535" i="8" a="1"/>
  <c r="G535" i="8" s="1"/>
  <c r="F536" i="8"/>
  <c r="F454" i="8"/>
  <c r="G453" i="8" a="1"/>
  <c r="G453" i="8" s="1"/>
  <c r="F351" i="8"/>
  <c r="G350" i="8" a="1"/>
  <c r="G350" i="8" s="1"/>
  <c r="G487" i="8" a="1"/>
  <c r="G487" i="8" s="1"/>
  <c r="F488" i="8"/>
  <c r="F9" i="8"/>
  <c r="G8" i="8" a="1"/>
  <c r="G8" i="8" s="1"/>
  <c r="I8" i="8" s="1" a="1"/>
  <c r="I8" i="8" s="1"/>
  <c r="G443" i="8" a="1"/>
  <c r="G443" i="8" s="1"/>
  <c r="F444" i="8"/>
  <c r="F46" i="8"/>
  <c r="G45" i="8" a="1"/>
  <c r="G45" i="8" s="1"/>
  <c r="G122" i="8" a="1"/>
  <c r="G122" i="8" s="1"/>
  <c r="F123" i="8"/>
  <c r="F392" i="8"/>
  <c r="G391" i="8" a="1"/>
  <c r="G391" i="8" s="1"/>
  <c r="F384" i="8"/>
  <c r="G384" i="8" s="1" a="1"/>
  <c r="G384" i="8" s="1"/>
  <c r="G383" i="8" a="1"/>
  <c r="G383" i="8" s="1"/>
  <c r="G287" i="8" a="1"/>
  <c r="G287" i="8" s="1"/>
  <c r="F288" i="8"/>
  <c r="G288" i="8" s="1" a="1"/>
  <c r="G288" i="8" s="1"/>
  <c r="F696" i="8"/>
  <c r="G695" i="8" a="1"/>
  <c r="G695" i="8" s="1"/>
  <c r="F851" i="8"/>
  <c r="G850" i="8" a="1"/>
  <c r="G850" i="8" s="1"/>
  <c r="G188" i="8" a="1"/>
  <c r="G188" i="8" s="1"/>
  <c r="F189" i="8"/>
  <c r="G585" i="8" a="1"/>
  <c r="G585" i="8" s="1"/>
  <c r="F586" i="8"/>
  <c r="G815" i="8" a="1"/>
  <c r="G815" i="8" s="1"/>
  <c r="F816" i="8"/>
  <c r="G204" i="8" a="1"/>
  <c r="G204" i="8" s="1"/>
  <c r="F205" i="8"/>
  <c r="G271" i="8" a="1"/>
  <c r="G271" i="8" s="1"/>
  <c r="F272" i="8"/>
  <c r="G882" i="8" a="1"/>
  <c r="G882" i="8" s="1"/>
  <c r="F883" i="8"/>
  <c r="G607" i="8" a="1"/>
  <c r="G607" i="8" s="1"/>
  <c r="F608" i="8"/>
  <c r="F757" i="8"/>
  <c r="G756" i="8" a="1"/>
  <c r="G756" i="8" s="1"/>
  <c r="F632" i="8"/>
  <c r="G631" i="8" a="1"/>
  <c r="G631" i="8" s="1"/>
  <c r="G675" i="8" a="1"/>
  <c r="G675" i="8" s="1"/>
  <c r="F676" i="8"/>
  <c r="G524" i="8" a="1"/>
  <c r="G524" i="8" s="1"/>
  <c r="F525" i="8"/>
  <c r="G525" i="8" s="1" a="1"/>
  <c r="G525" i="8" s="1"/>
  <c r="G874" i="8" a="1"/>
  <c r="G874" i="8" s="1"/>
  <c r="F875" i="8"/>
  <c r="G875" i="8" s="1" a="1"/>
  <c r="G875" i="8" s="1"/>
  <c r="G562" i="8" a="1"/>
  <c r="G562" i="8" s="1"/>
  <c r="F563" i="8"/>
  <c r="G98" i="8" a="1"/>
  <c r="G98" i="8" s="1"/>
  <c r="F99" i="8"/>
  <c r="G500" i="8" a="1"/>
  <c r="G500" i="8" s="1"/>
  <c r="F501" i="8"/>
  <c r="F721" i="8"/>
  <c r="G720" i="8" a="1"/>
  <c r="G720" i="8" s="1"/>
  <c r="G797" i="8" a="1"/>
  <c r="G797" i="8" s="1"/>
  <c r="F798" i="8"/>
  <c r="G417" i="8" a="1"/>
  <c r="G417" i="8" s="1"/>
  <c r="F418" i="8"/>
  <c r="G738" i="8" a="1"/>
  <c r="G738" i="8" s="1"/>
  <c r="F739" i="8"/>
  <c r="G656" i="8" a="1"/>
  <c r="G656" i="8" s="1"/>
  <c r="F657" i="8"/>
  <c r="G72" i="8" a="1"/>
  <c r="G72" i="8" s="1"/>
  <c r="F73" i="8"/>
  <c r="G241" i="8" a="1"/>
  <c r="G241" i="8" s="1"/>
  <c r="F242" i="8"/>
  <c r="G242" i="8" s="1" a="1"/>
  <c r="G242" i="8" s="1"/>
  <c r="F835" i="8"/>
  <c r="G835" i="8" s="1" a="1"/>
  <c r="G835" i="8" s="1"/>
  <c r="G834" i="8" a="1"/>
  <c r="G834" i="8" s="1"/>
  <c r="G295" i="8" a="1"/>
  <c r="G295" i="8" s="1"/>
  <c r="F296" i="8"/>
  <c r="F310" i="8"/>
  <c r="G309" i="8" a="1"/>
  <c r="G309" i="8" s="1"/>
  <c r="G789" i="8" a="1"/>
  <c r="G789" i="8" s="1"/>
  <c r="F790" i="8"/>
  <c r="G790" i="8" s="1" a="1"/>
  <c r="G790" i="8" s="1"/>
  <c r="G249" i="8" a="1"/>
  <c r="G249" i="8" s="1"/>
  <c r="F250" i="8"/>
  <c r="G164" i="8" a="1"/>
  <c r="G164" i="8" s="1"/>
  <c r="F165" i="8"/>
  <c r="F326" i="8"/>
  <c r="G325" i="8" a="1"/>
  <c r="G325" i="8" s="1"/>
  <c r="F149" i="8"/>
  <c r="G148" i="8" a="1"/>
  <c r="G148" i="8" s="1"/>
  <c r="G478" i="8" a="1"/>
  <c r="G478" i="8" s="1"/>
  <c r="F479" i="8"/>
  <c r="G459" i="7" a="1"/>
  <c r="G459" i="7" s="1"/>
  <c r="F469" i="7"/>
  <c r="G678" i="9" l="1" a="1"/>
  <c r="G678" i="9" s="1"/>
  <c r="F679" i="9"/>
  <c r="G557" i="9" a="1"/>
  <c r="G557" i="9" s="1"/>
  <c r="F558" i="9"/>
  <c r="F228" i="9"/>
  <c r="G227" i="9" a="1"/>
  <c r="G227" i="9" s="1"/>
  <c r="G171" i="9" a="1"/>
  <c r="G171" i="9" s="1"/>
  <c r="F172" i="9"/>
  <c r="G404" i="9" a="1"/>
  <c r="G404" i="9" s="1"/>
  <c r="F405" i="9"/>
  <c r="G405" i="9" s="1" a="1"/>
  <c r="G405" i="9" s="1"/>
  <c r="G929" i="9" a="1"/>
  <c r="G929" i="9" s="1"/>
  <c r="F930" i="9"/>
  <c r="G292" i="9" a="1"/>
  <c r="G292" i="9" s="1"/>
  <c r="F293" i="9"/>
  <c r="G187" i="9" a="1"/>
  <c r="G187" i="9" s="1"/>
  <c r="F188" i="9"/>
  <c r="G254" i="9" a="1"/>
  <c r="G254" i="9" s="1"/>
  <c r="F255" i="9"/>
  <c r="G255" i="9" s="1" a="1"/>
  <c r="G255" i="9" s="1"/>
  <c r="G272" i="9" a="1"/>
  <c r="G272" i="9" s="1"/>
  <c r="F273" i="9"/>
  <c r="G72" i="9" a="1"/>
  <c r="G72" i="9" s="1"/>
  <c r="F73" i="9"/>
  <c r="G123" i="9" a="1"/>
  <c r="G123" i="9" s="1"/>
  <c r="F124" i="9"/>
  <c r="G582" i="9" a="1"/>
  <c r="G582" i="9" s="1"/>
  <c r="F583" i="9"/>
  <c r="G415" i="9" a="1"/>
  <c r="G415" i="9" s="1"/>
  <c r="F416" i="9"/>
  <c r="G844" i="9" a="1"/>
  <c r="G844" i="9" s="1"/>
  <c r="F845" i="9"/>
  <c r="G845" i="9" s="1" a="1"/>
  <c r="G845" i="9" s="1"/>
  <c r="G861" i="9" a="1"/>
  <c r="G861" i="9" s="1"/>
  <c r="F862" i="9"/>
  <c r="G466" i="9" a="1"/>
  <c r="G466" i="9" s="1"/>
  <c r="F467" i="9"/>
  <c r="G467" i="9" s="1" a="1"/>
  <c r="G467" i="9" s="1"/>
  <c r="G439" i="9" a="1"/>
  <c r="G439" i="9" s="1"/>
  <c r="F440" i="9"/>
  <c r="G786" i="9" a="1"/>
  <c r="G786" i="9" s="1"/>
  <c r="F787" i="9"/>
  <c r="G759" i="9" a="1"/>
  <c r="G759" i="9" s="1"/>
  <c r="F760" i="9"/>
  <c r="G372" i="9" a="1"/>
  <c r="G372" i="9" s="1"/>
  <c r="F373" i="9"/>
  <c r="G332" i="9" a="1"/>
  <c r="G332" i="9" s="1"/>
  <c r="F333" i="9"/>
  <c r="G743" i="9" a="1"/>
  <c r="G743" i="9" s="1"/>
  <c r="F744" i="9"/>
  <c r="G629" i="9" a="1"/>
  <c r="G629" i="9" s="1"/>
  <c r="F630" i="9"/>
  <c r="G149" i="9" a="1"/>
  <c r="G149" i="9" s="1"/>
  <c r="F150" i="9"/>
  <c r="G476" i="9" a="1"/>
  <c r="G476" i="9" s="1"/>
  <c r="F477" i="9"/>
  <c r="G654" i="9" a="1"/>
  <c r="G654" i="9" s="1"/>
  <c r="F655" i="9"/>
  <c r="H2" i="9" a="1"/>
  <c r="H2" i="9" s="1"/>
  <c r="G58" i="9" a="1"/>
  <c r="G58" i="9" s="1"/>
  <c r="F59" i="9"/>
  <c r="G59" i="9" s="1" a="1"/>
  <c r="G59" i="9" s="1"/>
  <c r="G522" i="9" a="1"/>
  <c r="G522" i="9" s="1"/>
  <c r="F523" i="9"/>
  <c r="G697" i="9" a="1"/>
  <c r="G697" i="9" s="1"/>
  <c r="F698" i="9"/>
  <c r="G319" i="9" a="1"/>
  <c r="G319" i="9" s="1"/>
  <c r="F320" i="9"/>
  <c r="G715" i="9" a="1"/>
  <c r="G715" i="9" s="1"/>
  <c r="F716" i="9"/>
  <c r="G510" i="9" a="1"/>
  <c r="G510" i="9" s="1"/>
  <c r="F511" i="9"/>
  <c r="G511" i="9" s="1" a="1"/>
  <c r="G511" i="9" s="1"/>
  <c r="G500" i="9" a="1"/>
  <c r="G500" i="9" s="1"/>
  <c r="F501" i="9"/>
  <c r="G501" i="9" s="1" a="1"/>
  <c r="G501" i="9" s="1"/>
  <c r="F920" i="9"/>
  <c r="G919" i="9" a="1"/>
  <c r="G919" i="9" s="1"/>
  <c r="G347" i="9" a="1"/>
  <c r="G347" i="9" s="1"/>
  <c r="F348" i="9"/>
  <c r="G608" i="9" a="1"/>
  <c r="G608" i="9" s="1"/>
  <c r="F609" i="9"/>
  <c r="G209" i="9" a="1"/>
  <c r="G209" i="9" s="1"/>
  <c r="F210" i="9"/>
  <c r="F10" i="9"/>
  <c r="G9" i="9" a="1"/>
  <c r="G9" i="9" s="1"/>
  <c r="G894" i="9" a="1"/>
  <c r="G894" i="9" s="1"/>
  <c r="F895" i="9"/>
  <c r="G46" i="9" a="1"/>
  <c r="G46" i="9" s="1"/>
  <c r="F47" i="9"/>
  <c r="G802" i="9" a="1"/>
  <c r="G802" i="9" s="1"/>
  <c r="F803" i="9"/>
  <c r="F881" i="9"/>
  <c r="G881" i="9" s="1" a="1"/>
  <c r="G881" i="9" s="1"/>
  <c r="G880" i="9" a="1"/>
  <c r="G880" i="9" s="1"/>
  <c r="G88" i="9" a="1"/>
  <c r="G88" i="9" s="1"/>
  <c r="F89" i="9"/>
  <c r="G89" i="9" s="1" a="1"/>
  <c r="G89" i="9" s="1"/>
  <c r="I8" i="9" a="1"/>
  <c r="I8" i="9" s="1"/>
  <c r="G99" i="9" a="1"/>
  <c r="G99" i="9" s="1"/>
  <c r="F100" i="9"/>
  <c r="G308" i="9" a="1"/>
  <c r="G308" i="9" s="1"/>
  <c r="F309" i="9"/>
  <c r="G309" i="9" s="1" a="1"/>
  <c r="G309" i="9" s="1"/>
  <c r="G536" i="8" a="1"/>
  <c r="G536" i="8" s="1"/>
  <c r="F537" i="8"/>
  <c r="G488" i="8" a="1"/>
  <c r="G488" i="8" s="1"/>
  <c r="F489" i="8"/>
  <c r="F352" i="8"/>
  <c r="G351" i="8" a="1"/>
  <c r="G351" i="8" s="1"/>
  <c r="G9" i="8" a="1"/>
  <c r="G9" i="8" s="1"/>
  <c r="I9" i="8" s="1" a="1"/>
  <c r="I9" i="8" s="1"/>
  <c r="F10" i="8"/>
  <c r="G454" i="8" a="1"/>
  <c r="G454" i="8" s="1"/>
  <c r="F455" i="8"/>
  <c r="G479" i="8" a="1"/>
  <c r="G479" i="8" s="1"/>
  <c r="F480" i="8"/>
  <c r="G480" i="8" s="1" a="1"/>
  <c r="G480" i="8" s="1"/>
  <c r="G149" i="8" a="1"/>
  <c r="G149" i="8" s="1"/>
  <c r="F150" i="8"/>
  <c r="G250" i="8" a="1"/>
  <c r="G250" i="8" s="1"/>
  <c r="F251" i="8"/>
  <c r="G657" i="8" a="1"/>
  <c r="G657" i="8" s="1"/>
  <c r="F658" i="8"/>
  <c r="G418" i="8" a="1"/>
  <c r="G418" i="8" s="1"/>
  <c r="F419" i="8"/>
  <c r="G721" i="8" a="1"/>
  <c r="G721" i="8" s="1"/>
  <c r="F722" i="8"/>
  <c r="G608" i="8" a="1"/>
  <c r="G608" i="8" s="1"/>
  <c r="F609" i="8"/>
  <c r="F817" i="8"/>
  <c r="G816" i="8" a="1"/>
  <c r="G816" i="8" s="1"/>
  <c r="G123" i="8" a="1"/>
  <c r="G123" i="8" s="1"/>
  <c r="F124" i="8"/>
  <c r="G883" i="8" a="1"/>
  <c r="G883" i="8" s="1"/>
  <c r="F884" i="8"/>
  <c r="F697" i="8"/>
  <c r="G696" i="8" a="1"/>
  <c r="G696" i="8" s="1"/>
  <c r="F587" i="8"/>
  <c r="G586" i="8" a="1"/>
  <c r="G586" i="8" s="1"/>
  <c r="F852" i="8"/>
  <c r="G851" i="8" a="1"/>
  <c r="G851" i="8" s="1"/>
  <c r="G444" i="8" a="1"/>
  <c r="G444" i="8" s="1"/>
  <c r="F445" i="8"/>
  <c r="G501" i="8" a="1"/>
  <c r="G501" i="8" s="1"/>
  <c r="F502" i="8"/>
  <c r="G46" i="8" a="1"/>
  <c r="G46" i="8" s="1"/>
  <c r="F47" i="8"/>
  <c r="F327" i="8"/>
  <c r="G326" i="8" a="1"/>
  <c r="G326" i="8" s="1"/>
  <c r="H2" i="8" a="1"/>
  <c r="H2" i="8" s="1"/>
  <c r="F311" i="8"/>
  <c r="G310" i="8" a="1"/>
  <c r="G310" i="8" s="1"/>
  <c r="G798" i="8" a="1"/>
  <c r="G798" i="8" s="1"/>
  <c r="F799" i="8"/>
  <c r="G799" i="8" s="1" a="1"/>
  <c r="G799" i="8" s="1"/>
  <c r="F758" i="8"/>
  <c r="G757" i="8" a="1"/>
  <c r="G757" i="8" s="1"/>
  <c r="F206" i="8"/>
  <c r="G205" i="8" a="1"/>
  <c r="G205" i="8" s="1"/>
  <c r="G165" i="8" a="1"/>
  <c r="G165" i="8" s="1"/>
  <c r="F166" i="8"/>
  <c r="G296" i="8" a="1"/>
  <c r="G296" i="8" s="1"/>
  <c r="F297" i="8"/>
  <c r="G73" i="8" a="1"/>
  <c r="G73" i="8" s="1"/>
  <c r="F74" i="8"/>
  <c r="F740" i="8"/>
  <c r="G739" i="8" a="1"/>
  <c r="G739" i="8" s="1"/>
  <c r="G99" i="8" a="1"/>
  <c r="G99" i="8" s="1"/>
  <c r="F100" i="8"/>
  <c r="G632" i="8" a="1"/>
  <c r="G632" i="8" s="1"/>
  <c r="F633" i="8"/>
  <c r="G189" i="8" a="1"/>
  <c r="G189" i="8" s="1"/>
  <c r="F190" i="8"/>
  <c r="G563" i="8" a="1"/>
  <c r="G563" i="8" s="1"/>
  <c r="F564" i="8"/>
  <c r="G676" i="8" a="1"/>
  <c r="G676" i="8" s="1"/>
  <c r="F677" i="8"/>
  <c r="F273" i="8"/>
  <c r="G272" i="8" a="1"/>
  <c r="G272" i="8" s="1"/>
  <c r="G392" i="8" a="1"/>
  <c r="G392" i="8" s="1"/>
  <c r="F393" i="8"/>
  <c r="G469" i="7" a="1"/>
  <c r="G469" i="7" s="1"/>
  <c r="F490" i="7"/>
  <c r="G679" i="9" l="1" a="1"/>
  <c r="G679" i="9" s="1"/>
  <c r="F680" i="9"/>
  <c r="G803" i="9" a="1"/>
  <c r="G803" i="9" s="1"/>
  <c r="F804" i="9"/>
  <c r="G609" i="9" a="1"/>
  <c r="G609" i="9" s="1"/>
  <c r="F610" i="9"/>
  <c r="G760" i="9" a="1"/>
  <c r="G760" i="9" s="1"/>
  <c r="F761" i="9"/>
  <c r="G583" i="9" a="1"/>
  <c r="G583" i="9" s="1"/>
  <c r="F584" i="9"/>
  <c r="F921" i="9"/>
  <c r="G921" i="9" s="1" a="1"/>
  <c r="G921" i="9" s="1"/>
  <c r="G920" i="9" a="1"/>
  <c r="G920" i="9" s="1"/>
  <c r="G698" i="9" a="1"/>
  <c r="G698" i="9" s="1"/>
  <c r="F699" i="9"/>
  <c r="G699" i="9" s="1" a="1"/>
  <c r="G699" i="9" s="1"/>
  <c r="G150" i="9" a="1"/>
  <c r="G150" i="9" s="1"/>
  <c r="F151" i="9"/>
  <c r="G862" i="9" a="1"/>
  <c r="G862" i="9" s="1"/>
  <c r="F863" i="9"/>
  <c r="G293" i="9" a="1"/>
  <c r="G293" i="9" s="1"/>
  <c r="F294" i="9"/>
  <c r="G416" i="9" a="1"/>
  <c r="G416" i="9" s="1"/>
  <c r="F417" i="9"/>
  <c r="G47" i="9" a="1"/>
  <c r="G47" i="9" s="1"/>
  <c r="F48" i="9"/>
  <c r="G655" i="9" a="1"/>
  <c r="G655" i="9" s="1"/>
  <c r="F656" i="9"/>
  <c r="G787" i="9" a="1"/>
  <c r="G787" i="9" s="1"/>
  <c r="F788" i="9"/>
  <c r="G124" i="9" a="1"/>
  <c r="G124" i="9" s="1"/>
  <c r="F125" i="9"/>
  <c r="F229" i="9"/>
  <c r="G228" i="9" a="1"/>
  <c r="G228" i="9" s="1"/>
  <c r="F11" i="9"/>
  <c r="G10" i="9" a="1"/>
  <c r="G10" i="9" s="1"/>
  <c r="G744" i="9" a="1"/>
  <c r="G744" i="9" s="1"/>
  <c r="F745" i="9"/>
  <c r="G273" i="9" a="1"/>
  <c r="G273" i="9" s="1"/>
  <c r="F274" i="9"/>
  <c r="G188" i="9" a="1"/>
  <c r="G188" i="9" s="1"/>
  <c r="F189" i="9"/>
  <c r="G558" i="9" a="1"/>
  <c r="G558" i="9" s="1"/>
  <c r="F559" i="9"/>
  <c r="H3" i="9" a="1"/>
  <c r="H3" i="9" s="1"/>
  <c r="G716" i="9" a="1"/>
  <c r="G716" i="9" s="1"/>
  <c r="F717" i="9"/>
  <c r="F321" i="9"/>
  <c r="G320" i="9" a="1"/>
  <c r="G320" i="9" s="1"/>
  <c r="G523" i="9" a="1"/>
  <c r="G523" i="9" s="1"/>
  <c r="F524" i="9"/>
  <c r="G100" i="9" a="1"/>
  <c r="G100" i="9" s="1"/>
  <c r="F101" i="9"/>
  <c r="G210" i="9" a="1"/>
  <c r="G210" i="9" s="1"/>
  <c r="F211" i="9"/>
  <c r="G373" i="9" a="1"/>
  <c r="G373" i="9" s="1"/>
  <c r="F374" i="9"/>
  <c r="G73" i="9" a="1"/>
  <c r="G73" i="9" s="1"/>
  <c r="F74" i="9"/>
  <c r="G930" i="9" a="1"/>
  <c r="G930" i="9" s="1"/>
  <c r="F931" i="9"/>
  <c r="G172" i="9" a="1"/>
  <c r="G172" i="9" s="1"/>
  <c r="F173" i="9"/>
  <c r="G630" i="9" a="1"/>
  <c r="G630" i="9" s="1"/>
  <c r="F631" i="9"/>
  <c r="I9" i="9" a="1"/>
  <c r="I9" i="9" s="1"/>
  <c r="G348" i="9" a="1"/>
  <c r="G348" i="9" s="1"/>
  <c r="F349" i="9"/>
  <c r="G477" i="9" a="1"/>
  <c r="G477" i="9" s="1"/>
  <c r="F478" i="9"/>
  <c r="G895" i="9" a="1"/>
  <c r="G895" i="9" s="1"/>
  <c r="F896" i="9"/>
  <c r="G333" i="9" a="1"/>
  <c r="G333" i="9" s="1"/>
  <c r="F334" i="9"/>
  <c r="G440" i="9" a="1"/>
  <c r="G440" i="9" s="1"/>
  <c r="F441" i="9"/>
  <c r="G537" i="8" a="1"/>
  <c r="G537" i="8" s="1"/>
  <c r="F538" i="8"/>
  <c r="F11" i="8"/>
  <c r="G10" i="8" a="1"/>
  <c r="G10" i="8" s="1"/>
  <c r="I10" i="8" s="1" a="1"/>
  <c r="I10" i="8" s="1"/>
  <c r="G352" i="8" a="1"/>
  <c r="G352" i="8" s="1"/>
  <c r="F353" i="8"/>
  <c r="G455" i="8" a="1"/>
  <c r="G455" i="8" s="1"/>
  <c r="F456" i="8"/>
  <c r="F490" i="8"/>
  <c r="G490" i="8" s="1" a="1"/>
  <c r="G490" i="8" s="1"/>
  <c r="G489" i="8" a="1"/>
  <c r="G489" i="8" s="1"/>
  <c r="G564" i="8" a="1"/>
  <c r="G564" i="8" s="1"/>
  <c r="F565" i="8"/>
  <c r="G74" i="8" a="1"/>
  <c r="G74" i="8" s="1"/>
  <c r="F75" i="8"/>
  <c r="H3" i="8" a="1"/>
  <c r="H3" i="8" s="1"/>
  <c r="F125" i="8"/>
  <c r="G124" i="8" a="1"/>
  <c r="G124" i="8" s="1"/>
  <c r="G609" i="8" a="1"/>
  <c r="G609" i="8" s="1"/>
  <c r="F610" i="8"/>
  <c r="G722" i="8" a="1"/>
  <c r="G722" i="8" s="1"/>
  <c r="F723" i="8"/>
  <c r="G502" i="8" a="1"/>
  <c r="G502" i="8" s="1"/>
  <c r="F503" i="8"/>
  <c r="G677" i="8" a="1"/>
  <c r="G677" i="8" s="1"/>
  <c r="F678" i="8"/>
  <c r="G678" i="8" s="1" a="1"/>
  <c r="G678" i="8" s="1"/>
  <c r="G206" i="8" a="1"/>
  <c r="G206" i="8" s="1"/>
  <c r="F207" i="8"/>
  <c r="G311" i="8" a="1"/>
  <c r="G311" i="8" s="1"/>
  <c r="F312" i="8"/>
  <c r="F853" i="8"/>
  <c r="G852" i="8" a="1"/>
  <c r="G852" i="8" s="1"/>
  <c r="G419" i="8" a="1"/>
  <c r="G419" i="8" s="1"/>
  <c r="F420" i="8"/>
  <c r="G251" i="8" a="1"/>
  <c r="G251" i="8" s="1"/>
  <c r="F252" i="8"/>
  <c r="G273" i="8" a="1"/>
  <c r="G273" i="8" s="1"/>
  <c r="F274" i="8"/>
  <c r="G190" i="8" a="1"/>
  <c r="G190" i="8" s="1"/>
  <c r="F191" i="8"/>
  <c r="G297" i="8" a="1"/>
  <c r="G297" i="8" s="1"/>
  <c r="F298" i="8"/>
  <c r="G327" i="8" a="1"/>
  <c r="G327" i="8" s="1"/>
  <c r="F328" i="8"/>
  <c r="G445" i="8" a="1"/>
  <c r="G445" i="8" s="1"/>
  <c r="F446" i="8"/>
  <c r="G446" i="8" s="1" a="1"/>
  <c r="G446" i="8" s="1"/>
  <c r="F101" i="8"/>
  <c r="G100" i="8" a="1"/>
  <c r="G100" i="8" s="1"/>
  <c r="G166" i="8" a="1"/>
  <c r="G166" i="8" s="1"/>
  <c r="F167" i="8"/>
  <c r="F48" i="8"/>
  <c r="G47" i="8" a="1"/>
  <c r="G47" i="8" s="1"/>
  <c r="G393" i="8" a="1"/>
  <c r="G393" i="8" s="1"/>
  <c r="F394" i="8"/>
  <c r="F634" i="8"/>
  <c r="G633" i="8" a="1"/>
  <c r="G633" i="8" s="1"/>
  <c r="F588" i="8"/>
  <c r="G587" i="8" a="1"/>
  <c r="G587" i="8" s="1"/>
  <c r="G884" i="8" a="1"/>
  <c r="G884" i="8" s="1"/>
  <c r="F885" i="8"/>
  <c r="G817" i="8" a="1"/>
  <c r="G817" i="8" s="1"/>
  <c r="F818" i="8"/>
  <c r="F659" i="8"/>
  <c r="G658" i="8" a="1"/>
  <c r="G658" i="8" s="1"/>
  <c r="G150" i="8" a="1"/>
  <c r="G150" i="8" s="1"/>
  <c r="F151" i="8"/>
  <c r="G758" i="8" a="1"/>
  <c r="G758" i="8" s="1"/>
  <c r="F759" i="8"/>
  <c r="F741" i="8"/>
  <c r="G740" i="8" a="1"/>
  <c r="G740" i="8" s="1"/>
  <c r="G697" i="8" a="1"/>
  <c r="G697" i="8" s="1"/>
  <c r="F698" i="8"/>
  <c r="F493" i="7"/>
  <c r="G490" i="7" a="1"/>
  <c r="G490" i="7" s="1"/>
  <c r="F681" i="9" l="1"/>
  <c r="G680" i="9" a="1"/>
  <c r="G680" i="9" s="1"/>
  <c r="G374" i="9" a="1"/>
  <c r="G374" i="9" s="1"/>
  <c r="F375" i="9"/>
  <c r="F418" i="9"/>
  <c r="G417" i="9" a="1"/>
  <c r="G417" i="9" s="1"/>
  <c r="G294" i="9" a="1"/>
  <c r="G294" i="9" s="1"/>
  <c r="F295" i="9"/>
  <c r="G349" i="9" a="1"/>
  <c r="G349" i="9" s="1"/>
  <c r="F350" i="9"/>
  <c r="F322" i="9"/>
  <c r="G322" i="9" s="1" a="1"/>
  <c r="G322" i="9" s="1"/>
  <c r="G321" i="9" a="1"/>
  <c r="G321" i="9" s="1"/>
  <c r="G189" i="9" a="1"/>
  <c r="G189" i="9" s="1"/>
  <c r="F190" i="9"/>
  <c r="G334" i="9" a="1"/>
  <c r="G334" i="9" s="1"/>
  <c r="F335" i="9"/>
  <c r="G717" i="9" a="1"/>
  <c r="G717" i="9" s="1"/>
  <c r="F718" i="9"/>
  <c r="G745" i="9" a="1"/>
  <c r="G745" i="9" s="1"/>
  <c r="F746" i="9"/>
  <c r="G761" i="9" a="1"/>
  <c r="G761" i="9" s="1"/>
  <c r="F762" i="9"/>
  <c r="G788" i="9" a="1"/>
  <c r="G788" i="9" s="1"/>
  <c r="F789" i="9"/>
  <c r="G48" i="9" a="1"/>
  <c r="G48" i="9" s="1"/>
  <c r="F49" i="9"/>
  <c r="G610" i="9" a="1"/>
  <c r="G610" i="9" s="1"/>
  <c r="F611" i="9"/>
  <c r="I10" i="9" a="1"/>
  <c r="I10" i="9" s="1"/>
  <c r="G229" i="9" a="1"/>
  <c r="G229" i="9" s="1"/>
  <c r="F230" i="9"/>
  <c r="G151" i="9" a="1"/>
  <c r="G151" i="9" s="1"/>
  <c r="F152" i="9"/>
  <c r="G584" i="9" a="1"/>
  <c r="G584" i="9" s="1"/>
  <c r="F585" i="9"/>
  <c r="G173" i="9" a="1"/>
  <c r="G173" i="9" s="1"/>
  <c r="F174" i="9"/>
  <c r="G74" i="9" a="1"/>
  <c r="G74" i="9" s="1"/>
  <c r="F75" i="9"/>
  <c r="G441" i="9" a="1"/>
  <c r="G441" i="9" s="1"/>
  <c r="F442" i="9"/>
  <c r="G631" i="9" a="1"/>
  <c r="G631" i="9" s="1"/>
  <c r="F632" i="9"/>
  <c r="G931" i="9" a="1"/>
  <c r="G931" i="9" s="1"/>
  <c r="F932" i="9"/>
  <c r="F12" i="9"/>
  <c r="G11" i="9" a="1"/>
  <c r="G11" i="9" s="1"/>
  <c r="G656" i="9" a="1"/>
  <c r="G656" i="9" s="1"/>
  <c r="F657" i="9"/>
  <c r="F275" i="9"/>
  <c r="G274" i="9" a="1"/>
  <c r="G274" i="9" s="1"/>
  <c r="H4" i="9" a="1"/>
  <c r="H4" i="9" s="1"/>
  <c r="G101" i="9" a="1"/>
  <c r="G101" i="9" s="1"/>
  <c r="F102" i="9"/>
  <c r="G524" i="9" a="1"/>
  <c r="G524" i="9" s="1"/>
  <c r="F525" i="9"/>
  <c r="G559" i="9" a="1"/>
  <c r="G559" i="9" s="1"/>
  <c r="F560" i="9"/>
  <c r="G125" i="9" a="1"/>
  <c r="G125" i="9" s="1"/>
  <c r="F126" i="9"/>
  <c r="G863" i="9" a="1"/>
  <c r="G863" i="9" s="1"/>
  <c r="F864" i="9"/>
  <c r="F897" i="9"/>
  <c r="G896" i="9" a="1"/>
  <c r="G896" i="9" s="1"/>
  <c r="G478" i="9" a="1"/>
  <c r="G478" i="9" s="1"/>
  <c r="F479" i="9"/>
  <c r="G211" i="9" a="1"/>
  <c r="G211" i="9" s="1"/>
  <c r="F212" i="9"/>
  <c r="G804" i="9" a="1"/>
  <c r="G804" i="9" s="1"/>
  <c r="F805" i="9"/>
  <c r="G538" i="8" a="1"/>
  <c r="G538" i="8" s="1"/>
  <c r="F539" i="8"/>
  <c r="G456" i="8" a="1"/>
  <c r="G456" i="8" s="1"/>
  <c r="F457" i="8"/>
  <c r="G353" i="8" a="1"/>
  <c r="G353" i="8" s="1"/>
  <c r="F354" i="8"/>
  <c r="F12" i="8"/>
  <c r="G11" i="8" a="1"/>
  <c r="G11" i="8" s="1"/>
  <c r="I11" i="8" s="1" a="1"/>
  <c r="I11" i="8" s="1"/>
  <c r="G151" i="8" a="1"/>
  <c r="G151" i="8" s="1"/>
  <c r="F152" i="8"/>
  <c r="G885" i="8" a="1"/>
  <c r="G885" i="8" s="1"/>
  <c r="F886" i="8"/>
  <c r="G207" i="8" a="1"/>
  <c r="G207" i="8" s="1"/>
  <c r="F208" i="8"/>
  <c r="F102" i="8"/>
  <c r="G101" i="8" a="1"/>
  <c r="G101" i="8" s="1"/>
  <c r="G125" i="8" a="1"/>
  <c r="G125" i="8" s="1"/>
  <c r="F126" i="8"/>
  <c r="G759" i="8" a="1"/>
  <c r="G759" i="8" s="1"/>
  <c r="F760" i="8"/>
  <c r="H4" i="8" a="1"/>
  <c r="H4" i="8" s="1"/>
  <c r="G698" i="8" a="1"/>
  <c r="G698" i="8" s="1"/>
  <c r="F699" i="8"/>
  <c r="G274" i="8" a="1"/>
  <c r="G274" i="8" s="1"/>
  <c r="F275" i="8"/>
  <c r="F660" i="8"/>
  <c r="G659" i="8" a="1"/>
  <c r="G659" i="8" s="1"/>
  <c r="G328" i="8" a="1"/>
  <c r="G328" i="8" s="1"/>
  <c r="F329" i="8"/>
  <c r="F253" i="8"/>
  <c r="G252" i="8" a="1"/>
  <c r="G252" i="8" s="1"/>
  <c r="G503" i="8" a="1"/>
  <c r="G503" i="8" s="1"/>
  <c r="F504" i="8"/>
  <c r="G723" i="8" a="1"/>
  <c r="G723" i="8" s="1"/>
  <c r="F724" i="8"/>
  <c r="G167" i="8" a="1"/>
  <c r="G167" i="8" s="1"/>
  <c r="F168" i="8"/>
  <c r="G298" i="8" a="1"/>
  <c r="G298" i="8" s="1"/>
  <c r="F299" i="8"/>
  <c r="F589" i="8"/>
  <c r="G588" i="8" a="1"/>
  <c r="G588" i="8" s="1"/>
  <c r="G818" i="8" a="1"/>
  <c r="G818" i="8" s="1"/>
  <c r="F819" i="8"/>
  <c r="G853" i="8" a="1"/>
  <c r="G853" i="8" s="1"/>
  <c r="F854" i="8"/>
  <c r="G312" i="8" a="1"/>
  <c r="G312" i="8" s="1"/>
  <c r="F313" i="8"/>
  <c r="G75" i="8" a="1"/>
  <c r="G75" i="8" s="1"/>
  <c r="F76" i="8"/>
  <c r="G565" i="8" a="1"/>
  <c r="G565" i="8" s="1"/>
  <c r="F566" i="8"/>
  <c r="F742" i="8"/>
  <c r="G741" i="8" a="1"/>
  <c r="G741" i="8" s="1"/>
  <c r="F395" i="8"/>
  <c r="G394" i="8" a="1"/>
  <c r="G394" i="8" s="1"/>
  <c r="F635" i="8"/>
  <c r="G634" i="8" a="1"/>
  <c r="G634" i="8" s="1"/>
  <c r="G48" i="8" a="1"/>
  <c r="G48" i="8" s="1"/>
  <c r="F49" i="8"/>
  <c r="G191" i="8" a="1"/>
  <c r="G191" i="8" s="1"/>
  <c r="F192" i="8"/>
  <c r="G420" i="8" a="1"/>
  <c r="G420" i="8" s="1"/>
  <c r="F421" i="8"/>
  <c r="G610" i="8" a="1"/>
  <c r="G610" i="8" s="1"/>
  <c r="F611" i="8"/>
  <c r="F503" i="7"/>
  <c r="G493" i="7" a="1"/>
  <c r="G493" i="7" s="1"/>
  <c r="G681" i="9" l="1" a="1"/>
  <c r="G681" i="9" s="1"/>
  <c r="F682" i="9"/>
  <c r="G718" i="9" a="1"/>
  <c r="G718" i="9" s="1"/>
  <c r="F719" i="9"/>
  <c r="G525" i="9" a="1"/>
  <c r="G525" i="9" s="1"/>
  <c r="F526" i="9"/>
  <c r="G611" i="9" a="1"/>
  <c r="G611" i="9" s="1"/>
  <c r="F612" i="9"/>
  <c r="G126" i="9" a="1"/>
  <c r="G126" i="9" s="1"/>
  <c r="F127" i="9"/>
  <c r="G102" i="9" a="1"/>
  <c r="G102" i="9" s="1"/>
  <c r="F103" i="9"/>
  <c r="G657" i="9" a="1"/>
  <c r="G657" i="9" s="1"/>
  <c r="F658" i="9"/>
  <c r="G152" i="9" a="1"/>
  <c r="G152" i="9" s="1"/>
  <c r="F153" i="9"/>
  <c r="G335" i="9" a="1"/>
  <c r="G335" i="9" s="1"/>
  <c r="F336" i="9"/>
  <c r="G932" i="9" a="1"/>
  <c r="G932" i="9" s="1"/>
  <c r="F933" i="9"/>
  <c r="G805" i="9" a="1"/>
  <c r="G805" i="9" s="1"/>
  <c r="F806" i="9"/>
  <c r="G479" i="9" a="1"/>
  <c r="G479" i="9" s="1"/>
  <c r="F480" i="9"/>
  <c r="G174" i="9" a="1"/>
  <c r="G174" i="9" s="1"/>
  <c r="F175" i="9"/>
  <c r="G212" i="9" a="1"/>
  <c r="G212" i="9" s="1"/>
  <c r="F213" i="9"/>
  <c r="G632" i="9" a="1"/>
  <c r="G632" i="9" s="1"/>
  <c r="F633" i="9"/>
  <c r="G442" i="9" a="1"/>
  <c r="G442" i="9" s="1"/>
  <c r="F443" i="9"/>
  <c r="G75" i="9" a="1"/>
  <c r="G75" i="9" s="1"/>
  <c r="F76" i="9"/>
  <c r="G789" i="9" a="1"/>
  <c r="G789" i="9" s="1"/>
  <c r="F790" i="9"/>
  <c r="F865" i="9"/>
  <c r="G864" i="9" a="1"/>
  <c r="G864" i="9" s="1"/>
  <c r="G560" i="9" a="1"/>
  <c r="G560" i="9" s="1"/>
  <c r="F561" i="9"/>
  <c r="F13" i="9"/>
  <c r="G12" i="9" a="1"/>
  <c r="G12" i="9" s="1"/>
  <c r="G762" i="9" a="1"/>
  <c r="G762" i="9" s="1"/>
  <c r="F763" i="9"/>
  <c r="G190" i="9" a="1"/>
  <c r="G190" i="9" s="1"/>
  <c r="F191" i="9"/>
  <c r="G375" i="9" a="1"/>
  <c r="G375" i="9" s="1"/>
  <c r="F376" i="9"/>
  <c r="G585" i="9" a="1"/>
  <c r="G585" i="9" s="1"/>
  <c r="F586" i="9"/>
  <c r="G49" i="9" a="1"/>
  <c r="G49" i="9" s="1"/>
  <c r="F50" i="9"/>
  <c r="G50" i="9" s="1" a="1"/>
  <c r="G50" i="9" s="1"/>
  <c r="F276" i="9"/>
  <c r="G276" i="9" s="1" a="1"/>
  <c r="G276" i="9" s="1"/>
  <c r="G275" i="9" a="1"/>
  <c r="G275" i="9" s="1"/>
  <c r="G230" i="9" a="1"/>
  <c r="G230" i="9" s="1"/>
  <c r="F231" i="9"/>
  <c r="G746" i="9" a="1"/>
  <c r="G746" i="9" s="1"/>
  <c r="F747" i="9"/>
  <c r="H5" i="9" a="1"/>
  <c r="H5" i="9" s="1"/>
  <c r="F296" i="9"/>
  <c r="G295" i="9" a="1"/>
  <c r="G295" i="9" s="1"/>
  <c r="I11" i="9" a="1"/>
  <c r="I11" i="9" s="1"/>
  <c r="G897" i="9" a="1"/>
  <c r="G897" i="9" s="1"/>
  <c r="F898" i="9"/>
  <c r="G350" i="9" a="1"/>
  <c r="G350" i="9" s="1"/>
  <c r="F351" i="9"/>
  <c r="F419" i="9"/>
  <c r="G418" i="9" a="1"/>
  <c r="G418" i="9" s="1"/>
  <c r="G539" i="8" a="1"/>
  <c r="G539" i="8" s="1"/>
  <c r="F540" i="8"/>
  <c r="F13" i="8"/>
  <c r="G12" i="8" a="1"/>
  <c r="G12" i="8" s="1"/>
  <c r="I12" i="8" s="1" a="1"/>
  <c r="I12" i="8" s="1"/>
  <c r="G354" i="8" a="1"/>
  <c r="G354" i="8" s="1"/>
  <c r="F355" i="8"/>
  <c r="H5" i="8" a="1"/>
  <c r="H5" i="8" s="1"/>
  <c r="G457" i="8" a="1"/>
  <c r="G457" i="8" s="1"/>
  <c r="F458" i="8"/>
  <c r="G742" i="8" a="1"/>
  <c r="G742" i="8" s="1"/>
  <c r="F743" i="8"/>
  <c r="F820" i="8"/>
  <c r="G819" i="8" a="1"/>
  <c r="G819" i="8" s="1"/>
  <c r="G192" i="8" a="1"/>
  <c r="G192" i="8" s="1"/>
  <c r="F193" i="8"/>
  <c r="G421" i="8" a="1"/>
  <c r="G421" i="8" s="1"/>
  <c r="F422" i="8"/>
  <c r="G395" i="8" a="1"/>
  <c r="G395" i="8" s="1"/>
  <c r="F396" i="8"/>
  <c r="G724" i="8" a="1"/>
  <c r="G724" i="8" s="1"/>
  <c r="F725" i="8"/>
  <c r="G854" i="8" a="1"/>
  <c r="G854" i="8" s="1"/>
  <c r="F855" i="8"/>
  <c r="G168" i="8" a="1"/>
  <c r="G168" i="8" s="1"/>
  <c r="F169" i="8"/>
  <c r="F254" i="8"/>
  <c r="G253" i="8" a="1"/>
  <c r="G253" i="8" s="1"/>
  <c r="G660" i="8" a="1"/>
  <c r="G660" i="8" s="1"/>
  <c r="F661" i="8"/>
  <c r="G102" i="8" a="1"/>
  <c r="G102" i="8" s="1"/>
  <c r="F103" i="8"/>
  <c r="F209" i="8"/>
  <c r="G208" i="8" a="1"/>
  <c r="G208" i="8" s="1"/>
  <c r="G886" i="8" a="1"/>
  <c r="G886" i="8" s="1"/>
  <c r="F887" i="8"/>
  <c r="G152" i="8" a="1"/>
  <c r="G152" i="8" s="1"/>
  <c r="F153" i="8"/>
  <c r="G589" i="8" a="1"/>
  <c r="G589" i="8" s="1"/>
  <c r="F590" i="8"/>
  <c r="G275" i="8" a="1"/>
  <c r="G275" i="8" s="1"/>
  <c r="F276" i="8"/>
  <c r="G699" i="8" a="1"/>
  <c r="G699" i="8" s="1"/>
  <c r="F700" i="8"/>
  <c r="G126" i="8" a="1"/>
  <c r="G126" i="8" s="1"/>
  <c r="F127" i="8"/>
  <c r="F636" i="8"/>
  <c r="G635" i="8" a="1"/>
  <c r="G635" i="8" s="1"/>
  <c r="G76" i="8" a="1"/>
  <c r="G76" i="8" s="1"/>
  <c r="F77" i="8"/>
  <c r="G504" i="8" a="1"/>
  <c r="G504" i="8" s="1"/>
  <c r="F505" i="8"/>
  <c r="G329" i="8" a="1"/>
  <c r="G329" i="8" s="1"/>
  <c r="F330" i="8"/>
  <c r="G760" i="8" a="1"/>
  <c r="G760" i="8" s="1"/>
  <c r="F761" i="8"/>
  <c r="F612" i="8"/>
  <c r="G611" i="8" a="1"/>
  <c r="G611" i="8" s="1"/>
  <c r="G566" i="8" a="1"/>
  <c r="G566" i="8" s="1"/>
  <c r="F567" i="8"/>
  <c r="G49" i="8" a="1"/>
  <c r="G49" i="8" s="1"/>
  <c r="F50" i="8"/>
  <c r="G50" i="8" s="1" a="1"/>
  <c r="G50" i="8" s="1"/>
  <c r="G313" i="8" a="1"/>
  <c r="G313" i="8" s="1"/>
  <c r="F314" i="8"/>
  <c r="G299" i="8" a="1"/>
  <c r="G299" i="8" s="1"/>
  <c r="F300" i="8"/>
  <c r="G503" i="7" a="1"/>
  <c r="G503" i="7" s="1"/>
  <c r="F513" i="7"/>
  <c r="F683" i="9" l="1"/>
  <c r="G682" i="9" a="1"/>
  <c r="G682" i="9" s="1"/>
  <c r="G526" i="9" a="1"/>
  <c r="G526" i="9" s="1"/>
  <c r="F527" i="9"/>
  <c r="G719" i="9" a="1"/>
  <c r="G719" i="9" s="1"/>
  <c r="F720" i="9"/>
  <c r="G633" i="9" a="1"/>
  <c r="G633" i="9" s="1"/>
  <c r="F634" i="9"/>
  <c r="G175" i="9" a="1"/>
  <c r="G175" i="9" s="1"/>
  <c r="F176" i="9"/>
  <c r="G933" i="9" a="1"/>
  <c r="G933" i="9" s="1"/>
  <c r="F934" i="9"/>
  <c r="G351" i="9" a="1"/>
  <c r="G351" i="9" s="1"/>
  <c r="F352" i="9"/>
  <c r="G747" i="9" a="1"/>
  <c r="G747" i="9" s="1"/>
  <c r="F748" i="9"/>
  <c r="H6" i="9" a="1"/>
  <c r="H6" i="9" s="1"/>
  <c r="G76" i="9" a="1"/>
  <c r="G76" i="9" s="1"/>
  <c r="F77" i="9"/>
  <c r="G806" i="9" a="1"/>
  <c r="G806" i="9" s="1"/>
  <c r="F807" i="9"/>
  <c r="G658" i="9" a="1"/>
  <c r="G658" i="9" s="1"/>
  <c r="F659" i="9"/>
  <c r="F337" i="9"/>
  <c r="G336" i="9" a="1"/>
  <c r="G336" i="9" s="1"/>
  <c r="G103" i="9" a="1"/>
  <c r="G103" i="9" s="1"/>
  <c r="F104" i="9"/>
  <c r="G612" i="9" a="1"/>
  <c r="G612" i="9" s="1"/>
  <c r="F613" i="9"/>
  <c r="G191" i="9" a="1"/>
  <c r="G191" i="9" s="1"/>
  <c r="F192" i="9"/>
  <c r="F899" i="9"/>
  <c r="G898" i="9" a="1"/>
  <c r="G898" i="9" s="1"/>
  <c r="F377" i="9"/>
  <c r="G376" i="9" a="1"/>
  <c r="G376" i="9" s="1"/>
  <c r="G865" i="9" a="1"/>
  <c r="G865" i="9" s="1"/>
  <c r="F866" i="9"/>
  <c r="G296" i="9" a="1"/>
  <c r="G296" i="9" s="1"/>
  <c r="F297" i="9"/>
  <c r="G561" i="9" a="1"/>
  <c r="G561" i="9" s="1"/>
  <c r="F562" i="9"/>
  <c r="G213" i="9" a="1"/>
  <c r="G213" i="9" s="1"/>
  <c r="F214" i="9"/>
  <c r="G480" i="9" a="1"/>
  <c r="G480" i="9" s="1"/>
  <c r="F481" i="9"/>
  <c r="G153" i="9" a="1"/>
  <c r="G153" i="9" s="1"/>
  <c r="F154" i="9"/>
  <c r="G419" i="9" a="1"/>
  <c r="G419" i="9" s="1"/>
  <c r="F420" i="9"/>
  <c r="G763" i="9" a="1"/>
  <c r="G763" i="9" s="1"/>
  <c r="F764" i="9"/>
  <c r="I12" i="9" a="1"/>
  <c r="I12" i="9" s="1"/>
  <c r="G790" i="9" a="1"/>
  <c r="G790" i="9" s="1"/>
  <c r="F791" i="9"/>
  <c r="G586" i="9" a="1"/>
  <c r="G586" i="9" s="1"/>
  <c r="F587" i="9"/>
  <c r="G127" i="9" a="1"/>
  <c r="G127" i="9" s="1"/>
  <c r="F128" i="9"/>
  <c r="F14" i="9"/>
  <c r="G13" i="9" a="1"/>
  <c r="G13" i="9" s="1"/>
  <c r="F232" i="9"/>
  <c r="G231" i="9" a="1"/>
  <c r="G231" i="9" s="1"/>
  <c r="G443" i="9" a="1"/>
  <c r="G443" i="9" s="1"/>
  <c r="F444" i="9"/>
  <c r="G540" i="8" a="1"/>
  <c r="G540" i="8" s="1"/>
  <c r="F541" i="8"/>
  <c r="F356" i="8"/>
  <c r="G355" i="8" a="1"/>
  <c r="G355" i="8" s="1"/>
  <c r="G458" i="8" a="1"/>
  <c r="G458" i="8" s="1"/>
  <c r="F459" i="8"/>
  <c r="G13" i="8" a="1"/>
  <c r="G13" i="8" s="1"/>
  <c r="I13" i="8" s="1" a="1"/>
  <c r="I13" i="8" s="1"/>
  <c r="F14" i="8"/>
  <c r="F613" i="8"/>
  <c r="G612" i="8" a="1"/>
  <c r="G612" i="8" s="1"/>
  <c r="G505" i="8" a="1"/>
  <c r="G505" i="8" s="1"/>
  <c r="F506" i="8"/>
  <c r="G761" i="8" a="1"/>
  <c r="G761" i="8" s="1"/>
  <c r="F762" i="8"/>
  <c r="F128" i="8"/>
  <c r="G127" i="8" a="1"/>
  <c r="G127" i="8" s="1"/>
  <c r="F821" i="8"/>
  <c r="G820" i="8" a="1"/>
  <c r="G820" i="8" s="1"/>
  <c r="F637" i="8"/>
  <c r="G636" i="8" a="1"/>
  <c r="G636" i="8" s="1"/>
  <c r="G396" i="8" a="1"/>
  <c r="G396" i="8" s="1"/>
  <c r="F397" i="8"/>
  <c r="F423" i="8"/>
  <c r="G422" i="8" a="1"/>
  <c r="G422" i="8" s="1"/>
  <c r="G193" i="8" a="1"/>
  <c r="G193" i="8" s="1"/>
  <c r="F194" i="8"/>
  <c r="G743" i="8" a="1"/>
  <c r="G743" i="8" s="1"/>
  <c r="F744" i="8"/>
  <c r="G314" i="8" a="1"/>
  <c r="G314" i="8" s="1"/>
  <c r="F315" i="8"/>
  <c r="G330" i="8" a="1"/>
  <c r="G330" i="8" s="1"/>
  <c r="F331" i="8"/>
  <c r="F277" i="8"/>
  <c r="G276" i="8" a="1"/>
  <c r="G276" i="8" s="1"/>
  <c r="H6" i="8" a="1"/>
  <c r="H6" i="8" s="1"/>
  <c r="G700" i="8" a="1"/>
  <c r="G700" i="8" s="1"/>
  <c r="F701" i="8"/>
  <c r="G254" i="8" a="1"/>
  <c r="G254" i="8" s="1"/>
  <c r="F255" i="8"/>
  <c r="G255" i="8" s="1" a="1"/>
  <c r="G255" i="8" s="1"/>
  <c r="G567" i="8" a="1"/>
  <c r="G567" i="8" s="1"/>
  <c r="F568" i="8"/>
  <c r="F78" i="8"/>
  <c r="G77" i="8" a="1"/>
  <c r="G77" i="8" s="1"/>
  <c r="G153" i="8" a="1"/>
  <c r="G153" i="8" s="1"/>
  <c r="F154" i="8"/>
  <c r="G209" i="8" a="1"/>
  <c r="G209" i="8" s="1"/>
  <c r="F210" i="8"/>
  <c r="F301" i="8"/>
  <c r="G301" i="8" s="1" a="1"/>
  <c r="G301" i="8" s="1"/>
  <c r="G300" i="8" a="1"/>
  <c r="G300" i="8" s="1"/>
  <c r="F104" i="8"/>
  <c r="G103" i="8" a="1"/>
  <c r="G103" i="8" s="1"/>
  <c r="G855" i="8" a="1"/>
  <c r="G855" i="8" s="1"/>
  <c r="F856" i="8"/>
  <c r="G590" i="8" a="1"/>
  <c r="G590" i="8" s="1"/>
  <c r="F591" i="8"/>
  <c r="G887" i="8" a="1"/>
  <c r="G887" i="8" s="1"/>
  <c r="F888" i="8"/>
  <c r="G661" i="8" a="1"/>
  <c r="G661" i="8" s="1"/>
  <c r="F662" i="8"/>
  <c r="G169" i="8" a="1"/>
  <c r="G169" i="8" s="1"/>
  <c r="F170" i="8"/>
  <c r="G725" i="8" a="1"/>
  <c r="G725" i="8" s="1"/>
  <c r="F726" i="8"/>
  <c r="G513" i="7" a="1"/>
  <c r="G513" i="7" s="1"/>
  <c r="F515" i="7"/>
  <c r="F684" i="9" l="1"/>
  <c r="G683" i="9" a="1"/>
  <c r="G683" i="9" s="1"/>
  <c r="G807" i="9" a="1"/>
  <c r="G807" i="9" s="1"/>
  <c r="F808" i="9"/>
  <c r="G104" i="9" a="1"/>
  <c r="G104" i="9" s="1"/>
  <c r="F105" i="9"/>
  <c r="F900" i="9"/>
  <c r="G899" i="9" a="1"/>
  <c r="G899" i="9" s="1"/>
  <c r="G634" i="9" a="1"/>
  <c r="G634" i="9" s="1"/>
  <c r="F635" i="9"/>
  <c r="G527" i="9" a="1"/>
  <c r="G527" i="9" s="1"/>
  <c r="F528" i="9"/>
  <c r="G444" i="9" a="1"/>
  <c r="G444" i="9" s="1"/>
  <c r="F445" i="9"/>
  <c r="G128" i="9" a="1"/>
  <c r="G128" i="9" s="1"/>
  <c r="F129" i="9"/>
  <c r="G297" i="9" a="1"/>
  <c r="G297" i="9" s="1"/>
  <c r="F298" i="9"/>
  <c r="F867" i="9"/>
  <c r="G866" i="9" a="1"/>
  <c r="G866" i="9" s="1"/>
  <c r="G192" i="9" a="1"/>
  <c r="G192" i="9" s="1"/>
  <c r="F193" i="9"/>
  <c r="G748" i="9" a="1"/>
  <c r="G748" i="9" s="1"/>
  <c r="F749" i="9"/>
  <c r="G14" i="9" a="1"/>
  <c r="G14" i="9" s="1"/>
  <c r="F15" i="9"/>
  <c r="F353" i="9"/>
  <c r="G352" i="9" a="1"/>
  <c r="G352" i="9" s="1"/>
  <c r="G232" i="9" a="1"/>
  <c r="G232" i="9" s="1"/>
  <c r="F233" i="9"/>
  <c r="G659" i="9" a="1"/>
  <c r="G659" i="9" s="1"/>
  <c r="F660" i="9"/>
  <c r="G764" i="9" a="1"/>
  <c r="G764" i="9" s="1"/>
  <c r="F765" i="9"/>
  <c r="F338" i="9"/>
  <c r="G338" i="9" s="1" a="1"/>
  <c r="G338" i="9" s="1"/>
  <c r="G337" i="9" a="1"/>
  <c r="G337" i="9" s="1"/>
  <c r="G154" i="9" a="1"/>
  <c r="G154" i="9" s="1"/>
  <c r="F155" i="9"/>
  <c r="G934" i="9" a="1"/>
  <c r="G934" i="9" s="1"/>
  <c r="F935" i="9"/>
  <c r="G720" i="9" a="1"/>
  <c r="G720" i="9" s="1"/>
  <c r="F721" i="9"/>
  <c r="G791" i="9" a="1"/>
  <c r="G791" i="9" s="1"/>
  <c r="F792" i="9"/>
  <c r="G562" i="9" a="1"/>
  <c r="G562" i="9" s="1"/>
  <c r="F563" i="9"/>
  <c r="G420" i="9" a="1"/>
  <c r="G420" i="9" s="1"/>
  <c r="F421" i="9"/>
  <c r="F378" i="9"/>
  <c r="G377" i="9" a="1"/>
  <c r="G377" i="9" s="1"/>
  <c r="G214" i="9" a="1"/>
  <c r="G214" i="9" s="1"/>
  <c r="F215" i="9"/>
  <c r="H7" i="9" a="1"/>
  <c r="H7" i="9" s="1"/>
  <c r="G613" i="9" a="1"/>
  <c r="G613" i="9" s="1"/>
  <c r="F614" i="9"/>
  <c r="G77" i="9" a="1"/>
  <c r="G77" i="9" s="1"/>
  <c r="F78" i="9"/>
  <c r="G587" i="9" a="1"/>
  <c r="G587" i="9" s="1"/>
  <c r="F588" i="9"/>
  <c r="G481" i="9" a="1"/>
  <c r="G481" i="9" s="1"/>
  <c r="F482" i="9"/>
  <c r="I13" i="9" a="1"/>
  <c r="I13" i="9" s="1"/>
  <c r="G176" i="9" a="1"/>
  <c r="G176" i="9" s="1"/>
  <c r="F177" i="9"/>
  <c r="G541" i="8" a="1"/>
  <c r="G541" i="8" s="1"/>
  <c r="F542" i="8"/>
  <c r="G14" i="8" a="1"/>
  <c r="G14" i="8" s="1"/>
  <c r="I14" i="8" s="1" a="1"/>
  <c r="I14" i="8" s="1"/>
  <c r="F15" i="8"/>
  <c r="G459" i="8" a="1"/>
  <c r="G459" i="8" s="1"/>
  <c r="F460" i="8"/>
  <c r="F357" i="8"/>
  <c r="G356" i="8" a="1"/>
  <c r="G356" i="8" s="1"/>
  <c r="G726" i="8" a="1"/>
  <c r="G726" i="8" s="1"/>
  <c r="F727" i="8"/>
  <c r="G315" i="8" a="1"/>
  <c r="G315" i="8" s="1"/>
  <c r="F316" i="8"/>
  <c r="G397" i="8" a="1"/>
  <c r="G397" i="8" s="1"/>
  <c r="F398" i="8"/>
  <c r="G154" i="8" a="1"/>
  <c r="G154" i="8" s="1"/>
  <c r="F155" i="8"/>
  <c r="G637" i="8" a="1"/>
  <c r="G637" i="8" s="1"/>
  <c r="F638" i="8"/>
  <c r="G744" i="8" a="1"/>
  <c r="G744" i="8" s="1"/>
  <c r="F745" i="8"/>
  <c r="G506" i="8" a="1"/>
  <c r="G506" i="8" s="1"/>
  <c r="F507" i="8"/>
  <c r="F663" i="8"/>
  <c r="G662" i="8" a="1"/>
  <c r="G662" i="8" s="1"/>
  <c r="G78" i="8" a="1"/>
  <c r="G78" i="8" s="1"/>
  <c r="F79" i="8"/>
  <c r="G79" i="8" s="1" a="1"/>
  <c r="G79" i="8" s="1"/>
  <c r="F278" i="8"/>
  <c r="G277" i="8" a="1"/>
  <c r="G277" i="8" s="1"/>
  <c r="G194" i="8" a="1"/>
  <c r="G194" i="8" s="1"/>
  <c r="F195" i="8"/>
  <c r="G701" i="8" a="1"/>
  <c r="G701" i="8" s="1"/>
  <c r="F702" i="8"/>
  <c r="G104" i="8" a="1"/>
  <c r="G104" i="8" s="1"/>
  <c r="F105" i="8"/>
  <c r="F857" i="8"/>
  <c r="G856" i="8" a="1"/>
  <c r="G856" i="8" s="1"/>
  <c r="G568" i="8" a="1"/>
  <c r="G568" i="8" s="1"/>
  <c r="F569" i="8"/>
  <c r="G762" i="8" a="1"/>
  <c r="G762" i="8" s="1"/>
  <c r="F763" i="8"/>
  <c r="G210" i="8" a="1"/>
  <c r="G210" i="8" s="1"/>
  <c r="F211" i="8"/>
  <c r="G331" i="8" a="1"/>
  <c r="G331" i="8" s="1"/>
  <c r="F332" i="8"/>
  <c r="G613" i="8" a="1"/>
  <c r="G613" i="8" s="1"/>
  <c r="F614" i="8"/>
  <c r="H7" i="8" a="1"/>
  <c r="H7" i="8" s="1"/>
  <c r="G170" i="8" a="1"/>
  <c r="G170" i="8" s="1"/>
  <c r="F171" i="8"/>
  <c r="G888" i="8" a="1"/>
  <c r="G888" i="8" s="1"/>
  <c r="F889" i="8"/>
  <c r="G821" i="8" a="1"/>
  <c r="G821" i="8" s="1"/>
  <c r="F822" i="8"/>
  <c r="G591" i="8" a="1"/>
  <c r="G591" i="8" s="1"/>
  <c r="F592" i="8"/>
  <c r="F424" i="8"/>
  <c r="G423" i="8" a="1"/>
  <c r="G423" i="8" s="1"/>
  <c r="G128" i="8" a="1"/>
  <c r="G128" i="8" s="1"/>
  <c r="F129" i="8"/>
  <c r="F540" i="7"/>
  <c r="G515" i="7" a="1"/>
  <c r="G515" i="7" s="1"/>
  <c r="F685" i="9" l="1"/>
  <c r="G684" i="9" a="1"/>
  <c r="G684" i="9" s="1"/>
  <c r="F901" i="9"/>
  <c r="G900" i="9" a="1"/>
  <c r="G900" i="9" s="1"/>
  <c r="G808" i="9" a="1"/>
  <c r="G808" i="9" s="1"/>
  <c r="F809" i="9"/>
  <c r="G721" i="9" a="1"/>
  <c r="G721" i="9" s="1"/>
  <c r="F722" i="9"/>
  <c r="F299" i="9"/>
  <c r="G298" i="9" a="1"/>
  <c r="G298" i="9" s="1"/>
  <c r="G528" i="9" a="1"/>
  <c r="G528" i="9" s="1"/>
  <c r="F529" i="9"/>
  <c r="F868" i="9"/>
  <c r="G867" i="9" a="1"/>
  <c r="G867" i="9" s="1"/>
  <c r="G15" i="9" a="1"/>
  <c r="G15" i="9" s="1"/>
  <c r="F16" i="9"/>
  <c r="G765" i="9" a="1"/>
  <c r="G765" i="9" s="1"/>
  <c r="F766" i="9"/>
  <c r="G660" i="9" a="1"/>
  <c r="G660" i="9" s="1"/>
  <c r="F661" i="9"/>
  <c r="I14" i="9" a="1"/>
  <c r="I14" i="9" s="1"/>
  <c r="G129" i="9" a="1"/>
  <c r="G129" i="9" s="1"/>
  <c r="F130" i="9"/>
  <c r="G635" i="9" a="1"/>
  <c r="G635" i="9" s="1"/>
  <c r="F636" i="9"/>
  <c r="G105" i="9" a="1"/>
  <c r="G105" i="9" s="1"/>
  <c r="F106" i="9"/>
  <c r="G563" i="9" a="1"/>
  <c r="G563" i="9" s="1"/>
  <c r="F564" i="9"/>
  <c r="G177" i="9" a="1"/>
  <c r="G177" i="9" s="1"/>
  <c r="F178" i="9"/>
  <c r="G178" i="9" s="1" a="1"/>
  <c r="G178" i="9" s="1"/>
  <c r="G792" i="9" a="1"/>
  <c r="G792" i="9" s="1"/>
  <c r="F793" i="9"/>
  <c r="G193" i="9" a="1"/>
  <c r="G193" i="9" s="1"/>
  <c r="F194" i="9"/>
  <c r="G445" i="9" a="1"/>
  <c r="G445" i="9" s="1"/>
  <c r="F446" i="9"/>
  <c r="G482" i="9" a="1"/>
  <c r="G482" i="9" s="1"/>
  <c r="F483" i="9"/>
  <c r="F234" i="9"/>
  <c r="G233" i="9" a="1"/>
  <c r="G233" i="9" s="1"/>
  <c r="G588" i="9" a="1"/>
  <c r="G588" i="9" s="1"/>
  <c r="F589" i="9"/>
  <c r="G78" i="9" a="1"/>
  <c r="G78" i="9" s="1"/>
  <c r="F79" i="9"/>
  <c r="G79" i="9" s="1" a="1"/>
  <c r="G79" i="9" s="1"/>
  <c r="G215" i="9" a="1"/>
  <c r="G215" i="9" s="1"/>
  <c r="F216" i="9"/>
  <c r="G155" i="9" a="1"/>
  <c r="G155" i="9" s="1"/>
  <c r="F156" i="9"/>
  <c r="F379" i="9"/>
  <c r="G379" i="9" s="1" a="1"/>
  <c r="G379" i="9" s="1"/>
  <c r="G378" i="9" a="1"/>
  <c r="G378" i="9" s="1"/>
  <c r="G935" i="9" a="1"/>
  <c r="G935" i="9" s="1"/>
  <c r="F936" i="9"/>
  <c r="G614" i="9" a="1"/>
  <c r="G614" i="9" s="1"/>
  <c r="F615" i="9"/>
  <c r="G421" i="9" a="1"/>
  <c r="G421" i="9" s="1"/>
  <c r="F422" i="9"/>
  <c r="H8" i="9" a="1"/>
  <c r="H8" i="9" s="1"/>
  <c r="F354" i="9"/>
  <c r="G354" i="9" s="1" a="1"/>
  <c r="G354" i="9" s="1"/>
  <c r="G353" i="9" a="1"/>
  <c r="G353" i="9" s="1"/>
  <c r="G749" i="9" a="1"/>
  <c r="G749" i="9" s="1"/>
  <c r="F750" i="9"/>
  <c r="G542" i="8" a="1"/>
  <c r="G542" i="8" s="1"/>
  <c r="F543" i="8"/>
  <c r="F358" i="8"/>
  <c r="G358" i="8" s="1" a="1"/>
  <c r="G358" i="8" s="1"/>
  <c r="G357" i="8" a="1"/>
  <c r="G357" i="8" s="1"/>
  <c r="F461" i="8"/>
  <c r="G460" i="8" a="1"/>
  <c r="G460" i="8" s="1"/>
  <c r="G15" i="8" a="1"/>
  <c r="G15" i="8" s="1"/>
  <c r="I15" i="8" s="1" a="1"/>
  <c r="I15" i="8" s="1"/>
  <c r="F16" i="8"/>
  <c r="G171" i="8" a="1"/>
  <c r="G171" i="8" s="1"/>
  <c r="F172" i="8"/>
  <c r="F399" i="8"/>
  <c r="G398" i="8" a="1"/>
  <c r="G398" i="8" s="1"/>
  <c r="F728" i="8"/>
  <c r="G727" i="8" a="1"/>
  <c r="G727" i="8" s="1"/>
  <c r="F279" i="8"/>
  <c r="G279" i="8" s="1" a="1"/>
  <c r="G279" i="8" s="1"/>
  <c r="G278" i="8" a="1"/>
  <c r="G278" i="8" s="1"/>
  <c r="G569" i="8" a="1"/>
  <c r="G569" i="8" s="1"/>
  <c r="F570" i="8"/>
  <c r="G763" i="8" a="1"/>
  <c r="G763" i="8" s="1"/>
  <c r="F764" i="8"/>
  <c r="G211" i="8" a="1"/>
  <c r="G211" i="8" s="1"/>
  <c r="F212" i="8"/>
  <c r="G702" i="8" a="1"/>
  <c r="G702" i="8" s="1"/>
  <c r="F703" i="8"/>
  <c r="G316" i="8" a="1"/>
  <c r="G316" i="8" s="1"/>
  <c r="F317" i="8"/>
  <c r="G317" i="8" s="1" a="1"/>
  <c r="G317" i="8" s="1"/>
  <c r="F858" i="8"/>
  <c r="G857" i="8" a="1"/>
  <c r="G857" i="8" s="1"/>
  <c r="F664" i="8"/>
  <c r="G663" i="8" a="1"/>
  <c r="G663" i="8" s="1"/>
  <c r="F130" i="8"/>
  <c r="G129" i="8" a="1"/>
  <c r="G129" i="8" s="1"/>
  <c r="G614" i="8" a="1"/>
  <c r="G614" i="8" s="1"/>
  <c r="F615" i="8"/>
  <c r="G195" i="8" a="1"/>
  <c r="G195" i="8" s="1"/>
  <c r="F196" i="8"/>
  <c r="G592" i="8" a="1"/>
  <c r="G592" i="8" s="1"/>
  <c r="F593" i="8"/>
  <c r="G889" i="8" a="1"/>
  <c r="G889" i="8" s="1"/>
  <c r="F890" i="8"/>
  <c r="G890" i="8" s="1" a="1"/>
  <c r="G890" i="8" s="1"/>
  <c r="G507" i="8" a="1"/>
  <c r="G507" i="8" s="1"/>
  <c r="F508" i="8"/>
  <c r="G638" i="8" a="1"/>
  <c r="G638" i="8" s="1"/>
  <c r="F639" i="8"/>
  <c r="G155" i="8" a="1"/>
  <c r="G155" i="8" s="1"/>
  <c r="F156" i="8"/>
  <c r="F746" i="8"/>
  <c r="G745" i="8" a="1"/>
  <c r="G745" i="8" s="1"/>
  <c r="G822" i="8" a="1"/>
  <c r="G822" i="8" s="1"/>
  <c r="F823" i="8"/>
  <c r="G424" i="8" a="1"/>
  <c r="G424" i="8" s="1"/>
  <c r="F425" i="8"/>
  <c r="G332" i="8" a="1"/>
  <c r="G332" i="8" s="1"/>
  <c r="F333" i="8"/>
  <c r="G333" i="8" s="1" a="1"/>
  <c r="G333" i="8" s="1"/>
  <c r="F106" i="8"/>
  <c r="G105" i="8" a="1"/>
  <c r="G105" i="8" s="1"/>
  <c r="H8" i="8" a="1"/>
  <c r="H8" i="8" s="1"/>
  <c r="F548" i="7"/>
  <c r="G540" i="7" a="1"/>
  <c r="G540" i="7" s="1"/>
  <c r="G936" i="9" l="1" a="1"/>
  <c r="G936" i="9" s="1"/>
  <c r="G685" i="9" a="1"/>
  <c r="G685" i="9" s="1"/>
  <c r="F686" i="9"/>
  <c r="G130" i="9" a="1"/>
  <c r="G130" i="9" s="1"/>
  <c r="F131" i="9"/>
  <c r="G446" i="9" a="1"/>
  <c r="G446" i="9" s="1"/>
  <c r="F447" i="9"/>
  <c r="G564" i="9" a="1"/>
  <c r="G564" i="9" s="1"/>
  <c r="F565" i="9"/>
  <c r="G722" i="9" a="1"/>
  <c r="G722" i="9" s="1"/>
  <c r="F723" i="9"/>
  <c r="G750" i="9" a="1"/>
  <c r="G750" i="9" s="1"/>
  <c r="F751" i="9"/>
  <c r="G751" i="9" s="1" a="1"/>
  <c r="G751" i="9" s="1"/>
  <c r="G589" i="9" a="1"/>
  <c r="G589" i="9" s="1"/>
  <c r="F590" i="9"/>
  <c r="G793" i="9" a="1"/>
  <c r="G793" i="9" s="1"/>
  <c r="F794" i="9"/>
  <c r="G794" i="9" s="1" a="1"/>
  <c r="G794" i="9" s="1"/>
  <c r="G661" i="9" a="1"/>
  <c r="G661" i="9" s="1"/>
  <c r="F662" i="9"/>
  <c r="F17" i="9"/>
  <c r="G16" i="9" a="1"/>
  <c r="G16" i="9" s="1"/>
  <c r="G529" i="9" a="1"/>
  <c r="G529" i="9" s="1"/>
  <c r="F530" i="9"/>
  <c r="G809" i="9" a="1"/>
  <c r="G809" i="9" s="1"/>
  <c r="F810" i="9"/>
  <c r="G156" i="9" a="1"/>
  <c r="G156" i="9" s="1"/>
  <c r="F157" i="9"/>
  <c r="G766" i="9" a="1"/>
  <c r="G766" i="9" s="1"/>
  <c r="F767" i="9"/>
  <c r="I15" i="9" a="1"/>
  <c r="I15" i="9" s="1"/>
  <c r="G483" i="9" a="1"/>
  <c r="G483" i="9" s="1"/>
  <c r="F484" i="9"/>
  <c r="G106" i="9" a="1"/>
  <c r="G106" i="9" s="1"/>
  <c r="F107" i="9"/>
  <c r="G194" i="9" a="1"/>
  <c r="G194" i="9" s="1"/>
  <c r="F195" i="9"/>
  <c r="G422" i="9" a="1"/>
  <c r="G422" i="9" s="1"/>
  <c r="F423" i="9"/>
  <c r="G615" i="9" a="1"/>
  <c r="G615" i="9" s="1"/>
  <c r="F616" i="9"/>
  <c r="G216" i="9" a="1"/>
  <c r="G216" i="9" s="1"/>
  <c r="F217" i="9"/>
  <c r="G636" i="9" a="1"/>
  <c r="G636" i="9" s="1"/>
  <c r="F637" i="9"/>
  <c r="F869" i="9"/>
  <c r="G868" i="9" a="1"/>
  <c r="G868" i="9" s="1"/>
  <c r="F300" i="9"/>
  <c r="G300" i="9" s="1" a="1"/>
  <c r="G300" i="9" s="1"/>
  <c r="G299" i="9" a="1"/>
  <c r="G299" i="9" s="1"/>
  <c r="G901" i="9" a="1"/>
  <c r="G901" i="9" s="1"/>
  <c r="F902" i="9"/>
  <c r="H9" i="9" a="1"/>
  <c r="H9" i="9" s="1"/>
  <c r="F235" i="9"/>
  <c r="G234" i="9" a="1"/>
  <c r="G234" i="9" s="1"/>
  <c r="G543" i="8" a="1"/>
  <c r="G543" i="8" s="1"/>
  <c r="F544" i="8"/>
  <c r="F17" i="8"/>
  <c r="G16" i="8" a="1"/>
  <c r="G16" i="8" s="1"/>
  <c r="I16" i="8" s="1" a="1"/>
  <c r="I16" i="8" s="1"/>
  <c r="G461" i="8" a="1"/>
  <c r="G461" i="8" s="1"/>
  <c r="F462" i="8"/>
  <c r="G106" i="8" a="1"/>
  <c r="G106" i="8" s="1"/>
  <c r="F107" i="8"/>
  <c r="G639" i="8" a="1"/>
  <c r="G639" i="8" s="1"/>
  <c r="F640" i="8"/>
  <c r="F824" i="8"/>
  <c r="G823" i="8" a="1"/>
  <c r="G823" i="8" s="1"/>
  <c r="F400" i="8"/>
  <c r="G399" i="8" a="1"/>
  <c r="G399" i="8" s="1"/>
  <c r="G130" i="8" a="1"/>
  <c r="G130" i="8" s="1"/>
  <c r="F131" i="8"/>
  <c r="F213" i="8"/>
  <c r="G212" i="8" a="1"/>
  <c r="G212" i="8" s="1"/>
  <c r="G664" i="8" a="1"/>
  <c r="G664" i="8" s="1"/>
  <c r="F665" i="8"/>
  <c r="G172" i="8" a="1"/>
  <c r="G172" i="8" s="1"/>
  <c r="F173" i="8"/>
  <c r="G746" i="8" a="1"/>
  <c r="G746" i="8" s="1"/>
  <c r="F747" i="8"/>
  <c r="G196" i="8" a="1"/>
  <c r="G196" i="8" s="1"/>
  <c r="F197" i="8"/>
  <c r="G197" i="8" s="1" a="1"/>
  <c r="G197" i="8" s="1"/>
  <c r="G425" i="8" a="1"/>
  <c r="G425" i="8" s="1"/>
  <c r="F426" i="8"/>
  <c r="G156" i="8" a="1"/>
  <c r="G156" i="8" s="1"/>
  <c r="F157" i="8"/>
  <c r="G157" i="8" s="1" a="1"/>
  <c r="G157" i="8" s="1"/>
  <c r="G593" i="8" a="1"/>
  <c r="G593" i="8" s="1"/>
  <c r="F594" i="8"/>
  <c r="G615" i="8" a="1"/>
  <c r="G615" i="8" s="1"/>
  <c r="F616" i="8"/>
  <c r="G508" i="8" a="1"/>
  <c r="G508" i="8" s="1"/>
  <c r="F509" i="8"/>
  <c r="F859" i="8"/>
  <c r="G858" i="8" a="1"/>
  <c r="G858" i="8" s="1"/>
  <c r="F765" i="8"/>
  <c r="G764" i="8" a="1"/>
  <c r="G764" i="8" s="1"/>
  <c r="G570" i="8" a="1"/>
  <c r="G570" i="8" s="1"/>
  <c r="F571" i="8"/>
  <c r="F729" i="8"/>
  <c r="G728" i="8" a="1"/>
  <c r="G728" i="8" s="1"/>
  <c r="F704" i="8"/>
  <c r="G703" i="8" a="1"/>
  <c r="G703" i="8" s="1"/>
  <c r="H9" i="8" a="1"/>
  <c r="H9" i="8" s="1"/>
  <c r="G548" i="7" a="1"/>
  <c r="G548" i="7" s="1"/>
  <c r="F551" i="7"/>
  <c r="F687" i="9" l="1"/>
  <c r="G686" i="9" a="1"/>
  <c r="G686" i="9" s="1"/>
  <c r="G902" i="9" a="1"/>
  <c r="G902" i="9" s="1"/>
  <c r="F903" i="9"/>
  <c r="G767" i="9" a="1"/>
  <c r="G767" i="9" s="1"/>
  <c r="F768" i="9"/>
  <c r="G810" i="9" a="1"/>
  <c r="G810" i="9" s="1"/>
  <c r="F811" i="9"/>
  <c r="G131" i="9" a="1"/>
  <c r="G131" i="9" s="1"/>
  <c r="F132" i="9"/>
  <c r="F236" i="9"/>
  <c r="G235" i="9" a="1"/>
  <c r="G235" i="9" s="1"/>
  <c r="G565" i="9" a="1"/>
  <c r="G565" i="9" s="1"/>
  <c r="F566" i="9"/>
  <c r="G195" i="9" a="1"/>
  <c r="G195" i="9" s="1"/>
  <c r="F196" i="9"/>
  <c r="G723" i="9" a="1"/>
  <c r="G723" i="9" s="1"/>
  <c r="F724" i="9"/>
  <c r="G423" i="9" a="1"/>
  <c r="G423" i="9" s="1"/>
  <c r="F424" i="9"/>
  <c r="G157" i="9" a="1"/>
  <c r="G157" i="9" s="1"/>
  <c r="F158" i="9"/>
  <c r="G590" i="9" a="1"/>
  <c r="G590" i="9" s="1"/>
  <c r="F591" i="9"/>
  <c r="G616" i="9" a="1"/>
  <c r="G616" i="9" s="1"/>
  <c r="F617" i="9"/>
  <c r="G484" i="9" a="1"/>
  <c r="G484" i="9" s="1"/>
  <c r="F485" i="9"/>
  <c r="F18" i="9"/>
  <c r="G17" i="9" a="1"/>
  <c r="G17" i="9" s="1"/>
  <c r="G447" i="9" a="1"/>
  <c r="G447" i="9" s="1"/>
  <c r="F448" i="9"/>
  <c r="G869" i="9" a="1"/>
  <c r="G869" i="9" s="1"/>
  <c r="F870" i="9"/>
  <c r="G217" i="9" a="1"/>
  <c r="G217" i="9" s="1"/>
  <c r="F218" i="9"/>
  <c r="G218" i="9" s="1" a="1"/>
  <c r="G218" i="9" s="1"/>
  <c r="G662" i="9" a="1"/>
  <c r="G662" i="9" s="1"/>
  <c r="F663" i="9"/>
  <c r="G107" i="9" a="1"/>
  <c r="G107" i="9" s="1"/>
  <c r="F108" i="9"/>
  <c r="G530" i="9" a="1"/>
  <c r="G530" i="9" s="1"/>
  <c r="F531" i="9"/>
  <c r="I16" i="9" a="1"/>
  <c r="I16" i="9" s="1"/>
  <c r="H10" i="9" a="1"/>
  <c r="H10" i="9" s="1"/>
  <c r="G637" i="9" a="1"/>
  <c r="G637" i="9" s="1"/>
  <c r="F638" i="9"/>
  <c r="G544" i="8" a="1"/>
  <c r="G544" i="8" s="1"/>
  <c r="F545" i="8"/>
  <c r="G462" i="8" a="1"/>
  <c r="G462" i="8" s="1"/>
  <c r="F463" i="8"/>
  <c r="F18" i="8"/>
  <c r="G17" i="8" a="1"/>
  <c r="G17" i="8" s="1"/>
  <c r="I17" i="8" s="1" a="1"/>
  <c r="I17" i="8" s="1"/>
  <c r="G729" i="8" a="1"/>
  <c r="G729" i="8" s="1"/>
  <c r="F730" i="8"/>
  <c r="G730" i="8" s="1" a="1"/>
  <c r="G730" i="8" s="1"/>
  <c r="G616" i="8" a="1"/>
  <c r="G616" i="8" s="1"/>
  <c r="F617" i="8"/>
  <c r="G426" i="8" a="1"/>
  <c r="G426" i="8" s="1"/>
  <c r="F427" i="8"/>
  <c r="G400" i="8" a="1"/>
  <c r="G400" i="8" s="1"/>
  <c r="F401" i="8"/>
  <c r="G509" i="8" a="1"/>
  <c r="G509" i="8" s="1"/>
  <c r="F510" i="8"/>
  <c r="G824" i="8" a="1"/>
  <c r="G824" i="8" s="1"/>
  <c r="F825" i="8"/>
  <c r="G107" i="8" a="1"/>
  <c r="G107" i="8" s="1"/>
  <c r="F108" i="8"/>
  <c r="G173" i="8" a="1"/>
  <c r="G173" i="8" s="1"/>
  <c r="F174" i="8"/>
  <c r="G571" i="8" a="1"/>
  <c r="G571" i="8" s="1"/>
  <c r="F572" i="8"/>
  <c r="F748" i="8"/>
  <c r="G748" i="8" s="1" a="1"/>
  <c r="G748" i="8" s="1"/>
  <c r="G747" i="8" a="1"/>
  <c r="G747" i="8" s="1"/>
  <c r="G640" i="8" a="1"/>
  <c r="G640" i="8" s="1"/>
  <c r="F641" i="8"/>
  <c r="F705" i="8"/>
  <c r="G704" i="8" a="1"/>
  <c r="G704" i="8" s="1"/>
  <c r="G131" i="8" a="1"/>
  <c r="G131" i="8" s="1"/>
  <c r="F132" i="8"/>
  <c r="F214" i="8"/>
  <c r="G213" i="8" a="1"/>
  <c r="G213" i="8" s="1"/>
  <c r="H10" i="8" a="1"/>
  <c r="H10" i="8" s="1"/>
  <c r="G594" i="8" a="1"/>
  <c r="G594" i="8" s="1"/>
  <c r="F595" i="8"/>
  <c r="F766" i="8"/>
  <c r="G765" i="8" a="1"/>
  <c r="G765" i="8" s="1"/>
  <c r="G859" i="8" a="1"/>
  <c r="G859" i="8" s="1"/>
  <c r="F860" i="8"/>
  <c r="G665" i="8" a="1"/>
  <c r="G665" i="8" s="1"/>
  <c r="F666" i="8"/>
  <c r="G551" i="7" a="1"/>
  <c r="G551" i="7" s="1"/>
  <c r="F576" i="7"/>
  <c r="F671" i="7"/>
  <c r="G687" i="9" l="1" a="1"/>
  <c r="G687" i="9" s="1"/>
  <c r="F688" i="9"/>
  <c r="G108" i="9" a="1"/>
  <c r="G108" i="9" s="1"/>
  <c r="F109" i="9"/>
  <c r="G566" i="9" a="1"/>
  <c r="G566" i="9" s="1"/>
  <c r="F567" i="9"/>
  <c r="G448" i="9" a="1"/>
  <c r="G448" i="9" s="1"/>
  <c r="F449" i="9"/>
  <c r="G663" i="9" a="1"/>
  <c r="G663" i="9" s="1"/>
  <c r="F664" i="9"/>
  <c r="G617" i="9" a="1"/>
  <c r="G617" i="9" s="1"/>
  <c r="F618" i="9"/>
  <c r="G236" i="9" a="1"/>
  <c r="G236" i="9" s="1"/>
  <c r="F237" i="9"/>
  <c r="G638" i="9" a="1"/>
  <c r="G638" i="9" s="1"/>
  <c r="F639" i="9"/>
  <c r="I17" i="9" a="1"/>
  <c r="I17" i="9" s="1"/>
  <c r="G424" i="9" a="1"/>
  <c r="G424" i="9" s="1"/>
  <c r="F425" i="9"/>
  <c r="G132" i="9" a="1"/>
  <c r="G132" i="9" s="1"/>
  <c r="F133" i="9"/>
  <c r="F19" i="9"/>
  <c r="G18" i="9" a="1"/>
  <c r="G18" i="9" s="1"/>
  <c r="G591" i="9" a="1"/>
  <c r="G591" i="9" s="1"/>
  <c r="F592" i="9"/>
  <c r="G196" i="9" a="1"/>
  <c r="G196" i="9" s="1"/>
  <c r="F197" i="9"/>
  <c r="G768" i="9" a="1"/>
  <c r="G768" i="9" s="1"/>
  <c r="F769" i="9"/>
  <c r="G903" i="9" a="1"/>
  <c r="G903" i="9" s="1"/>
  <c r="F904" i="9"/>
  <c r="G724" i="9" a="1"/>
  <c r="G724" i="9" s="1"/>
  <c r="F725" i="9"/>
  <c r="G531" i="9" a="1"/>
  <c r="G531" i="9" s="1"/>
  <c r="F532" i="9"/>
  <c r="G870" i="9" a="1"/>
  <c r="G870" i="9" s="1"/>
  <c r="F871" i="9"/>
  <c r="G158" i="9" a="1"/>
  <c r="G158" i="9" s="1"/>
  <c r="F159" i="9"/>
  <c r="G485" i="9" a="1"/>
  <c r="G485" i="9" s="1"/>
  <c r="F486" i="9"/>
  <c r="H11" i="9" a="1"/>
  <c r="H11" i="9" s="1"/>
  <c r="G811" i="9" a="1"/>
  <c r="G811" i="9" s="1"/>
  <c r="F812" i="9"/>
  <c r="G545" i="8" a="1"/>
  <c r="G545" i="8" s="1"/>
  <c r="F546" i="8"/>
  <c r="F19" i="8"/>
  <c r="G18" i="8" a="1"/>
  <c r="G18" i="8" s="1"/>
  <c r="I18" i="8" s="1" a="1"/>
  <c r="I18" i="8" s="1"/>
  <c r="G463" i="8" a="1"/>
  <c r="G463" i="8" s="1"/>
  <c r="F464" i="8"/>
  <c r="G617" i="8" a="1"/>
  <c r="G617" i="8" s="1"/>
  <c r="F618" i="8"/>
  <c r="G401" i="8" a="1"/>
  <c r="G401" i="8" s="1"/>
  <c r="F402" i="8"/>
  <c r="F596" i="8"/>
  <c r="G595" i="8" a="1"/>
  <c r="G595" i="8" s="1"/>
  <c r="G572" i="8" a="1"/>
  <c r="G572" i="8" s="1"/>
  <c r="F573" i="8"/>
  <c r="H11" i="8" a="1"/>
  <c r="H11" i="8" s="1"/>
  <c r="F667" i="8"/>
  <c r="G666" i="8" a="1"/>
  <c r="G666" i="8" s="1"/>
  <c r="F826" i="8"/>
  <c r="G826" i="8" s="1" a="1"/>
  <c r="G826" i="8" s="1"/>
  <c r="G825" i="8" a="1"/>
  <c r="G825" i="8" s="1"/>
  <c r="G510" i="8" a="1"/>
  <c r="G510" i="8" s="1"/>
  <c r="F511" i="8"/>
  <c r="G860" i="8" a="1"/>
  <c r="G860" i="8" s="1"/>
  <c r="F861" i="8"/>
  <c r="G214" i="8" a="1"/>
  <c r="G214" i="8" s="1"/>
  <c r="F215" i="8"/>
  <c r="G766" i="8" a="1"/>
  <c r="G766" i="8" s="1"/>
  <c r="F767" i="8"/>
  <c r="G174" i="8" a="1"/>
  <c r="G174" i="8" s="1"/>
  <c r="F175" i="8"/>
  <c r="F109" i="8"/>
  <c r="G108" i="8" a="1"/>
  <c r="G108" i="8" s="1"/>
  <c r="G705" i="8" a="1"/>
  <c r="G705" i="8" s="1"/>
  <c r="F706" i="8"/>
  <c r="G427" i="8" a="1"/>
  <c r="G427" i="8" s="1"/>
  <c r="F428" i="8"/>
  <c r="G132" i="8" a="1"/>
  <c r="G132" i="8" s="1"/>
  <c r="F133" i="8"/>
  <c r="F642" i="8"/>
  <c r="G641" i="8" a="1"/>
  <c r="G641" i="8" s="1"/>
  <c r="F601" i="7"/>
  <c r="G576" i="7" a="1"/>
  <c r="G576" i="7" s="1"/>
  <c r="G671" i="7" a="1"/>
  <c r="G671" i="7" s="1"/>
  <c r="F691" i="7"/>
  <c r="F689" i="9" l="1"/>
  <c r="G689" i="9" s="1" a="1"/>
  <c r="G689" i="9" s="1"/>
  <c r="G688" i="9" a="1"/>
  <c r="G688" i="9" s="1"/>
  <c r="G639" i="9" a="1"/>
  <c r="G639" i="9" s="1"/>
  <c r="F640" i="9"/>
  <c r="G812" i="9" a="1"/>
  <c r="G812" i="9" s="1"/>
  <c r="F813" i="9"/>
  <c r="I18" i="9" a="1"/>
  <c r="I18" i="9" s="1"/>
  <c r="F426" i="9"/>
  <c r="G425" i="9" a="1"/>
  <c r="G425" i="9" s="1"/>
  <c r="G725" i="9" a="1"/>
  <c r="G725" i="9" s="1"/>
  <c r="F726" i="9"/>
  <c r="G197" i="9" a="1"/>
  <c r="G197" i="9" s="1"/>
  <c r="F198" i="9"/>
  <c r="G532" i="9" a="1"/>
  <c r="G532" i="9" s="1"/>
  <c r="F533" i="9"/>
  <c r="H12" i="9" a="1"/>
  <c r="H12" i="9" s="1"/>
  <c r="G19" i="9" a="1"/>
  <c r="G19" i="9" s="1"/>
  <c r="F20" i="9"/>
  <c r="G20" i="9" s="1" a="1"/>
  <c r="G20" i="9" s="1"/>
  <c r="G664" i="9" a="1"/>
  <c r="G664" i="9" s="1"/>
  <c r="F665" i="9"/>
  <c r="G237" i="9" a="1"/>
  <c r="G237" i="9" s="1"/>
  <c r="F238" i="9"/>
  <c r="G449" i="9" a="1"/>
  <c r="G449" i="9" s="1"/>
  <c r="F450" i="9"/>
  <c r="G109" i="9" a="1"/>
  <c r="G109" i="9" s="1"/>
  <c r="F110" i="9"/>
  <c r="F905" i="9"/>
  <c r="G904" i="9" a="1"/>
  <c r="G904" i="9" s="1"/>
  <c r="G159" i="9" a="1"/>
  <c r="G159" i="9" s="1"/>
  <c r="F160" i="9"/>
  <c r="G769" i="9" a="1"/>
  <c r="G769" i="9" s="1"/>
  <c r="F770" i="9"/>
  <c r="G133" i="9" a="1"/>
  <c r="G133" i="9" s="1"/>
  <c r="F134" i="9"/>
  <c r="G134" i="9" s="1" a="1"/>
  <c r="G134" i="9" s="1"/>
  <c r="G567" i="9" a="1"/>
  <c r="G567" i="9" s="1"/>
  <c r="F568" i="9"/>
  <c r="G486" i="9" a="1"/>
  <c r="G486" i="9" s="1"/>
  <c r="F487" i="9"/>
  <c r="G871" i="9" a="1"/>
  <c r="G871" i="9" s="1"/>
  <c r="F872" i="9"/>
  <c r="G872" i="9" s="1" a="1"/>
  <c r="G872" i="9" s="1"/>
  <c r="G592" i="9" a="1"/>
  <c r="G592" i="9" s="1"/>
  <c r="F593" i="9"/>
  <c r="G618" i="9" a="1"/>
  <c r="G618" i="9" s="1"/>
  <c r="F619" i="9"/>
  <c r="G546" i="8" a="1"/>
  <c r="G546" i="8" s="1"/>
  <c r="F547" i="8"/>
  <c r="F465" i="8"/>
  <c r="G464" i="8" a="1"/>
  <c r="G464" i="8" s="1"/>
  <c r="F20" i="8"/>
  <c r="G20" i="8" s="1" a="1"/>
  <c r="G20" i="8" s="1"/>
  <c r="G19" i="8" a="1"/>
  <c r="G19" i="8" s="1"/>
  <c r="I19" i="8" s="1" a="1"/>
  <c r="I19" i="8" s="1"/>
  <c r="G767" i="8" a="1"/>
  <c r="G767" i="8" s="1"/>
  <c r="F768" i="8"/>
  <c r="F862" i="8"/>
  <c r="G861" i="8" a="1"/>
  <c r="G861" i="8" s="1"/>
  <c r="G573" i="8" a="1"/>
  <c r="G573" i="8" s="1"/>
  <c r="F574" i="8"/>
  <c r="G618" i="8" a="1"/>
  <c r="G618" i="8" s="1"/>
  <c r="F619" i="8"/>
  <c r="G706" i="8" a="1"/>
  <c r="G706" i="8" s="1"/>
  <c r="F707" i="8"/>
  <c r="F668" i="8"/>
  <c r="G668" i="8" s="1" a="1"/>
  <c r="G668" i="8" s="1"/>
  <c r="G667" i="8" a="1"/>
  <c r="G667" i="8" s="1"/>
  <c r="F403" i="8"/>
  <c r="G402" i="8" a="1"/>
  <c r="G402" i="8" s="1"/>
  <c r="G511" i="8" a="1"/>
  <c r="G511" i="8" s="1"/>
  <c r="F512" i="8"/>
  <c r="G428" i="8" a="1"/>
  <c r="G428" i="8" s="1"/>
  <c r="F429" i="8"/>
  <c r="F643" i="8"/>
  <c r="G642" i="8" a="1"/>
  <c r="G642" i="8" s="1"/>
  <c r="G109" i="8" a="1"/>
  <c r="G109" i="8" s="1"/>
  <c r="F110" i="8"/>
  <c r="H12" i="8" a="1"/>
  <c r="H12" i="8" s="1"/>
  <c r="G133" i="8" a="1"/>
  <c r="G133" i="8" s="1"/>
  <c r="F134" i="8"/>
  <c r="G134" i="8" s="1" a="1"/>
  <c r="G134" i="8" s="1"/>
  <c r="G175" i="8" a="1"/>
  <c r="G175" i="8" s="1"/>
  <c r="F176" i="8"/>
  <c r="G215" i="8" a="1"/>
  <c r="G215" i="8" s="1"/>
  <c r="F216" i="8"/>
  <c r="F597" i="8"/>
  <c r="G596" i="8" a="1"/>
  <c r="G596" i="8" s="1"/>
  <c r="F622" i="7"/>
  <c r="G601" i="7" a="1"/>
  <c r="G601" i="7" s="1"/>
  <c r="G691" i="7" a="1"/>
  <c r="G691" i="7" s="1"/>
  <c r="F701" i="7"/>
  <c r="G593" i="9" l="1" a="1"/>
  <c r="G593" i="9" s="1"/>
  <c r="F594" i="9"/>
  <c r="G160" i="9" a="1"/>
  <c r="G160" i="9" s="1"/>
  <c r="F161" i="9"/>
  <c r="G568" i="9" a="1"/>
  <c r="G568" i="9" s="1"/>
  <c r="F569" i="9"/>
  <c r="H13" i="9" a="1"/>
  <c r="H13" i="9" s="1"/>
  <c r="G450" i="9" a="1"/>
  <c r="G450" i="9" s="1"/>
  <c r="F451" i="9"/>
  <c r="G640" i="9" a="1"/>
  <c r="G640" i="9" s="1"/>
  <c r="F641" i="9"/>
  <c r="G198" i="9" a="1"/>
  <c r="G198" i="9" s="1"/>
  <c r="F199" i="9"/>
  <c r="G813" i="9" a="1"/>
  <c r="G813" i="9" s="1"/>
  <c r="F814" i="9"/>
  <c r="F906" i="9"/>
  <c r="G905" i="9" a="1"/>
  <c r="G905" i="9" s="1"/>
  <c r="G665" i="9" a="1"/>
  <c r="G665" i="9" s="1"/>
  <c r="F666" i="9"/>
  <c r="I19" i="9" a="1"/>
  <c r="I19" i="9" s="1"/>
  <c r="I20" i="9" s="1" a="1"/>
  <c r="I20" i="9" s="1"/>
  <c r="G238" i="9" a="1"/>
  <c r="G238" i="9" s="1"/>
  <c r="F239" i="9"/>
  <c r="G533" i="9" a="1"/>
  <c r="G533" i="9" s="1"/>
  <c r="F534" i="9"/>
  <c r="G726" i="9" a="1"/>
  <c r="G726" i="9" s="1"/>
  <c r="F727" i="9"/>
  <c r="F427" i="9"/>
  <c r="G426" i="9" a="1"/>
  <c r="G426" i="9" s="1"/>
  <c r="G770" i="9" a="1"/>
  <c r="G770" i="9" s="1"/>
  <c r="F771" i="9"/>
  <c r="G619" i="9" a="1"/>
  <c r="G619" i="9" s="1"/>
  <c r="F620" i="9"/>
  <c r="G620" i="9" s="1" a="1"/>
  <c r="G620" i="9" s="1"/>
  <c r="G487" i="9" a="1"/>
  <c r="G487" i="9" s="1"/>
  <c r="F488" i="9"/>
  <c r="G488" i="9" s="1" a="1"/>
  <c r="G488" i="9" s="1"/>
  <c r="G110" i="9" a="1"/>
  <c r="G110" i="9" s="1"/>
  <c r="F111" i="9"/>
  <c r="G547" i="8" a="1"/>
  <c r="G547" i="8" s="1"/>
  <c r="F548" i="8"/>
  <c r="I20" i="8" a="1"/>
  <c r="I20" i="8" s="1"/>
  <c r="G465" i="8" a="1"/>
  <c r="G465" i="8" s="1"/>
  <c r="F466" i="8"/>
  <c r="F217" i="8"/>
  <c r="G216" i="8" a="1"/>
  <c r="G216" i="8" s="1"/>
  <c r="G597" i="8" a="1"/>
  <c r="G597" i="8" s="1"/>
  <c r="F598" i="8"/>
  <c r="F644" i="8"/>
  <c r="G643" i="8" a="1"/>
  <c r="G643" i="8" s="1"/>
  <c r="G707" i="8" a="1"/>
  <c r="G707" i="8" s="1"/>
  <c r="F708" i="8"/>
  <c r="F863" i="8"/>
  <c r="G862" i="8" a="1"/>
  <c r="G862" i="8" s="1"/>
  <c r="H13" i="8" a="1"/>
  <c r="H13" i="8" s="1"/>
  <c r="G110" i="8" a="1"/>
  <c r="G110" i="8" s="1"/>
  <c r="F111" i="8"/>
  <c r="G403" i="8" a="1"/>
  <c r="G403" i="8" s="1"/>
  <c r="F404" i="8"/>
  <c r="F620" i="8"/>
  <c r="G619" i="8" a="1"/>
  <c r="G619" i="8" s="1"/>
  <c r="G429" i="8" a="1"/>
  <c r="G429" i="8" s="1"/>
  <c r="F430" i="8"/>
  <c r="G176" i="8" a="1"/>
  <c r="G176" i="8" s="1"/>
  <c r="F177" i="8"/>
  <c r="G512" i="8" a="1"/>
  <c r="G512" i="8" s="1"/>
  <c r="F513" i="8"/>
  <c r="G574" i="8" a="1"/>
  <c r="G574" i="8" s="1"/>
  <c r="F575" i="8"/>
  <c r="G768" i="8" a="1"/>
  <c r="G768" i="8" s="1"/>
  <c r="F769" i="8"/>
  <c r="G622" i="7" a="1"/>
  <c r="G622" i="7" s="1"/>
  <c r="F647" i="7"/>
  <c r="G647" i="7" s="1" a="1"/>
  <c r="G647" i="7" s="1"/>
  <c r="F732" i="7"/>
  <c r="G701" i="7" a="1"/>
  <c r="G701" i="7" s="1"/>
  <c r="I21" i="9" l="1" a="1"/>
  <c r="I21" i="9" s="1"/>
  <c r="I22" i="9" s="1" a="1"/>
  <c r="I22" i="9" s="1"/>
  <c r="I23" i="9" s="1" a="1"/>
  <c r="I23" i="9" s="1"/>
  <c r="I24" i="9" s="1" a="1"/>
  <c r="I24" i="9" s="1"/>
  <c r="I25" i="9" s="1" a="1"/>
  <c r="I25" i="9" s="1"/>
  <c r="I26" i="9" s="1" a="1"/>
  <c r="I26" i="9" s="1"/>
  <c r="I27" i="9" s="1" a="1"/>
  <c r="I27" i="9" s="1"/>
  <c r="I28" i="9" s="1" a="1"/>
  <c r="I28" i="9" s="1"/>
  <c r="I29" i="9" s="1" a="1"/>
  <c r="I29" i="9" s="1"/>
  <c r="I30" i="9" s="1" a="1"/>
  <c r="I30" i="9" s="1"/>
  <c r="I31" i="9" s="1" a="1"/>
  <c r="I31" i="9" s="1"/>
  <c r="I32" i="9" s="1" a="1"/>
  <c r="I32" i="9" s="1"/>
  <c r="I33" i="9" s="1" a="1"/>
  <c r="I33" i="9" s="1"/>
  <c r="I34" i="9" s="1" a="1"/>
  <c r="I34" i="9" s="1"/>
  <c r="I35" i="9" s="1" a="1"/>
  <c r="I35" i="9" s="1"/>
  <c r="I36" i="9" s="1" a="1"/>
  <c r="I36" i="9" s="1"/>
  <c r="I37" i="9" s="1" a="1"/>
  <c r="I37" i="9" s="1"/>
  <c r="I38" i="9" s="1" a="1"/>
  <c r="I38" i="9" s="1"/>
  <c r="I39" i="9" s="1" a="1"/>
  <c r="I39" i="9" s="1"/>
  <c r="I40" i="9" s="1" a="1"/>
  <c r="I40" i="9" s="1"/>
  <c r="I41" i="9" s="1" a="1"/>
  <c r="I41" i="9" s="1"/>
  <c r="I42" i="9" s="1" a="1"/>
  <c r="I42" i="9" s="1"/>
  <c r="I43" i="9" s="1" a="1"/>
  <c r="I43" i="9" s="1"/>
  <c r="I44" i="9" s="1" a="1"/>
  <c r="I44" i="9" s="1"/>
  <c r="I45" i="9" s="1" a="1"/>
  <c r="I45" i="9" s="1"/>
  <c r="I46" i="9" s="1" a="1"/>
  <c r="I46" i="9" s="1"/>
  <c r="I47" i="9" s="1" a="1"/>
  <c r="I47" i="9" s="1"/>
  <c r="I48" i="9" s="1" a="1"/>
  <c r="I48" i="9" s="1"/>
  <c r="I49" i="9" s="1" a="1"/>
  <c r="I49" i="9" s="1"/>
  <c r="I50" i="9" s="1" a="1"/>
  <c r="I50" i="9" s="1"/>
  <c r="I51" i="9" s="1" a="1"/>
  <c r="I51" i="9" s="1"/>
  <c r="I52" i="9" s="1" a="1"/>
  <c r="I52" i="9" s="1"/>
  <c r="I53" i="9" s="1" a="1"/>
  <c r="I53" i="9" s="1"/>
  <c r="I54" i="9" s="1" a="1"/>
  <c r="I54" i="9" s="1"/>
  <c r="I55" i="9" s="1" a="1"/>
  <c r="I55" i="9" s="1"/>
  <c r="I56" i="9" s="1" a="1"/>
  <c r="I56" i="9" s="1"/>
  <c r="I57" i="9" s="1" a="1"/>
  <c r="I57" i="9" s="1"/>
  <c r="I58" i="9" s="1" a="1"/>
  <c r="I58" i="9" s="1"/>
  <c r="I59" i="9" s="1" a="1"/>
  <c r="I59" i="9" s="1"/>
  <c r="I60" i="9" s="1" a="1"/>
  <c r="I60" i="9" s="1"/>
  <c r="I61" i="9" s="1" a="1"/>
  <c r="I61" i="9" s="1"/>
  <c r="I62" i="9" s="1" a="1"/>
  <c r="I62" i="9" s="1"/>
  <c r="I63" i="9" s="1" a="1"/>
  <c r="I63" i="9" s="1"/>
  <c r="I64" i="9" s="1" a="1"/>
  <c r="I64" i="9" s="1"/>
  <c r="I65" i="9" s="1" a="1"/>
  <c r="I65" i="9" s="1"/>
  <c r="I66" i="9" s="1" a="1"/>
  <c r="I66" i="9" s="1"/>
  <c r="I67" i="9" s="1" a="1"/>
  <c r="I67" i="9" s="1"/>
  <c r="I68" i="9" s="1" a="1"/>
  <c r="I68" i="9" s="1"/>
  <c r="I69" i="9" s="1" a="1"/>
  <c r="I69" i="9" s="1"/>
  <c r="I70" i="9" s="1" a="1"/>
  <c r="I70" i="9" s="1"/>
  <c r="I71" i="9" s="1" a="1"/>
  <c r="I71" i="9" s="1"/>
  <c r="I72" i="9" s="1" a="1"/>
  <c r="I72" i="9" s="1"/>
  <c r="I73" i="9" s="1" a="1"/>
  <c r="I73" i="9" s="1"/>
  <c r="I74" i="9" s="1" a="1"/>
  <c r="I74" i="9" s="1"/>
  <c r="I75" i="9" s="1" a="1"/>
  <c r="I75" i="9" s="1"/>
  <c r="I76" i="9" s="1" a="1"/>
  <c r="I76" i="9" s="1"/>
  <c r="I77" i="9" s="1" a="1"/>
  <c r="I77" i="9" s="1"/>
  <c r="I78" i="9" s="1" a="1"/>
  <c r="I78" i="9" s="1"/>
  <c r="I79" i="9" s="1" a="1"/>
  <c r="I79" i="9" s="1"/>
  <c r="I80" i="9" s="1" a="1"/>
  <c r="I80" i="9" s="1"/>
  <c r="I81" i="9" s="1" a="1"/>
  <c r="I81" i="9" s="1"/>
  <c r="I82" i="9" s="1" a="1"/>
  <c r="I82" i="9" s="1"/>
  <c r="I83" i="9" s="1" a="1"/>
  <c r="I83" i="9" s="1"/>
  <c r="I84" i="9" s="1" a="1"/>
  <c r="I84" i="9" s="1"/>
  <c r="I85" i="9" s="1" a="1"/>
  <c r="I85" i="9" s="1"/>
  <c r="I86" i="9" s="1" a="1"/>
  <c r="I86" i="9" s="1"/>
  <c r="I87" i="9" s="1" a="1"/>
  <c r="I87" i="9" s="1"/>
  <c r="I88" i="9" s="1" a="1"/>
  <c r="I88" i="9" s="1"/>
  <c r="I89" i="9" s="1" a="1"/>
  <c r="I89" i="9" s="1"/>
  <c r="I90" i="9" s="1" a="1"/>
  <c r="I90" i="9" s="1"/>
  <c r="I91" i="9" s="1" a="1"/>
  <c r="I91" i="9" s="1"/>
  <c r="I92" i="9" s="1" a="1"/>
  <c r="I92" i="9" s="1"/>
  <c r="I93" i="9" s="1" a="1"/>
  <c r="I93" i="9" s="1"/>
  <c r="I94" i="9" s="1" a="1"/>
  <c r="I94" i="9" s="1"/>
  <c r="I95" i="9" s="1" a="1"/>
  <c r="I95" i="9" s="1"/>
  <c r="I96" i="9" s="1" a="1"/>
  <c r="I96" i="9" s="1"/>
  <c r="I97" i="9" s="1" a="1"/>
  <c r="I97" i="9" s="1"/>
  <c r="I98" i="9" s="1" a="1"/>
  <c r="I98" i="9" s="1"/>
  <c r="I99" i="9" s="1" a="1"/>
  <c r="I99" i="9" s="1"/>
  <c r="I100" i="9" s="1" a="1"/>
  <c r="I100" i="9" s="1"/>
  <c r="I101" i="9" s="1" a="1"/>
  <c r="I101" i="9" s="1"/>
  <c r="I102" i="9" s="1" a="1"/>
  <c r="I102" i="9" s="1"/>
  <c r="I103" i="9" s="1" a="1"/>
  <c r="I103" i="9" s="1"/>
  <c r="I104" i="9" s="1" a="1"/>
  <c r="I104" i="9" s="1"/>
  <c r="I105" i="9" s="1" a="1"/>
  <c r="I105" i="9" s="1"/>
  <c r="I106" i="9" s="1" a="1"/>
  <c r="I106" i="9" s="1"/>
  <c r="I107" i="9" s="1" a="1"/>
  <c r="I107" i="9" s="1"/>
  <c r="I108" i="9" s="1" a="1"/>
  <c r="I108" i="9" s="1"/>
  <c r="I109" i="9" s="1" a="1"/>
  <c r="I109" i="9" s="1"/>
  <c r="I110" i="9" s="1" a="1"/>
  <c r="I110" i="9" s="1"/>
  <c r="G771" i="9" a="1"/>
  <c r="G771" i="9" s="1"/>
  <c r="F772" i="9"/>
  <c r="G239" i="9" a="1"/>
  <c r="G239" i="9" s="1"/>
  <c r="F240" i="9"/>
  <c r="G427" i="9" a="1"/>
  <c r="G427" i="9" s="1"/>
  <c r="F428" i="9"/>
  <c r="G199" i="9" a="1"/>
  <c r="G199" i="9" s="1"/>
  <c r="F200" i="9"/>
  <c r="G161" i="9" a="1"/>
  <c r="G161" i="9" s="1"/>
  <c r="F162" i="9"/>
  <c r="G162" i="9" s="1" a="1"/>
  <c r="G162" i="9" s="1"/>
  <c r="G569" i="9" a="1"/>
  <c r="G569" i="9" s="1"/>
  <c r="F570" i="9"/>
  <c r="H14" i="9" a="1"/>
  <c r="H14" i="9" s="1"/>
  <c r="G727" i="9" a="1"/>
  <c r="G727" i="9" s="1"/>
  <c r="F728" i="9"/>
  <c r="G111" i="9" a="1"/>
  <c r="G111" i="9" s="1"/>
  <c r="F112" i="9"/>
  <c r="G641" i="9" a="1"/>
  <c r="G641" i="9" s="1"/>
  <c r="F642" i="9"/>
  <c r="G666" i="9" a="1"/>
  <c r="G666" i="9" s="1"/>
  <c r="F667" i="9"/>
  <c r="G534" i="9" a="1"/>
  <c r="G534" i="9" s="1"/>
  <c r="F535" i="9"/>
  <c r="F907" i="9"/>
  <c r="G906" i="9" a="1"/>
  <c r="G906" i="9" s="1"/>
  <c r="G594" i="9" a="1"/>
  <c r="G594" i="9" s="1"/>
  <c r="F595" i="9"/>
  <c r="G814" i="9" a="1"/>
  <c r="G814" i="9" s="1"/>
  <c r="F815" i="9"/>
  <c r="G451" i="9" a="1"/>
  <c r="G451" i="9" s="1"/>
  <c r="F452" i="9"/>
  <c r="G548" i="8" a="1"/>
  <c r="G548" i="8" s="1"/>
  <c r="F549" i="8"/>
  <c r="I21" i="8" a="1"/>
  <c r="I21" i="8" s="1"/>
  <c r="G466" i="8" a="1"/>
  <c r="G466" i="8" s="1"/>
  <c r="F467" i="8"/>
  <c r="G467" i="8" s="1" a="1"/>
  <c r="G467" i="8" s="1"/>
  <c r="H14" i="8" a="1"/>
  <c r="H14" i="8" s="1"/>
  <c r="G217" i="8" a="1"/>
  <c r="G217" i="8" s="1"/>
  <c r="F218" i="8"/>
  <c r="G769" i="8" a="1"/>
  <c r="G769" i="8" s="1"/>
  <c r="F770" i="8"/>
  <c r="G863" i="8" a="1"/>
  <c r="G863" i="8" s="1"/>
  <c r="F864" i="8"/>
  <c r="F431" i="8"/>
  <c r="G430" i="8" a="1"/>
  <c r="G430" i="8" s="1"/>
  <c r="G404" i="8" a="1"/>
  <c r="G404" i="8" s="1"/>
  <c r="F405" i="8"/>
  <c r="G513" i="8" a="1"/>
  <c r="G513" i="8" s="1"/>
  <c r="F514" i="8"/>
  <c r="F112" i="8"/>
  <c r="G111" i="8" a="1"/>
  <c r="G111" i="8" s="1"/>
  <c r="G708" i="8" a="1"/>
  <c r="G708" i="8" s="1"/>
  <c r="F709" i="8"/>
  <c r="G709" i="8" s="1" a="1"/>
  <c r="G709" i="8" s="1"/>
  <c r="G177" i="8" a="1"/>
  <c r="G177" i="8" s="1"/>
  <c r="F178" i="8"/>
  <c r="G575" i="8" a="1"/>
  <c r="G575" i="8" s="1"/>
  <c r="F576" i="8"/>
  <c r="F621" i="8"/>
  <c r="G620" i="8" a="1"/>
  <c r="G620" i="8" s="1"/>
  <c r="G598" i="8" a="1"/>
  <c r="G598" i="8" s="1"/>
  <c r="F599" i="8"/>
  <c r="G599" i="8" s="1" a="1"/>
  <c r="G599" i="8" s="1"/>
  <c r="F645" i="8"/>
  <c r="G644" i="8" a="1"/>
  <c r="G644" i="8" s="1"/>
  <c r="F736" i="7"/>
  <c r="G732" i="7" a="1"/>
  <c r="G732" i="7" s="1"/>
  <c r="G240" i="9" l="1" a="1"/>
  <c r="G240" i="9" s="1"/>
  <c r="F241" i="9"/>
  <c r="G241" i="9" s="1" a="1"/>
  <c r="G241" i="9" s="1"/>
  <c r="G200" i="9" a="1"/>
  <c r="G200" i="9" s="1"/>
  <c r="F201" i="9"/>
  <c r="G201" i="9" s="1" a="1"/>
  <c r="G201" i="9" s="1"/>
  <c r="G535" i="9" a="1"/>
  <c r="G535" i="9" s="1"/>
  <c r="F536" i="9"/>
  <c r="G642" i="9" a="1"/>
  <c r="G642" i="9" s="1"/>
  <c r="F643" i="9"/>
  <c r="G595" i="9" a="1"/>
  <c r="G595" i="9" s="1"/>
  <c r="F596" i="9"/>
  <c r="G112" i="9" a="1"/>
  <c r="G112" i="9" s="1"/>
  <c r="F113" i="9"/>
  <c r="I111" i="9" a="1"/>
  <c r="I111" i="9" s="1"/>
  <c r="G815" i="9" a="1"/>
  <c r="G815" i="9" s="1"/>
  <c r="F816" i="9"/>
  <c r="G570" i="9" a="1"/>
  <c r="G570" i="9" s="1"/>
  <c r="F571" i="9"/>
  <c r="G667" i="9" a="1"/>
  <c r="G667" i="9" s="1"/>
  <c r="F668" i="9"/>
  <c r="G728" i="9" a="1"/>
  <c r="G728" i="9" s="1"/>
  <c r="F729" i="9"/>
  <c r="G452" i="9" a="1"/>
  <c r="G452" i="9" s="1"/>
  <c r="F453" i="9"/>
  <c r="F908" i="9"/>
  <c r="G907" i="9" a="1"/>
  <c r="G907" i="9" s="1"/>
  <c r="H15" i="9" a="1"/>
  <c r="H15" i="9" s="1"/>
  <c r="G428" i="9" a="1"/>
  <c r="G428" i="9" s="1"/>
  <c r="F429" i="9"/>
  <c r="G772" i="9" a="1"/>
  <c r="G772" i="9" s="1"/>
  <c r="F773" i="9"/>
  <c r="F550" i="8"/>
  <c r="G549" i="8" a="1"/>
  <c r="G549" i="8" s="1"/>
  <c r="I22" i="8" a="1"/>
  <c r="I22" i="8" s="1"/>
  <c r="G112" i="8" a="1"/>
  <c r="G112" i="8" s="1"/>
  <c r="F113" i="8"/>
  <c r="G178" i="8" a="1"/>
  <c r="G178" i="8" s="1"/>
  <c r="F179" i="8"/>
  <c r="G405" i="8" a="1"/>
  <c r="G405" i="8" s="1"/>
  <c r="F406" i="8"/>
  <c r="G770" i="8" a="1"/>
  <c r="G770" i="8" s="1"/>
  <c r="F771" i="8"/>
  <c r="G514" i="8" a="1"/>
  <c r="G514" i="8" s="1"/>
  <c r="F515" i="8"/>
  <c r="F432" i="8"/>
  <c r="G431" i="8" a="1"/>
  <c r="G431" i="8" s="1"/>
  <c r="G218" i="8" a="1"/>
  <c r="G218" i="8" s="1"/>
  <c r="F219" i="8"/>
  <c r="G621" i="8" a="1"/>
  <c r="G621" i="8" s="1"/>
  <c r="F622" i="8"/>
  <c r="H15" i="8" a="1"/>
  <c r="H15" i="8" s="1"/>
  <c r="G576" i="8" a="1"/>
  <c r="G576" i="8" s="1"/>
  <c r="F577" i="8"/>
  <c r="G645" i="8" a="1"/>
  <c r="G645" i="8" s="1"/>
  <c r="F646" i="8"/>
  <c r="G864" i="8" a="1"/>
  <c r="G864" i="8" s="1"/>
  <c r="F865" i="8"/>
  <c r="G865" i="8" s="1" a="1"/>
  <c r="G865" i="8" s="1"/>
  <c r="G736" i="7" a="1"/>
  <c r="G736" i="7" s="1"/>
  <c r="F753" i="7"/>
  <c r="G773" i="9" l="1" a="1"/>
  <c r="G773" i="9" s="1"/>
  <c r="F774" i="9"/>
  <c r="G429" i="9" a="1"/>
  <c r="G429" i="9" s="1"/>
  <c r="F430" i="9"/>
  <c r="G430" i="9" s="1" a="1"/>
  <c r="G430" i="9" s="1"/>
  <c r="G729" i="9" a="1"/>
  <c r="G729" i="9" s="1"/>
  <c r="F730" i="9"/>
  <c r="G730" i="9" s="1" a="1"/>
  <c r="G730" i="9" s="1"/>
  <c r="G571" i="9" a="1"/>
  <c r="G571" i="9" s="1"/>
  <c r="F572" i="9"/>
  <c r="I112" i="9" a="1"/>
  <c r="I112" i="9" s="1"/>
  <c r="G536" i="9" a="1"/>
  <c r="G536" i="9" s="1"/>
  <c r="F537" i="9"/>
  <c r="H16" i="9" a="1"/>
  <c r="H16" i="9" s="1"/>
  <c r="G668" i="9" a="1"/>
  <c r="G668" i="9" s="1"/>
  <c r="F669" i="9"/>
  <c r="G643" i="9" a="1"/>
  <c r="G643" i="9" s="1"/>
  <c r="F644" i="9"/>
  <c r="F909" i="9"/>
  <c r="G908" i="9" a="1"/>
  <c r="G908" i="9" s="1"/>
  <c r="G816" i="9" a="1"/>
  <c r="G816" i="9" s="1"/>
  <c r="F817" i="9"/>
  <c r="G453" i="9" a="1"/>
  <c r="G453" i="9" s="1"/>
  <c r="F454" i="9"/>
  <c r="G454" i="9" s="1" a="1"/>
  <c r="G454" i="9" s="1"/>
  <c r="G113" i="9" a="1"/>
  <c r="G113" i="9" s="1"/>
  <c r="F114" i="9"/>
  <c r="G114" i="9" s="1" a="1"/>
  <c r="G114" i="9" s="1"/>
  <c r="G596" i="9" a="1"/>
  <c r="G596" i="9" s="1"/>
  <c r="F597" i="9"/>
  <c r="G550" i="8" a="1"/>
  <c r="G550" i="8" s="1"/>
  <c r="F551" i="8"/>
  <c r="I23" i="8" a="1"/>
  <c r="I23" i="8" s="1"/>
  <c r="G646" i="8" a="1"/>
  <c r="G646" i="8" s="1"/>
  <c r="F647" i="8"/>
  <c r="G219" i="8" a="1"/>
  <c r="G219" i="8" s="1"/>
  <c r="F220" i="8"/>
  <c r="G220" i="8" s="1" a="1"/>
  <c r="G220" i="8" s="1"/>
  <c r="G577" i="8" a="1"/>
  <c r="G577" i="8" s="1"/>
  <c r="F578" i="8"/>
  <c r="G578" i="8" s="1" a="1"/>
  <c r="G578" i="8" s="1"/>
  <c r="G515" i="8" a="1"/>
  <c r="G515" i="8" s="1"/>
  <c r="F516" i="8"/>
  <c r="F114" i="8"/>
  <c r="G114" i="8" s="1" a="1"/>
  <c r="G114" i="8" s="1"/>
  <c r="G113" i="8" a="1"/>
  <c r="G113" i="8" s="1"/>
  <c r="F407" i="8"/>
  <c r="G406" i="8" a="1"/>
  <c r="G406" i="8" s="1"/>
  <c r="G179" i="8" a="1"/>
  <c r="G179" i="8" s="1"/>
  <c r="F180" i="8"/>
  <c r="G180" i="8" s="1" a="1"/>
  <c r="G180" i="8" s="1"/>
  <c r="G432" i="8" a="1"/>
  <c r="G432" i="8" s="1"/>
  <c r="F433" i="8"/>
  <c r="G433" i="8" s="1" a="1"/>
  <c r="G433" i="8" s="1"/>
  <c r="H16" i="8" a="1"/>
  <c r="H16" i="8" s="1"/>
  <c r="G771" i="8" a="1"/>
  <c r="G771" i="8" s="1"/>
  <c r="F772" i="8"/>
  <c r="G622" i="8" a="1"/>
  <c r="G622" i="8" s="1"/>
  <c r="F623" i="8"/>
  <c r="F778" i="7"/>
  <c r="G753" i="7" a="1"/>
  <c r="G753" i="7" s="1"/>
  <c r="G774" i="9" l="1" a="1"/>
  <c r="G774" i="9" s="1"/>
  <c r="F775" i="9"/>
  <c r="G669" i="9" a="1"/>
  <c r="G669" i="9" s="1"/>
  <c r="F670" i="9"/>
  <c r="G670" i="9" s="1" a="1"/>
  <c r="G670" i="9" s="1"/>
  <c r="G817" i="9" a="1"/>
  <c r="G817" i="9" s="1"/>
  <c r="F818" i="9"/>
  <c r="G537" i="9" a="1"/>
  <c r="G537" i="9" s="1"/>
  <c r="F538" i="9"/>
  <c r="G538" i="9" s="1" a="1"/>
  <c r="G538" i="9" s="1"/>
  <c r="G572" i="9" a="1"/>
  <c r="G572" i="9" s="1"/>
  <c r="F573" i="9"/>
  <c r="I113" i="9" a="1"/>
  <c r="I113" i="9" s="1"/>
  <c r="H17" i="9" a="1"/>
  <c r="H17" i="9" s="1"/>
  <c r="G644" i="9" a="1"/>
  <c r="G644" i="9" s="1"/>
  <c r="F645" i="9"/>
  <c r="G645" i="9" s="1" a="1"/>
  <c r="G645" i="9" s="1"/>
  <c r="G597" i="9" a="1"/>
  <c r="G597" i="9" s="1"/>
  <c r="F598" i="9"/>
  <c r="G909" i="9" a="1"/>
  <c r="G909" i="9" s="1"/>
  <c r="F910" i="9"/>
  <c r="G551" i="8" a="1"/>
  <c r="G551" i="8" s="1"/>
  <c r="F552" i="8"/>
  <c r="I24" i="8" a="1"/>
  <c r="I24" i="8" s="1"/>
  <c r="F773" i="8"/>
  <c r="G773" i="8" s="1" a="1"/>
  <c r="G773" i="8" s="1"/>
  <c r="G772" i="8" a="1"/>
  <c r="G772" i="8" s="1"/>
  <c r="G647" i="8" a="1"/>
  <c r="G647" i="8" s="1"/>
  <c r="F648" i="8"/>
  <c r="H17" i="8" a="1"/>
  <c r="H17" i="8" s="1"/>
  <c r="G623" i="8" a="1"/>
  <c r="G623" i="8" s="1"/>
  <c r="F624" i="8"/>
  <c r="G624" i="8" s="1" a="1"/>
  <c r="G624" i="8" s="1"/>
  <c r="F408" i="8"/>
  <c r="G407" i="8" a="1"/>
  <c r="G407" i="8" s="1"/>
  <c r="G516" i="8" a="1"/>
  <c r="G516" i="8" s="1"/>
  <c r="F517" i="8"/>
  <c r="G517" i="8" s="1" a="1"/>
  <c r="G517" i="8" s="1"/>
  <c r="F796" i="7"/>
  <c r="G778" i="7" a="1"/>
  <c r="G778" i="7" s="1"/>
  <c r="I114" i="9" l="1" a="1"/>
  <c r="I114" i="9" s="1"/>
  <c r="H18" i="9" a="1"/>
  <c r="H18" i="9" s="1"/>
  <c r="G573" i="9" a="1"/>
  <c r="G573" i="9" s="1"/>
  <c r="F574" i="9"/>
  <c r="G574" i="9" s="1" a="1"/>
  <c r="G574" i="9" s="1"/>
  <c r="G910" i="9" a="1"/>
  <c r="G910" i="9" s="1"/>
  <c r="F911" i="9"/>
  <c r="G598" i="9" a="1"/>
  <c r="G598" i="9" s="1"/>
  <c r="F599" i="9"/>
  <c r="G599" i="9" s="1" a="1"/>
  <c r="G599" i="9" s="1"/>
  <c r="G775" i="9" a="1"/>
  <c r="G775" i="9" s="1"/>
  <c r="F776" i="9"/>
  <c r="G776" i="9" s="1" a="1"/>
  <c r="G776" i="9" s="1"/>
  <c r="G818" i="9" a="1"/>
  <c r="G818" i="9" s="1"/>
  <c r="F819" i="9"/>
  <c r="G819" i="9" s="1" a="1"/>
  <c r="G819" i="9" s="1"/>
  <c r="H19" i="9" a="1"/>
  <c r="H19" i="9" s="1"/>
  <c r="F553" i="8"/>
  <c r="G553" i="8" s="1" a="1"/>
  <c r="G553" i="8" s="1"/>
  <c r="G552" i="8" a="1"/>
  <c r="G552" i="8" s="1"/>
  <c r="I25" i="8" a="1"/>
  <c r="I25" i="8" s="1"/>
  <c r="G648" i="8" a="1"/>
  <c r="G648" i="8" s="1"/>
  <c r="F649" i="8"/>
  <c r="G649" i="8" s="1" a="1"/>
  <c r="G649" i="8" s="1"/>
  <c r="H18" i="8" a="1"/>
  <c r="H18" i="8" s="1"/>
  <c r="G408" i="8" a="1"/>
  <c r="G408" i="8" s="1"/>
  <c r="F409" i="8"/>
  <c r="G409" i="8" s="1" a="1"/>
  <c r="G409" i="8" s="1"/>
  <c r="G796" i="7" a="1"/>
  <c r="G796" i="7" s="1"/>
  <c r="F821" i="7"/>
  <c r="G911" i="9" l="1" a="1"/>
  <c r="G911" i="9" s="1"/>
  <c r="I115" i="9" a="1"/>
  <c r="I115" i="9" s="1"/>
  <c r="I116" i="9" s="1" a="1"/>
  <c r="I116" i="9" s="1"/>
  <c r="I117" i="9" s="1" a="1"/>
  <c r="I117" i="9" s="1"/>
  <c r="I118" i="9" s="1" a="1"/>
  <c r="I118" i="9" s="1"/>
  <c r="I119" i="9" s="1" a="1"/>
  <c r="I119" i="9" s="1"/>
  <c r="I120" i="9" s="1" a="1"/>
  <c r="I120" i="9" s="1"/>
  <c r="I121" i="9" s="1" a="1"/>
  <c r="I121" i="9" s="1"/>
  <c r="I122" i="9" s="1" a="1"/>
  <c r="I122" i="9" s="1"/>
  <c r="I123" i="9" s="1" a="1"/>
  <c r="I123" i="9" s="1"/>
  <c r="I124" i="9" s="1" a="1"/>
  <c r="I124" i="9" s="1"/>
  <c r="I125" i="9" s="1" a="1"/>
  <c r="I125" i="9" s="1"/>
  <c r="I126" i="9" s="1" a="1"/>
  <c r="I126" i="9" s="1"/>
  <c r="I127" i="9" s="1" a="1"/>
  <c r="I127" i="9" s="1"/>
  <c r="I128" i="9" s="1" a="1"/>
  <c r="I128" i="9" s="1"/>
  <c r="I129" i="9" s="1" a="1"/>
  <c r="I129" i="9" s="1"/>
  <c r="I130" i="9" s="1" a="1"/>
  <c r="I130" i="9" s="1"/>
  <c r="I131" i="9" s="1" a="1"/>
  <c r="I131" i="9" s="1"/>
  <c r="I132" i="9" s="1" a="1"/>
  <c r="I132" i="9" s="1"/>
  <c r="I133" i="9" s="1" a="1"/>
  <c r="I133" i="9" s="1"/>
  <c r="I134" i="9" s="1" a="1"/>
  <c r="I134" i="9" s="1"/>
  <c r="I135" i="9" s="1" a="1"/>
  <c r="I135" i="9" s="1"/>
  <c r="I136" i="9" s="1" a="1"/>
  <c r="I136" i="9" s="1"/>
  <c r="I137" i="9" s="1" a="1"/>
  <c r="I137" i="9" s="1"/>
  <c r="I138" i="9" s="1" a="1"/>
  <c r="I138" i="9" s="1"/>
  <c r="I139" i="9" s="1" a="1"/>
  <c r="I139" i="9" s="1"/>
  <c r="I140" i="9" s="1" a="1"/>
  <c r="I140" i="9" s="1"/>
  <c r="I141" i="9" s="1" a="1"/>
  <c r="I141" i="9" s="1"/>
  <c r="I142" i="9" s="1" a="1"/>
  <c r="I142" i="9" s="1"/>
  <c r="I143" i="9" s="1" a="1"/>
  <c r="I143" i="9" s="1"/>
  <c r="I144" i="9" s="1" a="1"/>
  <c r="I144" i="9" s="1"/>
  <c r="I145" i="9" s="1" a="1"/>
  <c r="I145" i="9" s="1"/>
  <c r="I146" i="9" s="1" a="1"/>
  <c r="I146" i="9" s="1"/>
  <c r="I147" i="9" s="1" a="1"/>
  <c r="I147" i="9" s="1"/>
  <c r="I148" i="9" s="1" a="1"/>
  <c r="I148" i="9" s="1"/>
  <c r="I149" i="9" s="1" a="1"/>
  <c r="I149" i="9" s="1"/>
  <c r="I150" i="9" s="1" a="1"/>
  <c r="I150" i="9" s="1"/>
  <c r="I151" i="9" s="1" a="1"/>
  <c r="I151" i="9" s="1"/>
  <c r="I152" i="9" s="1" a="1"/>
  <c r="I152" i="9" s="1"/>
  <c r="I153" i="9" s="1" a="1"/>
  <c r="I153" i="9" s="1"/>
  <c r="I154" i="9" s="1" a="1"/>
  <c r="I154" i="9" s="1"/>
  <c r="I155" i="9" s="1" a="1"/>
  <c r="I155" i="9" s="1"/>
  <c r="I156" i="9" s="1" a="1"/>
  <c r="I156" i="9" s="1"/>
  <c r="I157" i="9" s="1" a="1"/>
  <c r="I157" i="9" s="1"/>
  <c r="I158" i="9" s="1" a="1"/>
  <c r="I158" i="9" s="1"/>
  <c r="I159" i="9" s="1" a="1"/>
  <c r="I159" i="9" s="1"/>
  <c r="I160" i="9" s="1" a="1"/>
  <c r="I160" i="9" s="1"/>
  <c r="I161" i="9" s="1" a="1"/>
  <c r="I161" i="9" s="1"/>
  <c r="I162" i="9" s="1" a="1"/>
  <c r="I162" i="9" s="1"/>
  <c r="I163" i="9" s="1" a="1"/>
  <c r="I163" i="9" s="1"/>
  <c r="I164" i="9" s="1" a="1"/>
  <c r="I164" i="9" s="1"/>
  <c r="I165" i="9" s="1" a="1"/>
  <c r="I165" i="9" s="1"/>
  <c r="I166" i="9" s="1" a="1"/>
  <c r="I166" i="9" s="1"/>
  <c r="I167" i="9" s="1" a="1"/>
  <c r="I167" i="9" s="1"/>
  <c r="I168" i="9" s="1" a="1"/>
  <c r="I168" i="9" s="1"/>
  <c r="I169" i="9" s="1" a="1"/>
  <c r="I169" i="9" s="1"/>
  <c r="I170" i="9" s="1" a="1"/>
  <c r="I170" i="9" s="1"/>
  <c r="I171" i="9" s="1" a="1"/>
  <c r="I171" i="9" s="1"/>
  <c r="I172" i="9" s="1" a="1"/>
  <c r="I172" i="9" s="1"/>
  <c r="I173" i="9" s="1" a="1"/>
  <c r="I173" i="9" s="1"/>
  <c r="I174" i="9" s="1" a="1"/>
  <c r="I174" i="9" s="1"/>
  <c r="I175" i="9" s="1" a="1"/>
  <c r="I175" i="9" s="1"/>
  <c r="I176" i="9" s="1" a="1"/>
  <c r="I176" i="9" s="1"/>
  <c r="I177" i="9" s="1" a="1"/>
  <c r="I177" i="9" s="1"/>
  <c r="I178" i="9" s="1" a="1"/>
  <c r="I178" i="9" s="1"/>
  <c r="I179" i="9" s="1" a="1"/>
  <c r="I179" i="9" s="1"/>
  <c r="I180" i="9" s="1" a="1"/>
  <c r="I180" i="9" s="1"/>
  <c r="I181" i="9" s="1" a="1"/>
  <c r="I181" i="9" s="1"/>
  <c r="I182" i="9" s="1" a="1"/>
  <c r="I182" i="9" s="1"/>
  <c r="I183" i="9" s="1" a="1"/>
  <c r="I183" i="9" s="1"/>
  <c r="I184" i="9" s="1" a="1"/>
  <c r="I184" i="9" s="1"/>
  <c r="I185" i="9" s="1" a="1"/>
  <c r="I185" i="9" s="1"/>
  <c r="I186" i="9" s="1" a="1"/>
  <c r="I186" i="9" s="1"/>
  <c r="I187" i="9" s="1" a="1"/>
  <c r="I187" i="9" s="1"/>
  <c r="I188" i="9" s="1" a="1"/>
  <c r="I188" i="9" s="1"/>
  <c r="I189" i="9" s="1" a="1"/>
  <c r="I189" i="9" s="1"/>
  <c r="I190" i="9" s="1" a="1"/>
  <c r="I190" i="9" s="1"/>
  <c r="I191" i="9" s="1" a="1"/>
  <c r="I191" i="9" s="1"/>
  <c r="I192" i="9" s="1" a="1"/>
  <c r="I192" i="9" s="1"/>
  <c r="I193" i="9" s="1" a="1"/>
  <c r="I193" i="9" s="1"/>
  <c r="I194" i="9" s="1" a="1"/>
  <c r="I194" i="9" s="1"/>
  <c r="I195" i="9" s="1" a="1"/>
  <c r="I195" i="9" s="1"/>
  <c r="I196" i="9" s="1" a="1"/>
  <c r="I196" i="9" s="1"/>
  <c r="I197" i="9" s="1" a="1"/>
  <c r="I197" i="9" s="1"/>
  <c r="I198" i="9" s="1" a="1"/>
  <c r="I198" i="9" s="1"/>
  <c r="I199" i="9" s="1" a="1"/>
  <c r="I199" i="9" s="1"/>
  <c r="I200" i="9" s="1" a="1"/>
  <c r="I200" i="9" s="1"/>
  <c r="I201" i="9" s="1" a="1"/>
  <c r="I201" i="9" s="1"/>
  <c r="I202" i="9" s="1" a="1"/>
  <c r="I202" i="9" s="1"/>
  <c r="I203" i="9" s="1" a="1"/>
  <c r="I203" i="9" s="1"/>
  <c r="I204" i="9" s="1" a="1"/>
  <c r="I204" i="9" s="1"/>
  <c r="I205" i="9" s="1" a="1"/>
  <c r="I205" i="9" s="1"/>
  <c r="I206" i="9" s="1" a="1"/>
  <c r="I206" i="9" s="1"/>
  <c r="I207" i="9" s="1" a="1"/>
  <c r="I207" i="9" s="1"/>
  <c r="I208" i="9" s="1" a="1"/>
  <c r="I208" i="9" s="1"/>
  <c r="I209" i="9" s="1" a="1"/>
  <c r="I209" i="9" s="1"/>
  <c r="I210" i="9" s="1" a="1"/>
  <c r="I210" i="9" s="1"/>
  <c r="I211" i="9" s="1" a="1"/>
  <c r="I211" i="9" s="1"/>
  <c r="I212" i="9" s="1" a="1"/>
  <c r="I212" i="9" s="1"/>
  <c r="I213" i="9" s="1" a="1"/>
  <c r="I213" i="9" s="1"/>
  <c r="I214" i="9" s="1" a="1"/>
  <c r="I214" i="9" s="1"/>
  <c r="I215" i="9" s="1" a="1"/>
  <c r="I215" i="9" s="1"/>
  <c r="I216" i="9" s="1" a="1"/>
  <c r="I216" i="9" s="1"/>
  <c r="I217" i="9" s="1" a="1"/>
  <c r="I217" i="9" s="1"/>
  <c r="I218" i="9" s="1" a="1"/>
  <c r="I218" i="9" s="1"/>
  <c r="I219" i="9" s="1" a="1"/>
  <c r="I219" i="9" s="1"/>
  <c r="I220" i="9" s="1" a="1"/>
  <c r="I220" i="9" s="1"/>
  <c r="I221" i="9" s="1" a="1"/>
  <c r="I221" i="9" s="1"/>
  <c r="I222" i="9" s="1" a="1"/>
  <c r="I222" i="9" s="1"/>
  <c r="I223" i="9" s="1" a="1"/>
  <c r="I223" i="9" s="1"/>
  <c r="I224" i="9" s="1" a="1"/>
  <c r="I224" i="9" s="1"/>
  <c r="I225" i="9" s="1" a="1"/>
  <c r="I225" i="9" s="1"/>
  <c r="I226" i="9" s="1" a="1"/>
  <c r="I226" i="9" s="1"/>
  <c r="I227" i="9" s="1" a="1"/>
  <c r="I227" i="9" s="1"/>
  <c r="I228" i="9" s="1" a="1"/>
  <c r="I228" i="9" s="1"/>
  <c r="I229" i="9" s="1" a="1"/>
  <c r="I229" i="9" s="1"/>
  <c r="I230" i="9" s="1" a="1"/>
  <c r="I230" i="9" s="1"/>
  <c r="I231" i="9" s="1" a="1"/>
  <c r="I231" i="9" s="1"/>
  <c r="I232" i="9" s="1" a="1"/>
  <c r="I232" i="9" s="1"/>
  <c r="I233" i="9" s="1" a="1"/>
  <c r="I233" i="9" s="1"/>
  <c r="I234" i="9" s="1" a="1"/>
  <c r="I234" i="9" s="1"/>
  <c r="I235" i="9" s="1" a="1"/>
  <c r="I235" i="9" s="1"/>
  <c r="I236" i="9" s="1" a="1"/>
  <c r="I236" i="9" s="1"/>
  <c r="I237" i="9" s="1" a="1"/>
  <c r="I237" i="9" s="1"/>
  <c r="I238" i="9" s="1" a="1"/>
  <c r="I238" i="9" s="1"/>
  <c r="I239" i="9" s="1" a="1"/>
  <c r="I239" i="9" s="1"/>
  <c r="I240" i="9" s="1" a="1"/>
  <c r="I240" i="9" s="1"/>
  <c r="I241" i="9" s="1" a="1"/>
  <c r="I241" i="9" s="1"/>
  <c r="I242" i="9" s="1" a="1"/>
  <c r="I242" i="9" s="1"/>
  <c r="I243" i="9" s="1" a="1"/>
  <c r="I243" i="9" s="1"/>
  <c r="I244" i="9" s="1" a="1"/>
  <c r="I244" i="9" s="1"/>
  <c r="I245" i="9" s="1" a="1"/>
  <c r="I245" i="9" s="1"/>
  <c r="I246" i="9" s="1" a="1"/>
  <c r="I246" i="9" s="1"/>
  <c r="I247" i="9" s="1" a="1"/>
  <c r="I247" i="9" s="1"/>
  <c r="I248" i="9" s="1" a="1"/>
  <c r="I248" i="9" s="1"/>
  <c r="I249" i="9" s="1" a="1"/>
  <c r="I249" i="9" s="1"/>
  <c r="I250" i="9" s="1" a="1"/>
  <c r="I250" i="9" s="1"/>
  <c r="I251" i="9" s="1" a="1"/>
  <c r="I251" i="9" s="1"/>
  <c r="I252" i="9" s="1" a="1"/>
  <c r="I252" i="9" s="1"/>
  <c r="I253" i="9" s="1" a="1"/>
  <c r="I253" i="9" s="1"/>
  <c r="I254" i="9" s="1" a="1"/>
  <c r="I254" i="9" s="1"/>
  <c r="I255" i="9" s="1" a="1"/>
  <c r="I255" i="9" s="1"/>
  <c r="I256" i="9" s="1" a="1"/>
  <c r="I256" i="9" s="1"/>
  <c r="I257" i="9" s="1" a="1"/>
  <c r="I257" i="9" s="1"/>
  <c r="I258" i="9" s="1" a="1"/>
  <c r="I258" i="9" s="1"/>
  <c r="I259" i="9" s="1" a="1"/>
  <c r="I259" i="9" s="1"/>
  <c r="I260" i="9" s="1" a="1"/>
  <c r="I260" i="9" s="1"/>
  <c r="I261" i="9" s="1" a="1"/>
  <c r="I261" i="9" s="1"/>
  <c r="I262" i="9" s="1" a="1"/>
  <c r="I262" i="9" s="1"/>
  <c r="I263" i="9" s="1" a="1"/>
  <c r="I263" i="9" s="1"/>
  <c r="I264" i="9" s="1" a="1"/>
  <c r="I264" i="9" s="1"/>
  <c r="I265" i="9" s="1" a="1"/>
  <c r="I265" i="9" s="1"/>
  <c r="I266" i="9" s="1" a="1"/>
  <c r="I266" i="9" s="1"/>
  <c r="I267" i="9" s="1" a="1"/>
  <c r="I267" i="9" s="1"/>
  <c r="I268" i="9" s="1" a="1"/>
  <c r="I268" i="9" s="1"/>
  <c r="I269" i="9" s="1" a="1"/>
  <c r="I269" i="9" s="1"/>
  <c r="I270" i="9" s="1" a="1"/>
  <c r="I270" i="9" s="1"/>
  <c r="I271" i="9" s="1" a="1"/>
  <c r="I271" i="9" s="1"/>
  <c r="I272" i="9" s="1" a="1"/>
  <c r="I272" i="9" s="1"/>
  <c r="I273" i="9" s="1" a="1"/>
  <c r="I273" i="9" s="1"/>
  <c r="I274" i="9" s="1" a="1"/>
  <c r="I274" i="9" s="1"/>
  <c r="I275" i="9" s="1" a="1"/>
  <c r="I275" i="9" s="1"/>
  <c r="I276" i="9" s="1" a="1"/>
  <c r="I276" i="9" s="1"/>
  <c r="I277" i="9" s="1" a="1"/>
  <c r="I277" i="9" s="1"/>
  <c r="I278" i="9" s="1" a="1"/>
  <c r="I278" i="9" s="1"/>
  <c r="I279" i="9" s="1" a="1"/>
  <c r="I279" i="9" s="1"/>
  <c r="I280" i="9" s="1" a="1"/>
  <c r="I280" i="9" s="1"/>
  <c r="I281" i="9" s="1" a="1"/>
  <c r="I281" i="9" s="1"/>
  <c r="I282" i="9" s="1" a="1"/>
  <c r="I282" i="9" s="1"/>
  <c r="I283" i="9" s="1" a="1"/>
  <c r="I283" i="9" s="1"/>
  <c r="I284" i="9" s="1" a="1"/>
  <c r="I284" i="9" s="1"/>
  <c r="I285" i="9" s="1" a="1"/>
  <c r="I285" i="9" s="1"/>
  <c r="I286" i="9" s="1" a="1"/>
  <c r="I286" i="9" s="1"/>
  <c r="I287" i="9" s="1" a="1"/>
  <c r="I287" i="9" s="1"/>
  <c r="I288" i="9" s="1" a="1"/>
  <c r="I288" i="9" s="1"/>
  <c r="I289" i="9" s="1" a="1"/>
  <c r="I289" i="9" s="1"/>
  <c r="I290" i="9" s="1" a="1"/>
  <c r="I290" i="9" s="1"/>
  <c r="I291" i="9" s="1" a="1"/>
  <c r="I291" i="9" s="1"/>
  <c r="I292" i="9" s="1" a="1"/>
  <c r="I292" i="9" s="1"/>
  <c r="I293" i="9" s="1" a="1"/>
  <c r="I293" i="9" s="1"/>
  <c r="I294" i="9" s="1" a="1"/>
  <c r="I294" i="9" s="1"/>
  <c r="I295" i="9" s="1" a="1"/>
  <c r="I295" i="9" s="1"/>
  <c r="I296" i="9" s="1" a="1"/>
  <c r="I296" i="9" s="1"/>
  <c r="I297" i="9" s="1" a="1"/>
  <c r="I297" i="9" s="1"/>
  <c r="I298" i="9" s="1" a="1"/>
  <c r="I298" i="9" s="1"/>
  <c r="I299" i="9" s="1" a="1"/>
  <c r="I299" i="9" s="1"/>
  <c r="I300" i="9" s="1" a="1"/>
  <c r="I300" i="9" s="1"/>
  <c r="I301" i="9" s="1" a="1"/>
  <c r="I301" i="9" s="1"/>
  <c r="I302" i="9" s="1" a="1"/>
  <c r="I302" i="9" s="1"/>
  <c r="I303" i="9" s="1" a="1"/>
  <c r="I303" i="9" s="1"/>
  <c r="I304" i="9" s="1" a="1"/>
  <c r="I304" i="9" s="1"/>
  <c r="I305" i="9" s="1" a="1"/>
  <c r="I305" i="9" s="1"/>
  <c r="I306" i="9" s="1" a="1"/>
  <c r="I306" i="9" s="1"/>
  <c r="I307" i="9" s="1" a="1"/>
  <c r="I307" i="9" s="1"/>
  <c r="I308" i="9" s="1" a="1"/>
  <c r="I308" i="9" s="1"/>
  <c r="I309" i="9" s="1" a="1"/>
  <c r="I309" i="9" s="1"/>
  <c r="I310" i="9" s="1" a="1"/>
  <c r="I310" i="9" s="1"/>
  <c r="I311" i="9" s="1" a="1"/>
  <c r="I311" i="9" s="1"/>
  <c r="I312" i="9" s="1" a="1"/>
  <c r="I312" i="9" s="1"/>
  <c r="I313" i="9" s="1" a="1"/>
  <c r="I313" i="9" s="1"/>
  <c r="I314" i="9" s="1" a="1"/>
  <c r="I314" i="9" s="1"/>
  <c r="I315" i="9" s="1" a="1"/>
  <c r="I315" i="9" s="1"/>
  <c r="I316" i="9" s="1" a="1"/>
  <c r="I316" i="9" s="1"/>
  <c r="I317" i="9" s="1" a="1"/>
  <c r="I317" i="9" s="1"/>
  <c r="I318" i="9" s="1" a="1"/>
  <c r="I318" i="9" s="1"/>
  <c r="I319" i="9" s="1" a="1"/>
  <c r="I319" i="9" s="1"/>
  <c r="I320" i="9" s="1" a="1"/>
  <c r="I320" i="9" s="1"/>
  <c r="I321" i="9" s="1" a="1"/>
  <c r="I321" i="9" s="1"/>
  <c r="I322" i="9" s="1" a="1"/>
  <c r="I322" i="9" s="1"/>
  <c r="I323" i="9" s="1" a="1"/>
  <c r="I323" i="9" s="1"/>
  <c r="I324" i="9" s="1" a="1"/>
  <c r="I324" i="9" s="1"/>
  <c r="I325" i="9" s="1" a="1"/>
  <c r="I325" i="9" s="1"/>
  <c r="I326" i="9" s="1" a="1"/>
  <c r="I326" i="9" s="1"/>
  <c r="I327" i="9" s="1" a="1"/>
  <c r="I327" i="9" s="1"/>
  <c r="I328" i="9" s="1" a="1"/>
  <c r="I328" i="9" s="1"/>
  <c r="I329" i="9" s="1" a="1"/>
  <c r="I329" i="9" s="1"/>
  <c r="I330" i="9" s="1" a="1"/>
  <c r="I330" i="9" s="1"/>
  <c r="I331" i="9" s="1" a="1"/>
  <c r="I331" i="9" s="1"/>
  <c r="I332" i="9" s="1" a="1"/>
  <c r="I332" i="9" s="1"/>
  <c r="I333" i="9" s="1" a="1"/>
  <c r="I333" i="9" s="1"/>
  <c r="I334" i="9" s="1" a="1"/>
  <c r="I334" i="9" s="1"/>
  <c r="I335" i="9" s="1" a="1"/>
  <c r="I335" i="9" s="1"/>
  <c r="I336" i="9" s="1" a="1"/>
  <c r="I336" i="9" s="1"/>
  <c r="I337" i="9" s="1" a="1"/>
  <c r="I337" i="9" s="1"/>
  <c r="I338" i="9" s="1" a="1"/>
  <c r="I338" i="9" s="1"/>
  <c r="I339" i="9" s="1" a="1"/>
  <c r="I339" i="9" s="1"/>
  <c r="I340" i="9" s="1" a="1"/>
  <c r="I340" i="9" s="1"/>
  <c r="I341" i="9" s="1" a="1"/>
  <c r="I341" i="9" s="1"/>
  <c r="I342" i="9" s="1" a="1"/>
  <c r="I342" i="9" s="1"/>
  <c r="I343" i="9" s="1" a="1"/>
  <c r="I343" i="9" s="1"/>
  <c r="I344" i="9" s="1" a="1"/>
  <c r="I344" i="9" s="1"/>
  <c r="I345" i="9" s="1" a="1"/>
  <c r="I345" i="9" s="1"/>
  <c r="I346" i="9" s="1" a="1"/>
  <c r="I346" i="9" s="1"/>
  <c r="I347" i="9" s="1" a="1"/>
  <c r="I347" i="9" s="1"/>
  <c r="I348" i="9" s="1" a="1"/>
  <c r="I348" i="9" s="1"/>
  <c r="I349" i="9" s="1" a="1"/>
  <c r="I349" i="9" s="1"/>
  <c r="I350" i="9" s="1" a="1"/>
  <c r="I350" i="9" s="1"/>
  <c r="I351" i="9" s="1" a="1"/>
  <c r="I351" i="9" s="1"/>
  <c r="I352" i="9" s="1" a="1"/>
  <c r="I352" i="9" s="1"/>
  <c r="I353" i="9" s="1" a="1"/>
  <c r="I353" i="9" s="1"/>
  <c r="I354" i="9" s="1" a="1"/>
  <c r="I354" i="9" s="1"/>
  <c r="I355" i="9" s="1" a="1"/>
  <c r="I355" i="9" s="1"/>
  <c r="I356" i="9" s="1" a="1"/>
  <c r="I356" i="9" s="1"/>
  <c r="I357" i="9" s="1" a="1"/>
  <c r="I357" i="9" s="1"/>
  <c r="I358" i="9" s="1" a="1"/>
  <c r="I358" i="9" s="1"/>
  <c r="I359" i="9" s="1" a="1"/>
  <c r="I359" i="9" s="1"/>
  <c r="I360" i="9" s="1" a="1"/>
  <c r="I360" i="9" s="1"/>
  <c r="I361" i="9" s="1" a="1"/>
  <c r="I361" i="9" s="1"/>
  <c r="I362" i="9" s="1" a="1"/>
  <c r="I362" i="9" s="1"/>
  <c r="I363" i="9" s="1" a="1"/>
  <c r="I363" i="9" s="1"/>
  <c r="I364" i="9" s="1" a="1"/>
  <c r="I364" i="9" s="1"/>
  <c r="I365" i="9" s="1" a="1"/>
  <c r="I365" i="9" s="1"/>
  <c r="I366" i="9" s="1" a="1"/>
  <c r="I366" i="9" s="1"/>
  <c r="I367" i="9" s="1" a="1"/>
  <c r="I367" i="9" s="1"/>
  <c r="I368" i="9" s="1" a="1"/>
  <c r="I368" i="9" s="1"/>
  <c r="I369" i="9" s="1" a="1"/>
  <c r="I369" i="9" s="1"/>
  <c r="I370" i="9" s="1" a="1"/>
  <c r="I370" i="9" s="1"/>
  <c r="I371" i="9" s="1" a="1"/>
  <c r="I371" i="9" s="1"/>
  <c r="I372" i="9" s="1" a="1"/>
  <c r="I372" i="9" s="1"/>
  <c r="I373" i="9" s="1" a="1"/>
  <c r="I373" i="9" s="1"/>
  <c r="I374" i="9" s="1" a="1"/>
  <c r="I374" i="9" s="1"/>
  <c r="I375" i="9" s="1" a="1"/>
  <c r="I375" i="9" s="1"/>
  <c r="I376" i="9" s="1" a="1"/>
  <c r="I376" i="9" s="1"/>
  <c r="I377" i="9" s="1" a="1"/>
  <c r="I377" i="9" s="1"/>
  <c r="I378" i="9" s="1" a="1"/>
  <c r="I378" i="9" s="1"/>
  <c r="I379" i="9" s="1" a="1"/>
  <c r="I379" i="9" s="1"/>
  <c r="I380" i="9" s="1" a="1"/>
  <c r="I380" i="9" s="1"/>
  <c r="I381" i="9" s="1" a="1"/>
  <c r="I381" i="9" s="1"/>
  <c r="I382" i="9" s="1" a="1"/>
  <c r="I382" i="9" s="1"/>
  <c r="I383" i="9" s="1" a="1"/>
  <c r="I383" i="9" s="1"/>
  <c r="I384" i="9" s="1" a="1"/>
  <c r="I384" i="9" s="1"/>
  <c r="I385" i="9" s="1" a="1"/>
  <c r="I385" i="9" s="1"/>
  <c r="I386" i="9" s="1" a="1"/>
  <c r="I386" i="9" s="1"/>
  <c r="I387" i="9" s="1" a="1"/>
  <c r="I387" i="9" s="1"/>
  <c r="I388" i="9" s="1" a="1"/>
  <c r="I388" i="9" s="1"/>
  <c r="I389" i="9" s="1" a="1"/>
  <c r="I389" i="9" s="1"/>
  <c r="I390" i="9" s="1" a="1"/>
  <c r="I390" i="9" s="1"/>
  <c r="I391" i="9" s="1" a="1"/>
  <c r="I391" i="9" s="1"/>
  <c r="I392" i="9" s="1" a="1"/>
  <c r="I392" i="9" s="1"/>
  <c r="I393" i="9" s="1" a="1"/>
  <c r="I393" i="9" s="1"/>
  <c r="I394" i="9" s="1" a="1"/>
  <c r="I394" i="9" s="1"/>
  <c r="I395" i="9" s="1" a="1"/>
  <c r="I395" i="9" s="1"/>
  <c r="I396" i="9" s="1" a="1"/>
  <c r="I396" i="9" s="1"/>
  <c r="I397" i="9" s="1" a="1"/>
  <c r="I397" i="9" s="1"/>
  <c r="I398" i="9" s="1" a="1"/>
  <c r="I398" i="9" s="1"/>
  <c r="I399" i="9" s="1" a="1"/>
  <c r="I399" i="9" s="1"/>
  <c r="I400" i="9" s="1" a="1"/>
  <c r="I400" i="9" s="1"/>
  <c r="I401" i="9" s="1" a="1"/>
  <c r="I401" i="9" s="1"/>
  <c r="I402" i="9" s="1" a="1"/>
  <c r="I402" i="9" s="1"/>
  <c r="I403" i="9" s="1" a="1"/>
  <c r="I403" i="9" s="1"/>
  <c r="I404" i="9" s="1" a="1"/>
  <c r="I404" i="9" s="1"/>
  <c r="I405" i="9" s="1" a="1"/>
  <c r="I405" i="9" s="1"/>
  <c r="I406" i="9" s="1" a="1"/>
  <c r="I406" i="9" s="1"/>
  <c r="I407" i="9" s="1" a="1"/>
  <c r="I407" i="9" s="1"/>
  <c r="I408" i="9" s="1" a="1"/>
  <c r="I408" i="9" s="1"/>
  <c r="I409" i="9" s="1" a="1"/>
  <c r="I409" i="9" s="1"/>
  <c r="I410" i="9" s="1" a="1"/>
  <c r="I410" i="9" s="1"/>
  <c r="I411" i="9" s="1" a="1"/>
  <c r="I411" i="9" s="1"/>
  <c r="I412" i="9" s="1" a="1"/>
  <c r="I412" i="9" s="1"/>
  <c r="I413" i="9" s="1" a="1"/>
  <c r="I413" i="9" s="1"/>
  <c r="I414" i="9" s="1" a="1"/>
  <c r="I414" i="9" s="1"/>
  <c r="I415" i="9" s="1" a="1"/>
  <c r="I415" i="9" s="1"/>
  <c r="I416" i="9" s="1" a="1"/>
  <c r="I416" i="9" s="1"/>
  <c r="I417" i="9" s="1" a="1"/>
  <c r="I417" i="9" s="1"/>
  <c r="I418" i="9" s="1" a="1"/>
  <c r="I418" i="9" s="1"/>
  <c r="I419" i="9" s="1" a="1"/>
  <c r="I419" i="9" s="1"/>
  <c r="I420" i="9" s="1" a="1"/>
  <c r="I420" i="9" s="1"/>
  <c r="I421" i="9" s="1" a="1"/>
  <c r="I421" i="9" s="1"/>
  <c r="I422" i="9" s="1" a="1"/>
  <c r="I422" i="9" s="1"/>
  <c r="I423" i="9" s="1" a="1"/>
  <c r="I423" i="9" s="1"/>
  <c r="I424" i="9" s="1" a="1"/>
  <c r="I424" i="9" s="1"/>
  <c r="I425" i="9" s="1" a="1"/>
  <c r="I425" i="9" s="1"/>
  <c r="I426" i="9" s="1" a="1"/>
  <c r="I426" i="9" s="1"/>
  <c r="I427" i="9" s="1" a="1"/>
  <c r="I427" i="9" s="1"/>
  <c r="I428" i="9" s="1" a="1"/>
  <c r="I428" i="9" s="1"/>
  <c r="I429" i="9" s="1" a="1"/>
  <c r="I429" i="9" s="1"/>
  <c r="I430" i="9" s="1" a="1"/>
  <c r="I430" i="9" s="1"/>
  <c r="I431" i="9" s="1" a="1"/>
  <c r="I431" i="9" s="1"/>
  <c r="I432" i="9" s="1" a="1"/>
  <c r="I432" i="9" s="1"/>
  <c r="I433" i="9" s="1" a="1"/>
  <c r="I433" i="9" s="1"/>
  <c r="I434" i="9" s="1" a="1"/>
  <c r="I434" i="9" s="1"/>
  <c r="I435" i="9" s="1" a="1"/>
  <c r="I435" i="9" s="1"/>
  <c r="I436" i="9" s="1" a="1"/>
  <c r="I436" i="9" s="1"/>
  <c r="I437" i="9" s="1" a="1"/>
  <c r="I437" i="9" s="1"/>
  <c r="I438" i="9" s="1" a="1"/>
  <c r="I438" i="9" s="1"/>
  <c r="I439" i="9" s="1" a="1"/>
  <c r="I439" i="9" s="1"/>
  <c r="I440" i="9" s="1" a="1"/>
  <c r="I440" i="9" s="1"/>
  <c r="I441" i="9" s="1" a="1"/>
  <c r="I441" i="9" s="1"/>
  <c r="I442" i="9" s="1" a="1"/>
  <c r="I442" i="9" s="1"/>
  <c r="I443" i="9" s="1" a="1"/>
  <c r="I443" i="9" s="1"/>
  <c r="I444" i="9" s="1" a="1"/>
  <c r="I444" i="9" s="1"/>
  <c r="I445" i="9" s="1" a="1"/>
  <c r="I445" i="9" s="1"/>
  <c r="I446" i="9" s="1" a="1"/>
  <c r="I446" i="9" s="1"/>
  <c r="I447" i="9" s="1" a="1"/>
  <c r="I447" i="9" s="1"/>
  <c r="I448" i="9" s="1" a="1"/>
  <c r="I448" i="9" s="1"/>
  <c r="I449" i="9" s="1" a="1"/>
  <c r="I449" i="9" s="1"/>
  <c r="I450" i="9" s="1" a="1"/>
  <c r="I450" i="9" s="1"/>
  <c r="I451" i="9" s="1" a="1"/>
  <c r="I451" i="9" s="1"/>
  <c r="I452" i="9" s="1" a="1"/>
  <c r="I452" i="9" s="1"/>
  <c r="I453" i="9" s="1" a="1"/>
  <c r="I453" i="9" s="1"/>
  <c r="I454" i="9" s="1" a="1"/>
  <c r="I454" i="9" s="1"/>
  <c r="I455" i="9" s="1" a="1"/>
  <c r="I455" i="9" s="1"/>
  <c r="I456" i="9" s="1" a="1"/>
  <c r="I456" i="9" s="1"/>
  <c r="I457" i="9" s="1" a="1"/>
  <c r="I457" i="9" s="1"/>
  <c r="I458" i="9" s="1" a="1"/>
  <c r="I458" i="9" s="1"/>
  <c r="I459" i="9" s="1" a="1"/>
  <c r="I459" i="9" s="1"/>
  <c r="I460" i="9" s="1" a="1"/>
  <c r="I460" i="9" s="1"/>
  <c r="I461" i="9" s="1" a="1"/>
  <c r="I461" i="9" s="1"/>
  <c r="I462" i="9" s="1" a="1"/>
  <c r="I462" i="9" s="1"/>
  <c r="I463" i="9" s="1" a="1"/>
  <c r="I463" i="9" s="1"/>
  <c r="I464" i="9" s="1" a="1"/>
  <c r="I464" i="9" s="1"/>
  <c r="I465" i="9" s="1" a="1"/>
  <c r="I465" i="9" s="1"/>
  <c r="I466" i="9" s="1" a="1"/>
  <c r="I466" i="9" s="1"/>
  <c r="I467" i="9" s="1" a="1"/>
  <c r="I467" i="9" s="1"/>
  <c r="I468" i="9" s="1" a="1"/>
  <c r="I468" i="9" s="1"/>
  <c r="I469" i="9" s="1" a="1"/>
  <c r="I469" i="9" s="1"/>
  <c r="I470" i="9" s="1" a="1"/>
  <c r="I470" i="9" s="1"/>
  <c r="I471" i="9" s="1" a="1"/>
  <c r="I471" i="9" s="1"/>
  <c r="I472" i="9" s="1" a="1"/>
  <c r="I472" i="9" s="1"/>
  <c r="I473" i="9" s="1" a="1"/>
  <c r="I473" i="9" s="1"/>
  <c r="I474" i="9" s="1" a="1"/>
  <c r="I474" i="9" s="1"/>
  <c r="I475" i="9" s="1" a="1"/>
  <c r="I475" i="9" s="1"/>
  <c r="I476" i="9" s="1" a="1"/>
  <c r="I476" i="9" s="1"/>
  <c r="I477" i="9" s="1" a="1"/>
  <c r="I477" i="9" s="1"/>
  <c r="I478" i="9" s="1" a="1"/>
  <c r="I478" i="9" s="1"/>
  <c r="I479" i="9" s="1" a="1"/>
  <c r="I479" i="9" s="1"/>
  <c r="I480" i="9" s="1" a="1"/>
  <c r="I480" i="9" s="1"/>
  <c r="I481" i="9" s="1" a="1"/>
  <c r="I481" i="9" s="1"/>
  <c r="I482" i="9" s="1" a="1"/>
  <c r="I482" i="9" s="1"/>
  <c r="I483" i="9" s="1" a="1"/>
  <c r="I483" i="9" s="1"/>
  <c r="I484" i="9" s="1" a="1"/>
  <c r="I484" i="9" s="1"/>
  <c r="I485" i="9" s="1" a="1"/>
  <c r="I485" i="9" s="1"/>
  <c r="I486" i="9" s="1" a="1"/>
  <c r="I486" i="9" s="1"/>
  <c r="I487" i="9" s="1" a="1"/>
  <c r="I487" i="9" s="1"/>
  <c r="I488" i="9" s="1" a="1"/>
  <c r="I488" i="9" s="1"/>
  <c r="I489" i="9" s="1" a="1"/>
  <c r="I489" i="9" s="1"/>
  <c r="I490" i="9" s="1" a="1"/>
  <c r="I490" i="9" s="1"/>
  <c r="I491" i="9" s="1" a="1"/>
  <c r="I491" i="9" s="1"/>
  <c r="I492" i="9" s="1" a="1"/>
  <c r="I492" i="9" s="1"/>
  <c r="I493" i="9" s="1" a="1"/>
  <c r="I493" i="9" s="1"/>
  <c r="I494" i="9" s="1" a="1"/>
  <c r="I494" i="9" s="1"/>
  <c r="I495" i="9" s="1" a="1"/>
  <c r="I495" i="9" s="1"/>
  <c r="I496" i="9" s="1" a="1"/>
  <c r="I496" i="9" s="1"/>
  <c r="I497" i="9" s="1" a="1"/>
  <c r="I497" i="9" s="1"/>
  <c r="I498" i="9" s="1" a="1"/>
  <c r="I498" i="9" s="1"/>
  <c r="I499" i="9" s="1" a="1"/>
  <c r="I499" i="9" s="1"/>
  <c r="I500" i="9" s="1" a="1"/>
  <c r="I500" i="9" s="1"/>
  <c r="I501" i="9" s="1" a="1"/>
  <c r="I501" i="9" s="1"/>
  <c r="I502" i="9" s="1" a="1"/>
  <c r="I502" i="9" s="1"/>
  <c r="I503" i="9" s="1" a="1"/>
  <c r="I503" i="9" s="1"/>
  <c r="I504" i="9" s="1" a="1"/>
  <c r="I504" i="9" s="1"/>
  <c r="I505" i="9" s="1" a="1"/>
  <c r="I505" i="9" s="1"/>
  <c r="I506" i="9" s="1" a="1"/>
  <c r="I506" i="9" s="1"/>
  <c r="I507" i="9" s="1" a="1"/>
  <c r="I507" i="9" s="1"/>
  <c r="I508" i="9" s="1" a="1"/>
  <c r="I508" i="9" s="1"/>
  <c r="I509" i="9" s="1" a="1"/>
  <c r="I509" i="9" s="1"/>
  <c r="I510" i="9" s="1" a="1"/>
  <c r="I510" i="9" s="1"/>
  <c r="I511" i="9" s="1" a="1"/>
  <c r="I511" i="9" s="1"/>
  <c r="I512" i="9" s="1" a="1"/>
  <c r="I512" i="9" s="1"/>
  <c r="I513" i="9" s="1" a="1"/>
  <c r="I513" i="9" s="1"/>
  <c r="I514" i="9" s="1" a="1"/>
  <c r="I514" i="9" s="1"/>
  <c r="I515" i="9" s="1" a="1"/>
  <c r="I515" i="9" s="1"/>
  <c r="I516" i="9" s="1" a="1"/>
  <c r="I516" i="9" s="1"/>
  <c r="I517" i="9" s="1" a="1"/>
  <c r="I517" i="9" s="1"/>
  <c r="I518" i="9" s="1" a="1"/>
  <c r="I518" i="9" s="1"/>
  <c r="I519" i="9" s="1" a="1"/>
  <c r="I519" i="9" s="1"/>
  <c r="I520" i="9" s="1" a="1"/>
  <c r="I520" i="9" s="1"/>
  <c r="I521" i="9" s="1" a="1"/>
  <c r="I521" i="9" s="1"/>
  <c r="I522" i="9" s="1" a="1"/>
  <c r="I522" i="9" s="1"/>
  <c r="I523" i="9" s="1" a="1"/>
  <c r="I523" i="9" s="1"/>
  <c r="I524" i="9" s="1" a="1"/>
  <c r="I524" i="9" s="1"/>
  <c r="I525" i="9" s="1" a="1"/>
  <c r="I525" i="9" s="1"/>
  <c r="I526" i="9" s="1" a="1"/>
  <c r="I526" i="9" s="1"/>
  <c r="I527" i="9" s="1" a="1"/>
  <c r="I527" i="9" s="1"/>
  <c r="I528" i="9" s="1" a="1"/>
  <c r="I528" i="9" s="1"/>
  <c r="I529" i="9" s="1" a="1"/>
  <c r="I529" i="9" s="1"/>
  <c r="I530" i="9" s="1" a="1"/>
  <c r="I530" i="9" s="1"/>
  <c r="I531" i="9" s="1" a="1"/>
  <c r="I531" i="9" s="1"/>
  <c r="I532" i="9" s="1" a="1"/>
  <c r="I532" i="9" s="1"/>
  <c r="I533" i="9" s="1" a="1"/>
  <c r="I533" i="9" s="1"/>
  <c r="I534" i="9" s="1" a="1"/>
  <c r="I534" i="9" s="1"/>
  <c r="I535" i="9" s="1" a="1"/>
  <c r="I535" i="9" s="1"/>
  <c r="I536" i="9" s="1" a="1"/>
  <c r="I536" i="9" s="1"/>
  <c r="I537" i="9" s="1" a="1"/>
  <c r="I537" i="9" s="1"/>
  <c r="I538" i="9" s="1" a="1"/>
  <c r="I538" i="9" s="1"/>
  <c r="H20" i="9" a="1"/>
  <c r="H20" i="9" s="1"/>
  <c r="H21" i="9" s="1" a="1"/>
  <c r="H21" i="9" s="1"/>
  <c r="H22" i="9" s="1" a="1"/>
  <c r="H22" i="9" s="1"/>
  <c r="H23" i="9" s="1" a="1"/>
  <c r="H23" i="9" s="1"/>
  <c r="H24" i="9" s="1" a="1"/>
  <c r="H24" i="9" s="1"/>
  <c r="H25" i="9" s="1" a="1"/>
  <c r="H25" i="9" s="1"/>
  <c r="H26" i="9" s="1" a="1"/>
  <c r="H26" i="9" s="1"/>
  <c r="H27" i="9" s="1" a="1"/>
  <c r="H27" i="9" s="1"/>
  <c r="H28" i="9" s="1" a="1"/>
  <c r="H28" i="9" s="1"/>
  <c r="H29" i="9" a="1"/>
  <c r="H29" i="9" s="1"/>
  <c r="H30" i="9" s="1" a="1"/>
  <c r="H30" i="9" s="1"/>
  <c r="H31" i="9" s="1" a="1"/>
  <c r="H31" i="9" s="1"/>
  <c r="H32" i="9" s="1" a="1"/>
  <c r="H32" i="9" s="1"/>
  <c r="H33" i="9" s="1" a="1"/>
  <c r="H33" i="9" s="1"/>
  <c r="H34" i="9" s="1" a="1"/>
  <c r="H34" i="9" s="1"/>
  <c r="H35" i="9" s="1" a="1"/>
  <c r="H35" i="9" s="1"/>
  <c r="H36" i="9" s="1" a="1"/>
  <c r="H36" i="9" s="1"/>
  <c r="H37" i="9" s="1" a="1"/>
  <c r="H37" i="9" s="1"/>
  <c r="H38" i="9" s="1" a="1"/>
  <c r="H38" i="9" s="1"/>
  <c r="H39" i="9" s="1" a="1"/>
  <c r="H39" i="9" s="1"/>
  <c r="H40" i="9" s="1" a="1"/>
  <c r="H40" i="9" s="1"/>
  <c r="H41" i="9" s="1" a="1"/>
  <c r="H41" i="9" s="1"/>
  <c r="H42" i="9" s="1" a="1"/>
  <c r="H42" i="9" s="1"/>
  <c r="H43" i="9" s="1" a="1"/>
  <c r="H43" i="9" s="1"/>
  <c r="H44" i="9" s="1" a="1"/>
  <c r="H44" i="9" s="1"/>
  <c r="H45" i="9" s="1" a="1"/>
  <c r="H45" i="9" s="1"/>
  <c r="H46" i="9" s="1" a="1"/>
  <c r="H46" i="9" s="1"/>
  <c r="H47" i="9" s="1" a="1"/>
  <c r="H47" i="9" s="1"/>
  <c r="H48" i="9" s="1" a="1"/>
  <c r="H48" i="9" s="1"/>
  <c r="H49" i="9" s="1" a="1"/>
  <c r="H49" i="9" s="1"/>
  <c r="H50" i="9" s="1" a="1"/>
  <c r="H50" i="9" s="1"/>
  <c r="H51" i="9" s="1" a="1"/>
  <c r="H51" i="9" s="1"/>
  <c r="H52" i="9" s="1" a="1"/>
  <c r="H52" i="9" s="1"/>
  <c r="H53" i="9" s="1" a="1"/>
  <c r="H53" i="9" s="1"/>
  <c r="H54" i="9" s="1" a="1"/>
  <c r="H54" i="9" s="1"/>
  <c r="H55" i="9" s="1" a="1"/>
  <c r="H55" i="9" s="1"/>
  <c r="H56" i="9" s="1" a="1"/>
  <c r="H56" i="9" s="1"/>
  <c r="H57" i="9" s="1" a="1"/>
  <c r="H57" i="9" s="1"/>
  <c r="H58" i="9" s="1" a="1"/>
  <c r="H58" i="9" s="1"/>
  <c r="H59" i="9" s="1" a="1"/>
  <c r="H59" i="9" s="1"/>
  <c r="H60" i="9" s="1" a="1"/>
  <c r="H60" i="9" s="1"/>
  <c r="H61" i="9" s="1" a="1"/>
  <c r="H61" i="9" s="1"/>
  <c r="H62" i="9" s="1" a="1"/>
  <c r="H62" i="9" s="1"/>
  <c r="H63" i="9" s="1" a="1"/>
  <c r="H63" i="9" s="1"/>
  <c r="H64" i="9" s="1" a="1"/>
  <c r="H64" i="9" s="1"/>
  <c r="H65" i="9" s="1" a="1"/>
  <c r="H65" i="9" s="1"/>
  <c r="H66" i="9" s="1" a="1"/>
  <c r="H66" i="9" s="1"/>
  <c r="H67" i="9" s="1" a="1"/>
  <c r="H67" i="9" s="1"/>
  <c r="H68" i="9" s="1" a="1"/>
  <c r="H68" i="9" s="1"/>
  <c r="H69" i="9" s="1" a="1"/>
  <c r="H69" i="9" s="1"/>
  <c r="H70" i="9" s="1" a="1"/>
  <c r="H70" i="9" s="1"/>
  <c r="H71" i="9" s="1" a="1"/>
  <c r="H71" i="9" s="1"/>
  <c r="H72" i="9" s="1" a="1"/>
  <c r="H72" i="9" s="1"/>
  <c r="H73" i="9" s="1" a="1"/>
  <c r="H73" i="9" s="1"/>
  <c r="H74" i="9" s="1" a="1"/>
  <c r="H74" i="9" s="1"/>
  <c r="H75" i="9" s="1" a="1"/>
  <c r="H75" i="9" s="1"/>
  <c r="H76" i="9" s="1" a="1"/>
  <c r="H76" i="9" s="1"/>
  <c r="H77" i="9" s="1" a="1"/>
  <c r="H77" i="9" s="1"/>
  <c r="H78" i="9" s="1" a="1"/>
  <c r="H78" i="9" s="1"/>
  <c r="H79" i="9" s="1" a="1"/>
  <c r="H79" i="9" s="1"/>
  <c r="H80" i="9" s="1" a="1"/>
  <c r="H80" i="9" s="1"/>
  <c r="H81" i="9" s="1" a="1"/>
  <c r="H81" i="9" s="1"/>
  <c r="H82" i="9" s="1" a="1"/>
  <c r="H82" i="9" s="1"/>
  <c r="H83" i="9" s="1" a="1"/>
  <c r="H83" i="9" s="1"/>
  <c r="H84" i="9" s="1" a="1"/>
  <c r="H84" i="9" s="1"/>
  <c r="H85" i="9" s="1" a="1"/>
  <c r="H85" i="9" s="1"/>
  <c r="H86" i="9" s="1" a="1"/>
  <c r="H86" i="9" s="1"/>
  <c r="H87" i="9" s="1" a="1"/>
  <c r="H87" i="9" s="1"/>
  <c r="H88" i="9" s="1" a="1"/>
  <c r="H88" i="9" s="1"/>
  <c r="H89" i="9" s="1" a="1"/>
  <c r="H89" i="9" s="1"/>
  <c r="H90" i="9" s="1" a="1"/>
  <c r="H90" i="9" s="1"/>
  <c r="H91" i="9" s="1" a="1"/>
  <c r="H91" i="9" s="1"/>
  <c r="H92" i="9" s="1" a="1"/>
  <c r="H92" i="9" s="1"/>
  <c r="H93" i="9" s="1" a="1"/>
  <c r="H93" i="9" s="1"/>
  <c r="H94" i="9" s="1" a="1"/>
  <c r="H94" i="9" s="1"/>
  <c r="H95" i="9" s="1" a="1"/>
  <c r="H95" i="9" s="1"/>
  <c r="H96" i="9" s="1" a="1"/>
  <c r="H96" i="9" s="1"/>
  <c r="H97" i="9" s="1" a="1"/>
  <c r="H97" i="9" s="1"/>
  <c r="H98" i="9" s="1" a="1"/>
  <c r="H98" i="9" s="1"/>
  <c r="H99" i="9" s="1" a="1"/>
  <c r="H99" i="9" s="1"/>
  <c r="H100" i="9" s="1" a="1"/>
  <c r="H100" i="9" s="1"/>
  <c r="H101" i="9" s="1" a="1"/>
  <c r="H101" i="9" s="1"/>
  <c r="H102" i="9" s="1" a="1"/>
  <c r="H102" i="9" s="1"/>
  <c r="H103" i="9" s="1" a="1"/>
  <c r="H103" i="9" s="1"/>
  <c r="H104" i="9" s="1" a="1"/>
  <c r="H104" i="9" s="1"/>
  <c r="H105" i="9" s="1" a="1"/>
  <c r="H105" i="9" s="1"/>
  <c r="H106" i="9" s="1" a="1"/>
  <c r="H106" i="9" s="1"/>
  <c r="H107" i="9" s="1" a="1"/>
  <c r="H107" i="9" s="1"/>
  <c r="H108" i="9" s="1" a="1"/>
  <c r="H108" i="9" s="1"/>
  <c r="H109" i="9" s="1" a="1"/>
  <c r="H109" i="9" s="1"/>
  <c r="H110" i="9" s="1" a="1"/>
  <c r="H110" i="9" s="1"/>
  <c r="H111" i="9" s="1" a="1"/>
  <c r="H111" i="9" s="1"/>
  <c r="H112" i="9" s="1" a="1"/>
  <c r="H112" i="9" s="1"/>
  <c r="H113" i="9" s="1" a="1"/>
  <c r="H113" i="9" s="1"/>
  <c r="H114" i="9" s="1" a="1"/>
  <c r="H114" i="9" s="1"/>
  <c r="H115" i="9" s="1" a="1"/>
  <c r="H115" i="9" s="1"/>
  <c r="H116" i="9" s="1" a="1"/>
  <c r="H116" i="9" s="1"/>
  <c r="H117" i="9" s="1" a="1"/>
  <c r="H117" i="9" s="1"/>
  <c r="H118" i="9" s="1" a="1"/>
  <c r="H118" i="9" s="1"/>
  <c r="H119" i="9" s="1" a="1"/>
  <c r="H119" i="9" s="1"/>
  <c r="H120" i="9" s="1" a="1"/>
  <c r="H120" i="9" s="1"/>
  <c r="H121" i="9" s="1" a="1"/>
  <c r="H121" i="9" s="1"/>
  <c r="H122" i="9" s="1" a="1"/>
  <c r="H122" i="9" s="1"/>
  <c r="H123" i="9" s="1" a="1"/>
  <c r="H123" i="9" s="1"/>
  <c r="H124" i="9" s="1" a="1"/>
  <c r="H124" i="9" s="1"/>
  <c r="H125" i="9" s="1" a="1"/>
  <c r="H125" i="9" s="1"/>
  <c r="H126" i="9" s="1" a="1"/>
  <c r="H126" i="9" s="1"/>
  <c r="H127" i="9" s="1" a="1"/>
  <c r="H127" i="9" s="1"/>
  <c r="H128" i="9" s="1" a="1"/>
  <c r="H128" i="9" s="1"/>
  <c r="H129" i="9" s="1" a="1"/>
  <c r="H129" i="9" s="1"/>
  <c r="H130" i="9" s="1" a="1"/>
  <c r="H130" i="9" s="1"/>
  <c r="H131" i="9" s="1" a="1"/>
  <c r="H131" i="9" s="1"/>
  <c r="H132" i="9" s="1" a="1"/>
  <c r="H132" i="9" s="1"/>
  <c r="H133" i="9" s="1" a="1"/>
  <c r="H133" i="9" s="1"/>
  <c r="H134" i="9" s="1" a="1"/>
  <c r="H134" i="9" s="1"/>
  <c r="H135" i="9" s="1" a="1"/>
  <c r="H135" i="9" s="1"/>
  <c r="H136" i="9" s="1" a="1"/>
  <c r="H136" i="9" s="1"/>
  <c r="H137" i="9" s="1" a="1"/>
  <c r="H137" i="9" s="1"/>
  <c r="H138" i="9" s="1" a="1"/>
  <c r="H138" i="9" s="1"/>
  <c r="H139" i="9" s="1" a="1"/>
  <c r="H139" i="9" s="1"/>
  <c r="H140" i="9" s="1" a="1"/>
  <c r="H140" i="9" s="1"/>
  <c r="H141" i="9" s="1" a="1"/>
  <c r="H141" i="9" s="1"/>
  <c r="H142" i="9" s="1" a="1"/>
  <c r="H142" i="9" s="1"/>
  <c r="H143" i="9" s="1" a="1"/>
  <c r="H143" i="9" s="1"/>
  <c r="H144" i="9" s="1" a="1"/>
  <c r="H144" i="9" s="1"/>
  <c r="H145" i="9" s="1" a="1"/>
  <c r="H145" i="9" s="1"/>
  <c r="H146" i="9" s="1" a="1"/>
  <c r="H146" i="9" s="1"/>
  <c r="H147" i="9" s="1" a="1"/>
  <c r="H147" i="9" s="1"/>
  <c r="H148" i="9" s="1" a="1"/>
  <c r="H148" i="9" s="1"/>
  <c r="H149" i="9" s="1" a="1"/>
  <c r="H149" i="9" s="1"/>
  <c r="H150" i="9" s="1" a="1"/>
  <c r="H150" i="9" s="1"/>
  <c r="H151" i="9" s="1" a="1"/>
  <c r="H151" i="9" s="1"/>
  <c r="H152" i="9" s="1" a="1"/>
  <c r="H152" i="9" s="1"/>
  <c r="H153" i="9" s="1" a="1"/>
  <c r="H153" i="9" s="1"/>
  <c r="H154" i="9" s="1" a="1"/>
  <c r="H154" i="9" s="1"/>
  <c r="H155" i="9" s="1" a="1"/>
  <c r="H155" i="9" s="1"/>
  <c r="H156" i="9" s="1" a="1"/>
  <c r="H156" i="9" s="1"/>
  <c r="H157" i="9" s="1" a="1"/>
  <c r="H157" i="9" s="1"/>
  <c r="H158" i="9" s="1" a="1"/>
  <c r="H158" i="9" s="1"/>
  <c r="H159" i="9" s="1" a="1"/>
  <c r="H159" i="9" s="1"/>
  <c r="H160" i="9" s="1" a="1"/>
  <c r="H160" i="9" s="1"/>
  <c r="H161" i="9" s="1" a="1"/>
  <c r="H161" i="9" s="1"/>
  <c r="H162" i="9" s="1" a="1"/>
  <c r="H162" i="9" s="1"/>
  <c r="H163" i="9" s="1" a="1"/>
  <c r="H163" i="9" s="1"/>
  <c r="H164" i="9" s="1" a="1"/>
  <c r="H164" i="9" s="1"/>
  <c r="H165" i="9" s="1" a="1"/>
  <c r="H165" i="9" s="1"/>
  <c r="H166" i="9" s="1" a="1"/>
  <c r="H166" i="9" s="1"/>
  <c r="H167" i="9" s="1" a="1"/>
  <c r="H167" i="9" s="1"/>
  <c r="H168" i="9" s="1" a="1"/>
  <c r="H168" i="9" s="1"/>
  <c r="H169" i="9" s="1" a="1"/>
  <c r="H169" i="9" s="1"/>
  <c r="H170" i="9" s="1" a="1"/>
  <c r="H170" i="9" s="1"/>
  <c r="H171" i="9" s="1" a="1"/>
  <c r="H171" i="9" s="1"/>
  <c r="H172" i="9" s="1" a="1"/>
  <c r="H172" i="9" s="1"/>
  <c r="H173" i="9" s="1" a="1"/>
  <c r="H173" i="9" s="1"/>
  <c r="H174" i="9" s="1" a="1"/>
  <c r="H174" i="9" s="1"/>
  <c r="H175" i="9" s="1" a="1"/>
  <c r="H175" i="9" s="1"/>
  <c r="H176" i="9" s="1" a="1"/>
  <c r="H176" i="9" s="1"/>
  <c r="H177" i="9" s="1" a="1"/>
  <c r="H177" i="9" s="1"/>
  <c r="H178" i="9" s="1" a="1"/>
  <c r="H178" i="9" s="1"/>
  <c r="H179" i="9" s="1" a="1"/>
  <c r="H179" i="9" s="1"/>
  <c r="H180" i="9" s="1" a="1"/>
  <c r="H180" i="9" s="1"/>
  <c r="H181" i="9" s="1" a="1"/>
  <c r="H181" i="9" s="1"/>
  <c r="H182" i="9" s="1" a="1"/>
  <c r="H182" i="9" s="1"/>
  <c r="H183" i="9" s="1" a="1"/>
  <c r="H183" i="9" s="1"/>
  <c r="H184" i="9" s="1" a="1"/>
  <c r="H184" i="9" s="1"/>
  <c r="H185" i="9" s="1" a="1"/>
  <c r="H185" i="9" s="1"/>
  <c r="H186" i="9" s="1" a="1"/>
  <c r="H186" i="9" s="1"/>
  <c r="H187" i="9" s="1" a="1"/>
  <c r="H187" i="9" s="1"/>
  <c r="H188" i="9" s="1" a="1"/>
  <c r="H188" i="9" s="1"/>
  <c r="H189" i="9" s="1" a="1"/>
  <c r="H189" i="9" s="1"/>
  <c r="H190" i="9" s="1" a="1"/>
  <c r="H190" i="9" s="1"/>
  <c r="H191" i="9" s="1" a="1"/>
  <c r="H191" i="9" s="1"/>
  <c r="H192" i="9" s="1" a="1"/>
  <c r="H192" i="9" s="1"/>
  <c r="H193" i="9" s="1" a="1"/>
  <c r="H193" i="9" s="1"/>
  <c r="H194" i="9" s="1" a="1"/>
  <c r="H194" i="9" s="1"/>
  <c r="H195" i="9" s="1" a="1"/>
  <c r="H195" i="9" s="1"/>
  <c r="H196" i="9" s="1" a="1"/>
  <c r="H196" i="9" s="1"/>
  <c r="H197" i="9" s="1" a="1"/>
  <c r="H197" i="9" s="1"/>
  <c r="H198" i="9" s="1" a="1"/>
  <c r="H198" i="9" s="1"/>
  <c r="H199" i="9" s="1" a="1"/>
  <c r="H199" i="9" s="1"/>
  <c r="H200" i="9" s="1" a="1"/>
  <c r="H200" i="9" s="1"/>
  <c r="H201" i="9" s="1" a="1"/>
  <c r="H201" i="9" s="1"/>
  <c r="H202" i="9" s="1" a="1"/>
  <c r="H202" i="9" s="1"/>
  <c r="H203" i="9" s="1" a="1"/>
  <c r="H203" i="9" s="1"/>
  <c r="H204" i="9" s="1" a="1"/>
  <c r="H204" i="9" s="1"/>
  <c r="H205" i="9" s="1" a="1"/>
  <c r="H205" i="9" s="1"/>
  <c r="H206" i="9" s="1" a="1"/>
  <c r="H206" i="9" s="1"/>
  <c r="H207" i="9" s="1" a="1"/>
  <c r="H207" i="9" s="1"/>
  <c r="H208" i="9" s="1" a="1"/>
  <c r="H208" i="9" s="1"/>
  <c r="H209" i="9" s="1" a="1"/>
  <c r="H209" i="9" s="1"/>
  <c r="H210" i="9" s="1" a="1"/>
  <c r="H210" i="9" s="1"/>
  <c r="H211" i="9" s="1" a="1"/>
  <c r="H211" i="9" s="1"/>
  <c r="H212" i="9" s="1" a="1"/>
  <c r="H212" i="9" s="1"/>
  <c r="H213" i="9" s="1" a="1"/>
  <c r="H213" i="9" s="1"/>
  <c r="H214" i="9" s="1" a="1"/>
  <c r="H214" i="9" s="1"/>
  <c r="H215" i="9" s="1" a="1"/>
  <c r="H215" i="9" s="1"/>
  <c r="H216" i="9" s="1" a="1"/>
  <c r="H216" i="9" s="1"/>
  <c r="H217" i="9" s="1" a="1"/>
  <c r="H217" i="9" s="1"/>
  <c r="H218" i="9" s="1" a="1"/>
  <c r="H218" i="9" s="1"/>
  <c r="H219" i="9" s="1" a="1"/>
  <c r="H219" i="9" s="1"/>
  <c r="H220" i="9" s="1" a="1"/>
  <c r="H220" i="9" s="1"/>
  <c r="H221" i="9" s="1" a="1"/>
  <c r="H221" i="9" s="1"/>
  <c r="H222" i="9" s="1" a="1"/>
  <c r="H222" i="9" s="1"/>
  <c r="H223" i="9" s="1" a="1"/>
  <c r="H223" i="9" s="1"/>
  <c r="H224" i="9" s="1" a="1"/>
  <c r="H224" i="9" s="1"/>
  <c r="H225" i="9" s="1" a="1"/>
  <c r="H225" i="9" s="1"/>
  <c r="H226" i="9" s="1" a="1"/>
  <c r="H226" i="9" s="1"/>
  <c r="H227" i="9" s="1" a="1"/>
  <c r="H227" i="9" s="1"/>
  <c r="H228" i="9" s="1" a="1"/>
  <c r="H228" i="9" s="1"/>
  <c r="H229" i="9" s="1" a="1"/>
  <c r="H229" i="9" s="1"/>
  <c r="H230" i="9" s="1" a="1"/>
  <c r="H230" i="9" s="1"/>
  <c r="H231" i="9" s="1" a="1"/>
  <c r="H231" i="9" s="1"/>
  <c r="H232" i="9" s="1" a="1"/>
  <c r="H232" i="9" s="1"/>
  <c r="H233" i="9" s="1" a="1"/>
  <c r="H233" i="9" s="1"/>
  <c r="H234" i="9" s="1" a="1"/>
  <c r="H234" i="9" s="1"/>
  <c r="H235" i="9" s="1" a="1"/>
  <c r="H235" i="9" s="1"/>
  <c r="H236" i="9" s="1" a="1"/>
  <c r="H236" i="9" s="1"/>
  <c r="H237" i="9" s="1" a="1"/>
  <c r="H237" i="9" s="1"/>
  <c r="H238" i="9" s="1" a="1"/>
  <c r="H238" i="9" s="1"/>
  <c r="H239" i="9" s="1" a="1"/>
  <c r="H239" i="9" s="1"/>
  <c r="H240" i="9" s="1" a="1"/>
  <c r="H240" i="9" s="1"/>
  <c r="H241" i="9" s="1" a="1"/>
  <c r="H241" i="9" s="1"/>
  <c r="H242" i="9" s="1" a="1"/>
  <c r="H242" i="9" s="1"/>
  <c r="H243" i="9" s="1" a="1"/>
  <c r="H243" i="9" s="1"/>
  <c r="H244" i="9" s="1" a="1"/>
  <c r="H244" i="9" s="1"/>
  <c r="H245" i="9" s="1" a="1"/>
  <c r="H245" i="9" s="1"/>
  <c r="H246" i="9" s="1" a="1"/>
  <c r="H246" i="9" s="1"/>
  <c r="H247" i="9" s="1" a="1"/>
  <c r="H247" i="9" s="1"/>
  <c r="H248" i="9" s="1" a="1"/>
  <c r="H248" i="9" s="1"/>
  <c r="H249" i="9" s="1" a="1"/>
  <c r="H249" i="9" s="1"/>
  <c r="H250" i="9" s="1" a="1"/>
  <c r="H250" i="9" s="1"/>
  <c r="H251" i="9" s="1" a="1"/>
  <c r="H251" i="9" s="1"/>
  <c r="H252" i="9" s="1" a="1"/>
  <c r="H252" i="9" s="1"/>
  <c r="H253" i="9" s="1" a="1"/>
  <c r="H253" i="9" s="1"/>
  <c r="H254" i="9" s="1" a="1"/>
  <c r="H254" i="9" s="1"/>
  <c r="H255" i="9" s="1" a="1"/>
  <c r="H255" i="9" s="1"/>
  <c r="H256" i="9" s="1" a="1"/>
  <c r="H256" i="9" s="1"/>
  <c r="H257" i="9" s="1" a="1"/>
  <c r="H257" i="9" s="1"/>
  <c r="H258" i="9" s="1" a="1"/>
  <c r="H258" i="9" s="1"/>
  <c r="H259" i="9" s="1" a="1"/>
  <c r="H259" i="9" s="1"/>
  <c r="H260" i="9" s="1" a="1"/>
  <c r="H260" i="9" s="1"/>
  <c r="H261" i="9" s="1" a="1"/>
  <c r="H261" i="9" s="1"/>
  <c r="H262" i="9" s="1" a="1"/>
  <c r="H262" i="9" s="1"/>
  <c r="H263" i="9" s="1" a="1"/>
  <c r="H263" i="9" s="1"/>
  <c r="H264" i="9" s="1" a="1"/>
  <c r="H264" i="9" s="1"/>
  <c r="H265" i="9" s="1" a="1"/>
  <c r="H265" i="9" s="1"/>
  <c r="H266" i="9" s="1" a="1"/>
  <c r="H266" i="9" s="1"/>
  <c r="H267" i="9" s="1" a="1"/>
  <c r="H267" i="9" s="1"/>
  <c r="H268" i="9" s="1" a="1"/>
  <c r="H268" i="9" s="1"/>
  <c r="H269" i="9" s="1" a="1"/>
  <c r="H269" i="9" s="1"/>
  <c r="H270" i="9" s="1" a="1"/>
  <c r="H270" i="9" s="1"/>
  <c r="H271" i="9" s="1" a="1"/>
  <c r="H271" i="9" s="1"/>
  <c r="H272" i="9" s="1" a="1"/>
  <c r="H272" i="9" s="1"/>
  <c r="H273" i="9" s="1" a="1"/>
  <c r="H273" i="9" s="1"/>
  <c r="H274" i="9" s="1" a="1"/>
  <c r="H274" i="9" s="1"/>
  <c r="H275" i="9" s="1" a="1"/>
  <c r="H275" i="9" s="1"/>
  <c r="H276" i="9" s="1" a="1"/>
  <c r="H276" i="9" s="1"/>
  <c r="H277" i="9" s="1" a="1"/>
  <c r="H277" i="9" s="1"/>
  <c r="H278" i="9" s="1" a="1"/>
  <c r="H278" i="9" s="1"/>
  <c r="H279" i="9" s="1" a="1"/>
  <c r="H279" i="9" s="1"/>
  <c r="H280" i="9" s="1" a="1"/>
  <c r="H280" i="9" s="1"/>
  <c r="H281" i="9" s="1" a="1"/>
  <c r="H281" i="9" s="1"/>
  <c r="H282" i="9" s="1" a="1"/>
  <c r="H282" i="9" s="1"/>
  <c r="H283" i="9" s="1" a="1"/>
  <c r="H283" i="9" s="1"/>
  <c r="H284" i="9" s="1" a="1"/>
  <c r="H284" i="9" s="1"/>
  <c r="H285" i="9" s="1" a="1"/>
  <c r="H285" i="9" s="1"/>
  <c r="H286" i="9" s="1" a="1"/>
  <c r="H286" i="9" s="1"/>
  <c r="H287" i="9" s="1" a="1"/>
  <c r="H287" i="9" s="1"/>
  <c r="H288" i="9" s="1" a="1"/>
  <c r="H288" i="9" s="1"/>
  <c r="H289" i="9" s="1" a="1"/>
  <c r="H289" i="9" s="1"/>
  <c r="H290" i="9" s="1" a="1"/>
  <c r="H290" i="9" s="1"/>
  <c r="H291" i="9" s="1" a="1"/>
  <c r="H291" i="9" s="1"/>
  <c r="H292" i="9" s="1" a="1"/>
  <c r="H292" i="9" s="1"/>
  <c r="H293" i="9" s="1" a="1"/>
  <c r="H293" i="9" s="1"/>
  <c r="H294" i="9" s="1" a="1"/>
  <c r="H294" i="9" s="1"/>
  <c r="H295" i="9" s="1" a="1"/>
  <c r="H295" i="9" s="1"/>
  <c r="H296" i="9" s="1" a="1"/>
  <c r="H296" i="9" s="1"/>
  <c r="H297" i="9" s="1" a="1"/>
  <c r="H297" i="9" s="1"/>
  <c r="H298" i="9" s="1" a="1"/>
  <c r="H298" i="9" s="1"/>
  <c r="H299" i="9" s="1" a="1"/>
  <c r="H299" i="9" s="1"/>
  <c r="H300" i="9" s="1" a="1"/>
  <c r="H300" i="9" s="1"/>
  <c r="H301" i="9" s="1" a="1"/>
  <c r="H301" i="9" s="1"/>
  <c r="H302" i="9" s="1" a="1"/>
  <c r="H302" i="9" s="1"/>
  <c r="H303" i="9" s="1" a="1"/>
  <c r="H303" i="9" s="1"/>
  <c r="H304" i="9" s="1" a="1"/>
  <c r="H304" i="9" s="1"/>
  <c r="H305" i="9" s="1" a="1"/>
  <c r="H305" i="9" s="1"/>
  <c r="H306" i="9" s="1" a="1"/>
  <c r="H306" i="9" s="1"/>
  <c r="H307" i="9" s="1" a="1"/>
  <c r="H307" i="9" s="1"/>
  <c r="H308" i="9" s="1" a="1"/>
  <c r="H308" i="9" s="1"/>
  <c r="H309" i="9" s="1" a="1"/>
  <c r="H309" i="9" s="1"/>
  <c r="H310" i="9" s="1" a="1"/>
  <c r="H310" i="9" s="1"/>
  <c r="H311" i="9" s="1" a="1"/>
  <c r="H311" i="9" s="1"/>
  <c r="H312" i="9" s="1" a="1"/>
  <c r="H312" i="9" s="1"/>
  <c r="H313" i="9" s="1" a="1"/>
  <c r="H313" i="9" s="1"/>
  <c r="H314" i="9" s="1" a="1"/>
  <c r="H314" i="9" s="1"/>
  <c r="H315" i="9" s="1" a="1"/>
  <c r="H315" i="9" s="1"/>
  <c r="H316" i="9" s="1" a="1"/>
  <c r="H316" i="9" s="1"/>
  <c r="H317" i="9" s="1" a="1"/>
  <c r="H317" i="9" s="1"/>
  <c r="H318" i="9" s="1" a="1"/>
  <c r="H318" i="9" s="1"/>
  <c r="H319" i="9" s="1" a="1"/>
  <c r="H319" i="9" s="1"/>
  <c r="H320" i="9" s="1" a="1"/>
  <c r="H320" i="9" s="1"/>
  <c r="H321" i="9" s="1" a="1"/>
  <c r="H321" i="9" s="1"/>
  <c r="H322" i="9" s="1" a="1"/>
  <c r="H322" i="9" s="1"/>
  <c r="H323" i="9" s="1" a="1"/>
  <c r="H323" i="9" s="1"/>
  <c r="H324" i="9" s="1" a="1"/>
  <c r="H324" i="9" s="1"/>
  <c r="H325" i="9" s="1" a="1"/>
  <c r="H325" i="9" s="1"/>
  <c r="H326" i="9" s="1" a="1"/>
  <c r="H326" i="9" s="1"/>
  <c r="H327" i="9" s="1" a="1"/>
  <c r="H327" i="9" s="1"/>
  <c r="H328" i="9" s="1" a="1"/>
  <c r="H328" i="9" s="1"/>
  <c r="H329" i="9" s="1" a="1"/>
  <c r="H329" i="9" s="1"/>
  <c r="H330" i="9" s="1" a="1"/>
  <c r="H330" i="9" s="1"/>
  <c r="H331" i="9" s="1" a="1"/>
  <c r="H331" i="9" s="1"/>
  <c r="H332" i="9" s="1" a="1"/>
  <c r="H332" i="9" s="1"/>
  <c r="H333" i="9" s="1" a="1"/>
  <c r="H333" i="9" s="1"/>
  <c r="H334" i="9" s="1" a="1"/>
  <c r="H334" i="9" s="1"/>
  <c r="H335" i="9" s="1" a="1"/>
  <c r="H335" i="9" s="1"/>
  <c r="H336" i="9" s="1" a="1"/>
  <c r="H336" i="9" s="1"/>
  <c r="H337" i="9" s="1" a="1"/>
  <c r="H337" i="9" s="1"/>
  <c r="H338" i="9" s="1" a="1"/>
  <c r="H338" i="9" s="1"/>
  <c r="H339" i="9" s="1" a="1"/>
  <c r="H339" i="9" s="1"/>
  <c r="H340" i="9" s="1" a="1"/>
  <c r="H340" i="9" s="1"/>
  <c r="H341" i="9" s="1" a="1"/>
  <c r="H341" i="9" s="1"/>
  <c r="H342" i="9" s="1" a="1"/>
  <c r="H342" i="9" s="1"/>
  <c r="H343" i="9" s="1" a="1"/>
  <c r="H343" i="9" s="1"/>
  <c r="H344" i="9" s="1" a="1"/>
  <c r="H344" i="9" s="1"/>
  <c r="H345" i="9" s="1" a="1"/>
  <c r="H345" i="9" s="1"/>
  <c r="H346" i="9" s="1" a="1"/>
  <c r="H346" i="9" s="1"/>
  <c r="H347" i="9" s="1" a="1"/>
  <c r="H347" i="9" s="1"/>
  <c r="H348" i="9" s="1" a="1"/>
  <c r="H348" i="9" s="1"/>
  <c r="H349" i="9" s="1" a="1"/>
  <c r="H349" i="9" s="1"/>
  <c r="H350" i="9" s="1" a="1"/>
  <c r="H350" i="9" s="1"/>
  <c r="H351" i="9" s="1" a="1"/>
  <c r="H351" i="9" s="1"/>
  <c r="H352" i="9" s="1" a="1"/>
  <c r="H352" i="9" s="1"/>
  <c r="H353" i="9" s="1" a="1"/>
  <c r="H353" i="9" s="1"/>
  <c r="H354" i="9" s="1" a="1"/>
  <c r="H354" i="9" s="1"/>
  <c r="H355" i="9" s="1" a="1"/>
  <c r="H355" i="9" s="1"/>
  <c r="H356" i="9" s="1" a="1"/>
  <c r="H356" i="9" s="1"/>
  <c r="H357" i="9" s="1" a="1"/>
  <c r="H357" i="9" s="1"/>
  <c r="H358" i="9" s="1" a="1"/>
  <c r="H358" i="9" s="1"/>
  <c r="H359" i="9" s="1" a="1"/>
  <c r="H359" i="9" s="1"/>
  <c r="H360" i="9" s="1" a="1"/>
  <c r="H360" i="9" s="1"/>
  <c r="H361" i="9" s="1" a="1"/>
  <c r="H361" i="9" s="1"/>
  <c r="H362" i="9" s="1" a="1"/>
  <c r="H362" i="9" s="1"/>
  <c r="H363" i="9" s="1" a="1"/>
  <c r="H363" i="9" s="1"/>
  <c r="H364" i="9" s="1" a="1"/>
  <c r="H364" i="9" s="1"/>
  <c r="H365" i="9" s="1" a="1"/>
  <c r="H365" i="9" s="1"/>
  <c r="H366" i="9" s="1" a="1"/>
  <c r="H366" i="9" s="1"/>
  <c r="H367" i="9" s="1" a="1"/>
  <c r="H367" i="9" s="1"/>
  <c r="H368" i="9" s="1" a="1"/>
  <c r="H368" i="9" s="1"/>
  <c r="H369" i="9" s="1" a="1"/>
  <c r="H369" i="9" s="1"/>
  <c r="H370" i="9" s="1" a="1"/>
  <c r="H370" i="9" s="1"/>
  <c r="H371" i="9" s="1" a="1"/>
  <c r="H371" i="9" s="1"/>
  <c r="H372" i="9" s="1" a="1"/>
  <c r="H372" i="9" s="1"/>
  <c r="H373" i="9" s="1" a="1"/>
  <c r="H373" i="9" s="1"/>
  <c r="H374" i="9" s="1" a="1"/>
  <c r="H374" i="9" s="1"/>
  <c r="H375" i="9" s="1" a="1"/>
  <c r="H375" i="9" s="1"/>
  <c r="H376" i="9" s="1" a="1"/>
  <c r="H376" i="9" s="1"/>
  <c r="H377" i="9" s="1" a="1"/>
  <c r="H377" i="9" s="1"/>
  <c r="H378" i="9" s="1" a="1"/>
  <c r="H378" i="9" s="1"/>
  <c r="H379" i="9" s="1" a="1"/>
  <c r="H379" i="9" s="1"/>
  <c r="H380" i="9" s="1" a="1"/>
  <c r="H380" i="9" s="1"/>
  <c r="H381" i="9" s="1" a="1"/>
  <c r="H381" i="9" s="1"/>
  <c r="H382" i="9" s="1" a="1"/>
  <c r="H382" i="9" s="1"/>
  <c r="H383" i="9" s="1" a="1"/>
  <c r="H383" i="9" s="1"/>
  <c r="H384" i="9" s="1" a="1"/>
  <c r="H384" i="9" s="1"/>
  <c r="H385" i="9" s="1" a="1"/>
  <c r="H385" i="9" s="1"/>
  <c r="H386" i="9" s="1" a="1"/>
  <c r="H386" i="9" s="1"/>
  <c r="H387" i="9" s="1" a="1"/>
  <c r="H387" i="9" s="1"/>
  <c r="H388" i="9" s="1" a="1"/>
  <c r="H388" i="9" s="1"/>
  <c r="H389" i="9" s="1" a="1"/>
  <c r="H389" i="9" s="1"/>
  <c r="H390" i="9" s="1" a="1"/>
  <c r="H390" i="9" s="1"/>
  <c r="H391" i="9" s="1" a="1"/>
  <c r="H391" i="9" s="1"/>
  <c r="H392" i="9" s="1" a="1"/>
  <c r="H392" i="9" s="1"/>
  <c r="H393" i="9" s="1" a="1"/>
  <c r="H393" i="9" s="1"/>
  <c r="H394" i="9" s="1" a="1"/>
  <c r="H394" i="9" s="1"/>
  <c r="H395" i="9" s="1" a="1"/>
  <c r="H395" i="9" s="1"/>
  <c r="H396" i="9" s="1" a="1"/>
  <c r="H396" i="9" s="1"/>
  <c r="H397" i="9" s="1" a="1"/>
  <c r="H397" i="9" s="1"/>
  <c r="H398" i="9" s="1" a="1"/>
  <c r="H398" i="9" s="1"/>
  <c r="H399" i="9" s="1" a="1"/>
  <c r="H399" i="9" s="1"/>
  <c r="H400" i="9" s="1" a="1"/>
  <c r="H400" i="9" s="1"/>
  <c r="H401" i="9" s="1" a="1"/>
  <c r="H401" i="9" s="1"/>
  <c r="H402" i="9" s="1" a="1"/>
  <c r="H402" i="9" s="1"/>
  <c r="H403" i="9" s="1" a="1"/>
  <c r="H403" i="9" s="1"/>
  <c r="H404" i="9" s="1" a="1"/>
  <c r="H404" i="9" s="1"/>
  <c r="H405" i="9" s="1" a="1"/>
  <c r="H405" i="9" s="1"/>
  <c r="H406" i="9" s="1" a="1"/>
  <c r="H406" i="9" s="1"/>
  <c r="H407" i="9" s="1" a="1"/>
  <c r="H407" i="9" s="1"/>
  <c r="H408" i="9" s="1" a="1"/>
  <c r="H408" i="9" s="1"/>
  <c r="H409" i="9" s="1" a="1"/>
  <c r="H409" i="9" s="1"/>
  <c r="H410" i="9" s="1" a="1"/>
  <c r="H410" i="9" s="1"/>
  <c r="H411" i="9" s="1" a="1"/>
  <c r="H411" i="9" s="1"/>
  <c r="H412" i="9" s="1" a="1"/>
  <c r="H412" i="9" s="1"/>
  <c r="H413" i="9" s="1" a="1"/>
  <c r="H413" i="9" s="1"/>
  <c r="H414" i="9" s="1" a="1"/>
  <c r="H414" i="9" s="1"/>
  <c r="H415" i="9" s="1" a="1"/>
  <c r="H415" i="9" s="1"/>
  <c r="H416" i="9" s="1" a="1"/>
  <c r="H416" i="9" s="1"/>
  <c r="H417" i="9" s="1" a="1"/>
  <c r="H417" i="9" s="1"/>
  <c r="H418" i="9" s="1" a="1"/>
  <c r="H418" i="9" s="1"/>
  <c r="H419" i="9" s="1" a="1"/>
  <c r="H419" i="9" s="1"/>
  <c r="H420" i="9" s="1" a="1"/>
  <c r="H420" i="9" s="1"/>
  <c r="H421" i="9" s="1" a="1"/>
  <c r="H421" i="9" s="1"/>
  <c r="H422" i="9" s="1" a="1"/>
  <c r="H422" i="9" s="1"/>
  <c r="H423" i="9" s="1" a="1"/>
  <c r="H423" i="9" s="1"/>
  <c r="H424" i="9" s="1" a="1"/>
  <c r="H424" i="9" s="1"/>
  <c r="H425" i="9" s="1" a="1"/>
  <c r="H425" i="9" s="1"/>
  <c r="H426" i="9" s="1" a="1"/>
  <c r="H426" i="9" s="1"/>
  <c r="H427" i="9" s="1" a="1"/>
  <c r="H427" i="9" s="1"/>
  <c r="H428" i="9" s="1" a="1"/>
  <c r="H428" i="9" s="1"/>
  <c r="H429" i="9" s="1" a="1"/>
  <c r="H429" i="9" s="1"/>
  <c r="H430" i="9" s="1" a="1"/>
  <c r="H430" i="9" s="1"/>
  <c r="H431" i="9" s="1" a="1"/>
  <c r="H431" i="9" s="1"/>
  <c r="H432" i="9" s="1" a="1"/>
  <c r="H432" i="9" s="1"/>
  <c r="H433" i="9" s="1" a="1"/>
  <c r="H433" i="9" s="1"/>
  <c r="H434" i="9" s="1" a="1"/>
  <c r="H434" i="9" s="1"/>
  <c r="H435" i="9" s="1" a="1"/>
  <c r="H435" i="9" s="1"/>
  <c r="H436" i="9" s="1" a="1"/>
  <c r="H436" i="9" s="1"/>
  <c r="H437" i="9" s="1" a="1"/>
  <c r="H437" i="9" s="1"/>
  <c r="H438" i="9" s="1" a="1"/>
  <c r="H438" i="9" s="1"/>
  <c r="H439" i="9" s="1" a="1"/>
  <c r="H439" i="9" s="1"/>
  <c r="H440" i="9" s="1" a="1"/>
  <c r="H440" i="9" s="1"/>
  <c r="H441" i="9" s="1" a="1"/>
  <c r="H441" i="9" s="1"/>
  <c r="H442" i="9" s="1" a="1"/>
  <c r="H442" i="9" s="1"/>
  <c r="H443" i="9" s="1" a="1"/>
  <c r="H443" i="9" s="1"/>
  <c r="H444" i="9" s="1" a="1"/>
  <c r="H444" i="9" s="1"/>
  <c r="H445" i="9" s="1" a="1"/>
  <c r="H445" i="9" s="1"/>
  <c r="H446" i="9" s="1" a="1"/>
  <c r="H446" i="9" s="1"/>
  <c r="H447" i="9" s="1" a="1"/>
  <c r="H447" i="9" s="1"/>
  <c r="H448" i="9" s="1" a="1"/>
  <c r="H448" i="9" s="1"/>
  <c r="H449" i="9" s="1" a="1"/>
  <c r="H449" i="9" s="1"/>
  <c r="H450" i="9" s="1" a="1"/>
  <c r="H450" i="9" s="1"/>
  <c r="H451" i="9" s="1" a="1"/>
  <c r="H451" i="9" s="1"/>
  <c r="H452" i="9" s="1" a="1"/>
  <c r="H452" i="9" s="1"/>
  <c r="H453" i="9" s="1" a="1"/>
  <c r="H453" i="9" s="1"/>
  <c r="H454" i="9" s="1" a="1"/>
  <c r="H454" i="9" s="1"/>
  <c r="H455" i="9" s="1" a="1"/>
  <c r="H455" i="9" s="1"/>
  <c r="H456" i="9" s="1" a="1"/>
  <c r="H456" i="9" s="1"/>
  <c r="H457" i="9" s="1" a="1"/>
  <c r="H457" i="9" s="1"/>
  <c r="H458" i="9" s="1" a="1"/>
  <c r="H458" i="9" s="1"/>
  <c r="H459" i="9" s="1" a="1"/>
  <c r="H459" i="9" s="1"/>
  <c r="H460" i="9" s="1" a="1"/>
  <c r="H460" i="9" s="1"/>
  <c r="H461" i="9" s="1" a="1"/>
  <c r="H461" i="9" s="1"/>
  <c r="H462" i="9" s="1" a="1"/>
  <c r="H462" i="9" s="1"/>
  <c r="H463" i="9" s="1" a="1"/>
  <c r="H463" i="9" s="1"/>
  <c r="H464" i="9" s="1" a="1"/>
  <c r="H464" i="9" s="1"/>
  <c r="H465" i="9" s="1" a="1"/>
  <c r="H465" i="9" s="1"/>
  <c r="H466" i="9" s="1" a="1"/>
  <c r="H466" i="9" s="1"/>
  <c r="H467" i="9" s="1" a="1"/>
  <c r="H467" i="9" s="1"/>
  <c r="H468" i="9" s="1" a="1"/>
  <c r="H468" i="9" s="1"/>
  <c r="H469" i="9" s="1" a="1"/>
  <c r="H469" i="9" s="1"/>
  <c r="H470" i="9" s="1" a="1"/>
  <c r="H470" i="9" s="1"/>
  <c r="H471" i="9" s="1" a="1"/>
  <c r="H471" i="9" s="1"/>
  <c r="H472" i="9" s="1" a="1"/>
  <c r="H472" i="9" s="1"/>
  <c r="H473" i="9" s="1" a="1"/>
  <c r="H473" i="9" s="1"/>
  <c r="H474" i="9" s="1" a="1"/>
  <c r="H474" i="9" s="1"/>
  <c r="H475" i="9" s="1" a="1"/>
  <c r="H475" i="9" s="1"/>
  <c r="H476" i="9" s="1" a="1"/>
  <c r="H476" i="9" s="1"/>
  <c r="H477" i="9" s="1" a="1"/>
  <c r="H477" i="9" s="1"/>
  <c r="H478" i="9" s="1" a="1"/>
  <c r="H478" i="9" s="1"/>
  <c r="H479" i="9" s="1" a="1"/>
  <c r="H479" i="9" s="1"/>
  <c r="H480" i="9" s="1" a="1"/>
  <c r="H480" i="9" s="1"/>
  <c r="H481" i="9" s="1" a="1"/>
  <c r="H481" i="9" s="1"/>
  <c r="H482" i="9" s="1" a="1"/>
  <c r="H482" i="9" s="1"/>
  <c r="H483" i="9" s="1" a="1"/>
  <c r="H483" i="9" s="1"/>
  <c r="H484" i="9" s="1" a="1"/>
  <c r="H484" i="9" s="1"/>
  <c r="H485" i="9" s="1" a="1"/>
  <c r="H485" i="9" s="1"/>
  <c r="H486" i="9" s="1" a="1"/>
  <c r="H486" i="9" s="1"/>
  <c r="H487" i="9" s="1" a="1"/>
  <c r="H487" i="9" s="1"/>
  <c r="H488" i="9" s="1" a="1"/>
  <c r="H488" i="9" s="1"/>
  <c r="H489" i="9" s="1" a="1"/>
  <c r="H489" i="9" s="1"/>
  <c r="H490" i="9" s="1" a="1"/>
  <c r="H490" i="9" s="1"/>
  <c r="H491" i="9" s="1" a="1"/>
  <c r="H491" i="9" s="1"/>
  <c r="H492" i="9" s="1" a="1"/>
  <c r="H492" i="9" s="1"/>
  <c r="H493" i="9" s="1" a="1"/>
  <c r="H493" i="9" s="1"/>
  <c r="H494" i="9" s="1" a="1"/>
  <c r="H494" i="9" s="1"/>
  <c r="H495" i="9" s="1" a="1"/>
  <c r="H495" i="9" s="1"/>
  <c r="H496" i="9" s="1" a="1"/>
  <c r="H496" i="9" s="1"/>
  <c r="H497" i="9" s="1" a="1"/>
  <c r="H497" i="9" s="1"/>
  <c r="H498" i="9" s="1" a="1"/>
  <c r="H498" i="9" s="1"/>
  <c r="H499" i="9" s="1" a="1"/>
  <c r="H499" i="9" s="1"/>
  <c r="H500" i="9" s="1" a="1"/>
  <c r="H500" i="9" s="1"/>
  <c r="H501" i="9" s="1" a="1"/>
  <c r="H501" i="9" s="1"/>
  <c r="H502" i="9" s="1" a="1"/>
  <c r="H502" i="9" s="1"/>
  <c r="H503" i="9" s="1" a="1"/>
  <c r="H503" i="9" s="1"/>
  <c r="H504" i="9" s="1" a="1"/>
  <c r="H504" i="9" s="1"/>
  <c r="H505" i="9" s="1" a="1"/>
  <c r="H505" i="9" s="1"/>
  <c r="H506" i="9" s="1" a="1"/>
  <c r="H506" i="9" s="1"/>
  <c r="H507" i="9" s="1" a="1"/>
  <c r="H507" i="9" s="1"/>
  <c r="H508" i="9" s="1" a="1"/>
  <c r="H508" i="9" s="1"/>
  <c r="H509" i="9" s="1" a="1"/>
  <c r="H509" i="9" s="1"/>
  <c r="H510" i="9" s="1" a="1"/>
  <c r="H510" i="9" s="1"/>
  <c r="H511" i="9" s="1" a="1"/>
  <c r="H511" i="9" s="1"/>
  <c r="H512" i="9" s="1" a="1"/>
  <c r="H512" i="9" s="1"/>
  <c r="H513" i="9" s="1" a="1"/>
  <c r="H513" i="9" s="1"/>
  <c r="H514" i="9" s="1" a="1"/>
  <c r="H514" i="9" s="1"/>
  <c r="H515" i="9" s="1" a="1"/>
  <c r="H515" i="9" s="1"/>
  <c r="H516" i="9" s="1" a="1"/>
  <c r="H516" i="9" s="1"/>
  <c r="H517" i="9" s="1" a="1"/>
  <c r="H517" i="9" s="1"/>
  <c r="H518" i="9" s="1" a="1"/>
  <c r="H518" i="9" s="1"/>
  <c r="H519" i="9" s="1" a="1"/>
  <c r="H519" i="9" s="1"/>
  <c r="H520" i="9" s="1" a="1"/>
  <c r="H520" i="9" s="1"/>
  <c r="H521" i="9" s="1" a="1"/>
  <c r="H521" i="9" s="1"/>
  <c r="H522" i="9" s="1" a="1"/>
  <c r="H522" i="9" s="1"/>
  <c r="H523" i="9" s="1" a="1"/>
  <c r="H523" i="9" s="1"/>
  <c r="H524" i="9" s="1" a="1"/>
  <c r="H524" i="9" s="1"/>
  <c r="H525" i="9" s="1" a="1"/>
  <c r="H525" i="9" s="1"/>
  <c r="H526" i="9" s="1" a="1"/>
  <c r="H526" i="9" s="1"/>
  <c r="H527" i="9" s="1" a="1"/>
  <c r="H527" i="9" s="1"/>
  <c r="H528" i="9" s="1" a="1"/>
  <c r="H528" i="9" s="1"/>
  <c r="H529" i="9" s="1" a="1"/>
  <c r="H529" i="9" s="1"/>
  <c r="H530" i="9" s="1" a="1"/>
  <c r="H530" i="9" s="1"/>
  <c r="H531" i="9" s="1" a="1"/>
  <c r="H531" i="9" s="1"/>
  <c r="H532" i="9" s="1" a="1"/>
  <c r="H532" i="9" s="1"/>
  <c r="H533" i="9" s="1" a="1"/>
  <c r="H533" i="9" s="1"/>
  <c r="H534" i="9" s="1" a="1"/>
  <c r="H534" i="9" s="1"/>
  <c r="H535" i="9" s="1" a="1"/>
  <c r="H535" i="9" s="1"/>
  <c r="H536" i="9" s="1" a="1"/>
  <c r="H536" i="9" s="1"/>
  <c r="H537" i="9" s="1" a="1"/>
  <c r="H537" i="9" s="1"/>
  <c r="H538" i="9" s="1" a="1"/>
  <c r="H538" i="9" s="1"/>
  <c r="H539" i="9" s="1" a="1"/>
  <c r="H539" i="9" s="1"/>
  <c r="H540" i="9" s="1" a="1"/>
  <c r="H540" i="9" s="1"/>
  <c r="H541" i="9" s="1" a="1"/>
  <c r="H541" i="9" s="1"/>
  <c r="H542" i="9" s="1" a="1"/>
  <c r="H542" i="9" s="1"/>
  <c r="H543" i="9" s="1" a="1"/>
  <c r="H543" i="9" s="1"/>
  <c r="H544" i="9" s="1" a="1"/>
  <c r="H544" i="9" s="1"/>
  <c r="H545" i="9" s="1" a="1"/>
  <c r="H545" i="9" s="1"/>
  <c r="H546" i="9" s="1" a="1"/>
  <c r="H546" i="9" s="1"/>
  <c r="H547" i="9" s="1" a="1"/>
  <c r="H547" i="9" s="1"/>
  <c r="H548" i="9" s="1" a="1"/>
  <c r="H548" i="9" s="1"/>
  <c r="H549" i="9" s="1" a="1"/>
  <c r="H549" i="9" s="1"/>
  <c r="H550" i="9" s="1" a="1"/>
  <c r="H550" i="9" s="1"/>
  <c r="H551" i="9" s="1" a="1"/>
  <c r="H551" i="9" s="1"/>
  <c r="H552" i="9" s="1" a="1"/>
  <c r="H552" i="9" s="1"/>
  <c r="H553" i="9" s="1" a="1"/>
  <c r="H553" i="9" s="1"/>
  <c r="H554" i="9" s="1" a="1"/>
  <c r="H554" i="9" s="1"/>
  <c r="H555" i="9" s="1" a="1"/>
  <c r="H555" i="9" s="1"/>
  <c r="H556" i="9" s="1" a="1"/>
  <c r="H556" i="9" s="1"/>
  <c r="H557" i="9" s="1" a="1"/>
  <c r="H557" i="9" s="1"/>
  <c r="H558" i="9" s="1" a="1"/>
  <c r="H558" i="9" s="1"/>
  <c r="H559" i="9" s="1" a="1"/>
  <c r="H559" i="9" s="1"/>
  <c r="H560" i="9" s="1" a="1"/>
  <c r="H560" i="9" s="1"/>
  <c r="H561" i="9" s="1" a="1"/>
  <c r="H561" i="9" s="1"/>
  <c r="H562" i="9" s="1" a="1"/>
  <c r="H562" i="9" s="1"/>
  <c r="H563" i="9" s="1" a="1"/>
  <c r="H563" i="9" s="1"/>
  <c r="H564" i="9" s="1" a="1"/>
  <c r="H564" i="9" s="1"/>
  <c r="H565" i="9" s="1" a="1"/>
  <c r="H565" i="9" s="1"/>
  <c r="H566" i="9" s="1" a="1"/>
  <c r="H566" i="9" s="1"/>
  <c r="H567" i="9" s="1" a="1"/>
  <c r="H567" i="9" s="1"/>
  <c r="H568" i="9" s="1" a="1"/>
  <c r="H568" i="9" s="1"/>
  <c r="H569" i="9" s="1" a="1"/>
  <c r="H569" i="9" s="1"/>
  <c r="H570" i="9" s="1" a="1"/>
  <c r="H570" i="9" s="1"/>
  <c r="H571" i="9" s="1" a="1"/>
  <c r="H571" i="9" s="1"/>
  <c r="H572" i="9" s="1" a="1"/>
  <c r="H572" i="9" s="1"/>
  <c r="H573" i="9" s="1" a="1"/>
  <c r="H573" i="9" s="1"/>
  <c r="H574" i="9" s="1" a="1"/>
  <c r="H574" i="9" s="1"/>
  <c r="H575" i="9" s="1" a="1"/>
  <c r="H575" i="9" s="1"/>
  <c r="H576" i="9" s="1" a="1"/>
  <c r="H576" i="9" s="1"/>
  <c r="H577" i="9" s="1" a="1"/>
  <c r="H577" i="9" s="1"/>
  <c r="H578" i="9" s="1" a="1"/>
  <c r="H578" i="9" s="1"/>
  <c r="H579" i="9" s="1" a="1"/>
  <c r="H579" i="9" s="1"/>
  <c r="H580" i="9" s="1" a="1"/>
  <c r="H580" i="9" s="1"/>
  <c r="H581" i="9" s="1" a="1"/>
  <c r="H581" i="9" s="1"/>
  <c r="H582" i="9" s="1" a="1"/>
  <c r="H582" i="9" s="1"/>
  <c r="H583" i="9" s="1" a="1"/>
  <c r="H583" i="9" s="1"/>
  <c r="H584" i="9" s="1" a="1"/>
  <c r="H584" i="9" s="1"/>
  <c r="H585" i="9" s="1" a="1"/>
  <c r="H585" i="9" s="1"/>
  <c r="H586" i="9" s="1" a="1"/>
  <c r="H586" i="9" s="1"/>
  <c r="H587" i="9" s="1" a="1"/>
  <c r="H587" i="9" s="1"/>
  <c r="H588" i="9" s="1" a="1"/>
  <c r="H588" i="9" s="1"/>
  <c r="H589" i="9" s="1" a="1"/>
  <c r="H589" i="9" s="1"/>
  <c r="H590" i="9" s="1" a="1"/>
  <c r="H590" i="9" s="1"/>
  <c r="H591" i="9" s="1" a="1"/>
  <c r="H591" i="9" s="1"/>
  <c r="H592" i="9" s="1" a="1"/>
  <c r="H592" i="9" s="1"/>
  <c r="H593" i="9" s="1" a="1"/>
  <c r="H593" i="9" s="1"/>
  <c r="H594" i="9" s="1" a="1"/>
  <c r="H594" i="9" s="1"/>
  <c r="H595" i="9" s="1" a="1"/>
  <c r="H595" i="9" s="1"/>
  <c r="H596" i="9" s="1" a="1"/>
  <c r="H596" i="9" s="1"/>
  <c r="H597" i="9" s="1" a="1"/>
  <c r="H597" i="9" s="1"/>
  <c r="H598" i="9" s="1" a="1"/>
  <c r="H598" i="9" s="1"/>
  <c r="H599" i="9" s="1" a="1"/>
  <c r="H599" i="9" s="1"/>
  <c r="H600" i="9" s="1" a="1"/>
  <c r="H600" i="9" s="1"/>
  <c r="H601" i="9" s="1" a="1"/>
  <c r="H601" i="9" s="1"/>
  <c r="H602" i="9" s="1" a="1"/>
  <c r="H602" i="9" s="1"/>
  <c r="H603" i="9" s="1" a="1"/>
  <c r="H603" i="9" s="1"/>
  <c r="H604" i="9" s="1" a="1"/>
  <c r="H604" i="9" s="1"/>
  <c r="H605" i="9" s="1" a="1"/>
  <c r="H605" i="9" s="1"/>
  <c r="H606" i="9" s="1" a="1"/>
  <c r="H606" i="9" s="1"/>
  <c r="H607" i="9" s="1" a="1"/>
  <c r="H607" i="9" s="1"/>
  <c r="H608" i="9" s="1" a="1"/>
  <c r="H608" i="9" s="1"/>
  <c r="H609" i="9" s="1" a="1"/>
  <c r="H609" i="9" s="1"/>
  <c r="H610" i="9" s="1" a="1"/>
  <c r="H610" i="9" s="1"/>
  <c r="H611" i="9" s="1" a="1"/>
  <c r="H611" i="9" s="1"/>
  <c r="H612" i="9" s="1" a="1"/>
  <c r="H612" i="9" s="1"/>
  <c r="H613" i="9" s="1" a="1"/>
  <c r="H613" i="9" s="1"/>
  <c r="H614" i="9" s="1" a="1"/>
  <c r="H614" i="9" s="1"/>
  <c r="H615" i="9" s="1" a="1"/>
  <c r="H615" i="9" s="1"/>
  <c r="H616" i="9" s="1" a="1"/>
  <c r="H616" i="9" s="1"/>
  <c r="H617" i="9" s="1" a="1"/>
  <c r="H617" i="9" s="1"/>
  <c r="H618" i="9" s="1" a="1"/>
  <c r="H618" i="9" s="1"/>
  <c r="H619" i="9" s="1" a="1"/>
  <c r="H619" i="9" s="1"/>
  <c r="H620" i="9" s="1" a="1"/>
  <c r="H620" i="9" s="1"/>
  <c r="H621" i="9" s="1" a="1"/>
  <c r="H621" i="9" s="1"/>
  <c r="H622" i="9" s="1" a="1"/>
  <c r="H622" i="9" s="1"/>
  <c r="H623" i="9" s="1" a="1"/>
  <c r="H623" i="9" s="1"/>
  <c r="H624" i="9" s="1" a="1"/>
  <c r="H624" i="9" s="1"/>
  <c r="H625" i="9" s="1" a="1"/>
  <c r="H625" i="9" s="1"/>
  <c r="H626" i="9" s="1" a="1"/>
  <c r="H626" i="9" s="1"/>
  <c r="H627" i="9" s="1" a="1"/>
  <c r="H627" i="9" s="1"/>
  <c r="H628" i="9" s="1" a="1"/>
  <c r="H628" i="9" s="1"/>
  <c r="H629" i="9" s="1" a="1"/>
  <c r="H629" i="9" s="1"/>
  <c r="H630" i="9" s="1" a="1"/>
  <c r="H630" i="9" s="1"/>
  <c r="H631" i="9" s="1" a="1"/>
  <c r="H631" i="9" s="1"/>
  <c r="H632" i="9" s="1" a="1"/>
  <c r="H632" i="9" s="1"/>
  <c r="H633" i="9" s="1" a="1"/>
  <c r="H633" i="9" s="1"/>
  <c r="H634" i="9" s="1" a="1"/>
  <c r="H634" i="9" s="1"/>
  <c r="H635" i="9" s="1" a="1"/>
  <c r="H635" i="9" s="1"/>
  <c r="H636" i="9" s="1" a="1"/>
  <c r="H636" i="9" s="1"/>
  <c r="H637" i="9" s="1" a="1"/>
  <c r="H637" i="9" s="1"/>
  <c r="H638" i="9" s="1" a="1"/>
  <c r="H638" i="9" s="1"/>
  <c r="H639" i="9" s="1" a="1"/>
  <c r="H639" i="9" s="1"/>
  <c r="H640" i="9" s="1" a="1"/>
  <c r="H640" i="9" s="1"/>
  <c r="H641" i="9" s="1" a="1"/>
  <c r="H641" i="9" s="1"/>
  <c r="H642" i="9" s="1" a="1"/>
  <c r="H642" i="9" s="1"/>
  <c r="H643" i="9" s="1" a="1"/>
  <c r="H643" i="9" s="1"/>
  <c r="H644" i="9" s="1" a="1"/>
  <c r="H644" i="9" s="1"/>
  <c r="H645" i="9" s="1" a="1"/>
  <c r="H645" i="9" s="1"/>
  <c r="H646" i="9" s="1" a="1"/>
  <c r="H646" i="9" s="1"/>
  <c r="H647" i="9" s="1" a="1"/>
  <c r="H647" i="9" s="1"/>
  <c r="H648" i="9" s="1" a="1"/>
  <c r="H648" i="9" s="1"/>
  <c r="H649" i="9" s="1" a="1"/>
  <c r="H649" i="9" s="1"/>
  <c r="H650" i="9" s="1" a="1"/>
  <c r="H650" i="9" s="1"/>
  <c r="H651" i="9" s="1" a="1"/>
  <c r="H651" i="9" s="1"/>
  <c r="H652" i="9" s="1" a="1"/>
  <c r="H652" i="9" s="1"/>
  <c r="H653" i="9" s="1" a="1"/>
  <c r="H653" i="9" s="1"/>
  <c r="H654" i="9" s="1" a="1"/>
  <c r="H654" i="9" s="1"/>
  <c r="H655" i="9" s="1" a="1"/>
  <c r="H655" i="9" s="1"/>
  <c r="H656" i="9" s="1" a="1"/>
  <c r="H656" i="9" s="1"/>
  <c r="H657" i="9" s="1" a="1"/>
  <c r="H657" i="9" s="1"/>
  <c r="H658" i="9" s="1" a="1"/>
  <c r="H658" i="9" s="1"/>
  <c r="H659" i="9" s="1" a="1"/>
  <c r="H659" i="9" s="1"/>
  <c r="H660" i="9" s="1" a="1"/>
  <c r="H660" i="9" s="1"/>
  <c r="H661" i="9" s="1" a="1"/>
  <c r="H661" i="9" s="1"/>
  <c r="H662" i="9" s="1" a="1"/>
  <c r="H662" i="9" s="1"/>
  <c r="H663" i="9" s="1" a="1"/>
  <c r="H663" i="9" s="1"/>
  <c r="H664" i="9" s="1" a="1"/>
  <c r="H664" i="9" s="1"/>
  <c r="H665" i="9" s="1" a="1"/>
  <c r="H665" i="9" s="1"/>
  <c r="H666" i="9" s="1" a="1"/>
  <c r="H666" i="9" s="1"/>
  <c r="H667" i="9" s="1" a="1"/>
  <c r="H667" i="9" s="1"/>
  <c r="H668" i="9" s="1" a="1"/>
  <c r="H668" i="9" s="1"/>
  <c r="H669" i="9" s="1" a="1"/>
  <c r="H669" i="9" s="1"/>
  <c r="H670" i="9" s="1" a="1"/>
  <c r="H670" i="9" s="1"/>
  <c r="H671" i="9" s="1" a="1"/>
  <c r="H671" i="9" s="1"/>
  <c r="H672" i="9" s="1" a="1"/>
  <c r="H672" i="9" s="1"/>
  <c r="H673" i="9" s="1" a="1"/>
  <c r="H673" i="9" s="1"/>
  <c r="H674" i="9" s="1" a="1"/>
  <c r="H674" i="9" s="1"/>
  <c r="H675" i="9" s="1" a="1"/>
  <c r="H675" i="9" s="1"/>
  <c r="H676" i="9" s="1" a="1"/>
  <c r="H676" i="9" s="1"/>
  <c r="H677" i="9" s="1" a="1"/>
  <c r="H677" i="9" s="1"/>
  <c r="H678" i="9" s="1" a="1"/>
  <c r="H678" i="9" s="1"/>
  <c r="H679" i="9" s="1" a="1"/>
  <c r="H679" i="9" s="1"/>
  <c r="H680" i="9" s="1" a="1"/>
  <c r="H680" i="9" s="1"/>
  <c r="H681" i="9" s="1" a="1"/>
  <c r="H681" i="9" s="1"/>
  <c r="H682" i="9" s="1" a="1"/>
  <c r="H682" i="9" s="1"/>
  <c r="H683" i="9" s="1" a="1"/>
  <c r="H683" i="9" s="1"/>
  <c r="H684" i="9" s="1" a="1"/>
  <c r="H684" i="9" s="1"/>
  <c r="H685" i="9" s="1" a="1"/>
  <c r="H685" i="9" s="1"/>
  <c r="H686" i="9" s="1" a="1"/>
  <c r="H686" i="9" s="1"/>
  <c r="H687" i="9" s="1" a="1"/>
  <c r="H687" i="9" s="1"/>
  <c r="H688" i="9" s="1" a="1"/>
  <c r="H688" i="9" s="1"/>
  <c r="H689" i="9" s="1" a="1"/>
  <c r="H689" i="9" s="1"/>
  <c r="H690" i="9" s="1" a="1"/>
  <c r="H690" i="9" s="1"/>
  <c r="H691" i="9" s="1" a="1"/>
  <c r="H691" i="9" s="1"/>
  <c r="H692" i="9" s="1" a="1"/>
  <c r="H692" i="9" s="1"/>
  <c r="H693" i="9" s="1" a="1"/>
  <c r="H693" i="9" s="1"/>
  <c r="H694" i="9" s="1" a="1"/>
  <c r="H694" i="9" s="1"/>
  <c r="H695" i="9" s="1" a="1"/>
  <c r="H695" i="9" s="1"/>
  <c r="H696" i="9" s="1" a="1"/>
  <c r="H696" i="9" s="1"/>
  <c r="H697" i="9" s="1" a="1"/>
  <c r="H697" i="9" s="1"/>
  <c r="H698" i="9" s="1" a="1"/>
  <c r="H698" i="9" s="1"/>
  <c r="H699" i="9" s="1" a="1"/>
  <c r="H699" i="9" s="1"/>
  <c r="H700" i="9" s="1" a="1"/>
  <c r="H700" i="9" s="1"/>
  <c r="H701" i="9" s="1" a="1"/>
  <c r="H701" i="9" s="1"/>
  <c r="H702" i="9" s="1" a="1"/>
  <c r="H702" i="9" s="1"/>
  <c r="H703" i="9" s="1" a="1"/>
  <c r="H703" i="9" s="1"/>
  <c r="H704" i="9" s="1" a="1"/>
  <c r="H704" i="9" s="1"/>
  <c r="H705" i="9" s="1" a="1"/>
  <c r="H705" i="9" s="1"/>
  <c r="H706" i="9" s="1" a="1"/>
  <c r="H706" i="9" s="1"/>
  <c r="H707" i="9" s="1" a="1"/>
  <c r="H707" i="9" s="1"/>
  <c r="H708" i="9" s="1" a="1"/>
  <c r="H708" i="9" s="1"/>
  <c r="H709" i="9" s="1" a="1"/>
  <c r="H709" i="9" s="1"/>
  <c r="H710" i="9" s="1" a="1"/>
  <c r="H710" i="9" s="1"/>
  <c r="H711" i="9" s="1" a="1"/>
  <c r="H711" i="9" s="1"/>
  <c r="H712" i="9" s="1" a="1"/>
  <c r="H712" i="9" s="1"/>
  <c r="H713" i="9" s="1" a="1"/>
  <c r="H713" i="9" s="1"/>
  <c r="H714" i="9" s="1" a="1"/>
  <c r="H714" i="9" s="1"/>
  <c r="H715" i="9" s="1" a="1"/>
  <c r="H715" i="9" s="1"/>
  <c r="H716" i="9" s="1" a="1"/>
  <c r="H716" i="9" s="1"/>
  <c r="H717" i="9" s="1" a="1"/>
  <c r="H717" i="9" s="1"/>
  <c r="H718" i="9" s="1" a="1"/>
  <c r="H718" i="9" s="1"/>
  <c r="H719" i="9" s="1" a="1"/>
  <c r="H719" i="9" s="1"/>
  <c r="H720" i="9" s="1" a="1"/>
  <c r="H720" i="9" s="1"/>
  <c r="H721" i="9" s="1" a="1"/>
  <c r="H721" i="9" s="1"/>
  <c r="H722" i="9" s="1" a="1"/>
  <c r="H722" i="9" s="1"/>
  <c r="H723" i="9" s="1" a="1"/>
  <c r="H723" i="9" s="1"/>
  <c r="H724" i="9" s="1" a="1"/>
  <c r="H724" i="9" s="1"/>
  <c r="H725" i="9" s="1" a="1"/>
  <c r="H725" i="9" s="1"/>
  <c r="H726" i="9" s="1" a="1"/>
  <c r="H726" i="9" s="1"/>
  <c r="H727" i="9" s="1" a="1"/>
  <c r="H727" i="9" s="1"/>
  <c r="H728" i="9" s="1" a="1"/>
  <c r="H728" i="9" s="1"/>
  <c r="H729" i="9" s="1" a="1"/>
  <c r="H729" i="9" s="1"/>
  <c r="H730" i="9" s="1" a="1"/>
  <c r="H730" i="9" s="1"/>
  <c r="H731" i="9" s="1" a="1"/>
  <c r="H731" i="9" s="1"/>
  <c r="H732" i="9" s="1" a="1"/>
  <c r="H732" i="9" s="1"/>
  <c r="H733" i="9" s="1" a="1"/>
  <c r="H733" i="9" s="1"/>
  <c r="H734" i="9" s="1" a="1"/>
  <c r="H734" i="9" s="1"/>
  <c r="H735" i="9" s="1" a="1"/>
  <c r="H735" i="9" s="1"/>
  <c r="H736" i="9" s="1" a="1"/>
  <c r="H736" i="9" s="1"/>
  <c r="H737" i="9" s="1" a="1"/>
  <c r="H737" i="9" s="1"/>
  <c r="H738" i="9" s="1" a="1"/>
  <c r="H738" i="9" s="1"/>
  <c r="H739" i="9" s="1" a="1"/>
  <c r="H739" i="9" s="1"/>
  <c r="H740" i="9" s="1" a="1"/>
  <c r="H740" i="9" s="1"/>
  <c r="H741" i="9" s="1" a="1"/>
  <c r="H741" i="9" s="1"/>
  <c r="H742" i="9" s="1" a="1"/>
  <c r="H742" i="9" s="1"/>
  <c r="H743" i="9" s="1" a="1"/>
  <c r="H743" i="9" s="1"/>
  <c r="H744" i="9" s="1" a="1"/>
  <c r="H744" i="9" s="1"/>
  <c r="H745" i="9" s="1" a="1"/>
  <c r="H745" i="9" s="1"/>
  <c r="H746" i="9" s="1" a="1"/>
  <c r="H746" i="9" s="1"/>
  <c r="H747" i="9" s="1" a="1"/>
  <c r="H747" i="9" s="1"/>
  <c r="H748" i="9" s="1" a="1"/>
  <c r="H748" i="9" s="1"/>
  <c r="H749" i="9" s="1" a="1"/>
  <c r="H749" i="9" s="1"/>
  <c r="H750" i="9" s="1" a="1"/>
  <c r="H750" i="9" s="1"/>
  <c r="H751" i="9" s="1" a="1"/>
  <c r="H751" i="9" s="1"/>
  <c r="H752" i="9" s="1" a="1"/>
  <c r="H752" i="9" s="1"/>
  <c r="H753" i="9" s="1" a="1"/>
  <c r="H753" i="9" s="1"/>
  <c r="H754" i="9" s="1" a="1"/>
  <c r="H754" i="9" s="1"/>
  <c r="H755" i="9" s="1" a="1"/>
  <c r="H755" i="9" s="1"/>
  <c r="H756" i="9" s="1" a="1"/>
  <c r="H756" i="9" s="1"/>
  <c r="H757" i="9" s="1" a="1"/>
  <c r="H757" i="9" s="1"/>
  <c r="H758" i="9" s="1" a="1"/>
  <c r="H758" i="9" s="1"/>
  <c r="H759" i="9" s="1" a="1"/>
  <c r="H759" i="9" s="1"/>
  <c r="H760" i="9" s="1" a="1"/>
  <c r="H760" i="9" s="1"/>
  <c r="H761" i="9" s="1" a="1"/>
  <c r="H761" i="9" s="1"/>
  <c r="H762" i="9" s="1" a="1"/>
  <c r="H762" i="9" s="1"/>
  <c r="H763" i="9" s="1" a="1"/>
  <c r="H763" i="9" s="1"/>
  <c r="H764" i="9" s="1" a="1"/>
  <c r="H764" i="9" s="1"/>
  <c r="H765" i="9" s="1" a="1"/>
  <c r="H765" i="9" s="1"/>
  <c r="H766" i="9" s="1" a="1"/>
  <c r="H766" i="9" s="1"/>
  <c r="H767" i="9" s="1" a="1"/>
  <c r="H767" i="9" s="1"/>
  <c r="H768" i="9" s="1" a="1"/>
  <c r="H768" i="9" s="1"/>
  <c r="H769" i="9" s="1" a="1"/>
  <c r="H769" i="9" s="1"/>
  <c r="H770" i="9" s="1" a="1"/>
  <c r="H770" i="9" s="1"/>
  <c r="H771" i="9" s="1" a="1"/>
  <c r="H771" i="9" s="1"/>
  <c r="H772" i="9" s="1" a="1"/>
  <c r="H772" i="9" s="1"/>
  <c r="H773" i="9" s="1" a="1"/>
  <c r="H773" i="9" s="1"/>
  <c r="H774" i="9" s="1" a="1"/>
  <c r="H774" i="9" s="1"/>
  <c r="H775" i="9" s="1" a="1"/>
  <c r="H775" i="9" s="1"/>
  <c r="H776" i="9" s="1" a="1"/>
  <c r="H776" i="9" s="1"/>
  <c r="H777" i="9" s="1" a="1"/>
  <c r="H777" i="9" s="1"/>
  <c r="H778" i="9" s="1" a="1"/>
  <c r="H778" i="9" s="1"/>
  <c r="H779" i="9" s="1" a="1"/>
  <c r="H779" i="9" s="1"/>
  <c r="H780" i="9" s="1" a="1"/>
  <c r="H780" i="9" s="1"/>
  <c r="H781" i="9" s="1" a="1"/>
  <c r="H781" i="9" s="1"/>
  <c r="H782" i="9" s="1" a="1"/>
  <c r="H782" i="9" s="1"/>
  <c r="H783" i="9" s="1" a="1"/>
  <c r="H783" i="9" s="1"/>
  <c r="H784" i="9" s="1" a="1"/>
  <c r="H784" i="9" s="1"/>
  <c r="H785" i="9" s="1" a="1"/>
  <c r="H785" i="9" s="1"/>
  <c r="H786" i="9" s="1" a="1"/>
  <c r="H786" i="9" s="1"/>
  <c r="H787" i="9" s="1" a="1"/>
  <c r="H787" i="9" s="1"/>
  <c r="H788" i="9" s="1" a="1"/>
  <c r="H788" i="9" s="1"/>
  <c r="H789" i="9" s="1" a="1"/>
  <c r="H789" i="9" s="1"/>
  <c r="H790" i="9" s="1" a="1"/>
  <c r="H790" i="9" s="1"/>
  <c r="H791" i="9" s="1" a="1"/>
  <c r="H791" i="9" s="1"/>
  <c r="H792" i="9" s="1" a="1"/>
  <c r="H792" i="9" s="1"/>
  <c r="H793" i="9" s="1" a="1"/>
  <c r="H793" i="9" s="1"/>
  <c r="H794" i="9" s="1" a="1"/>
  <c r="H794" i="9" s="1"/>
  <c r="H795" i="9" s="1" a="1"/>
  <c r="H795" i="9" s="1"/>
  <c r="H796" i="9" s="1" a="1"/>
  <c r="H796" i="9" s="1"/>
  <c r="H797" i="9" s="1" a="1"/>
  <c r="H797" i="9" s="1"/>
  <c r="H798" i="9" s="1" a="1"/>
  <c r="H798" i="9" s="1"/>
  <c r="H799" i="9" s="1" a="1"/>
  <c r="H799" i="9" s="1"/>
  <c r="H800" i="9" s="1" a="1"/>
  <c r="H800" i="9" s="1"/>
  <c r="H801" i="9" s="1" a="1"/>
  <c r="H801" i="9" s="1"/>
  <c r="H802" i="9" s="1" a="1"/>
  <c r="H802" i="9" s="1"/>
  <c r="H803" i="9" s="1" a="1"/>
  <c r="H803" i="9" s="1"/>
  <c r="H804" i="9" s="1" a="1"/>
  <c r="H804" i="9" s="1"/>
  <c r="H805" i="9" s="1" a="1"/>
  <c r="H805" i="9" s="1"/>
  <c r="H806" i="9" s="1" a="1"/>
  <c r="H806" i="9" s="1"/>
  <c r="H807" i="9" s="1" a="1"/>
  <c r="H807" i="9" s="1"/>
  <c r="H808" i="9" s="1" a="1"/>
  <c r="H808" i="9" s="1"/>
  <c r="H809" i="9" s="1" a="1"/>
  <c r="H809" i="9" s="1"/>
  <c r="H810" i="9" s="1" a="1"/>
  <c r="H810" i="9" s="1"/>
  <c r="H811" i="9" s="1" a="1"/>
  <c r="H811" i="9" s="1"/>
  <c r="H812" i="9" s="1" a="1"/>
  <c r="H812" i="9" s="1"/>
  <c r="H813" i="9" s="1" a="1"/>
  <c r="H813" i="9" s="1"/>
  <c r="H814" i="9" s="1" a="1"/>
  <c r="H814" i="9" s="1"/>
  <c r="H815" i="9" s="1" a="1"/>
  <c r="H815" i="9" s="1"/>
  <c r="H816" i="9" s="1" a="1"/>
  <c r="H816" i="9" s="1"/>
  <c r="H817" i="9" s="1" a="1"/>
  <c r="H817" i="9" s="1"/>
  <c r="H818" i="9" s="1" a="1"/>
  <c r="H818" i="9" s="1"/>
  <c r="H819" i="9" s="1" a="1"/>
  <c r="H819" i="9" s="1"/>
  <c r="H820" i="9" s="1" a="1"/>
  <c r="H820" i="9" s="1"/>
  <c r="H821" i="9" s="1" a="1"/>
  <c r="H821" i="9" s="1"/>
  <c r="H822" i="9" s="1" a="1"/>
  <c r="H822" i="9" s="1"/>
  <c r="H823" i="9" s="1" a="1"/>
  <c r="H823" i="9" s="1"/>
  <c r="H824" i="9" s="1" a="1"/>
  <c r="H824" i="9" s="1"/>
  <c r="H825" i="9" s="1" a="1"/>
  <c r="H825" i="9" s="1"/>
  <c r="H826" i="9" s="1" a="1"/>
  <c r="H826" i="9" s="1"/>
  <c r="H827" i="9" s="1" a="1"/>
  <c r="H827" i="9" s="1"/>
  <c r="H828" i="9" s="1" a="1"/>
  <c r="H828" i="9" s="1"/>
  <c r="H829" i="9" s="1" a="1"/>
  <c r="H829" i="9" s="1"/>
  <c r="H830" i="9" s="1" a="1"/>
  <c r="H830" i="9" s="1"/>
  <c r="H831" i="9" s="1" a="1"/>
  <c r="H831" i="9" s="1"/>
  <c r="H832" i="9" s="1" a="1"/>
  <c r="H832" i="9" s="1"/>
  <c r="H833" i="9" s="1" a="1"/>
  <c r="H833" i="9" s="1"/>
  <c r="H834" i="9" s="1" a="1"/>
  <c r="H834" i="9" s="1"/>
  <c r="H835" i="9" s="1" a="1"/>
  <c r="H835" i="9" s="1"/>
  <c r="H836" i="9" s="1" a="1"/>
  <c r="H836" i="9" s="1"/>
  <c r="H837" i="9" s="1" a="1"/>
  <c r="H837" i="9" s="1"/>
  <c r="H838" i="9" s="1" a="1"/>
  <c r="H838" i="9" s="1"/>
  <c r="H839" i="9" s="1" a="1"/>
  <c r="H839" i="9" s="1"/>
  <c r="H840" i="9" s="1" a="1"/>
  <c r="H840" i="9" s="1"/>
  <c r="H841" i="9" s="1" a="1"/>
  <c r="H841" i="9" s="1"/>
  <c r="H842" i="9" s="1" a="1"/>
  <c r="H842" i="9" s="1"/>
  <c r="H843" i="9" s="1" a="1"/>
  <c r="H843" i="9" s="1"/>
  <c r="H844" i="9" s="1" a="1"/>
  <c r="H844" i="9" s="1"/>
  <c r="H845" i="9" s="1" a="1"/>
  <c r="H845" i="9" s="1"/>
  <c r="H846" i="9" s="1" a="1"/>
  <c r="H846" i="9" s="1"/>
  <c r="H847" i="9" s="1" a="1"/>
  <c r="H847" i="9" s="1"/>
  <c r="H848" i="9" s="1" a="1"/>
  <c r="H848" i="9" s="1"/>
  <c r="H849" i="9" s="1" a="1"/>
  <c r="H849" i="9" s="1"/>
  <c r="H850" i="9" s="1" a="1"/>
  <c r="H850" i="9" s="1"/>
  <c r="H851" i="9" s="1" a="1"/>
  <c r="H851" i="9" s="1"/>
  <c r="H852" i="9" s="1" a="1"/>
  <c r="H852" i="9" s="1"/>
  <c r="H853" i="9" s="1" a="1"/>
  <c r="H853" i="9" s="1"/>
  <c r="H854" i="9" s="1" a="1"/>
  <c r="H854" i="9" s="1"/>
  <c r="H855" i="9" s="1" a="1"/>
  <c r="H855" i="9" s="1"/>
  <c r="H856" i="9" s="1" a="1"/>
  <c r="H856" i="9" s="1"/>
  <c r="H857" i="9" s="1" a="1"/>
  <c r="H857" i="9" s="1"/>
  <c r="H858" i="9" s="1" a="1"/>
  <c r="H858" i="9" s="1"/>
  <c r="H859" i="9" s="1" a="1"/>
  <c r="H859" i="9" s="1"/>
  <c r="H860" i="9" s="1" a="1"/>
  <c r="H860" i="9" s="1"/>
  <c r="H861" i="9" s="1" a="1"/>
  <c r="H861" i="9" s="1"/>
  <c r="H862" i="9" s="1" a="1"/>
  <c r="H862" i="9" s="1"/>
  <c r="H863" i="9" s="1" a="1"/>
  <c r="H863" i="9" s="1"/>
  <c r="H864" i="9" s="1" a="1"/>
  <c r="H864" i="9" s="1"/>
  <c r="H865" i="9" s="1" a="1"/>
  <c r="H865" i="9" s="1"/>
  <c r="H866" i="9" s="1" a="1"/>
  <c r="H866" i="9" s="1"/>
  <c r="H867" i="9" s="1" a="1"/>
  <c r="H867" i="9" s="1"/>
  <c r="H868" i="9" s="1" a="1"/>
  <c r="H868" i="9" s="1"/>
  <c r="H869" i="9" s="1" a="1"/>
  <c r="H869" i="9" s="1"/>
  <c r="H870" i="9" s="1" a="1"/>
  <c r="H870" i="9" s="1"/>
  <c r="H871" i="9" s="1" a="1"/>
  <c r="H871" i="9" s="1"/>
  <c r="H872" i="9" s="1" a="1"/>
  <c r="H872" i="9" s="1"/>
  <c r="H873" i="9" s="1" a="1"/>
  <c r="H873" i="9" s="1"/>
  <c r="H874" i="9" s="1" a="1"/>
  <c r="H874" i="9" s="1"/>
  <c r="H875" i="9" s="1" a="1"/>
  <c r="H875" i="9" s="1"/>
  <c r="H876" i="9" s="1" a="1"/>
  <c r="H876" i="9" s="1"/>
  <c r="H877" i="9" s="1" a="1"/>
  <c r="H877" i="9" s="1"/>
  <c r="H878" i="9" s="1" a="1"/>
  <c r="H878" i="9" s="1"/>
  <c r="H879" i="9" s="1" a="1"/>
  <c r="H879" i="9" s="1"/>
  <c r="H880" i="9" s="1" a="1"/>
  <c r="H880" i="9" s="1"/>
  <c r="H881" i="9" s="1" a="1"/>
  <c r="H881" i="9" s="1"/>
  <c r="H882" i="9" s="1" a="1"/>
  <c r="H882" i="9" s="1"/>
  <c r="H883" i="9" s="1" a="1"/>
  <c r="H883" i="9" s="1"/>
  <c r="H884" i="9" s="1" a="1"/>
  <c r="H884" i="9" s="1"/>
  <c r="H885" i="9" s="1" a="1"/>
  <c r="H885" i="9" s="1"/>
  <c r="H886" i="9" s="1" a="1"/>
  <c r="H886" i="9" s="1"/>
  <c r="H887" i="9" s="1" a="1"/>
  <c r="H887" i="9" s="1"/>
  <c r="H888" i="9" s="1" a="1"/>
  <c r="H888" i="9" s="1"/>
  <c r="H889" i="9" s="1" a="1"/>
  <c r="H889" i="9" s="1"/>
  <c r="H890" i="9" s="1" a="1"/>
  <c r="H890" i="9" s="1"/>
  <c r="H891" i="9" s="1" a="1"/>
  <c r="H891" i="9" s="1"/>
  <c r="H892" i="9" s="1" a="1"/>
  <c r="H892" i="9" s="1"/>
  <c r="H893" i="9" s="1" a="1"/>
  <c r="H893" i="9" s="1"/>
  <c r="H894" i="9" s="1" a="1"/>
  <c r="H894" i="9" s="1"/>
  <c r="H895" i="9" s="1" a="1"/>
  <c r="H895" i="9" s="1"/>
  <c r="H896" i="9" s="1" a="1"/>
  <c r="H896" i="9" s="1"/>
  <c r="H897" i="9" s="1" a="1"/>
  <c r="H897" i="9" s="1"/>
  <c r="H898" i="9" s="1" a="1"/>
  <c r="H898" i="9" s="1"/>
  <c r="H899" i="9" s="1" a="1"/>
  <c r="H899" i="9" s="1"/>
  <c r="H900" i="9" s="1" a="1"/>
  <c r="H900" i="9" s="1"/>
  <c r="H901" i="9" s="1" a="1"/>
  <c r="H901" i="9" s="1"/>
  <c r="H902" i="9" s="1" a="1"/>
  <c r="H902" i="9" s="1"/>
  <c r="H903" i="9" s="1" a="1"/>
  <c r="H903" i="9" s="1"/>
  <c r="H904" i="9" s="1" a="1"/>
  <c r="H904" i="9" s="1"/>
  <c r="H905" i="9" s="1" a="1"/>
  <c r="H905" i="9" s="1"/>
  <c r="H906" i="9" s="1" a="1"/>
  <c r="H906" i="9" s="1"/>
  <c r="H907" i="9" s="1" a="1"/>
  <c r="H907" i="9" s="1"/>
  <c r="H908" i="9" s="1" a="1"/>
  <c r="H908" i="9" s="1"/>
  <c r="H909" i="9" s="1" a="1"/>
  <c r="H909" i="9" s="1"/>
  <c r="H910" i="9" s="1" a="1"/>
  <c r="H910" i="9" s="1"/>
  <c r="H911" i="9" s="1" a="1"/>
  <c r="H911" i="9" s="1"/>
  <c r="H912" i="9" s="1" a="1"/>
  <c r="H912" i="9" s="1"/>
  <c r="H913" i="9" s="1" a="1"/>
  <c r="H913" i="9" s="1"/>
  <c r="H914" i="9" s="1" a="1"/>
  <c r="H914" i="9" s="1"/>
  <c r="H915" i="9" s="1" a="1"/>
  <c r="H915" i="9" s="1"/>
  <c r="H916" i="9" s="1" a="1"/>
  <c r="H916" i="9" s="1"/>
  <c r="H917" i="9" s="1" a="1"/>
  <c r="H917" i="9" s="1"/>
  <c r="H918" i="9" s="1" a="1"/>
  <c r="H918" i="9" s="1"/>
  <c r="H919" i="9" s="1" a="1"/>
  <c r="H919" i="9" s="1"/>
  <c r="H920" i="9" s="1" a="1"/>
  <c r="H920" i="9" s="1"/>
  <c r="H921" i="9" s="1" a="1"/>
  <c r="H921" i="9" s="1"/>
  <c r="H922" i="9" s="1" a="1"/>
  <c r="H922" i="9" s="1"/>
  <c r="H923" i="9" s="1" a="1"/>
  <c r="H923" i="9" s="1"/>
  <c r="H924" i="9" s="1" a="1"/>
  <c r="H924" i="9" s="1"/>
  <c r="H925" i="9" s="1" a="1"/>
  <c r="H925" i="9" s="1"/>
  <c r="H926" i="9" s="1" a="1"/>
  <c r="H926" i="9" s="1"/>
  <c r="H927" i="9" s="1" a="1"/>
  <c r="H927" i="9" s="1"/>
  <c r="H928" i="9" s="1" a="1"/>
  <c r="H928" i="9" s="1"/>
  <c r="H929" i="9" s="1" a="1"/>
  <c r="H929" i="9" s="1"/>
  <c r="H930" i="9" s="1" a="1"/>
  <c r="H930" i="9" s="1"/>
  <c r="H931" i="9" s="1" a="1"/>
  <c r="H931" i="9" s="1"/>
  <c r="H932" i="9" s="1" a="1"/>
  <c r="H932" i="9" s="1"/>
  <c r="H933" i="9" s="1" a="1"/>
  <c r="H933" i="9" s="1"/>
  <c r="H934" i="9" s="1" a="1"/>
  <c r="H934" i="9" s="1"/>
  <c r="H935" i="9" s="1" a="1"/>
  <c r="H935" i="9" s="1"/>
  <c r="H936" i="9" s="1" a="1"/>
  <c r="H936" i="9" s="1"/>
  <c r="H937" i="9" s="1" a="1"/>
  <c r="H937" i="9" s="1"/>
  <c r="H938" i="9" s="1" a="1"/>
  <c r="H938" i="9" s="1"/>
  <c r="H939" i="9" s="1" a="1"/>
  <c r="H939" i="9" s="1"/>
  <c r="I26" i="8" a="1"/>
  <c r="I26" i="8" s="1"/>
  <c r="H19" i="8" a="1"/>
  <c r="H19" i="8" s="1"/>
  <c r="H20" i="8" s="1" a="1"/>
  <c r="H20" i="8" s="1"/>
  <c r="H21" i="8" s="1" a="1"/>
  <c r="H21" i="8" s="1"/>
  <c r="H22" i="8" s="1" a="1"/>
  <c r="H22" i="8" s="1"/>
  <c r="H23" i="8" s="1" a="1"/>
  <c r="H23" i="8" s="1"/>
  <c r="H24" i="8" s="1" a="1"/>
  <c r="H24" i="8" s="1"/>
  <c r="H25" i="8" s="1" a="1"/>
  <c r="H25" i="8" s="1"/>
  <c r="H26" i="8" s="1" a="1"/>
  <c r="H26" i="8" s="1"/>
  <c r="H27" i="8" s="1" a="1"/>
  <c r="H27" i="8" s="1"/>
  <c r="H28" i="8" s="1" a="1"/>
  <c r="H28" i="8" s="1"/>
  <c r="H29" i="8" s="1" a="1"/>
  <c r="H29" i="8" s="1"/>
  <c r="H30" i="8" s="1" a="1"/>
  <c r="H30" i="8" s="1"/>
  <c r="H31" i="8" s="1" a="1"/>
  <c r="H31" i="8" s="1"/>
  <c r="H32" i="8" s="1" a="1"/>
  <c r="H32" i="8" s="1"/>
  <c r="H33" i="8" s="1" a="1"/>
  <c r="H33" i="8" s="1"/>
  <c r="H34" i="8" s="1" a="1"/>
  <c r="H34" i="8" s="1"/>
  <c r="H35" i="8" s="1" a="1"/>
  <c r="H35" i="8" s="1"/>
  <c r="H36" i="8" s="1" a="1"/>
  <c r="H36" i="8" s="1"/>
  <c r="H37" i="8" s="1" a="1"/>
  <c r="H37" i="8" s="1"/>
  <c r="H38" i="8" s="1" a="1"/>
  <c r="H38" i="8" s="1"/>
  <c r="H39" i="8" s="1" a="1"/>
  <c r="H39" i="8" s="1"/>
  <c r="H40" i="8" s="1" a="1"/>
  <c r="H40" i="8" s="1"/>
  <c r="H41" i="8" s="1" a="1"/>
  <c r="H41" i="8" s="1"/>
  <c r="H42" i="8" s="1" a="1"/>
  <c r="H42" i="8" s="1"/>
  <c r="H43" i="8" s="1" a="1"/>
  <c r="H43" i="8" s="1"/>
  <c r="H44" i="8" s="1" a="1"/>
  <c r="H44" i="8" s="1"/>
  <c r="H45" i="8" s="1" a="1"/>
  <c r="H45" i="8" s="1"/>
  <c r="H46" i="8" s="1" a="1"/>
  <c r="H46" i="8" s="1"/>
  <c r="H47" i="8" s="1" a="1"/>
  <c r="H47" i="8" s="1"/>
  <c r="H48" i="8" s="1" a="1"/>
  <c r="H48" i="8" s="1"/>
  <c r="H49" i="8" s="1" a="1"/>
  <c r="H49" i="8" s="1"/>
  <c r="H50" i="8" s="1" a="1"/>
  <c r="H50" i="8" s="1"/>
  <c r="H51" i="8" s="1" a="1"/>
  <c r="H51" i="8" s="1"/>
  <c r="H52" i="8" s="1" a="1"/>
  <c r="H52" i="8" s="1"/>
  <c r="H53" i="8" s="1" a="1"/>
  <c r="H53" i="8" s="1"/>
  <c r="H54" i="8" s="1" a="1"/>
  <c r="H54" i="8" s="1"/>
  <c r="H55" i="8" s="1" a="1"/>
  <c r="H55" i="8" s="1"/>
  <c r="H56" i="8" s="1" a="1"/>
  <c r="H56" i="8" s="1"/>
  <c r="H57" i="8" s="1" a="1"/>
  <c r="H57" i="8" s="1"/>
  <c r="H58" i="8" s="1" a="1"/>
  <c r="H58" i="8" s="1"/>
  <c r="H59" i="8" s="1" a="1"/>
  <c r="H59" i="8" s="1"/>
  <c r="H60" i="8" s="1" a="1"/>
  <c r="H60" i="8" s="1"/>
  <c r="H61" i="8" s="1" a="1"/>
  <c r="H61" i="8" s="1"/>
  <c r="H62" i="8" s="1" a="1"/>
  <c r="H62" i="8" s="1"/>
  <c r="H63" i="8" s="1" a="1"/>
  <c r="H63" i="8" s="1"/>
  <c r="H64" i="8" s="1" a="1"/>
  <c r="H64" i="8" s="1"/>
  <c r="H65" i="8" s="1" a="1"/>
  <c r="H65" i="8" s="1"/>
  <c r="H66" i="8" s="1" a="1"/>
  <c r="H66" i="8" s="1"/>
  <c r="H67" i="8" s="1" a="1"/>
  <c r="H67" i="8" s="1"/>
  <c r="H68" i="8" s="1" a="1"/>
  <c r="H68" i="8" s="1"/>
  <c r="H69" i="8" s="1" a="1"/>
  <c r="H69" i="8" s="1"/>
  <c r="H70" i="8" s="1" a="1"/>
  <c r="H70" i="8" s="1"/>
  <c r="H71" i="8" s="1" a="1"/>
  <c r="H71" i="8" s="1"/>
  <c r="H72" i="8" s="1" a="1"/>
  <c r="H72" i="8" s="1"/>
  <c r="H73" i="8" s="1" a="1"/>
  <c r="H73" i="8" s="1"/>
  <c r="H74" i="8" s="1" a="1"/>
  <c r="H74" i="8" s="1"/>
  <c r="H75" i="8" s="1" a="1"/>
  <c r="H75" i="8" s="1"/>
  <c r="H76" i="8" s="1" a="1"/>
  <c r="H76" i="8" s="1"/>
  <c r="H77" i="8" s="1" a="1"/>
  <c r="H77" i="8" s="1"/>
  <c r="H78" i="8" s="1" a="1"/>
  <c r="H78" i="8" s="1"/>
  <c r="H79" i="8" s="1" a="1"/>
  <c r="H79" i="8" s="1"/>
  <c r="H80" i="8" s="1" a="1"/>
  <c r="H80" i="8" s="1"/>
  <c r="H81" i="8" s="1" a="1"/>
  <c r="H81" i="8" s="1"/>
  <c r="H82" i="8" s="1" a="1"/>
  <c r="H82" i="8" s="1"/>
  <c r="H83" i="8" s="1" a="1"/>
  <c r="H83" i="8" s="1"/>
  <c r="H84" i="8" s="1" a="1"/>
  <c r="H84" i="8" s="1"/>
  <c r="H85" i="8" s="1" a="1"/>
  <c r="H85" i="8" s="1"/>
  <c r="H86" i="8" s="1" a="1"/>
  <c r="H86" i="8" s="1"/>
  <c r="H87" i="8" s="1" a="1"/>
  <c r="H87" i="8" s="1"/>
  <c r="H88" i="8" s="1" a="1"/>
  <c r="H88" i="8" s="1"/>
  <c r="H89" i="8" s="1" a="1"/>
  <c r="H89" i="8" s="1"/>
  <c r="H90" i="8" s="1" a="1"/>
  <c r="H90" i="8" s="1"/>
  <c r="H91" i="8" s="1" a="1"/>
  <c r="H91" i="8" s="1"/>
  <c r="H92" i="8" s="1" a="1"/>
  <c r="H92" i="8" s="1"/>
  <c r="H93" i="8" s="1" a="1"/>
  <c r="H93" i="8" s="1"/>
  <c r="H94" i="8" s="1" a="1"/>
  <c r="H94" i="8" s="1"/>
  <c r="H95" i="8" s="1" a="1"/>
  <c r="H95" i="8" s="1"/>
  <c r="H96" i="8" s="1" a="1"/>
  <c r="H96" i="8" s="1"/>
  <c r="H97" i="8" s="1" a="1"/>
  <c r="H97" i="8" s="1"/>
  <c r="H98" i="8" s="1" a="1"/>
  <c r="H98" i="8" s="1"/>
  <c r="H99" i="8" s="1" a="1"/>
  <c r="H99" i="8" s="1"/>
  <c r="H100" i="8" s="1" a="1"/>
  <c r="H100" i="8" s="1"/>
  <c r="H101" i="8" s="1" a="1"/>
  <c r="H101" i="8" s="1"/>
  <c r="H102" i="8" s="1" a="1"/>
  <c r="H102" i="8" s="1"/>
  <c r="H103" i="8" s="1" a="1"/>
  <c r="H103" i="8" s="1"/>
  <c r="H104" i="8" s="1" a="1"/>
  <c r="H104" i="8" s="1"/>
  <c r="H105" i="8" s="1" a="1"/>
  <c r="H105" i="8" s="1"/>
  <c r="H106" i="8" s="1" a="1"/>
  <c r="H106" i="8" s="1"/>
  <c r="H107" i="8" s="1" a="1"/>
  <c r="H107" i="8" s="1"/>
  <c r="H108" i="8" s="1" a="1"/>
  <c r="H108" i="8" s="1"/>
  <c r="H109" i="8" s="1" a="1"/>
  <c r="H109" i="8" s="1"/>
  <c r="H110" i="8" s="1" a="1"/>
  <c r="H110" i="8" s="1"/>
  <c r="H111" i="8" s="1" a="1"/>
  <c r="H111" i="8" s="1"/>
  <c r="H112" i="8" s="1" a="1"/>
  <c r="H112" i="8" s="1"/>
  <c r="H113" i="8" s="1" a="1"/>
  <c r="H113" i="8" s="1"/>
  <c r="H114" i="8" s="1" a="1"/>
  <c r="H114" i="8" s="1"/>
  <c r="H115" i="8" s="1" a="1"/>
  <c r="H115" i="8" s="1"/>
  <c r="H116" i="8" s="1" a="1"/>
  <c r="H116" i="8" s="1"/>
  <c r="H117" i="8" s="1" a="1"/>
  <c r="H117" i="8" s="1"/>
  <c r="H118" i="8" s="1" a="1"/>
  <c r="H118" i="8" s="1"/>
  <c r="H119" i="8" s="1" a="1"/>
  <c r="H119" i="8" s="1"/>
  <c r="H120" i="8" s="1" a="1"/>
  <c r="H120" i="8" s="1"/>
  <c r="H121" i="8" s="1" a="1"/>
  <c r="H121" i="8" s="1"/>
  <c r="H122" i="8" s="1" a="1"/>
  <c r="H122" i="8" s="1"/>
  <c r="H123" i="8" s="1" a="1"/>
  <c r="H123" i="8" s="1"/>
  <c r="H124" i="8" s="1" a="1"/>
  <c r="H124" i="8" s="1"/>
  <c r="H125" i="8" s="1" a="1"/>
  <c r="H125" i="8" s="1"/>
  <c r="H126" i="8" s="1" a="1"/>
  <c r="H126" i="8" s="1"/>
  <c r="H127" i="8" s="1" a="1"/>
  <c r="H127" i="8" s="1"/>
  <c r="H128" i="8" s="1" a="1"/>
  <c r="H128" i="8" s="1"/>
  <c r="H129" i="8" s="1" a="1"/>
  <c r="H129" i="8" s="1"/>
  <c r="H130" i="8" s="1" a="1"/>
  <c r="H130" i="8" s="1"/>
  <c r="H131" i="8" s="1" a="1"/>
  <c r="H131" i="8" s="1"/>
  <c r="H132" i="8" s="1" a="1"/>
  <c r="H132" i="8" s="1"/>
  <c r="H133" i="8" s="1" a="1"/>
  <c r="H133" i="8" s="1"/>
  <c r="H134" i="8" s="1" a="1"/>
  <c r="H134" i="8" s="1"/>
  <c r="H135" i="8" s="1" a="1"/>
  <c r="H135" i="8" s="1"/>
  <c r="H136" i="8" s="1" a="1"/>
  <c r="H136" i="8" s="1"/>
  <c r="H137" i="8" s="1" a="1"/>
  <c r="H137" i="8" s="1"/>
  <c r="H138" i="8" s="1" a="1"/>
  <c r="H138" i="8" s="1"/>
  <c r="H139" i="8" s="1" a="1"/>
  <c r="H139" i="8" s="1"/>
  <c r="H140" i="8" s="1" a="1"/>
  <c r="H140" i="8" s="1"/>
  <c r="H141" i="8" s="1" a="1"/>
  <c r="H141" i="8" s="1"/>
  <c r="H142" i="8" s="1" a="1"/>
  <c r="H142" i="8" s="1"/>
  <c r="H143" i="8" s="1" a="1"/>
  <c r="H143" i="8" s="1"/>
  <c r="H144" i="8" s="1" a="1"/>
  <c r="H144" i="8" s="1"/>
  <c r="H145" i="8" s="1" a="1"/>
  <c r="H145" i="8" s="1"/>
  <c r="H146" i="8" s="1" a="1"/>
  <c r="H146" i="8" s="1"/>
  <c r="H147" i="8" s="1" a="1"/>
  <c r="H147" i="8" s="1"/>
  <c r="H148" i="8" s="1" a="1"/>
  <c r="H148" i="8" s="1"/>
  <c r="H149" i="8" s="1" a="1"/>
  <c r="H149" i="8" s="1"/>
  <c r="H150" i="8" s="1" a="1"/>
  <c r="H150" i="8" s="1"/>
  <c r="H151" i="8" s="1" a="1"/>
  <c r="H151" i="8" s="1"/>
  <c r="H152" i="8" s="1" a="1"/>
  <c r="H152" i="8" s="1"/>
  <c r="H153" i="8" s="1" a="1"/>
  <c r="H153" i="8" s="1"/>
  <c r="H154" i="8" s="1" a="1"/>
  <c r="H154" i="8" s="1"/>
  <c r="H155" i="8" s="1" a="1"/>
  <c r="H155" i="8" s="1"/>
  <c r="H156" i="8" s="1" a="1"/>
  <c r="H156" i="8" s="1"/>
  <c r="H157" i="8" s="1" a="1"/>
  <c r="H157" i="8" s="1"/>
  <c r="H158" i="8" s="1" a="1"/>
  <c r="H158" i="8" s="1"/>
  <c r="H159" i="8" s="1" a="1"/>
  <c r="H159" i="8" s="1"/>
  <c r="H160" i="8" s="1" a="1"/>
  <c r="H160" i="8" s="1"/>
  <c r="H161" i="8" s="1" a="1"/>
  <c r="H161" i="8" s="1"/>
  <c r="H162" i="8" s="1" a="1"/>
  <c r="H162" i="8" s="1"/>
  <c r="H163" i="8" s="1" a="1"/>
  <c r="H163" i="8" s="1"/>
  <c r="H164" i="8" s="1" a="1"/>
  <c r="H164" i="8" s="1"/>
  <c r="H165" i="8" s="1" a="1"/>
  <c r="H165" i="8" s="1"/>
  <c r="H166" i="8" s="1" a="1"/>
  <c r="H166" i="8" s="1"/>
  <c r="H167" i="8" s="1" a="1"/>
  <c r="H167" i="8" s="1"/>
  <c r="H168" i="8" s="1" a="1"/>
  <c r="H168" i="8" s="1"/>
  <c r="H169" i="8" s="1" a="1"/>
  <c r="H169" i="8" s="1"/>
  <c r="H170" i="8" s="1" a="1"/>
  <c r="H170" i="8" s="1"/>
  <c r="H171" i="8" s="1" a="1"/>
  <c r="H171" i="8" s="1"/>
  <c r="H172" i="8" s="1" a="1"/>
  <c r="H172" i="8" s="1"/>
  <c r="H173" i="8" s="1" a="1"/>
  <c r="H173" i="8" s="1"/>
  <c r="H174" i="8" s="1" a="1"/>
  <c r="H174" i="8" s="1"/>
  <c r="H175" i="8" s="1" a="1"/>
  <c r="H175" i="8" s="1"/>
  <c r="H176" i="8" s="1" a="1"/>
  <c r="H176" i="8" s="1"/>
  <c r="H177" i="8" s="1" a="1"/>
  <c r="H177" i="8" s="1"/>
  <c r="H178" i="8" s="1" a="1"/>
  <c r="H178" i="8" s="1"/>
  <c r="H179" i="8" s="1" a="1"/>
  <c r="H179" i="8" s="1"/>
  <c r="H180" i="8" s="1" a="1"/>
  <c r="H180" i="8" s="1"/>
  <c r="H181" i="8" s="1" a="1"/>
  <c r="H181" i="8" s="1"/>
  <c r="H182" i="8" s="1" a="1"/>
  <c r="H182" i="8" s="1"/>
  <c r="H183" i="8" s="1" a="1"/>
  <c r="H183" i="8" s="1"/>
  <c r="H184" i="8" s="1" a="1"/>
  <c r="H184" i="8" s="1"/>
  <c r="H185" i="8" s="1" a="1"/>
  <c r="H185" i="8" s="1"/>
  <c r="H186" i="8" s="1" a="1"/>
  <c r="H186" i="8" s="1"/>
  <c r="H187" i="8" s="1" a="1"/>
  <c r="H187" i="8" s="1"/>
  <c r="H188" i="8" s="1" a="1"/>
  <c r="H188" i="8" s="1"/>
  <c r="H189" i="8" s="1" a="1"/>
  <c r="H189" i="8" s="1"/>
  <c r="H190" i="8" s="1" a="1"/>
  <c r="H190" i="8" s="1"/>
  <c r="H191" i="8" s="1" a="1"/>
  <c r="H191" i="8" s="1"/>
  <c r="H192" i="8" s="1" a="1"/>
  <c r="H192" i="8" s="1"/>
  <c r="H193" i="8" s="1" a="1"/>
  <c r="H193" i="8" s="1"/>
  <c r="H194" i="8" s="1" a="1"/>
  <c r="H194" i="8" s="1"/>
  <c r="H195" i="8" s="1" a="1"/>
  <c r="H195" i="8" s="1"/>
  <c r="H196" i="8" s="1" a="1"/>
  <c r="H196" i="8" s="1"/>
  <c r="H197" i="8" s="1" a="1"/>
  <c r="H197" i="8" s="1"/>
  <c r="H198" i="8" s="1" a="1"/>
  <c r="H198" i="8" s="1"/>
  <c r="H199" i="8" s="1" a="1"/>
  <c r="H199" i="8" s="1"/>
  <c r="H200" i="8" s="1" a="1"/>
  <c r="H200" i="8" s="1"/>
  <c r="H201" i="8" s="1" a="1"/>
  <c r="H201" i="8" s="1"/>
  <c r="H202" i="8" s="1" a="1"/>
  <c r="H202" i="8" s="1"/>
  <c r="H203" i="8" s="1" a="1"/>
  <c r="H203" i="8" s="1"/>
  <c r="H204" i="8" s="1" a="1"/>
  <c r="H204" i="8" s="1"/>
  <c r="H205" i="8" s="1" a="1"/>
  <c r="H205" i="8" s="1"/>
  <c r="H206" i="8" s="1" a="1"/>
  <c r="H206" i="8" s="1"/>
  <c r="H207" i="8" s="1" a="1"/>
  <c r="H207" i="8" s="1"/>
  <c r="H208" i="8" s="1" a="1"/>
  <c r="H208" i="8" s="1"/>
  <c r="H209" i="8" s="1" a="1"/>
  <c r="H209" i="8" s="1"/>
  <c r="H210" i="8" s="1" a="1"/>
  <c r="H210" i="8" s="1"/>
  <c r="H211" i="8" s="1" a="1"/>
  <c r="H211" i="8" s="1"/>
  <c r="H212" i="8" s="1" a="1"/>
  <c r="H212" i="8" s="1"/>
  <c r="H213" i="8" s="1" a="1"/>
  <c r="H213" i="8" s="1"/>
  <c r="H214" i="8" s="1" a="1"/>
  <c r="H214" i="8" s="1"/>
  <c r="H215" i="8" s="1" a="1"/>
  <c r="H215" i="8" s="1"/>
  <c r="H216" i="8" s="1" a="1"/>
  <c r="H216" i="8" s="1"/>
  <c r="H217" i="8" s="1" a="1"/>
  <c r="H217" i="8" s="1"/>
  <c r="H218" i="8" s="1" a="1"/>
  <c r="H218" i="8" s="1"/>
  <c r="H219" i="8" s="1" a="1"/>
  <c r="H219" i="8" s="1"/>
  <c r="H220" i="8" s="1" a="1"/>
  <c r="H220" i="8" s="1"/>
  <c r="H221" i="8" s="1" a="1"/>
  <c r="H221" i="8" s="1"/>
  <c r="H222" i="8" s="1" a="1"/>
  <c r="H222" i="8" s="1"/>
  <c r="H223" i="8" s="1" a="1"/>
  <c r="H223" i="8" s="1"/>
  <c r="H224" i="8" s="1" a="1"/>
  <c r="H224" i="8" s="1"/>
  <c r="H225" i="8" s="1" a="1"/>
  <c r="H225" i="8" s="1"/>
  <c r="H226" i="8" s="1" a="1"/>
  <c r="H226" i="8" s="1"/>
  <c r="H227" i="8" s="1" a="1"/>
  <c r="H227" i="8" s="1"/>
  <c r="H228" i="8" s="1" a="1"/>
  <c r="H228" i="8" s="1"/>
  <c r="H229" i="8" s="1" a="1"/>
  <c r="H229" i="8" s="1"/>
  <c r="H230" i="8" s="1" a="1"/>
  <c r="H230" i="8" s="1"/>
  <c r="H231" i="8" s="1" a="1"/>
  <c r="H231" i="8" s="1"/>
  <c r="H232" i="8" s="1" a="1"/>
  <c r="H232" i="8" s="1"/>
  <c r="H233" i="8" s="1" a="1"/>
  <c r="H233" i="8" s="1"/>
  <c r="H234" i="8" s="1" a="1"/>
  <c r="H234" i="8" s="1"/>
  <c r="H235" i="8" s="1" a="1"/>
  <c r="H235" i="8" s="1"/>
  <c r="H236" i="8" s="1" a="1"/>
  <c r="H236" i="8" s="1"/>
  <c r="H237" i="8" s="1" a="1"/>
  <c r="H237" i="8" s="1"/>
  <c r="H238" i="8" s="1" a="1"/>
  <c r="H238" i="8" s="1"/>
  <c r="H239" i="8" s="1" a="1"/>
  <c r="H239" i="8" s="1"/>
  <c r="H240" i="8" s="1" a="1"/>
  <c r="H240" i="8" s="1"/>
  <c r="H241" i="8" s="1" a="1"/>
  <c r="H241" i="8" s="1"/>
  <c r="H242" i="8" s="1" a="1"/>
  <c r="H242" i="8" s="1"/>
  <c r="H243" i="8" s="1" a="1"/>
  <c r="H243" i="8" s="1"/>
  <c r="H244" i="8" s="1" a="1"/>
  <c r="H244" i="8" s="1"/>
  <c r="H245" i="8" s="1" a="1"/>
  <c r="H245" i="8" s="1"/>
  <c r="H246" i="8" s="1" a="1"/>
  <c r="H246" i="8" s="1"/>
  <c r="H247" i="8" s="1" a="1"/>
  <c r="H247" i="8" s="1"/>
  <c r="H248" i="8" s="1" a="1"/>
  <c r="H248" i="8" s="1"/>
  <c r="H249" i="8" s="1" a="1"/>
  <c r="H249" i="8" s="1"/>
  <c r="H250" i="8" s="1" a="1"/>
  <c r="H250" i="8" s="1"/>
  <c r="H251" i="8" s="1" a="1"/>
  <c r="H251" i="8" s="1"/>
  <c r="H252" i="8" s="1" a="1"/>
  <c r="H252" i="8" s="1"/>
  <c r="H253" i="8" s="1" a="1"/>
  <c r="H253" i="8" s="1"/>
  <c r="H254" i="8" s="1" a="1"/>
  <c r="H254" i="8" s="1"/>
  <c r="H255" i="8" s="1" a="1"/>
  <c r="H255" i="8" s="1"/>
  <c r="H256" i="8" s="1" a="1"/>
  <c r="H256" i="8" s="1"/>
  <c r="H257" i="8" s="1" a="1"/>
  <c r="H257" i="8" s="1"/>
  <c r="H258" i="8" s="1" a="1"/>
  <c r="H258" i="8" s="1"/>
  <c r="H259" i="8" s="1" a="1"/>
  <c r="H259" i="8" s="1"/>
  <c r="H260" i="8" s="1" a="1"/>
  <c r="H260" i="8" s="1"/>
  <c r="H261" i="8" s="1" a="1"/>
  <c r="H261" i="8" s="1"/>
  <c r="H262" i="8" s="1" a="1"/>
  <c r="H262" i="8" s="1"/>
  <c r="H263" i="8" s="1" a="1"/>
  <c r="H263" i="8" s="1"/>
  <c r="H264" i="8" s="1" a="1"/>
  <c r="H264" i="8" s="1"/>
  <c r="H265" i="8" s="1" a="1"/>
  <c r="H265" i="8" s="1"/>
  <c r="H266" i="8" s="1" a="1"/>
  <c r="H266" i="8" s="1"/>
  <c r="H267" i="8" s="1" a="1"/>
  <c r="H267" i="8" s="1"/>
  <c r="H268" i="8" s="1" a="1"/>
  <c r="H268" i="8" s="1"/>
  <c r="H269" i="8" s="1" a="1"/>
  <c r="H269" i="8" s="1"/>
  <c r="H270" i="8" s="1" a="1"/>
  <c r="H270" i="8" s="1"/>
  <c r="H271" i="8" s="1" a="1"/>
  <c r="H271" i="8" s="1"/>
  <c r="H272" i="8" s="1" a="1"/>
  <c r="H272" i="8" s="1"/>
  <c r="H273" i="8" s="1" a="1"/>
  <c r="H273" i="8" s="1"/>
  <c r="H274" i="8" s="1" a="1"/>
  <c r="H274" i="8" s="1"/>
  <c r="H275" i="8" s="1" a="1"/>
  <c r="H275" i="8" s="1"/>
  <c r="H276" i="8" s="1" a="1"/>
  <c r="H276" i="8" s="1"/>
  <c r="H277" i="8" s="1" a="1"/>
  <c r="H277" i="8" s="1"/>
  <c r="H278" i="8" s="1" a="1"/>
  <c r="H278" i="8" s="1"/>
  <c r="H279" i="8" s="1" a="1"/>
  <c r="H279" i="8" s="1"/>
  <c r="H280" i="8" s="1" a="1"/>
  <c r="H280" i="8" s="1"/>
  <c r="H281" i="8" s="1" a="1"/>
  <c r="H281" i="8" s="1"/>
  <c r="H282" i="8" s="1" a="1"/>
  <c r="H282" i="8" s="1"/>
  <c r="H283" i="8" s="1" a="1"/>
  <c r="H283" i="8" s="1"/>
  <c r="H284" i="8" s="1" a="1"/>
  <c r="H284" i="8" s="1"/>
  <c r="H285" i="8" s="1" a="1"/>
  <c r="H285" i="8" s="1"/>
  <c r="H286" i="8" s="1" a="1"/>
  <c r="H286" i="8" s="1"/>
  <c r="H287" i="8" s="1" a="1"/>
  <c r="H287" i="8" s="1"/>
  <c r="H288" i="8" s="1" a="1"/>
  <c r="H288" i="8" s="1"/>
  <c r="H289" i="8" s="1" a="1"/>
  <c r="H289" i="8" s="1"/>
  <c r="H290" i="8" s="1" a="1"/>
  <c r="H290" i="8" s="1"/>
  <c r="H291" i="8" s="1" a="1"/>
  <c r="H291" i="8" s="1"/>
  <c r="H292" i="8" s="1" a="1"/>
  <c r="H292" i="8" s="1"/>
  <c r="H293" i="8" s="1" a="1"/>
  <c r="H293" i="8" s="1"/>
  <c r="H294" i="8" s="1" a="1"/>
  <c r="H294" i="8" s="1"/>
  <c r="H295" i="8" s="1" a="1"/>
  <c r="H295" i="8" s="1"/>
  <c r="H296" i="8" s="1" a="1"/>
  <c r="H296" i="8" s="1"/>
  <c r="H297" i="8" s="1" a="1"/>
  <c r="H297" i="8" s="1"/>
  <c r="H298" i="8" s="1" a="1"/>
  <c r="H298" i="8" s="1"/>
  <c r="H299" i="8" s="1" a="1"/>
  <c r="H299" i="8" s="1"/>
  <c r="H300" i="8" s="1" a="1"/>
  <c r="H300" i="8" s="1"/>
  <c r="H301" i="8" s="1" a="1"/>
  <c r="H301" i="8" s="1"/>
  <c r="H302" i="8" s="1" a="1"/>
  <c r="H302" i="8" s="1"/>
  <c r="H303" i="8" s="1" a="1"/>
  <c r="H303" i="8" s="1"/>
  <c r="H304" i="8" s="1" a="1"/>
  <c r="H304" i="8" s="1"/>
  <c r="H305" i="8" s="1" a="1"/>
  <c r="H305" i="8" s="1"/>
  <c r="H306" i="8" s="1" a="1"/>
  <c r="H306" i="8" s="1"/>
  <c r="H307" i="8" s="1" a="1"/>
  <c r="H307" i="8" s="1"/>
  <c r="H308" i="8" s="1" a="1"/>
  <c r="H308" i="8" s="1"/>
  <c r="H309" i="8" s="1" a="1"/>
  <c r="H309" i="8" s="1"/>
  <c r="H310" i="8" s="1" a="1"/>
  <c r="H310" i="8" s="1"/>
  <c r="H311" i="8" s="1" a="1"/>
  <c r="H311" i="8" s="1"/>
  <c r="H312" i="8" s="1" a="1"/>
  <c r="H312" i="8" s="1"/>
  <c r="H313" i="8" s="1" a="1"/>
  <c r="H313" i="8" s="1"/>
  <c r="H314" i="8" s="1" a="1"/>
  <c r="H314" i="8" s="1"/>
  <c r="H315" i="8" s="1" a="1"/>
  <c r="H315" i="8" s="1"/>
  <c r="H316" i="8" s="1" a="1"/>
  <c r="H316" i="8" s="1"/>
  <c r="H317" i="8" s="1" a="1"/>
  <c r="H317" i="8" s="1"/>
  <c r="H318" i="8" s="1" a="1"/>
  <c r="H318" i="8" s="1"/>
  <c r="H319" i="8" s="1" a="1"/>
  <c r="H319" i="8" s="1"/>
  <c r="H320" i="8" s="1" a="1"/>
  <c r="H320" i="8" s="1"/>
  <c r="H321" i="8" s="1" a="1"/>
  <c r="H321" i="8" s="1"/>
  <c r="H322" i="8" s="1" a="1"/>
  <c r="H322" i="8" s="1"/>
  <c r="H323" i="8" s="1" a="1"/>
  <c r="H323" i="8" s="1"/>
  <c r="H324" i="8" s="1" a="1"/>
  <c r="H324" i="8" s="1"/>
  <c r="H325" i="8" s="1" a="1"/>
  <c r="H325" i="8" s="1"/>
  <c r="H326" i="8" s="1" a="1"/>
  <c r="H326" i="8" s="1"/>
  <c r="H327" i="8" s="1" a="1"/>
  <c r="H327" i="8" s="1"/>
  <c r="H328" i="8" s="1" a="1"/>
  <c r="H328" i="8" s="1"/>
  <c r="H329" i="8" s="1" a="1"/>
  <c r="H329" i="8" s="1"/>
  <c r="H330" i="8" s="1" a="1"/>
  <c r="H330" i="8" s="1"/>
  <c r="H331" i="8" s="1" a="1"/>
  <c r="H331" i="8" s="1"/>
  <c r="H332" i="8" s="1" a="1"/>
  <c r="H332" i="8" s="1"/>
  <c r="H333" i="8" s="1" a="1"/>
  <c r="H333" i="8" s="1"/>
  <c r="H334" i="8" s="1" a="1"/>
  <c r="H334" i="8" s="1"/>
  <c r="H335" i="8" s="1" a="1"/>
  <c r="H335" i="8" s="1"/>
  <c r="H336" i="8" s="1" a="1"/>
  <c r="H336" i="8" s="1"/>
  <c r="H337" i="8" s="1" a="1"/>
  <c r="H337" i="8" s="1"/>
  <c r="H338" i="8" s="1" a="1"/>
  <c r="H338" i="8" s="1"/>
  <c r="H339" i="8" s="1" a="1"/>
  <c r="H339" i="8" s="1"/>
  <c r="H340" i="8" s="1" a="1"/>
  <c r="H340" i="8" s="1"/>
  <c r="H341" i="8" s="1" a="1"/>
  <c r="H341" i="8" s="1"/>
  <c r="H342" i="8" s="1" a="1"/>
  <c r="H342" i="8" s="1"/>
  <c r="H343" i="8" s="1" a="1"/>
  <c r="H343" i="8" s="1"/>
  <c r="H344" i="8" s="1" a="1"/>
  <c r="H344" i="8" s="1"/>
  <c r="H345" i="8" s="1" a="1"/>
  <c r="H345" i="8" s="1"/>
  <c r="H346" i="8" s="1" a="1"/>
  <c r="H346" i="8" s="1"/>
  <c r="H347" i="8" s="1" a="1"/>
  <c r="H347" i="8" s="1"/>
  <c r="H348" i="8" s="1" a="1"/>
  <c r="H348" i="8" s="1"/>
  <c r="H349" i="8" s="1" a="1"/>
  <c r="H349" i="8" s="1"/>
  <c r="H350" i="8" s="1" a="1"/>
  <c r="H350" i="8" s="1"/>
  <c r="H351" i="8" s="1" a="1"/>
  <c r="H351" i="8" s="1"/>
  <c r="H352" i="8" s="1" a="1"/>
  <c r="H352" i="8" s="1"/>
  <c r="H353" i="8" s="1" a="1"/>
  <c r="H353" i="8" s="1"/>
  <c r="H354" i="8" s="1" a="1"/>
  <c r="H354" i="8" s="1"/>
  <c r="H355" i="8" s="1" a="1"/>
  <c r="H355" i="8" s="1"/>
  <c r="H356" i="8" s="1" a="1"/>
  <c r="H356" i="8" s="1"/>
  <c r="H357" i="8" s="1" a="1"/>
  <c r="H357" i="8" s="1"/>
  <c r="H358" i="8" s="1" a="1"/>
  <c r="H358" i="8" s="1"/>
  <c r="H359" i="8" s="1" a="1"/>
  <c r="H359" i="8" s="1"/>
  <c r="H360" i="8" s="1" a="1"/>
  <c r="H360" i="8" s="1"/>
  <c r="H361" i="8" s="1" a="1"/>
  <c r="H361" i="8" s="1"/>
  <c r="H362" i="8" s="1" a="1"/>
  <c r="H362" i="8" s="1"/>
  <c r="H363" i="8" s="1" a="1"/>
  <c r="H363" i="8" s="1"/>
  <c r="H364" i="8" s="1" a="1"/>
  <c r="H364" i="8" s="1"/>
  <c r="H365" i="8" s="1" a="1"/>
  <c r="H365" i="8" s="1"/>
  <c r="H366" i="8" s="1" a="1"/>
  <c r="H366" i="8" s="1"/>
  <c r="H367" i="8" s="1" a="1"/>
  <c r="H367" i="8" s="1"/>
  <c r="H368" i="8" s="1" a="1"/>
  <c r="H368" i="8" s="1"/>
  <c r="H369" i="8" s="1" a="1"/>
  <c r="H369" i="8" s="1"/>
  <c r="H370" i="8" s="1" a="1"/>
  <c r="H370" i="8" s="1"/>
  <c r="H371" i="8" s="1" a="1"/>
  <c r="H371" i="8" s="1"/>
  <c r="H372" i="8" s="1" a="1"/>
  <c r="H372" i="8" s="1"/>
  <c r="H373" i="8" s="1" a="1"/>
  <c r="H373" i="8" s="1"/>
  <c r="H374" i="8" s="1" a="1"/>
  <c r="H374" i="8" s="1"/>
  <c r="H375" i="8" s="1" a="1"/>
  <c r="H375" i="8" s="1"/>
  <c r="H376" i="8" s="1" a="1"/>
  <c r="H376" i="8" s="1"/>
  <c r="H377" i="8" s="1" a="1"/>
  <c r="H377" i="8" s="1"/>
  <c r="H378" i="8" s="1" a="1"/>
  <c r="H378" i="8" s="1"/>
  <c r="H379" i="8" s="1" a="1"/>
  <c r="H379" i="8" s="1"/>
  <c r="H380" i="8" s="1" a="1"/>
  <c r="H380" i="8" s="1"/>
  <c r="H381" i="8" s="1" a="1"/>
  <c r="H381" i="8" s="1"/>
  <c r="H382" i="8" s="1" a="1"/>
  <c r="H382" i="8" s="1"/>
  <c r="H383" i="8" s="1" a="1"/>
  <c r="H383" i="8" s="1"/>
  <c r="H384" i="8" s="1" a="1"/>
  <c r="H384" i="8" s="1"/>
  <c r="H385" i="8" s="1" a="1"/>
  <c r="H385" i="8" s="1"/>
  <c r="H386" i="8" s="1" a="1"/>
  <c r="H386" i="8" s="1"/>
  <c r="H387" i="8" s="1" a="1"/>
  <c r="H387" i="8" s="1"/>
  <c r="H388" i="8" s="1" a="1"/>
  <c r="H388" i="8" s="1"/>
  <c r="H389" i="8" s="1" a="1"/>
  <c r="H389" i="8" s="1"/>
  <c r="H390" i="8" s="1" a="1"/>
  <c r="H390" i="8" s="1"/>
  <c r="H391" i="8" s="1" a="1"/>
  <c r="H391" i="8" s="1"/>
  <c r="H392" i="8" s="1" a="1"/>
  <c r="H392" i="8" s="1"/>
  <c r="H393" i="8" s="1" a="1"/>
  <c r="H393" i="8" s="1"/>
  <c r="H394" i="8" s="1" a="1"/>
  <c r="H394" i="8" s="1"/>
  <c r="H395" i="8" s="1" a="1"/>
  <c r="H395" i="8" s="1"/>
  <c r="H396" i="8" s="1" a="1"/>
  <c r="H396" i="8" s="1"/>
  <c r="H397" i="8" s="1" a="1"/>
  <c r="H397" i="8" s="1"/>
  <c r="H398" i="8" s="1" a="1"/>
  <c r="H398" i="8" s="1"/>
  <c r="H399" i="8" s="1" a="1"/>
  <c r="H399" i="8" s="1"/>
  <c r="H400" i="8" s="1" a="1"/>
  <c r="H400" i="8" s="1"/>
  <c r="H401" i="8" s="1" a="1"/>
  <c r="H401" i="8" s="1"/>
  <c r="H402" i="8" s="1" a="1"/>
  <c r="H402" i="8" s="1"/>
  <c r="H403" i="8" s="1" a="1"/>
  <c r="H403" i="8" s="1"/>
  <c r="H404" i="8" s="1" a="1"/>
  <c r="H404" i="8" s="1"/>
  <c r="H405" i="8" s="1" a="1"/>
  <c r="H405" i="8" s="1"/>
  <c r="H406" i="8" s="1" a="1"/>
  <c r="H406" i="8" s="1"/>
  <c r="H407" i="8" s="1" a="1"/>
  <c r="H407" i="8" s="1"/>
  <c r="H408" i="8" s="1" a="1"/>
  <c r="H408" i="8" s="1"/>
  <c r="H409" i="8" s="1" a="1"/>
  <c r="H409" i="8" s="1"/>
  <c r="H410" i="8" s="1" a="1"/>
  <c r="H410" i="8" s="1"/>
  <c r="H411" i="8" s="1" a="1"/>
  <c r="H411" i="8" s="1"/>
  <c r="H412" i="8" s="1" a="1"/>
  <c r="H412" i="8" s="1"/>
  <c r="H413" i="8" s="1" a="1"/>
  <c r="H413" i="8" s="1"/>
  <c r="H414" i="8" s="1" a="1"/>
  <c r="H414" i="8" s="1"/>
  <c r="H415" i="8" s="1" a="1"/>
  <c r="H415" i="8" s="1"/>
  <c r="H416" i="8" s="1" a="1"/>
  <c r="H416" i="8" s="1"/>
  <c r="H417" i="8" s="1" a="1"/>
  <c r="H417" i="8" s="1"/>
  <c r="H418" i="8" s="1" a="1"/>
  <c r="H418" i="8" s="1"/>
  <c r="H419" i="8" s="1" a="1"/>
  <c r="H419" i="8" s="1"/>
  <c r="H420" i="8" s="1" a="1"/>
  <c r="H420" i="8" s="1"/>
  <c r="H421" i="8" s="1" a="1"/>
  <c r="H421" i="8" s="1"/>
  <c r="H422" i="8" s="1" a="1"/>
  <c r="H422" i="8" s="1"/>
  <c r="H423" i="8" s="1" a="1"/>
  <c r="H423" i="8" s="1"/>
  <c r="H424" i="8" s="1" a="1"/>
  <c r="H424" i="8" s="1"/>
  <c r="H425" i="8" s="1" a="1"/>
  <c r="H425" i="8" s="1"/>
  <c r="H426" i="8" s="1" a="1"/>
  <c r="H426" i="8" s="1"/>
  <c r="H427" i="8" s="1" a="1"/>
  <c r="H427" i="8" s="1"/>
  <c r="H428" i="8" s="1" a="1"/>
  <c r="H428" i="8" s="1"/>
  <c r="H429" i="8" s="1" a="1"/>
  <c r="H429" i="8" s="1"/>
  <c r="H430" i="8" s="1" a="1"/>
  <c r="H430" i="8" s="1"/>
  <c r="H431" i="8" s="1" a="1"/>
  <c r="H431" i="8" s="1"/>
  <c r="H432" i="8" s="1" a="1"/>
  <c r="H432" i="8" s="1"/>
  <c r="H433" i="8" s="1" a="1"/>
  <c r="H433" i="8" s="1"/>
  <c r="H434" i="8" s="1" a="1"/>
  <c r="H434" i="8" s="1"/>
  <c r="H435" i="8" s="1" a="1"/>
  <c r="H435" i="8" s="1"/>
  <c r="H436" i="8" s="1" a="1"/>
  <c r="H436" i="8" s="1"/>
  <c r="H437" i="8" s="1" a="1"/>
  <c r="H437" i="8" s="1"/>
  <c r="H438" i="8" s="1" a="1"/>
  <c r="H438" i="8" s="1"/>
  <c r="H439" i="8" s="1" a="1"/>
  <c r="H439" i="8" s="1"/>
  <c r="H440" i="8" s="1" a="1"/>
  <c r="H440" i="8" s="1"/>
  <c r="H441" i="8" s="1" a="1"/>
  <c r="H441" i="8" s="1"/>
  <c r="H442" i="8" s="1" a="1"/>
  <c r="H442" i="8" s="1"/>
  <c r="H443" i="8" s="1" a="1"/>
  <c r="H443" i="8" s="1"/>
  <c r="H444" i="8" s="1" a="1"/>
  <c r="H444" i="8" s="1"/>
  <c r="H445" i="8" s="1" a="1"/>
  <c r="H445" i="8" s="1"/>
  <c r="H446" i="8" s="1" a="1"/>
  <c r="H446" i="8" s="1"/>
  <c r="H447" i="8" s="1" a="1"/>
  <c r="H447" i="8" s="1"/>
  <c r="H448" i="8" s="1" a="1"/>
  <c r="H448" i="8" s="1"/>
  <c r="H449" i="8" s="1" a="1"/>
  <c r="H449" i="8" s="1"/>
  <c r="H450" i="8" s="1" a="1"/>
  <c r="H450" i="8" s="1"/>
  <c r="H451" i="8" s="1" a="1"/>
  <c r="H451" i="8" s="1"/>
  <c r="H452" i="8" s="1" a="1"/>
  <c r="H452" i="8" s="1"/>
  <c r="H453" i="8" s="1" a="1"/>
  <c r="H453" i="8" s="1"/>
  <c r="H454" i="8" s="1" a="1"/>
  <c r="H454" i="8" s="1"/>
  <c r="H455" i="8" s="1" a="1"/>
  <c r="H455" i="8" s="1"/>
  <c r="H456" i="8" s="1" a="1"/>
  <c r="H456" i="8" s="1"/>
  <c r="H457" i="8" s="1" a="1"/>
  <c r="H457" i="8" s="1"/>
  <c r="H458" i="8" s="1" a="1"/>
  <c r="H458" i="8" s="1"/>
  <c r="H459" i="8" s="1" a="1"/>
  <c r="H459" i="8" s="1"/>
  <c r="H460" i="8" s="1" a="1"/>
  <c r="H460" i="8" s="1"/>
  <c r="H461" i="8" s="1" a="1"/>
  <c r="H461" i="8" s="1"/>
  <c r="H462" i="8" s="1" a="1"/>
  <c r="H462" i="8" s="1"/>
  <c r="H463" i="8" s="1" a="1"/>
  <c r="H463" i="8" s="1"/>
  <c r="H464" i="8" s="1" a="1"/>
  <c r="H464" i="8" s="1"/>
  <c r="H465" i="8" s="1" a="1"/>
  <c r="H465" i="8" s="1"/>
  <c r="H466" i="8" s="1" a="1"/>
  <c r="H466" i="8" s="1"/>
  <c r="H467" i="8" s="1" a="1"/>
  <c r="H467" i="8" s="1"/>
  <c r="H468" i="8" s="1" a="1"/>
  <c r="H468" i="8" s="1"/>
  <c r="H469" i="8" s="1" a="1"/>
  <c r="H469" i="8" s="1"/>
  <c r="H470" i="8" s="1" a="1"/>
  <c r="H470" i="8" s="1"/>
  <c r="H471" i="8" s="1" a="1"/>
  <c r="H471" i="8" s="1"/>
  <c r="H472" i="8" s="1" a="1"/>
  <c r="H472" i="8" s="1"/>
  <c r="H473" i="8" s="1" a="1"/>
  <c r="H473" i="8" s="1"/>
  <c r="H474" i="8" s="1" a="1"/>
  <c r="H474" i="8" s="1"/>
  <c r="H475" i="8" s="1" a="1"/>
  <c r="H475" i="8" s="1"/>
  <c r="H476" i="8" s="1" a="1"/>
  <c r="H476" i="8" s="1"/>
  <c r="H477" i="8" s="1" a="1"/>
  <c r="H477" i="8" s="1"/>
  <c r="H478" i="8" s="1" a="1"/>
  <c r="H478" i="8" s="1"/>
  <c r="H479" i="8" s="1" a="1"/>
  <c r="H479" i="8" s="1"/>
  <c r="H480" i="8" s="1" a="1"/>
  <c r="H480" i="8" s="1"/>
  <c r="H481" i="8" s="1" a="1"/>
  <c r="H481" i="8" s="1"/>
  <c r="H482" i="8" s="1" a="1"/>
  <c r="H482" i="8" s="1"/>
  <c r="H483" i="8" s="1" a="1"/>
  <c r="H483" i="8" s="1"/>
  <c r="H484" i="8" s="1" a="1"/>
  <c r="H484" i="8" s="1"/>
  <c r="H485" i="8" s="1" a="1"/>
  <c r="H485" i="8" s="1"/>
  <c r="H486" i="8" s="1" a="1"/>
  <c r="H486" i="8" s="1"/>
  <c r="H487" i="8" s="1" a="1"/>
  <c r="H487" i="8" s="1"/>
  <c r="H488" i="8" s="1" a="1"/>
  <c r="H488" i="8" s="1"/>
  <c r="H489" i="8" s="1" a="1"/>
  <c r="H489" i="8" s="1"/>
  <c r="H490" i="8" s="1" a="1"/>
  <c r="H490" i="8" s="1"/>
  <c r="H491" i="8" s="1" a="1"/>
  <c r="H491" i="8" s="1"/>
  <c r="H492" i="8" s="1" a="1"/>
  <c r="H492" i="8" s="1"/>
  <c r="H493" i="8" s="1" a="1"/>
  <c r="H493" i="8" s="1"/>
  <c r="H494" i="8" s="1" a="1"/>
  <c r="H494" i="8" s="1"/>
  <c r="H495" i="8" s="1" a="1"/>
  <c r="H495" i="8" s="1"/>
  <c r="H496" i="8" s="1" a="1"/>
  <c r="H496" i="8" s="1"/>
  <c r="H497" i="8" s="1" a="1"/>
  <c r="H497" i="8" s="1"/>
  <c r="H498" i="8" s="1" a="1"/>
  <c r="H498" i="8" s="1"/>
  <c r="H499" i="8" s="1" a="1"/>
  <c r="H499" i="8" s="1"/>
  <c r="H500" i="8" s="1" a="1"/>
  <c r="H500" i="8" s="1"/>
  <c r="H501" i="8" s="1" a="1"/>
  <c r="H501" i="8" s="1"/>
  <c r="H502" i="8" s="1" a="1"/>
  <c r="H502" i="8" s="1"/>
  <c r="H503" i="8" s="1" a="1"/>
  <c r="H503" i="8" s="1"/>
  <c r="H504" i="8" s="1" a="1"/>
  <c r="H504" i="8" s="1"/>
  <c r="H505" i="8" s="1" a="1"/>
  <c r="H505" i="8" s="1"/>
  <c r="H506" i="8" s="1" a="1"/>
  <c r="H506" i="8" s="1"/>
  <c r="H507" i="8" s="1" a="1"/>
  <c r="H507" i="8" s="1"/>
  <c r="H508" i="8" s="1" a="1"/>
  <c r="H508" i="8" s="1"/>
  <c r="H509" i="8" s="1" a="1"/>
  <c r="H509" i="8" s="1"/>
  <c r="H510" i="8" s="1" a="1"/>
  <c r="H510" i="8" s="1"/>
  <c r="H511" i="8" s="1" a="1"/>
  <c r="H511" i="8" s="1"/>
  <c r="H512" i="8" s="1" a="1"/>
  <c r="H512" i="8" s="1"/>
  <c r="H513" i="8" s="1" a="1"/>
  <c r="H513" i="8" s="1"/>
  <c r="H514" i="8" s="1" a="1"/>
  <c r="H514" i="8" s="1"/>
  <c r="H515" i="8" s="1" a="1"/>
  <c r="H515" i="8" s="1"/>
  <c r="H516" i="8" s="1" a="1"/>
  <c r="H516" i="8" s="1"/>
  <c r="H517" i="8" s="1" a="1"/>
  <c r="H517" i="8" s="1"/>
  <c r="H518" i="8" s="1" a="1"/>
  <c r="H518" i="8" s="1"/>
  <c r="H519" i="8" s="1" a="1"/>
  <c r="H519" i="8" s="1"/>
  <c r="H520" i="8" s="1" a="1"/>
  <c r="H520" i="8" s="1"/>
  <c r="H521" i="8" s="1" a="1"/>
  <c r="H521" i="8" s="1"/>
  <c r="H522" i="8" s="1" a="1"/>
  <c r="H522" i="8" s="1"/>
  <c r="H523" i="8" s="1" a="1"/>
  <c r="H523" i="8" s="1"/>
  <c r="H524" i="8" s="1" a="1"/>
  <c r="H524" i="8" s="1"/>
  <c r="H525" i="8" s="1" a="1"/>
  <c r="H525" i="8" s="1"/>
  <c r="H526" i="8" s="1" a="1"/>
  <c r="H526" i="8" s="1"/>
  <c r="H527" i="8" s="1" a="1"/>
  <c r="H527" i="8" s="1"/>
  <c r="H528" i="8" s="1" a="1"/>
  <c r="H528" i="8" s="1"/>
  <c r="H529" i="8" s="1" a="1"/>
  <c r="H529" i="8" s="1"/>
  <c r="H530" i="8" s="1" a="1"/>
  <c r="H530" i="8" s="1"/>
  <c r="H531" i="8" s="1" a="1"/>
  <c r="H531" i="8" s="1"/>
  <c r="H532" i="8" s="1" a="1"/>
  <c r="H532" i="8" s="1"/>
  <c r="H533" i="8" s="1" a="1"/>
  <c r="H533" i="8" s="1"/>
  <c r="H534" i="8" s="1" a="1"/>
  <c r="H534" i="8" s="1"/>
  <c r="H535" i="8" s="1" a="1"/>
  <c r="H535" i="8" s="1"/>
  <c r="H536" i="8" s="1" a="1"/>
  <c r="H536" i="8" s="1"/>
  <c r="H537" i="8" s="1" a="1"/>
  <c r="H537" i="8" s="1"/>
  <c r="H538" i="8" s="1" a="1"/>
  <c r="H538" i="8" s="1"/>
  <c r="H539" i="8" s="1" a="1"/>
  <c r="H539" i="8" s="1"/>
  <c r="H540" i="8" s="1" a="1"/>
  <c r="H540" i="8" s="1"/>
  <c r="H541" i="8" s="1" a="1"/>
  <c r="H541" i="8" s="1"/>
  <c r="H542" i="8" s="1" a="1"/>
  <c r="H542" i="8" s="1"/>
  <c r="H543" i="8" s="1" a="1"/>
  <c r="H543" i="8" s="1"/>
  <c r="H544" i="8" s="1" a="1"/>
  <c r="H544" i="8" s="1"/>
  <c r="H545" i="8" s="1" a="1"/>
  <c r="H545" i="8" s="1"/>
  <c r="H546" i="8" s="1" a="1"/>
  <c r="H546" i="8" s="1"/>
  <c r="H547" i="8" s="1" a="1"/>
  <c r="H547" i="8" s="1"/>
  <c r="H548" i="8" s="1" a="1"/>
  <c r="H548" i="8" s="1"/>
  <c r="H549" i="8" s="1" a="1"/>
  <c r="H549" i="8" s="1"/>
  <c r="H550" i="8" s="1" a="1"/>
  <c r="H550" i="8" s="1"/>
  <c r="H551" i="8" s="1" a="1"/>
  <c r="H551" i="8" s="1"/>
  <c r="H552" i="8" s="1" a="1"/>
  <c r="H552" i="8" s="1"/>
  <c r="H553" i="8" s="1" a="1"/>
  <c r="H553" i="8" s="1"/>
  <c r="H554" i="8" s="1" a="1"/>
  <c r="H554" i="8" s="1"/>
  <c r="H555" i="8" s="1" a="1"/>
  <c r="H555" i="8" s="1"/>
  <c r="H556" i="8" s="1" a="1"/>
  <c r="H556" i="8" s="1"/>
  <c r="H557" i="8" s="1" a="1"/>
  <c r="H557" i="8" s="1"/>
  <c r="H558" i="8" s="1" a="1"/>
  <c r="H558" i="8" s="1"/>
  <c r="H559" i="8" s="1" a="1"/>
  <c r="H559" i="8" s="1"/>
  <c r="H560" i="8" s="1" a="1"/>
  <c r="H560" i="8" s="1"/>
  <c r="H561" i="8" s="1" a="1"/>
  <c r="H561" i="8" s="1"/>
  <c r="H562" i="8" s="1" a="1"/>
  <c r="H562" i="8" s="1"/>
  <c r="H563" i="8" s="1" a="1"/>
  <c r="H563" i="8" s="1"/>
  <c r="H564" i="8" s="1" a="1"/>
  <c r="H564" i="8" s="1"/>
  <c r="H565" i="8" s="1" a="1"/>
  <c r="H565" i="8" s="1"/>
  <c r="H566" i="8" s="1" a="1"/>
  <c r="H566" i="8" s="1"/>
  <c r="H567" i="8" s="1" a="1"/>
  <c r="H567" i="8" s="1"/>
  <c r="H568" i="8" s="1" a="1"/>
  <c r="H568" i="8" s="1"/>
  <c r="H569" i="8" s="1" a="1"/>
  <c r="H569" i="8" s="1"/>
  <c r="H570" i="8" s="1" a="1"/>
  <c r="H570" i="8" s="1"/>
  <c r="H571" i="8" s="1" a="1"/>
  <c r="H571" i="8" s="1"/>
  <c r="H572" i="8" s="1" a="1"/>
  <c r="H572" i="8" s="1"/>
  <c r="H573" i="8" s="1" a="1"/>
  <c r="H573" i="8" s="1"/>
  <c r="H574" i="8" s="1" a="1"/>
  <c r="H574" i="8" s="1"/>
  <c r="H575" i="8" s="1" a="1"/>
  <c r="H575" i="8" s="1"/>
  <c r="H576" i="8" s="1" a="1"/>
  <c r="H576" i="8" s="1"/>
  <c r="H577" i="8" s="1" a="1"/>
  <c r="H577" i="8" s="1"/>
  <c r="H578" i="8" s="1" a="1"/>
  <c r="H578" i="8" s="1"/>
  <c r="H579" i="8" s="1" a="1"/>
  <c r="H579" i="8" s="1"/>
  <c r="H580" i="8" s="1" a="1"/>
  <c r="H580" i="8" s="1"/>
  <c r="H581" i="8" s="1" a="1"/>
  <c r="H581" i="8" s="1"/>
  <c r="H582" i="8" s="1" a="1"/>
  <c r="H582" i="8" s="1"/>
  <c r="H583" i="8" s="1" a="1"/>
  <c r="H583" i="8" s="1"/>
  <c r="H584" i="8" s="1" a="1"/>
  <c r="H584" i="8" s="1"/>
  <c r="H585" i="8" s="1" a="1"/>
  <c r="H585" i="8" s="1"/>
  <c r="H586" i="8" s="1" a="1"/>
  <c r="H586" i="8" s="1"/>
  <c r="H587" i="8" s="1" a="1"/>
  <c r="H587" i="8" s="1"/>
  <c r="H588" i="8" s="1" a="1"/>
  <c r="H588" i="8" s="1"/>
  <c r="H589" i="8" s="1" a="1"/>
  <c r="H589" i="8" s="1"/>
  <c r="H590" i="8" s="1" a="1"/>
  <c r="H590" i="8" s="1"/>
  <c r="H591" i="8" s="1" a="1"/>
  <c r="H591" i="8" s="1"/>
  <c r="H592" i="8" s="1" a="1"/>
  <c r="H592" i="8" s="1"/>
  <c r="H593" i="8" s="1" a="1"/>
  <c r="H593" i="8" s="1"/>
  <c r="H594" i="8" s="1" a="1"/>
  <c r="H594" i="8" s="1"/>
  <c r="H595" i="8" s="1" a="1"/>
  <c r="H595" i="8" s="1"/>
  <c r="H596" i="8" s="1" a="1"/>
  <c r="H596" i="8" s="1"/>
  <c r="H597" i="8" s="1" a="1"/>
  <c r="H597" i="8" s="1"/>
  <c r="H598" i="8" s="1" a="1"/>
  <c r="H598" i="8" s="1"/>
  <c r="H599" i="8" s="1" a="1"/>
  <c r="H599" i="8" s="1"/>
  <c r="H600" i="8" s="1" a="1"/>
  <c r="H600" i="8" s="1"/>
  <c r="H601" i="8" s="1" a="1"/>
  <c r="H601" i="8" s="1"/>
  <c r="H602" i="8" s="1" a="1"/>
  <c r="H602" i="8" s="1"/>
  <c r="H603" i="8" s="1" a="1"/>
  <c r="H603" i="8" s="1"/>
  <c r="H604" i="8" s="1" a="1"/>
  <c r="H604" i="8" s="1"/>
  <c r="H605" i="8" s="1" a="1"/>
  <c r="H605" i="8" s="1"/>
  <c r="H606" i="8" s="1" a="1"/>
  <c r="H606" i="8" s="1"/>
  <c r="H607" i="8" s="1" a="1"/>
  <c r="H607" i="8" s="1"/>
  <c r="H608" i="8" s="1" a="1"/>
  <c r="H608" i="8" s="1"/>
  <c r="H609" i="8" s="1" a="1"/>
  <c r="H609" i="8" s="1"/>
  <c r="H610" i="8" s="1" a="1"/>
  <c r="H610" i="8" s="1"/>
  <c r="H611" i="8" s="1" a="1"/>
  <c r="H611" i="8" s="1"/>
  <c r="H612" i="8" s="1" a="1"/>
  <c r="H612" i="8" s="1"/>
  <c r="H613" i="8" s="1" a="1"/>
  <c r="H613" i="8" s="1"/>
  <c r="H614" i="8" s="1" a="1"/>
  <c r="H614" i="8" s="1"/>
  <c r="H615" i="8" s="1" a="1"/>
  <c r="H615" i="8" s="1"/>
  <c r="H616" i="8" s="1" a="1"/>
  <c r="H616" i="8" s="1"/>
  <c r="H617" i="8" s="1" a="1"/>
  <c r="H617" i="8" s="1"/>
  <c r="H618" i="8" s="1" a="1"/>
  <c r="H618" i="8" s="1"/>
  <c r="H619" i="8" s="1" a="1"/>
  <c r="H619" i="8" s="1"/>
  <c r="H620" i="8" s="1" a="1"/>
  <c r="H620" i="8" s="1"/>
  <c r="H621" i="8" s="1" a="1"/>
  <c r="H621" i="8" s="1"/>
  <c r="H622" i="8" s="1" a="1"/>
  <c r="H622" i="8" s="1"/>
  <c r="H623" i="8" s="1" a="1"/>
  <c r="H623" i="8" s="1"/>
  <c r="H624" i="8" s="1" a="1"/>
  <c r="H624" i="8" s="1"/>
  <c r="H625" i="8" s="1" a="1"/>
  <c r="H625" i="8" s="1"/>
  <c r="H626" i="8" s="1" a="1"/>
  <c r="H626" i="8" s="1"/>
  <c r="H627" i="8" s="1" a="1"/>
  <c r="H627" i="8" s="1"/>
  <c r="H628" i="8" s="1" a="1"/>
  <c r="H628" i="8" s="1"/>
  <c r="H629" i="8" s="1" a="1"/>
  <c r="H629" i="8" s="1"/>
  <c r="H630" i="8" s="1" a="1"/>
  <c r="H630" i="8" s="1"/>
  <c r="H631" i="8" s="1" a="1"/>
  <c r="H631" i="8" s="1"/>
  <c r="H632" i="8" s="1" a="1"/>
  <c r="H632" i="8" s="1"/>
  <c r="H633" i="8" s="1" a="1"/>
  <c r="H633" i="8" s="1"/>
  <c r="H634" i="8" s="1" a="1"/>
  <c r="H634" i="8" s="1"/>
  <c r="H635" i="8" s="1" a="1"/>
  <c r="H635" i="8" s="1"/>
  <c r="H636" i="8" s="1" a="1"/>
  <c r="H636" i="8" s="1"/>
  <c r="H637" i="8" s="1" a="1"/>
  <c r="H637" i="8" s="1"/>
  <c r="H638" i="8" s="1" a="1"/>
  <c r="H638" i="8" s="1"/>
  <c r="H639" i="8" s="1" a="1"/>
  <c r="H639" i="8" s="1"/>
  <c r="H640" i="8" s="1" a="1"/>
  <c r="H640" i="8" s="1"/>
  <c r="H641" i="8" s="1" a="1"/>
  <c r="H641" i="8" s="1"/>
  <c r="H642" i="8" s="1" a="1"/>
  <c r="H642" i="8" s="1"/>
  <c r="H643" i="8" s="1" a="1"/>
  <c r="H643" i="8" s="1"/>
  <c r="H644" i="8" s="1" a="1"/>
  <c r="H644" i="8" s="1"/>
  <c r="H645" i="8" s="1" a="1"/>
  <c r="H645" i="8" s="1"/>
  <c r="H646" i="8" s="1" a="1"/>
  <c r="H646" i="8" s="1"/>
  <c r="H647" i="8" s="1" a="1"/>
  <c r="H647" i="8" s="1"/>
  <c r="H648" i="8" s="1" a="1"/>
  <c r="H648" i="8" s="1"/>
  <c r="H649" i="8" s="1" a="1"/>
  <c r="H649" i="8" s="1"/>
  <c r="H650" i="8" s="1" a="1"/>
  <c r="H650" i="8" s="1"/>
  <c r="H651" i="8" s="1" a="1"/>
  <c r="H651" i="8" s="1"/>
  <c r="H652" i="8" s="1" a="1"/>
  <c r="H652" i="8" s="1"/>
  <c r="H653" i="8" s="1" a="1"/>
  <c r="H653" i="8" s="1"/>
  <c r="H654" i="8" s="1" a="1"/>
  <c r="H654" i="8" s="1"/>
  <c r="H655" i="8" s="1" a="1"/>
  <c r="H655" i="8" s="1"/>
  <c r="H656" i="8" s="1" a="1"/>
  <c r="H656" i="8" s="1"/>
  <c r="H657" i="8" s="1" a="1"/>
  <c r="H657" i="8" s="1"/>
  <c r="H658" i="8" s="1" a="1"/>
  <c r="H658" i="8" s="1"/>
  <c r="H659" i="8" s="1" a="1"/>
  <c r="H659" i="8" s="1"/>
  <c r="H660" i="8" s="1" a="1"/>
  <c r="H660" i="8" s="1"/>
  <c r="H661" i="8" s="1" a="1"/>
  <c r="H661" i="8" s="1"/>
  <c r="H662" i="8" s="1" a="1"/>
  <c r="H662" i="8" s="1"/>
  <c r="H663" i="8" s="1" a="1"/>
  <c r="H663" i="8" s="1"/>
  <c r="H664" i="8" s="1" a="1"/>
  <c r="H664" i="8" s="1"/>
  <c r="H665" i="8" s="1" a="1"/>
  <c r="H665" i="8" s="1"/>
  <c r="H666" i="8" s="1" a="1"/>
  <c r="H666" i="8" s="1"/>
  <c r="H667" i="8" s="1" a="1"/>
  <c r="H667" i="8" s="1"/>
  <c r="H668" i="8" s="1" a="1"/>
  <c r="H668" i="8" s="1"/>
  <c r="H669" i="8" s="1" a="1"/>
  <c r="H669" i="8" s="1"/>
  <c r="H670" i="8" s="1" a="1"/>
  <c r="H670" i="8" s="1"/>
  <c r="H671" i="8" s="1" a="1"/>
  <c r="H671" i="8" s="1"/>
  <c r="H672" i="8" s="1" a="1"/>
  <c r="H672" i="8" s="1"/>
  <c r="H673" i="8" s="1" a="1"/>
  <c r="H673" i="8" s="1"/>
  <c r="H674" i="8" s="1" a="1"/>
  <c r="H674" i="8" s="1"/>
  <c r="H675" i="8" s="1" a="1"/>
  <c r="H675" i="8" s="1"/>
  <c r="H676" i="8" s="1" a="1"/>
  <c r="H676" i="8" s="1"/>
  <c r="H677" i="8" s="1" a="1"/>
  <c r="H677" i="8" s="1"/>
  <c r="H678" i="8" s="1" a="1"/>
  <c r="H678" i="8" s="1"/>
  <c r="H679" i="8" s="1" a="1"/>
  <c r="H679" i="8" s="1"/>
  <c r="H680" i="8" s="1" a="1"/>
  <c r="H680" i="8" s="1"/>
  <c r="H681" i="8" s="1" a="1"/>
  <c r="H681" i="8" s="1"/>
  <c r="H682" i="8" s="1" a="1"/>
  <c r="H682" i="8" s="1"/>
  <c r="H683" i="8" s="1" a="1"/>
  <c r="H683" i="8" s="1"/>
  <c r="H684" i="8" s="1" a="1"/>
  <c r="H684" i="8" s="1"/>
  <c r="H685" i="8" s="1" a="1"/>
  <c r="H685" i="8" s="1"/>
  <c r="H686" i="8" s="1" a="1"/>
  <c r="H686" i="8" s="1"/>
  <c r="H687" i="8" s="1" a="1"/>
  <c r="H687" i="8" s="1"/>
  <c r="H688" i="8" s="1" a="1"/>
  <c r="H688" i="8" s="1"/>
  <c r="H689" i="8" s="1" a="1"/>
  <c r="H689" i="8" s="1"/>
  <c r="H690" i="8" s="1" a="1"/>
  <c r="H690" i="8" s="1"/>
  <c r="H691" i="8" s="1" a="1"/>
  <c r="H691" i="8" s="1"/>
  <c r="H692" i="8" s="1" a="1"/>
  <c r="H692" i="8" s="1"/>
  <c r="H693" i="8" s="1" a="1"/>
  <c r="H693" i="8" s="1"/>
  <c r="H694" i="8" s="1" a="1"/>
  <c r="H694" i="8" s="1"/>
  <c r="H695" i="8" s="1" a="1"/>
  <c r="H695" i="8" s="1"/>
  <c r="H696" i="8" s="1" a="1"/>
  <c r="H696" i="8" s="1"/>
  <c r="H697" i="8" s="1" a="1"/>
  <c r="H697" i="8" s="1"/>
  <c r="H698" i="8" s="1" a="1"/>
  <c r="H698" i="8" s="1"/>
  <c r="H699" i="8" s="1" a="1"/>
  <c r="H699" i="8" s="1"/>
  <c r="H700" i="8" s="1" a="1"/>
  <c r="H700" i="8" s="1"/>
  <c r="H701" i="8" s="1" a="1"/>
  <c r="H701" i="8" s="1"/>
  <c r="H702" i="8" s="1" a="1"/>
  <c r="H702" i="8" s="1"/>
  <c r="H703" i="8" s="1" a="1"/>
  <c r="H703" i="8" s="1"/>
  <c r="H704" i="8" s="1" a="1"/>
  <c r="H704" i="8" s="1"/>
  <c r="H705" i="8" s="1" a="1"/>
  <c r="H705" i="8" s="1"/>
  <c r="H706" i="8" s="1" a="1"/>
  <c r="H706" i="8" s="1"/>
  <c r="H707" i="8" s="1" a="1"/>
  <c r="H707" i="8" s="1"/>
  <c r="H708" i="8" s="1" a="1"/>
  <c r="H708" i="8" s="1"/>
  <c r="H709" i="8" s="1" a="1"/>
  <c r="H709" i="8" s="1"/>
  <c r="H710" i="8" s="1" a="1"/>
  <c r="H710" i="8" s="1"/>
  <c r="H711" i="8" s="1" a="1"/>
  <c r="H711" i="8" s="1"/>
  <c r="H712" i="8" s="1" a="1"/>
  <c r="H712" i="8" s="1"/>
  <c r="H713" i="8" s="1" a="1"/>
  <c r="H713" i="8" s="1"/>
  <c r="H714" i="8" s="1" a="1"/>
  <c r="H714" i="8" s="1"/>
  <c r="H715" i="8" s="1" a="1"/>
  <c r="H715" i="8" s="1"/>
  <c r="H716" i="8" s="1" a="1"/>
  <c r="H716" i="8" s="1"/>
  <c r="H717" i="8" s="1" a="1"/>
  <c r="H717" i="8" s="1"/>
  <c r="H718" i="8" s="1" a="1"/>
  <c r="H718" i="8" s="1"/>
  <c r="H719" i="8" s="1" a="1"/>
  <c r="H719" i="8" s="1"/>
  <c r="H720" i="8" s="1" a="1"/>
  <c r="H720" i="8" s="1"/>
  <c r="H721" i="8" s="1" a="1"/>
  <c r="H721" i="8" s="1"/>
  <c r="H722" i="8" s="1" a="1"/>
  <c r="H722" i="8" s="1"/>
  <c r="H723" i="8" s="1" a="1"/>
  <c r="H723" i="8" s="1"/>
  <c r="H724" i="8" s="1" a="1"/>
  <c r="H724" i="8" s="1"/>
  <c r="H725" i="8" s="1" a="1"/>
  <c r="H725" i="8" s="1"/>
  <c r="H726" i="8" s="1" a="1"/>
  <c r="H726" i="8" s="1"/>
  <c r="H727" i="8" s="1" a="1"/>
  <c r="H727" i="8" s="1"/>
  <c r="H728" i="8" s="1" a="1"/>
  <c r="H728" i="8" s="1"/>
  <c r="H729" i="8" s="1" a="1"/>
  <c r="H729" i="8" s="1"/>
  <c r="H730" i="8" s="1" a="1"/>
  <c r="H730" i="8" s="1"/>
  <c r="H731" i="8" s="1" a="1"/>
  <c r="H731" i="8" s="1"/>
  <c r="H732" i="8" s="1" a="1"/>
  <c r="H732" i="8" s="1"/>
  <c r="H733" i="8" s="1" a="1"/>
  <c r="H733" i="8" s="1"/>
  <c r="H734" i="8" s="1" a="1"/>
  <c r="H734" i="8" s="1"/>
  <c r="H735" i="8" s="1" a="1"/>
  <c r="H735" i="8" s="1"/>
  <c r="H736" i="8" s="1" a="1"/>
  <c r="H736" i="8" s="1"/>
  <c r="H737" i="8" s="1" a="1"/>
  <c r="H737" i="8" s="1"/>
  <c r="H738" i="8" s="1" a="1"/>
  <c r="H738" i="8" s="1"/>
  <c r="H739" i="8" s="1" a="1"/>
  <c r="H739" i="8" s="1"/>
  <c r="H740" i="8" s="1" a="1"/>
  <c r="H740" i="8" s="1"/>
  <c r="H741" i="8" s="1" a="1"/>
  <c r="H741" i="8" s="1"/>
  <c r="H742" i="8" s="1" a="1"/>
  <c r="H742" i="8" s="1"/>
  <c r="H743" i="8" s="1" a="1"/>
  <c r="H743" i="8" s="1"/>
  <c r="H744" i="8" s="1" a="1"/>
  <c r="H744" i="8" s="1"/>
  <c r="H745" i="8" s="1" a="1"/>
  <c r="H745" i="8" s="1"/>
  <c r="H746" i="8" s="1" a="1"/>
  <c r="H746" i="8" s="1"/>
  <c r="H747" i="8" s="1" a="1"/>
  <c r="H747" i="8" s="1"/>
  <c r="H748" i="8" s="1" a="1"/>
  <c r="H748" i="8" s="1"/>
  <c r="H749" i="8" s="1" a="1"/>
  <c r="H749" i="8" s="1"/>
  <c r="H750" i="8" s="1" a="1"/>
  <c r="H750" i="8" s="1"/>
  <c r="H751" i="8" s="1" a="1"/>
  <c r="H751" i="8" s="1"/>
  <c r="H752" i="8" s="1" a="1"/>
  <c r="H752" i="8" s="1"/>
  <c r="H753" i="8" s="1" a="1"/>
  <c r="H753" i="8" s="1"/>
  <c r="H754" i="8" s="1" a="1"/>
  <c r="H754" i="8" s="1"/>
  <c r="H755" i="8" s="1" a="1"/>
  <c r="H755" i="8" s="1"/>
  <c r="H756" i="8" s="1" a="1"/>
  <c r="H756" i="8" s="1"/>
  <c r="H757" i="8" s="1" a="1"/>
  <c r="H757" i="8" s="1"/>
  <c r="H758" i="8" s="1" a="1"/>
  <c r="H758" i="8" s="1"/>
  <c r="H759" i="8" s="1" a="1"/>
  <c r="H759" i="8" s="1"/>
  <c r="H760" i="8" s="1" a="1"/>
  <c r="H760" i="8" s="1"/>
  <c r="H761" i="8" s="1" a="1"/>
  <c r="H761" i="8" s="1"/>
  <c r="H762" i="8" s="1" a="1"/>
  <c r="H762" i="8" s="1"/>
  <c r="H763" i="8" s="1" a="1"/>
  <c r="H763" i="8" s="1"/>
  <c r="H764" i="8" s="1" a="1"/>
  <c r="H764" i="8" s="1"/>
  <c r="H765" i="8" s="1" a="1"/>
  <c r="H765" i="8" s="1"/>
  <c r="H766" i="8" s="1" a="1"/>
  <c r="H766" i="8" s="1"/>
  <c r="H767" i="8" s="1" a="1"/>
  <c r="H767" i="8" s="1"/>
  <c r="H768" i="8" s="1" a="1"/>
  <c r="H768" i="8" s="1"/>
  <c r="H769" i="8" s="1" a="1"/>
  <c r="H769" i="8" s="1"/>
  <c r="H770" i="8" s="1" a="1"/>
  <c r="H770" i="8" s="1"/>
  <c r="H771" i="8" s="1" a="1"/>
  <c r="H771" i="8" s="1"/>
  <c r="H772" i="8" s="1" a="1"/>
  <c r="H772" i="8" s="1"/>
  <c r="H773" i="8" s="1" a="1"/>
  <c r="H773" i="8" s="1"/>
  <c r="H774" i="8" s="1" a="1"/>
  <c r="H774" i="8" s="1"/>
  <c r="H775" i="8" s="1" a="1"/>
  <c r="H775" i="8" s="1"/>
  <c r="H776" i="8" s="1" a="1"/>
  <c r="H776" i="8" s="1"/>
  <c r="H777" i="8" s="1" a="1"/>
  <c r="H777" i="8" s="1"/>
  <c r="H778" i="8" s="1" a="1"/>
  <c r="H778" i="8" s="1"/>
  <c r="H779" i="8" s="1" a="1"/>
  <c r="H779" i="8" s="1"/>
  <c r="H780" i="8" s="1" a="1"/>
  <c r="H780" i="8" s="1"/>
  <c r="H781" i="8" s="1" a="1"/>
  <c r="H781" i="8" s="1"/>
  <c r="H782" i="8" s="1" a="1"/>
  <c r="H782" i="8" s="1"/>
  <c r="H783" i="8" s="1" a="1"/>
  <c r="H783" i="8" s="1"/>
  <c r="H784" i="8" s="1" a="1"/>
  <c r="H784" i="8" s="1"/>
  <c r="H785" i="8" s="1" a="1"/>
  <c r="H785" i="8" s="1"/>
  <c r="H786" i="8" s="1" a="1"/>
  <c r="H786" i="8" s="1"/>
  <c r="H787" i="8" s="1" a="1"/>
  <c r="H787" i="8" s="1"/>
  <c r="H788" i="8" s="1" a="1"/>
  <c r="H788" i="8" s="1"/>
  <c r="H789" i="8" s="1" a="1"/>
  <c r="H789" i="8" s="1"/>
  <c r="H790" i="8" s="1" a="1"/>
  <c r="H790" i="8" s="1"/>
  <c r="H791" i="8" s="1" a="1"/>
  <c r="H791" i="8" s="1"/>
  <c r="H792" i="8" s="1" a="1"/>
  <c r="H792" i="8" s="1"/>
  <c r="H793" i="8" s="1" a="1"/>
  <c r="H793" i="8" s="1"/>
  <c r="H794" i="8" s="1" a="1"/>
  <c r="H794" i="8" s="1"/>
  <c r="H795" i="8" s="1" a="1"/>
  <c r="H795" i="8" s="1"/>
  <c r="H796" i="8" s="1" a="1"/>
  <c r="H796" i="8" s="1"/>
  <c r="H797" i="8" s="1" a="1"/>
  <c r="H797" i="8" s="1"/>
  <c r="H798" i="8" s="1" a="1"/>
  <c r="H798" i="8" s="1"/>
  <c r="H799" i="8" s="1" a="1"/>
  <c r="H799" i="8" s="1"/>
  <c r="H800" i="8" s="1" a="1"/>
  <c r="H800" i="8" s="1"/>
  <c r="H801" i="8" s="1" a="1"/>
  <c r="H801" i="8" s="1"/>
  <c r="H802" i="8" s="1" a="1"/>
  <c r="H802" i="8" s="1"/>
  <c r="H803" i="8" s="1" a="1"/>
  <c r="H803" i="8" s="1"/>
  <c r="H804" i="8" s="1" a="1"/>
  <c r="H804" i="8" s="1"/>
  <c r="H805" i="8" s="1" a="1"/>
  <c r="H805" i="8" s="1"/>
  <c r="H806" i="8" s="1" a="1"/>
  <c r="H806" i="8" s="1"/>
  <c r="H807" i="8" s="1" a="1"/>
  <c r="H807" i="8" s="1"/>
  <c r="H808" i="8" s="1" a="1"/>
  <c r="H808" i="8" s="1"/>
  <c r="H809" i="8" s="1" a="1"/>
  <c r="H809" i="8" s="1"/>
  <c r="H810" i="8" s="1" a="1"/>
  <c r="H810" i="8" s="1"/>
  <c r="H811" i="8" s="1" a="1"/>
  <c r="H811" i="8" s="1"/>
  <c r="H812" i="8" s="1" a="1"/>
  <c r="H812" i="8" s="1"/>
  <c r="H813" i="8" s="1" a="1"/>
  <c r="H813" i="8" s="1"/>
  <c r="H814" i="8" s="1" a="1"/>
  <c r="H814" i="8" s="1"/>
  <c r="H815" i="8" s="1" a="1"/>
  <c r="H815" i="8" s="1"/>
  <c r="H816" i="8" s="1" a="1"/>
  <c r="H816" i="8" s="1"/>
  <c r="H817" i="8" s="1" a="1"/>
  <c r="H817" i="8" s="1"/>
  <c r="H818" i="8" s="1" a="1"/>
  <c r="H818" i="8" s="1"/>
  <c r="H819" i="8" s="1" a="1"/>
  <c r="H819" i="8" s="1"/>
  <c r="H820" i="8" s="1" a="1"/>
  <c r="H820" i="8" s="1"/>
  <c r="H821" i="8" s="1" a="1"/>
  <c r="H821" i="8" s="1"/>
  <c r="H822" i="8" s="1" a="1"/>
  <c r="H822" i="8" s="1"/>
  <c r="H823" i="8" s="1" a="1"/>
  <c r="H823" i="8" s="1"/>
  <c r="H824" i="8" s="1" a="1"/>
  <c r="H824" i="8" s="1"/>
  <c r="H825" i="8" s="1" a="1"/>
  <c r="H825" i="8" s="1"/>
  <c r="H826" i="8" s="1" a="1"/>
  <c r="H826" i="8" s="1"/>
  <c r="H827" i="8" s="1" a="1"/>
  <c r="H827" i="8" s="1"/>
  <c r="H828" i="8" s="1" a="1"/>
  <c r="H828" i="8" s="1"/>
  <c r="H829" i="8" s="1" a="1"/>
  <c r="H829" i="8" s="1"/>
  <c r="H830" i="8" s="1" a="1"/>
  <c r="H830" i="8" s="1"/>
  <c r="H831" i="8" s="1" a="1"/>
  <c r="H831" i="8" s="1"/>
  <c r="H832" i="8" s="1" a="1"/>
  <c r="H832" i="8" s="1"/>
  <c r="H833" i="8" s="1" a="1"/>
  <c r="H833" i="8" s="1"/>
  <c r="H834" i="8" s="1" a="1"/>
  <c r="H834" i="8" s="1"/>
  <c r="H835" i="8" s="1" a="1"/>
  <c r="H835" i="8" s="1"/>
  <c r="H836" i="8" s="1" a="1"/>
  <c r="H836" i="8" s="1"/>
  <c r="H837" i="8" s="1" a="1"/>
  <c r="H837" i="8" s="1"/>
  <c r="H838" i="8" s="1" a="1"/>
  <c r="H838" i="8" s="1"/>
  <c r="H839" i="8" s="1" a="1"/>
  <c r="H839" i="8" s="1"/>
  <c r="H840" i="8" s="1" a="1"/>
  <c r="H840" i="8" s="1"/>
  <c r="H841" i="8" s="1" a="1"/>
  <c r="H841" i="8" s="1"/>
  <c r="H842" i="8" s="1" a="1"/>
  <c r="H842" i="8" s="1"/>
  <c r="H843" i="8" s="1" a="1"/>
  <c r="H843" i="8" s="1"/>
  <c r="H844" i="8" s="1" a="1"/>
  <c r="H844" i="8" s="1"/>
  <c r="H845" i="8" s="1" a="1"/>
  <c r="H845" i="8" s="1"/>
  <c r="H846" i="8" s="1" a="1"/>
  <c r="H846" i="8" s="1"/>
  <c r="H847" i="8" s="1" a="1"/>
  <c r="H847" i="8" s="1"/>
  <c r="H848" i="8" s="1" a="1"/>
  <c r="H848" i="8" s="1"/>
  <c r="H849" i="8" s="1" a="1"/>
  <c r="H849" i="8" s="1"/>
  <c r="H850" i="8" s="1" a="1"/>
  <c r="H850" i="8" s="1"/>
  <c r="H851" i="8" s="1" a="1"/>
  <c r="H851" i="8" s="1"/>
  <c r="H852" i="8" s="1" a="1"/>
  <c r="H852" i="8" s="1"/>
  <c r="H853" i="8" s="1" a="1"/>
  <c r="H853" i="8" s="1"/>
  <c r="H854" i="8" s="1" a="1"/>
  <c r="H854" i="8" s="1"/>
  <c r="H855" i="8" s="1" a="1"/>
  <c r="H855" i="8" s="1"/>
  <c r="H856" i="8" s="1" a="1"/>
  <c r="H856" i="8" s="1"/>
  <c r="H857" i="8" s="1" a="1"/>
  <c r="H857" i="8" s="1"/>
  <c r="H858" i="8" s="1" a="1"/>
  <c r="H858" i="8" s="1"/>
  <c r="H859" i="8" s="1" a="1"/>
  <c r="H859" i="8" s="1"/>
  <c r="H860" i="8" s="1" a="1"/>
  <c r="H860" i="8" s="1"/>
  <c r="H861" i="8" s="1" a="1"/>
  <c r="H861" i="8" s="1"/>
  <c r="H862" i="8" s="1" a="1"/>
  <c r="H862" i="8" s="1"/>
  <c r="H863" i="8" s="1" a="1"/>
  <c r="H863" i="8" s="1"/>
  <c r="H864" i="8" s="1" a="1"/>
  <c r="H864" i="8" s="1"/>
  <c r="H865" i="8" s="1" a="1"/>
  <c r="H865" i="8" s="1"/>
  <c r="H866" i="8" s="1" a="1"/>
  <c r="H866" i="8" s="1"/>
  <c r="H867" i="8" s="1" a="1"/>
  <c r="H867" i="8" s="1"/>
  <c r="H868" i="8" s="1" a="1"/>
  <c r="H868" i="8" s="1"/>
  <c r="H869" i="8" s="1" a="1"/>
  <c r="H869" i="8" s="1"/>
  <c r="H870" i="8" s="1" a="1"/>
  <c r="H870" i="8" s="1"/>
  <c r="H871" i="8" s="1" a="1"/>
  <c r="H871" i="8" s="1"/>
  <c r="H872" i="8" s="1" a="1"/>
  <c r="H872" i="8" s="1"/>
  <c r="H873" i="8" s="1" a="1"/>
  <c r="H873" i="8" s="1"/>
  <c r="H874" i="8" s="1" a="1"/>
  <c r="H874" i="8" s="1"/>
  <c r="H875" i="8" s="1" a="1"/>
  <c r="H875" i="8" s="1"/>
  <c r="H876" i="8" s="1" a="1"/>
  <c r="H876" i="8" s="1"/>
  <c r="H877" i="8" s="1" a="1"/>
  <c r="H877" i="8" s="1"/>
  <c r="H878" i="8" s="1" a="1"/>
  <c r="H878" i="8" s="1"/>
  <c r="H879" i="8" s="1" a="1"/>
  <c r="H879" i="8" s="1"/>
  <c r="H880" i="8" s="1" a="1"/>
  <c r="H880" i="8" s="1"/>
  <c r="H881" i="8" s="1" a="1"/>
  <c r="H881" i="8" s="1"/>
  <c r="H882" i="8" s="1" a="1"/>
  <c r="H882" i="8" s="1"/>
  <c r="H883" i="8" s="1" a="1"/>
  <c r="H883" i="8" s="1"/>
  <c r="H884" i="8" s="1" a="1"/>
  <c r="H884" i="8" s="1"/>
  <c r="H885" i="8" s="1" a="1"/>
  <c r="H885" i="8" s="1"/>
  <c r="H886" i="8" s="1" a="1"/>
  <c r="H886" i="8" s="1"/>
  <c r="H887" i="8" s="1" a="1"/>
  <c r="H887" i="8" s="1"/>
  <c r="H888" i="8" s="1" a="1"/>
  <c r="H888" i="8" s="1"/>
  <c r="H889" i="8" s="1" a="1"/>
  <c r="H889" i="8" s="1"/>
  <c r="H890" i="8" s="1" a="1"/>
  <c r="H890" i="8" s="1"/>
  <c r="H891" i="8" s="1" a="1"/>
  <c r="H891" i="8" s="1"/>
  <c r="H892" i="8" s="1" a="1"/>
  <c r="H892" i="8" s="1"/>
  <c r="H893" i="8" s="1" a="1"/>
  <c r="H893" i="8" s="1"/>
  <c r="H894" i="8" s="1"/>
  <c r="F830" i="7"/>
  <c r="G821" i="7" a="1"/>
  <c r="G821" i="7" s="1"/>
  <c r="H940" i="9" l="1"/>
  <c r="I539" i="9" a="1"/>
  <c r="I539" i="9" s="1"/>
  <c r="I27" i="8" a="1"/>
  <c r="I27" i="8" s="1"/>
  <c r="F838" i="7"/>
  <c r="G830" i="7" a="1"/>
  <c r="G830" i="7" s="1"/>
  <c r="I540" i="9" l="1" a="1"/>
  <c r="I540" i="9" s="1"/>
  <c r="I28" i="8" a="1"/>
  <c r="I28" i="8" s="1"/>
  <c r="F855" i="7"/>
  <c r="G838" i="7" a="1"/>
  <c r="G838" i="7" s="1"/>
  <c r="I541" i="9" l="1" a="1"/>
  <c r="I541" i="9" s="1"/>
  <c r="I29" i="8" a="1"/>
  <c r="I29" i="8" s="1"/>
  <c r="F874" i="7"/>
  <c r="G855" i="7" a="1"/>
  <c r="G855" i="7" s="1"/>
  <c r="I542" i="9" l="1" a="1"/>
  <c r="I542" i="9" s="1"/>
  <c r="I30" i="8" a="1"/>
  <c r="I30" i="8" s="1"/>
  <c r="F888" i="7"/>
  <c r="G888" i="7" s="1" a="1"/>
  <c r="G888" i="7" s="1"/>
  <c r="G874" i="7" a="1"/>
  <c r="G874" i="7" s="1"/>
  <c r="I543" i="9" l="1" a="1"/>
  <c r="I543" i="9" s="1"/>
  <c r="I31" i="8" a="1"/>
  <c r="I31" i="8" s="1"/>
  <c r="F882" i="7"/>
  <c r="I544" i="9" l="1" a="1"/>
  <c r="I544" i="9" s="1"/>
  <c r="I32" i="8" a="1"/>
  <c r="I32" i="8" s="1"/>
  <c r="G882" i="7" a="1"/>
  <c r="G882" i="7" s="1"/>
  <c r="F889" i="7"/>
  <c r="I545" i="9" l="1" a="1"/>
  <c r="I545" i="9" s="1"/>
  <c r="I33" i="8" a="1"/>
  <c r="I33" i="8" s="1"/>
  <c r="F937" i="7"/>
  <c r="G889" i="7" a="1"/>
  <c r="G889" i="7" s="1"/>
  <c r="I546" i="9" l="1" a="1"/>
  <c r="I546" i="9" s="1"/>
  <c r="I34" i="8" a="1"/>
  <c r="I34" i="8" s="1"/>
  <c r="F39" i="7"/>
  <c r="G937" i="7" a="1"/>
  <c r="G937" i="7" s="1"/>
  <c r="I547" i="9" l="1" a="1"/>
  <c r="I547" i="9" s="1"/>
  <c r="I35" i="8" a="1"/>
  <c r="I35" i="8" s="1"/>
  <c r="G39" i="7" a="1"/>
  <c r="G39" i="7" s="1"/>
  <c r="F52" i="7"/>
  <c r="I548" i="9" l="1" a="1"/>
  <c r="I548" i="9" s="1"/>
  <c r="I36" i="8" a="1"/>
  <c r="I36" i="8" s="1"/>
  <c r="F65" i="7"/>
  <c r="G52" i="7" a="1"/>
  <c r="G52" i="7" s="1"/>
  <c r="I549" i="9" l="1" a="1"/>
  <c r="I549" i="9" s="1"/>
  <c r="I37" i="8" a="1"/>
  <c r="I37" i="8" s="1"/>
  <c r="F81" i="7"/>
  <c r="G65" i="7" a="1"/>
  <c r="G65" i="7" s="1"/>
  <c r="I550" i="9" l="1" a="1"/>
  <c r="I550" i="9" s="1"/>
  <c r="I38" i="8" a="1"/>
  <c r="I38" i="8" s="1"/>
  <c r="F91" i="7"/>
  <c r="G81" i="7" a="1"/>
  <c r="G81" i="7" s="1"/>
  <c r="I551" i="9" l="1" a="1"/>
  <c r="I551" i="9" s="1"/>
  <c r="I39" i="8" a="1"/>
  <c r="I39" i="8" s="1"/>
  <c r="G91" i="7" a="1"/>
  <c r="G91" i="7" s="1"/>
  <c r="F116" i="7"/>
  <c r="I552" i="9" l="1" a="1"/>
  <c r="I552" i="9" s="1"/>
  <c r="I40" i="8" a="1"/>
  <c r="I40" i="8" s="1"/>
  <c r="G116" i="7" a="1"/>
  <c r="G116" i="7" s="1"/>
  <c r="F136" i="7"/>
  <c r="I553" i="9" l="1" a="1"/>
  <c r="I553" i="9" s="1"/>
  <c r="I41" i="8" a="1"/>
  <c r="I41" i="8" s="1"/>
  <c r="G136" i="7" a="1"/>
  <c r="G136" i="7" s="1"/>
  <c r="F143" i="7"/>
  <c r="I554" i="9" l="1" a="1"/>
  <c r="I554" i="9" s="1"/>
  <c r="I42" i="8" a="1"/>
  <c r="I42" i="8" s="1"/>
  <c r="F248" i="7"/>
  <c r="G143" i="7" a="1"/>
  <c r="G143" i="7" s="1"/>
  <c r="I555" i="9" l="1" a="1"/>
  <c r="I555" i="9" s="1"/>
  <c r="I43" i="8" a="1"/>
  <c r="I43" i="8" s="1"/>
  <c r="F256" i="7"/>
  <c r="G248" i="7" a="1"/>
  <c r="G248" i="7" s="1"/>
  <c r="I556" i="9" l="1" a="1"/>
  <c r="I556" i="9" s="1"/>
  <c r="I44" i="8" a="1"/>
  <c r="I44" i="8" s="1"/>
  <c r="G256" i="7" a="1"/>
  <c r="G256" i="7" s="1"/>
  <c r="F265" i="7"/>
  <c r="I557" i="9" l="1" a="1"/>
  <c r="I557" i="9" s="1"/>
  <c r="I45" i="8" a="1"/>
  <c r="I45" i="8" s="1"/>
  <c r="G265" i="7" a="1"/>
  <c r="G265" i="7" s="1"/>
  <c r="F281" i="7"/>
  <c r="I558" i="9" l="1" a="1"/>
  <c r="I558" i="9" s="1"/>
  <c r="I46" i="8" a="1"/>
  <c r="I46" i="8" s="1"/>
  <c r="F286" i="7"/>
  <c r="G281" i="7" a="1"/>
  <c r="G281" i="7" s="1"/>
  <c r="I559" i="9" l="1" a="1"/>
  <c r="I559" i="9" s="1"/>
  <c r="I47" i="8" a="1"/>
  <c r="I47" i="8" s="1"/>
  <c r="F302" i="7"/>
  <c r="G286" i="7" a="1"/>
  <c r="G286" i="7" s="1"/>
  <c r="I560" i="9" l="1" a="1"/>
  <c r="I560" i="9" s="1"/>
  <c r="I48" i="8" a="1"/>
  <c r="I48" i="8" s="1"/>
  <c r="F311" i="7"/>
  <c r="G302" i="7" a="1"/>
  <c r="G302" i="7" s="1"/>
  <c r="I561" i="9" l="1" a="1"/>
  <c r="I561" i="9" s="1"/>
  <c r="I49" i="8" a="1"/>
  <c r="I49" i="8" s="1"/>
  <c r="G311" i="7" a="1"/>
  <c r="G311" i="7" s="1"/>
  <c r="F324" i="7"/>
  <c r="I562" i="9" l="1" a="1"/>
  <c r="I562" i="9" s="1"/>
  <c r="I50" i="8" a="1"/>
  <c r="I50" i="8" s="1"/>
  <c r="F340" i="7"/>
  <c r="G324" i="7" a="1"/>
  <c r="G324" i="7" s="1"/>
  <c r="I563" i="9" l="1" a="1"/>
  <c r="I563" i="9" s="1"/>
  <c r="I51" i="8" a="1"/>
  <c r="I51" i="8" s="1"/>
  <c r="G340" i="7" a="1"/>
  <c r="G340" i="7" s="1"/>
  <c r="F356" i="7"/>
  <c r="I564" i="9" l="1" a="1"/>
  <c r="I564" i="9" s="1"/>
  <c r="I52" i="8" a="1"/>
  <c r="I52" i="8" s="1"/>
  <c r="F365" i="7"/>
  <c r="G356" i="7" a="1"/>
  <c r="G356" i="7" s="1"/>
  <c r="I565" i="9" l="1" a="1"/>
  <c r="I565" i="9" s="1"/>
  <c r="I53" i="8" a="1"/>
  <c r="I53" i="8" s="1"/>
  <c r="F380" i="7"/>
  <c r="G365" i="7" a="1"/>
  <c r="G365" i="7" s="1"/>
  <c r="I566" i="9" l="1" a="1"/>
  <c r="I566" i="9" s="1"/>
  <c r="I54" i="8" a="1"/>
  <c r="I54" i="8" s="1"/>
  <c r="G380" i="7" a="1"/>
  <c r="G380" i="7" s="1"/>
  <c r="F386" i="7"/>
  <c r="I567" i="9" l="1" a="1"/>
  <c r="I567" i="9" s="1"/>
  <c r="I55" i="8" a="1"/>
  <c r="I55" i="8" s="1"/>
  <c r="F390" i="7"/>
  <c r="G386" i="7" a="1"/>
  <c r="G386" i="7" s="1"/>
  <c r="I568" i="9" l="1" a="1"/>
  <c r="I568" i="9" s="1"/>
  <c r="I56" i="8" a="1"/>
  <c r="I56" i="8" s="1"/>
  <c r="G390" i="7" a="1"/>
  <c r="G390" i="7" s="1"/>
  <c r="F394" i="7"/>
  <c r="I569" i="9" l="1" a="1"/>
  <c r="I569" i="9" s="1"/>
  <c r="I57" i="8" a="1"/>
  <c r="I57" i="8" s="1"/>
  <c r="F397" i="7"/>
  <c r="G394" i="7" a="1"/>
  <c r="G394" i="7" s="1"/>
  <c r="I570" i="9" l="1" a="1"/>
  <c r="I570" i="9" s="1"/>
  <c r="I58" i="8" a="1"/>
  <c r="I58" i="8" s="1"/>
  <c r="G397" i="7" a="1"/>
  <c r="G397" i="7" s="1"/>
  <c r="F407" i="7"/>
  <c r="G407" i="7" s="1" a="1"/>
  <c r="G407" i="7" s="1"/>
  <c r="I571" i="9" l="1" a="1"/>
  <c r="I571" i="9" s="1"/>
  <c r="I59" i="8" a="1"/>
  <c r="I59" i="8" s="1"/>
  <c r="F179" i="7"/>
  <c r="I572" i="9" l="1" a="1"/>
  <c r="I572" i="9" s="1"/>
  <c r="I60" i="8" a="1"/>
  <c r="I60" i="8" s="1"/>
  <c r="G179" i="7" a="1"/>
  <c r="G179" i="7" s="1"/>
  <c r="F219" i="7"/>
  <c r="I573" i="9" l="1" a="1"/>
  <c r="I573" i="9" s="1"/>
  <c r="I61" i="8" a="1"/>
  <c r="I61" i="8" s="1"/>
  <c r="G219" i="7" a="1"/>
  <c r="G219" i="7" s="1"/>
  <c r="F249" i="7"/>
  <c r="I574" i="9" l="1" a="1"/>
  <c r="I574" i="9" s="1"/>
  <c r="I62" i="8" a="1"/>
  <c r="I62" i="8" s="1"/>
  <c r="G249" i="7" a="1"/>
  <c r="G249" i="7" s="1"/>
  <c r="F257" i="7"/>
  <c r="I575" i="9" l="1" a="1"/>
  <c r="I575" i="9" s="1"/>
  <c r="I63" i="8" a="1"/>
  <c r="I63" i="8" s="1"/>
  <c r="F266" i="7"/>
  <c r="G257" i="7" a="1"/>
  <c r="G257" i="7" s="1"/>
  <c r="I576" i="9" l="1" a="1"/>
  <c r="I576" i="9" s="1"/>
  <c r="I64" i="8" a="1"/>
  <c r="I64" i="8" s="1"/>
  <c r="F277" i="7"/>
  <c r="G266" i="7" a="1"/>
  <c r="G266" i="7" s="1"/>
  <c r="I577" i="9" l="1" a="1"/>
  <c r="I577" i="9" s="1"/>
  <c r="I65" i="8" a="1"/>
  <c r="I65" i="8" s="1"/>
  <c r="G277" i="7" a="1"/>
  <c r="G277" i="7" s="1"/>
  <c r="F282" i="7"/>
  <c r="I578" i="9" l="1" a="1"/>
  <c r="I578" i="9" s="1"/>
  <c r="I66" i="8" a="1"/>
  <c r="I66" i="8" s="1"/>
  <c r="G282" i="7" a="1"/>
  <c r="G282" i="7" s="1"/>
  <c r="F287" i="7"/>
  <c r="I579" i="9" l="1" a="1"/>
  <c r="I579" i="9" s="1"/>
  <c r="I67" i="8" a="1"/>
  <c r="I67" i="8" s="1"/>
  <c r="G287" i="7" a="1"/>
  <c r="G287" i="7" s="1"/>
  <c r="F303" i="7"/>
  <c r="I580" i="9" l="1" a="1"/>
  <c r="I580" i="9" s="1"/>
  <c r="I68" i="8" a="1"/>
  <c r="I68" i="8" s="1"/>
  <c r="F312" i="7"/>
  <c r="G303" i="7" a="1"/>
  <c r="G303" i="7" s="1"/>
  <c r="I581" i="9" l="1" a="1"/>
  <c r="I581" i="9" s="1"/>
  <c r="I69" i="8" a="1"/>
  <c r="I69" i="8" s="1"/>
  <c r="G312" i="7" a="1"/>
  <c r="G312" i="7" s="1"/>
  <c r="F325" i="7"/>
  <c r="I582" i="9" l="1" a="1"/>
  <c r="I582" i="9" s="1"/>
  <c r="I70" i="8" a="1"/>
  <c r="I70" i="8" s="1"/>
  <c r="F341" i="7"/>
  <c r="G325" i="7" a="1"/>
  <c r="G325" i="7" s="1"/>
  <c r="I583" i="9" l="1" a="1"/>
  <c r="I583" i="9" s="1"/>
  <c r="I71" i="8" a="1"/>
  <c r="I71" i="8" s="1"/>
  <c r="F357" i="7"/>
  <c r="G341" i="7" a="1"/>
  <c r="G341" i="7" s="1"/>
  <c r="I584" i="9" l="1" a="1"/>
  <c r="I584" i="9" s="1"/>
  <c r="I72" i="8" a="1"/>
  <c r="I72" i="8" s="1"/>
  <c r="F366" i="7"/>
  <c r="G357" i="7" a="1"/>
  <c r="G357" i="7" s="1"/>
  <c r="I585" i="9" l="1" a="1"/>
  <c r="I585" i="9" s="1"/>
  <c r="I73" i="8" a="1"/>
  <c r="I73" i="8" s="1"/>
  <c r="G366" i="7" a="1"/>
  <c r="G366" i="7" s="1"/>
  <c r="F381" i="7"/>
  <c r="I586" i="9" l="1" a="1"/>
  <c r="I586" i="9" s="1"/>
  <c r="I74" i="8" a="1"/>
  <c r="I74" i="8" s="1"/>
  <c r="I142" i="8" a="1"/>
  <c r="I142" i="8" s="1"/>
  <c r="F387" i="7"/>
  <c r="G381" i="7" a="1"/>
  <c r="G381" i="7" s="1"/>
  <c r="I587" i="9" l="1" a="1"/>
  <c r="I587" i="9" s="1"/>
  <c r="I75" i="8" a="1"/>
  <c r="I75" i="8" s="1"/>
  <c r="I143" i="8" a="1"/>
  <c r="I143" i="8" s="1"/>
  <c r="F391" i="7"/>
  <c r="G387" i="7" a="1"/>
  <c r="G387" i="7" s="1"/>
  <c r="I588" i="9" l="1" a="1"/>
  <c r="I588" i="9" s="1"/>
  <c r="I76" i="8" a="1"/>
  <c r="I76" i="8" s="1"/>
  <c r="I144" i="8" a="1"/>
  <c r="I144" i="8" s="1"/>
  <c r="G391" i="7" a="1"/>
  <c r="G391" i="7" s="1"/>
  <c r="F398" i="7"/>
  <c r="I589" i="9" l="1" a="1"/>
  <c r="I589" i="9" s="1"/>
  <c r="I77" i="8" a="1"/>
  <c r="I77" i="8" s="1"/>
  <c r="I145" i="8" a="1"/>
  <c r="I145" i="8" s="1"/>
  <c r="F408" i="7"/>
  <c r="G398" i="7" a="1"/>
  <c r="G398" i="7" s="1"/>
  <c r="I590" i="9" l="1" a="1"/>
  <c r="I590" i="9" s="1"/>
  <c r="I78" i="8" a="1"/>
  <c r="I78" i="8" s="1"/>
  <c r="I146" i="8" a="1"/>
  <c r="I146" i="8" s="1"/>
  <c r="G408" i="7" a="1"/>
  <c r="G408" i="7" s="1"/>
  <c r="F432" i="7"/>
  <c r="I591" i="9" l="1" a="1"/>
  <c r="I591" i="9" s="1"/>
  <c r="I79" i="8" a="1"/>
  <c r="I79" i="8" s="1"/>
  <c r="I147" i="8" a="1"/>
  <c r="I147" i="8" s="1"/>
  <c r="G432" i="7" a="1"/>
  <c r="G432" i="7" s="1"/>
  <c r="F457" i="7"/>
  <c r="I592" i="9" l="1" a="1"/>
  <c r="I592" i="9" s="1"/>
  <c r="I80" i="8" a="1"/>
  <c r="I80" i="8" s="1"/>
  <c r="I148" i="8" a="1"/>
  <c r="I148" i="8" s="1"/>
  <c r="F460" i="7"/>
  <c r="G457" i="7" a="1"/>
  <c r="G457" i="7" s="1"/>
  <c r="I593" i="9" l="1" a="1"/>
  <c r="I593" i="9" s="1"/>
  <c r="I81" i="8" a="1"/>
  <c r="I81" i="8" s="1"/>
  <c r="I149" i="8" a="1"/>
  <c r="I149" i="8" s="1"/>
  <c r="G460" i="7" a="1"/>
  <c r="G460" i="7" s="1"/>
  <c r="F470" i="7"/>
  <c r="I594" i="9" l="1" a="1"/>
  <c r="I594" i="9" s="1"/>
  <c r="I82" i="8" a="1"/>
  <c r="I82" i="8" s="1"/>
  <c r="I150" i="8" a="1"/>
  <c r="I150" i="8" s="1"/>
  <c r="G470" i="7" a="1"/>
  <c r="G470" i="7" s="1"/>
  <c r="F491" i="7"/>
  <c r="I595" i="9" l="1" a="1"/>
  <c r="I595" i="9" s="1"/>
  <c r="I83" i="8" a="1"/>
  <c r="I83" i="8" s="1"/>
  <c r="I151" i="8" a="1"/>
  <c r="I151" i="8" s="1"/>
  <c r="G491" i="7" a="1"/>
  <c r="G491" i="7" s="1"/>
  <c r="F494" i="7"/>
  <c r="I596" i="9" l="1" a="1"/>
  <c r="I596" i="9" s="1"/>
  <c r="I84" i="8" a="1"/>
  <c r="I84" i="8" s="1"/>
  <c r="I152" i="8" a="1"/>
  <c r="I152" i="8" s="1"/>
  <c r="G494" i="7" a="1"/>
  <c r="G494" i="7" s="1"/>
  <c r="F504" i="7"/>
  <c r="I597" i="9" l="1" a="1"/>
  <c r="I597" i="9" s="1"/>
  <c r="I85" i="8" a="1"/>
  <c r="I85" i="8" s="1"/>
  <c r="I153" i="8" a="1"/>
  <c r="I153" i="8" s="1"/>
  <c r="G504" i="7" a="1"/>
  <c r="G504" i="7" s="1"/>
  <c r="F516" i="7"/>
  <c r="I598" i="9" l="1" a="1"/>
  <c r="I598" i="9" s="1"/>
  <c r="I86" i="8" a="1"/>
  <c r="I86" i="8" s="1"/>
  <c r="I154" i="8" a="1"/>
  <c r="I154" i="8" s="1"/>
  <c r="F541" i="7"/>
  <c r="G516" i="7" a="1"/>
  <c r="G516" i="7" s="1"/>
  <c r="I599" i="9" l="1" a="1"/>
  <c r="I599" i="9" s="1"/>
  <c r="I87" i="8" a="1"/>
  <c r="I87" i="8" s="1"/>
  <c r="I155" i="8" a="1"/>
  <c r="I155" i="8" s="1"/>
  <c r="G541" i="7" a="1"/>
  <c r="G541" i="7" s="1"/>
  <c r="F549" i="7"/>
  <c r="I600" i="9" l="1" a="1"/>
  <c r="I600" i="9" s="1"/>
  <c r="I88" i="8" a="1"/>
  <c r="I88" i="8" s="1"/>
  <c r="I156" i="8" a="1"/>
  <c r="I156" i="8" s="1"/>
  <c r="G549" i="7" a="1"/>
  <c r="G549" i="7" s="1"/>
  <c r="F552" i="7"/>
  <c r="I601" i="9" l="1" a="1"/>
  <c r="I601" i="9" s="1"/>
  <c r="I89" i="8" a="1"/>
  <c r="I89" i="8" s="1"/>
  <c r="I157" i="8" a="1"/>
  <c r="I157" i="8" s="1"/>
  <c r="G552" i="7" a="1"/>
  <c r="G552" i="7" s="1"/>
  <c r="F577" i="7"/>
  <c r="I602" i="9" l="1" a="1"/>
  <c r="I602" i="9" s="1"/>
  <c r="I90" i="8" a="1"/>
  <c r="I90" i="8" s="1"/>
  <c r="I158" i="8" a="1"/>
  <c r="I158" i="8" s="1"/>
  <c r="G577" i="7" a="1"/>
  <c r="G577" i="7" s="1"/>
  <c r="F602" i="7"/>
  <c r="I603" i="9" l="1" a="1"/>
  <c r="I603" i="9" s="1"/>
  <c r="I91" i="8" a="1"/>
  <c r="I91" i="8" s="1"/>
  <c r="I159" i="8" a="1"/>
  <c r="I159" i="8" s="1"/>
  <c r="G602" i="7" a="1"/>
  <c r="G602" i="7" s="1"/>
  <c r="F623" i="7"/>
  <c r="I604" i="9" l="1" a="1"/>
  <c r="I604" i="9" s="1"/>
  <c r="I92" i="8" a="1"/>
  <c r="I92" i="8" s="1"/>
  <c r="I160" i="8" a="1"/>
  <c r="I160" i="8" s="1"/>
  <c r="F648" i="7"/>
  <c r="G623" i="7" a="1"/>
  <c r="G623" i="7" s="1"/>
  <c r="I605" i="9" l="1" a="1"/>
  <c r="I605" i="9" s="1"/>
  <c r="I93" i="8" a="1"/>
  <c r="I93" i="8" s="1"/>
  <c r="I161" i="8" a="1"/>
  <c r="I161" i="8" s="1"/>
  <c r="G648" i="7" a="1"/>
  <c r="G648" i="7" s="1"/>
  <c r="F672" i="7"/>
  <c r="I606" i="9" l="1" a="1"/>
  <c r="I606" i="9" s="1"/>
  <c r="I94" i="8" a="1"/>
  <c r="I94" i="8" s="1"/>
  <c r="I162" i="8" a="1"/>
  <c r="I162" i="8" s="1"/>
  <c r="G672" i="7" a="1"/>
  <c r="G672" i="7" s="1"/>
  <c r="F692" i="7"/>
  <c r="I607" i="9" l="1" a="1"/>
  <c r="I607" i="9" s="1"/>
  <c r="I95" i="8" a="1"/>
  <c r="I95" i="8" s="1"/>
  <c r="I163" i="8" a="1"/>
  <c r="I163" i="8" s="1"/>
  <c r="G692" i="7" a="1"/>
  <c r="G692" i="7" s="1"/>
  <c r="F702" i="7"/>
  <c r="I608" i="9" l="1" a="1"/>
  <c r="I608" i="9" s="1"/>
  <c r="I96" i="8" a="1"/>
  <c r="I96" i="8" s="1"/>
  <c r="I164" i="8" a="1"/>
  <c r="I164" i="8" s="1"/>
  <c r="F708" i="7"/>
  <c r="G702" i="7" a="1"/>
  <c r="G702" i="7" s="1"/>
  <c r="I609" i="9" l="1" a="1"/>
  <c r="I609" i="9" s="1"/>
  <c r="I97" i="8" a="1"/>
  <c r="I97" i="8" s="1"/>
  <c r="I165" i="8" a="1"/>
  <c r="I165" i="8" s="1"/>
  <c r="G708" i="7" a="1"/>
  <c r="G708" i="7" s="1"/>
  <c r="F733" i="7"/>
  <c r="I610" i="9" l="1" a="1"/>
  <c r="I610" i="9" s="1"/>
  <c r="I98" i="8" a="1"/>
  <c r="I98" i="8" s="1"/>
  <c r="I166" i="8" a="1"/>
  <c r="I166" i="8" s="1"/>
  <c r="G733" i="7" a="1"/>
  <c r="G733" i="7" s="1"/>
  <c r="F737" i="7"/>
  <c r="I611" i="9" l="1" a="1"/>
  <c r="I611" i="9" s="1"/>
  <c r="I99" i="8" a="1"/>
  <c r="I99" i="8" s="1"/>
  <c r="I167" i="8" a="1"/>
  <c r="I167" i="8" s="1"/>
  <c r="G737" i="7" a="1"/>
  <c r="G737" i="7" s="1"/>
  <c r="F754" i="7"/>
  <c r="I612" i="9" l="1" a="1"/>
  <c r="I612" i="9" s="1"/>
  <c r="I100" i="8" a="1"/>
  <c r="I100" i="8" s="1"/>
  <c r="I168" i="8" a="1"/>
  <c r="I168" i="8" s="1"/>
  <c r="G754" i="7" a="1"/>
  <c r="G754" i="7" s="1"/>
  <c r="F779" i="7"/>
  <c r="I613" i="9" l="1" a="1"/>
  <c r="I613" i="9" s="1"/>
  <c r="I101" i="8" a="1"/>
  <c r="I101" i="8" s="1"/>
  <c r="I169" i="8" a="1"/>
  <c r="I169" i="8" s="1"/>
  <c r="F797" i="7"/>
  <c r="G779" i="7" a="1"/>
  <c r="G779" i="7" s="1"/>
  <c r="I614" i="9" l="1" a="1"/>
  <c r="I614" i="9" s="1"/>
  <c r="I102" i="8" a="1"/>
  <c r="I102" i="8" s="1"/>
  <c r="I170" i="8" a="1"/>
  <c r="I170" i="8" s="1"/>
  <c r="F822" i="7"/>
  <c r="G797" i="7" a="1"/>
  <c r="G797" i="7" s="1"/>
  <c r="I615" i="9" l="1" a="1"/>
  <c r="I615" i="9" s="1"/>
  <c r="I103" i="8" a="1"/>
  <c r="I103" i="8" s="1"/>
  <c r="I171" i="8" a="1"/>
  <c r="I171" i="8" s="1"/>
  <c r="G822" i="7" a="1"/>
  <c r="G822" i="7" s="1"/>
  <c r="F831" i="7"/>
  <c r="I616" i="9" l="1" a="1"/>
  <c r="I616" i="9" s="1"/>
  <c r="I104" i="8" a="1"/>
  <c r="I104" i="8" s="1"/>
  <c r="I172" i="8" a="1"/>
  <c r="I172" i="8" s="1"/>
  <c r="G831" i="7" a="1"/>
  <c r="G831" i="7" s="1"/>
  <c r="F839" i="7"/>
  <c r="I617" i="9" l="1" a="1"/>
  <c r="I617" i="9" s="1"/>
  <c r="I105" i="8" a="1"/>
  <c r="I105" i="8" s="1"/>
  <c r="I173" i="8" a="1"/>
  <c r="I173" i="8" s="1"/>
  <c r="G839" i="7" a="1"/>
  <c r="G839" i="7" s="1"/>
  <c r="F856" i="7"/>
  <c r="I618" i="9" l="1" a="1"/>
  <c r="I618" i="9" s="1"/>
  <c r="I106" i="8" a="1"/>
  <c r="I106" i="8" s="1"/>
  <c r="I174" i="8" a="1"/>
  <c r="I174" i="8" s="1"/>
  <c r="G856" i="7" a="1"/>
  <c r="G856" i="7" s="1"/>
  <c r="F875" i="7"/>
  <c r="G875" i="7" s="1" a="1"/>
  <c r="G875" i="7" s="1"/>
  <c r="I619" i="9" l="1" a="1"/>
  <c r="I619" i="9" s="1"/>
  <c r="I107" i="8" a="1"/>
  <c r="I107" i="8" s="1"/>
  <c r="I175" i="8" a="1"/>
  <c r="I175" i="8" s="1"/>
  <c r="F242" i="7"/>
  <c r="I620" i="9" l="1" a="1"/>
  <c r="I620" i="9" s="1"/>
  <c r="I108" i="8" a="1"/>
  <c r="I108" i="8" s="1"/>
  <c r="I176" i="8" a="1"/>
  <c r="I176" i="8" s="1"/>
  <c r="G242" i="7" a="1"/>
  <c r="G242" i="7" s="1"/>
  <c r="I621" i="9" l="1" a="1"/>
  <c r="I621" i="9" s="1"/>
  <c r="I109" i="8" a="1"/>
  <c r="I109" i="8" s="1"/>
  <c r="I177" i="8" a="1"/>
  <c r="I177" i="8" s="1"/>
  <c r="F922" i="7"/>
  <c r="I622" i="9" l="1" a="1"/>
  <c r="I622" i="9" s="1"/>
  <c r="I110" i="8" a="1"/>
  <c r="I110" i="8" s="1"/>
  <c r="I178" i="8" a="1"/>
  <c r="I178" i="8" s="1"/>
  <c r="G922" i="7" a="1"/>
  <c r="G922" i="7" s="1"/>
  <c r="I623" i="9" l="1" a="1"/>
  <c r="I623" i="9" s="1"/>
  <c r="I111" i="8" a="1"/>
  <c r="I111" i="8" s="1"/>
  <c r="I179" i="8" a="1"/>
  <c r="I179" i="8" s="1"/>
  <c r="F60" i="7"/>
  <c r="I624" i="9" l="1" a="1"/>
  <c r="I624" i="9" s="1"/>
  <c r="I112" i="8" a="1"/>
  <c r="I112" i="8" s="1"/>
  <c r="I180" i="8" a="1"/>
  <c r="I180" i="8" s="1"/>
  <c r="G60" i="7" a="1"/>
  <c r="G60" i="7" s="1"/>
  <c r="I625" i="9" l="1" a="1"/>
  <c r="I625" i="9" s="1"/>
  <c r="I113" i="8" a="1"/>
  <c r="I113" i="8" s="1"/>
  <c r="I181" i="8" a="1"/>
  <c r="I181" i="8" s="1"/>
  <c r="F163" i="7"/>
  <c r="I626" i="9" l="1" a="1"/>
  <c r="I626" i="9" s="1"/>
  <c r="I114" i="8" a="1"/>
  <c r="I114" i="8" s="1"/>
  <c r="I182" i="8" a="1"/>
  <c r="I182" i="8" s="1"/>
  <c r="G163" i="7" a="1"/>
  <c r="G163" i="7" s="1"/>
  <c r="I627" i="9" l="1" a="1"/>
  <c r="I627" i="9" s="1"/>
  <c r="I115" i="8" a="1"/>
  <c r="I115" i="8" s="1"/>
  <c r="I183" i="8" a="1"/>
  <c r="I183" i="8" s="1"/>
  <c r="F912" i="7"/>
  <c r="F913" i="7" s="1"/>
  <c r="G913" i="7" s="1" a="1"/>
  <c r="G913" i="7" s="1"/>
  <c r="I628" i="9" l="1" a="1"/>
  <c r="I628" i="9" s="1"/>
  <c r="I116" i="8" a="1"/>
  <c r="I116" i="8" s="1"/>
  <c r="I184" i="8" a="1"/>
  <c r="I184" i="8" s="1"/>
  <c r="G912" i="7" a="1"/>
  <c r="G912" i="7" s="1"/>
  <c r="I629" i="9" l="1" a="1"/>
  <c r="I629" i="9" s="1"/>
  <c r="I117" i="8" a="1"/>
  <c r="I117" i="8" s="1"/>
  <c r="I185" i="8" a="1"/>
  <c r="I185" i="8" s="1"/>
  <c r="F61" i="7"/>
  <c r="I630" i="9" l="1" a="1"/>
  <c r="I630" i="9" s="1"/>
  <c r="I118" i="8" a="1"/>
  <c r="I118" i="8" s="1"/>
  <c r="I186" i="8" a="1"/>
  <c r="I186" i="8" s="1"/>
  <c r="G61" i="7" a="1"/>
  <c r="G61" i="7" s="1"/>
  <c r="I631" i="9" l="1" a="1"/>
  <c r="I631" i="9" s="1"/>
  <c r="I119" i="8" a="1"/>
  <c r="I119" i="8" s="1"/>
  <c r="I187" i="8" a="1"/>
  <c r="I187" i="8" s="1"/>
  <c r="F164" i="7"/>
  <c r="I632" i="9" l="1" a="1"/>
  <c r="I632" i="9" s="1"/>
  <c r="I120" i="8" a="1"/>
  <c r="I120" i="8" s="1"/>
  <c r="I188" i="8" a="1"/>
  <c r="I188" i="8" s="1"/>
  <c r="G164" i="7" a="1"/>
  <c r="G164" i="7" s="1"/>
  <c r="I633" i="9" l="1" a="1"/>
  <c r="I633" i="9" s="1"/>
  <c r="I121" i="8" a="1"/>
  <c r="I121" i="8" s="1"/>
  <c r="I189" i="8" a="1"/>
  <c r="I189" i="8" s="1"/>
  <c r="F25" i="7"/>
  <c r="I634" i="9" l="1" a="1"/>
  <c r="I634" i="9" s="1"/>
  <c r="I122" i="8" a="1"/>
  <c r="I122" i="8" s="1"/>
  <c r="I190" i="8" a="1"/>
  <c r="I190" i="8" s="1"/>
  <c r="F31" i="7"/>
  <c r="G25" i="7" a="1"/>
  <c r="G25" i="7" s="1"/>
  <c r="I635" i="9" l="1" a="1"/>
  <c r="I635" i="9" s="1"/>
  <c r="I123" i="8" a="1"/>
  <c r="I123" i="8" s="1"/>
  <c r="I191" i="8" a="1"/>
  <c r="I191" i="8" s="1"/>
  <c r="G31" i="7" a="1"/>
  <c r="G31" i="7" s="1"/>
  <c r="I636" i="9" l="1" a="1"/>
  <c r="I636" i="9" s="1"/>
  <c r="I124" i="8" a="1"/>
  <c r="I124" i="8" s="1"/>
  <c r="I192" i="8" a="1"/>
  <c r="I192" i="8" s="1"/>
  <c r="F26" i="7"/>
  <c r="I637" i="9" l="1" a="1"/>
  <c r="I637" i="9" s="1"/>
  <c r="I125" i="8" a="1"/>
  <c r="I125" i="8" s="1"/>
  <c r="I193" i="8" a="1"/>
  <c r="I193" i="8" s="1"/>
  <c r="G26" i="7" a="1"/>
  <c r="G26" i="7" s="1"/>
  <c r="F32" i="7"/>
  <c r="I638" i="9" l="1" a="1"/>
  <c r="I638" i="9" s="1"/>
  <c r="I126" i="8" a="1"/>
  <c r="I126" i="8" s="1"/>
  <c r="I194" i="8" a="1"/>
  <c r="I194" i="8" s="1"/>
  <c r="G32" i="7" a="1"/>
  <c r="G32" i="7" s="1"/>
  <c r="I639" i="9" l="1" a="1"/>
  <c r="I639" i="9" s="1"/>
  <c r="I127" i="8" a="1"/>
  <c r="I127" i="8" s="1"/>
  <c r="I195" i="8" a="1"/>
  <c r="I195" i="8" s="1"/>
  <c r="F27" i="7"/>
  <c r="I640" i="9" l="1" a="1"/>
  <c r="I640" i="9" s="1"/>
  <c r="I128" i="8" a="1"/>
  <c r="I128" i="8" s="1"/>
  <c r="I196" i="8" a="1"/>
  <c r="I196" i="8" s="1"/>
  <c r="G27" i="7" a="1"/>
  <c r="G27" i="7" s="1"/>
  <c r="F33" i="7"/>
  <c r="I641" i="9" l="1" a="1"/>
  <c r="I641" i="9" s="1"/>
  <c r="I129" i="8" a="1"/>
  <c r="I129" i="8" s="1"/>
  <c r="I197" i="8" a="1"/>
  <c r="I197" i="8" s="1"/>
  <c r="G33" i="7" a="1"/>
  <c r="G33" i="7" s="1"/>
  <c r="I642" i="9" l="1" a="1"/>
  <c r="I642" i="9" s="1"/>
  <c r="I130" i="8" a="1"/>
  <c r="I130" i="8" s="1"/>
  <c r="I198" i="8" a="1"/>
  <c r="I198" i="8" s="1"/>
  <c r="F28" i="7"/>
  <c r="I643" i="9" l="1" a="1"/>
  <c r="I643" i="9" s="1"/>
  <c r="I131" i="8" a="1"/>
  <c r="I131" i="8" s="1"/>
  <c r="I199" i="8" a="1"/>
  <c r="I199" i="8" s="1"/>
  <c r="G28" i="7" a="1"/>
  <c r="G28" i="7" s="1"/>
  <c r="F34" i="7"/>
  <c r="I644" i="9" l="1" a="1"/>
  <c r="I644" i="9" s="1"/>
  <c r="I132" i="8" a="1"/>
  <c r="I132" i="8" s="1"/>
  <c r="I200" i="8" a="1"/>
  <c r="I200" i="8" s="1"/>
  <c r="G34" i="7" a="1"/>
  <c r="G34" i="7" s="1"/>
  <c r="I645" i="9" l="1" a="1"/>
  <c r="I645" i="9" s="1"/>
  <c r="I133" i="8" a="1"/>
  <c r="I133" i="8" s="1"/>
  <c r="I201" i="8" a="1"/>
  <c r="I201" i="8" s="1"/>
  <c r="F29" i="7"/>
  <c r="I646" i="9" l="1" a="1"/>
  <c r="I646" i="9" s="1"/>
  <c r="I134" i="8" a="1"/>
  <c r="I134" i="8" s="1"/>
  <c r="I202" i="8" a="1"/>
  <c r="I202" i="8" s="1"/>
  <c r="G29" i="7" a="1"/>
  <c r="G29" i="7" s="1"/>
  <c r="F35" i="7"/>
  <c r="I647" i="9" l="1" a="1"/>
  <c r="I647" i="9" s="1"/>
  <c r="I135" i="8" a="1"/>
  <c r="I135" i="8" s="1"/>
  <c r="I203" i="8" a="1"/>
  <c r="I203" i="8" s="1"/>
  <c r="G35" i="7" a="1"/>
  <c r="G35" i="7" s="1"/>
  <c r="I648" i="9" l="1" a="1"/>
  <c r="I648" i="9" s="1"/>
  <c r="I136" i="8" a="1"/>
  <c r="I136" i="8" s="1"/>
  <c r="I204" i="8" a="1"/>
  <c r="I204" i="8" s="1"/>
  <c r="F30" i="7"/>
  <c r="I649" i="9" l="1" a="1"/>
  <c r="I649" i="9" s="1"/>
  <c r="I137" i="8" a="1"/>
  <c r="I137" i="8" s="1"/>
  <c r="I205" i="8" a="1"/>
  <c r="I205" i="8" s="1"/>
  <c r="G30" i="7" a="1"/>
  <c r="G30" i="7" s="1"/>
  <c r="F36" i="7"/>
  <c r="I650" i="9" l="1" a="1"/>
  <c r="I650" i="9" s="1"/>
  <c r="I138" i="8" a="1"/>
  <c r="I138" i="8" s="1"/>
  <c r="I206" i="8" a="1"/>
  <c r="I206" i="8" s="1"/>
  <c r="G36" i="7" a="1"/>
  <c r="G36" i="7" s="1"/>
  <c r="I651" i="9" l="1" a="1"/>
  <c r="I651" i="9" s="1"/>
  <c r="I139" i="8" a="1"/>
  <c r="I139" i="8" s="1"/>
  <c r="I207" i="8" a="1"/>
  <c r="I207" i="8" s="1"/>
  <c r="F846" i="7"/>
  <c r="G846" i="7" s="1" a="1"/>
  <c r="G846" i="7" s="1"/>
  <c r="F21" i="7"/>
  <c r="G21" i="7" s="1" a="1"/>
  <c r="G21" i="7" s="1"/>
  <c r="F22" i="7"/>
  <c r="G22" i="7" s="1" a="1"/>
  <c r="G22" i="7" s="1"/>
  <c r="F3" i="7"/>
  <c r="G3" i="7" s="1" a="1"/>
  <c r="G3" i="7" s="1"/>
  <c r="F202" i="7"/>
  <c r="I652" i="9" l="1" a="1"/>
  <c r="I652" i="9" s="1"/>
  <c r="I140" i="8" a="1"/>
  <c r="I140" i="8" s="1"/>
  <c r="I208" i="8" a="1"/>
  <c r="I208" i="8" s="1"/>
  <c r="G202" i="7" a="1"/>
  <c r="G202" i="7" s="1"/>
  <c r="F203" i="7"/>
  <c r="F62" i="7"/>
  <c r="F40" i="7"/>
  <c r="F41" i="7" s="1"/>
  <c r="I653" i="9" l="1" a="1"/>
  <c r="I653" i="9" s="1"/>
  <c r="I141" i="8" a="1"/>
  <c r="I141" i="8" s="1"/>
  <c r="I209" i="8" a="1"/>
  <c r="I209" i="8" s="1"/>
  <c r="G203" i="7" a="1"/>
  <c r="G203" i="7" s="1"/>
  <c r="F204" i="7"/>
  <c r="G204" i="7" s="1" a="1"/>
  <c r="G204" i="7" s="1"/>
  <c r="G40" i="7" a="1"/>
  <c r="G40" i="7" s="1"/>
  <c r="F53" i="7"/>
  <c r="G62" i="7" a="1"/>
  <c r="G62" i="7" s="1"/>
  <c r="G41" i="7" a="1"/>
  <c r="G41" i="7" s="1"/>
  <c r="F54" i="7"/>
  <c r="I654" i="9" l="1" a="1"/>
  <c r="I654" i="9" s="1"/>
  <c r="I210" i="8" a="1"/>
  <c r="I210" i="8" s="1"/>
  <c r="G54" i="7" a="1"/>
  <c r="G54" i="7" s="1"/>
  <c r="F67" i="7"/>
  <c r="G53" i="7" a="1"/>
  <c r="G53" i="7" s="1"/>
  <c r="F66" i="7"/>
  <c r="I655" i="9" l="1" a="1"/>
  <c r="I655" i="9" s="1"/>
  <c r="I211" i="8" a="1"/>
  <c r="I211" i="8" s="1"/>
  <c r="G66" i="7" a="1"/>
  <c r="G66" i="7" s="1"/>
  <c r="F82" i="7"/>
  <c r="F83" i="7" s="1"/>
  <c r="G67" i="7" a="1"/>
  <c r="G67" i="7" s="1"/>
  <c r="I656" i="9" l="1" a="1"/>
  <c r="I656" i="9" s="1"/>
  <c r="I212" i="8" a="1"/>
  <c r="I212" i="8" s="1"/>
  <c r="F92" i="7"/>
  <c r="F93" i="7" s="1"/>
  <c r="G82" i="7" a="1"/>
  <c r="G82" i="7" s="1"/>
  <c r="G83" i="7" a="1"/>
  <c r="G83" i="7" s="1"/>
  <c r="I657" i="9" l="1" a="1"/>
  <c r="I657" i="9" s="1"/>
  <c r="I213" i="8" a="1"/>
  <c r="I213" i="8" s="1"/>
  <c r="G92" i="7" a="1"/>
  <c r="G92" i="7" s="1"/>
  <c r="F117" i="7"/>
  <c r="F165" i="7"/>
  <c r="G93" i="7" a="1"/>
  <c r="G93" i="7" s="1"/>
  <c r="F118" i="7"/>
  <c r="I658" i="9" l="1" a="1"/>
  <c r="I658" i="9" s="1"/>
  <c r="I214" i="8" a="1"/>
  <c r="I214" i="8" s="1"/>
  <c r="G165" i="7" a="1"/>
  <c r="G165" i="7" s="1"/>
  <c r="G118" i="7" a="1"/>
  <c r="G118" i="7" s="1"/>
  <c r="F138" i="7"/>
  <c r="G117" i="7" a="1"/>
  <c r="G117" i="7" s="1"/>
  <c r="F137" i="7"/>
  <c r="I659" i="9" l="1" a="1"/>
  <c r="I659" i="9" s="1"/>
  <c r="I215" i="8" a="1"/>
  <c r="I215" i="8" s="1"/>
  <c r="G138" i="7" a="1"/>
  <c r="G138" i="7" s="1"/>
  <c r="F145" i="7"/>
  <c r="F205" i="7"/>
  <c r="G137" i="7" a="1"/>
  <c r="G137" i="7" s="1"/>
  <c r="F144" i="7"/>
  <c r="G144" i="7" s="1" a="1"/>
  <c r="G144" i="7" s="1"/>
  <c r="I660" i="9" l="1" a="1"/>
  <c r="I660" i="9" s="1"/>
  <c r="I216" i="8" a="1"/>
  <c r="I216" i="8" s="1"/>
  <c r="G145" i="7" a="1"/>
  <c r="G145" i="7" s="1"/>
  <c r="F180" i="7"/>
  <c r="G205" i="7" a="1"/>
  <c r="G205" i="7" s="1"/>
  <c r="I661" i="9" l="1" a="1"/>
  <c r="I661" i="9" s="1"/>
  <c r="I217" i="8" a="1"/>
  <c r="I217" i="8" s="1"/>
  <c r="F243" i="7"/>
  <c r="G180" i="7" a="1"/>
  <c r="G180" i="7" s="1"/>
  <c r="F220" i="7"/>
  <c r="I662" i="9" l="1" a="1"/>
  <c r="I662" i="9" s="1"/>
  <c r="I218" i="8" a="1"/>
  <c r="I218" i="8" s="1"/>
  <c r="G220" i="7" a="1"/>
  <c r="G220" i="7" s="1"/>
  <c r="F250" i="7"/>
  <c r="G243" i="7" a="1"/>
  <c r="G243" i="7" s="1"/>
  <c r="I663" i="9" l="1" a="1"/>
  <c r="I663" i="9" s="1"/>
  <c r="I219" i="8" a="1"/>
  <c r="I219" i="8" s="1"/>
  <c r="G250" i="7" a="1"/>
  <c r="G250" i="7" s="1"/>
  <c r="F258" i="7"/>
  <c r="I664" i="9" l="1" a="1"/>
  <c r="I664" i="9" s="1"/>
  <c r="I220" i="8" a="1"/>
  <c r="I220" i="8" s="1"/>
  <c r="G258" i="7" a="1"/>
  <c r="G258" i="7" s="1"/>
  <c r="F267" i="7"/>
  <c r="I665" i="9" l="1" a="1"/>
  <c r="I665" i="9" s="1"/>
  <c r="I221" i="8" a="1"/>
  <c r="I221" i="8" s="1"/>
  <c r="G267" i="7" a="1"/>
  <c r="G267" i="7" s="1"/>
  <c r="F278" i="7"/>
  <c r="I666" i="9" l="1" a="1"/>
  <c r="I666" i="9" s="1"/>
  <c r="I222" i="8" a="1"/>
  <c r="I222" i="8" s="1"/>
  <c r="G278" i="7" a="1"/>
  <c r="G278" i="7" s="1"/>
  <c r="F283" i="7"/>
  <c r="I667" i="9" l="1" a="1"/>
  <c r="I667" i="9" s="1"/>
  <c r="I223" i="8" a="1"/>
  <c r="I223" i="8" s="1"/>
  <c r="G283" i="7" a="1"/>
  <c r="G283" i="7" s="1"/>
  <c r="F288" i="7"/>
  <c r="I668" i="9" l="1" a="1"/>
  <c r="I668" i="9" s="1"/>
  <c r="I224" i="8" a="1"/>
  <c r="I224" i="8" s="1"/>
  <c r="G288" i="7" a="1"/>
  <c r="G288" i="7" s="1"/>
  <c r="F304" i="7"/>
  <c r="I669" i="9" l="1" a="1"/>
  <c r="I669" i="9" s="1"/>
  <c r="I225" i="8" a="1"/>
  <c r="I225" i="8" s="1"/>
  <c r="G304" i="7" a="1"/>
  <c r="G304" i="7" s="1"/>
  <c r="F313" i="7"/>
  <c r="I670" i="9" l="1" a="1"/>
  <c r="I670" i="9" s="1"/>
  <c r="I226" i="8" a="1"/>
  <c r="I226" i="8" s="1"/>
  <c r="F326" i="7"/>
  <c r="G313" i="7" a="1"/>
  <c r="G313" i="7" s="1"/>
  <c r="I671" i="9" l="1" a="1"/>
  <c r="I671" i="9" s="1"/>
  <c r="I227" i="8" a="1"/>
  <c r="I227" i="8" s="1"/>
  <c r="G326" i="7" a="1"/>
  <c r="G326" i="7" s="1"/>
  <c r="F342" i="7"/>
  <c r="I672" i="9" l="1" a="1"/>
  <c r="I672" i="9" s="1"/>
  <c r="I228" i="8" a="1"/>
  <c r="I228" i="8" s="1"/>
  <c r="G342" i="7" a="1"/>
  <c r="G342" i="7" s="1"/>
  <c r="F358" i="7"/>
  <c r="I673" i="9" l="1" a="1"/>
  <c r="I673" i="9" s="1"/>
  <c r="I229" i="8" a="1"/>
  <c r="I229" i="8" s="1"/>
  <c r="G358" i="7" a="1"/>
  <c r="G358" i="7" s="1"/>
  <c r="F367" i="7"/>
  <c r="I674" i="9" l="1" a="1"/>
  <c r="I674" i="9" s="1"/>
  <c r="I230" i="8" a="1"/>
  <c r="I230" i="8" s="1"/>
  <c r="G367" i="7" a="1"/>
  <c r="G367" i="7" s="1"/>
  <c r="F382" i="7"/>
  <c r="I675" i="9" l="1" a="1"/>
  <c r="I675" i="9" s="1"/>
  <c r="I231" i="8" a="1"/>
  <c r="I231" i="8" s="1"/>
  <c r="G382" i="7" a="1"/>
  <c r="G382" i="7" s="1"/>
  <c r="F388" i="7"/>
  <c r="I676" i="9" l="1" a="1"/>
  <c r="I676" i="9" s="1"/>
  <c r="I232" i="8" a="1"/>
  <c r="I232" i="8" s="1"/>
  <c r="G388" i="7" a="1"/>
  <c r="G388" i="7" s="1"/>
  <c r="F392" i="7"/>
  <c r="I677" i="9" l="1" a="1"/>
  <c r="I677" i="9" s="1"/>
  <c r="I233" i="8" a="1"/>
  <c r="I233" i="8" s="1"/>
  <c r="G392" i="7" a="1"/>
  <c r="G392" i="7" s="1"/>
  <c r="F399" i="7"/>
  <c r="I678" i="9" l="1" a="1"/>
  <c r="I678" i="9" s="1"/>
  <c r="I234" i="8" a="1"/>
  <c r="I234" i="8" s="1"/>
  <c r="G399" i="7" a="1"/>
  <c r="G399" i="7" s="1"/>
  <c r="F409" i="7"/>
  <c r="I679" i="9" l="1" a="1"/>
  <c r="I679" i="9" s="1"/>
  <c r="I235" i="8" a="1"/>
  <c r="I235" i="8" s="1"/>
  <c r="F433" i="7"/>
  <c r="G409" i="7" a="1"/>
  <c r="G409" i="7" s="1"/>
  <c r="I680" i="9" l="1" a="1"/>
  <c r="I680" i="9" s="1"/>
  <c r="I236" i="8" a="1"/>
  <c r="I236" i="8" s="1"/>
  <c r="G433" i="7" a="1"/>
  <c r="G433" i="7" s="1"/>
  <c r="F461" i="7"/>
  <c r="I681" i="9" l="1" a="1"/>
  <c r="I681" i="9" s="1"/>
  <c r="I237" i="8" a="1"/>
  <c r="I237" i="8" s="1"/>
  <c r="G461" i="7" a="1"/>
  <c r="G461" i="7" s="1"/>
  <c r="F471" i="7"/>
  <c r="I682" i="9" l="1" a="1"/>
  <c r="I682" i="9" s="1"/>
  <c r="I238" i="8" a="1"/>
  <c r="I238" i="8" s="1"/>
  <c r="G471" i="7" a="1"/>
  <c r="G471" i="7" s="1"/>
  <c r="F495" i="7"/>
  <c r="I683" i="9" l="1" a="1"/>
  <c r="I683" i="9" s="1"/>
  <c r="I239" i="8" a="1"/>
  <c r="I239" i="8" s="1"/>
  <c r="G495" i="7" a="1"/>
  <c r="G495" i="7" s="1"/>
  <c r="F505" i="7"/>
  <c r="I684" i="9" l="1" a="1"/>
  <c r="I684" i="9" s="1"/>
  <c r="I240" i="8" a="1"/>
  <c r="I240" i="8" s="1"/>
  <c r="G505" i="7" a="1"/>
  <c r="G505" i="7" s="1"/>
  <c r="F517" i="7"/>
  <c r="I685" i="9" l="1" a="1"/>
  <c r="I685" i="9" s="1"/>
  <c r="I241" i="8" a="1"/>
  <c r="I241" i="8" s="1"/>
  <c r="G517" i="7" a="1"/>
  <c r="G517" i="7" s="1"/>
  <c r="F542" i="7"/>
  <c r="F914" i="7"/>
  <c r="I686" i="9" l="1" a="1"/>
  <c r="I686" i="9" s="1"/>
  <c r="I242" i="8" a="1"/>
  <c r="I242" i="8" s="1"/>
  <c r="G542" i="7" a="1"/>
  <c r="G542" i="7" s="1"/>
  <c r="F553" i="7"/>
  <c r="F923" i="7"/>
  <c r="G914" i="7" a="1"/>
  <c r="G914" i="7" s="1"/>
  <c r="I687" i="9" l="1" a="1"/>
  <c r="I687" i="9" s="1"/>
  <c r="I243" i="8" a="1"/>
  <c r="I243" i="8" s="1"/>
  <c r="G553" i="7" a="1"/>
  <c r="G553" i="7" s="1"/>
  <c r="F578" i="7"/>
  <c r="G923" i="7" a="1"/>
  <c r="G923" i="7" s="1"/>
  <c r="I688" i="9" l="1" a="1"/>
  <c r="I688" i="9" s="1"/>
  <c r="I244" i="8" a="1"/>
  <c r="I244" i="8" s="1"/>
  <c r="F603" i="7"/>
  <c r="G578" i="7" a="1"/>
  <c r="G578" i="7" s="1"/>
  <c r="I689" i="9" l="1" a="1"/>
  <c r="I689" i="9" s="1"/>
  <c r="I245" i="8" a="1"/>
  <c r="I245" i="8" s="1"/>
  <c r="G603" i="7" a="1"/>
  <c r="G603" i="7" s="1"/>
  <c r="F624" i="7"/>
  <c r="F63" i="7"/>
  <c r="I690" i="9" l="1" a="1"/>
  <c r="I690" i="9" s="1"/>
  <c r="I246" i="8" a="1"/>
  <c r="I246" i="8" s="1"/>
  <c r="G624" i="7" a="1"/>
  <c r="G624" i="7" s="1"/>
  <c r="F649" i="7"/>
  <c r="G63" i="7" a="1"/>
  <c r="G63" i="7" s="1"/>
  <c r="I691" i="9" l="1" a="1"/>
  <c r="I691" i="9" s="1"/>
  <c r="I247" i="8" a="1"/>
  <c r="I247" i="8" s="1"/>
  <c r="G649" i="7" a="1"/>
  <c r="G649" i="7" s="1"/>
  <c r="F673" i="7"/>
  <c r="I692" i="9" l="1" a="1"/>
  <c r="I692" i="9" s="1"/>
  <c r="I248" i="8" a="1"/>
  <c r="I248" i="8" s="1"/>
  <c r="G673" i="7" a="1"/>
  <c r="G673" i="7" s="1"/>
  <c r="F693" i="7"/>
  <c r="I693" i="9" l="1" a="1"/>
  <c r="I693" i="9" s="1"/>
  <c r="I249" i="8" a="1"/>
  <c r="I249" i="8" s="1"/>
  <c r="G693" i="7" a="1"/>
  <c r="G693" i="7" s="1"/>
  <c r="F703" i="7"/>
  <c r="I694" i="9" l="1" a="1"/>
  <c r="I694" i="9" s="1"/>
  <c r="I250" i="8" a="1"/>
  <c r="I250" i="8" s="1"/>
  <c r="G703" i="7" a="1"/>
  <c r="G703" i="7" s="1"/>
  <c r="F709" i="7"/>
  <c r="F166" i="7"/>
  <c r="I695" i="9" l="1" a="1"/>
  <c r="I695" i="9" s="1"/>
  <c r="I251" i="8" a="1"/>
  <c r="I251" i="8" s="1"/>
  <c r="G166" i="7" a="1"/>
  <c r="G166" i="7" s="1"/>
  <c r="G709" i="7" a="1"/>
  <c r="G709" i="7" s="1"/>
  <c r="F738" i="7"/>
  <c r="I696" i="9" l="1" a="1"/>
  <c r="I696" i="9" s="1"/>
  <c r="I252" i="8" a="1"/>
  <c r="I252" i="8" s="1"/>
  <c r="F206" i="7"/>
  <c r="G738" i="7" a="1"/>
  <c r="G738" i="7" s="1"/>
  <c r="F755" i="7"/>
  <c r="I697" i="9" l="1" a="1"/>
  <c r="I697" i="9" s="1"/>
  <c r="I253" i="8" a="1"/>
  <c r="I253" i="8" s="1"/>
  <c r="G755" i="7" a="1"/>
  <c r="G755" i="7" s="1"/>
  <c r="F780" i="7"/>
  <c r="G206" i="7" a="1"/>
  <c r="G206" i="7" s="1"/>
  <c r="I698" i="9" l="1" a="1"/>
  <c r="I698" i="9" s="1"/>
  <c r="I254" i="8" a="1"/>
  <c r="I254" i="8" s="1"/>
  <c r="F244" i="7"/>
  <c r="G780" i="7" a="1"/>
  <c r="G780" i="7" s="1"/>
  <c r="F798" i="7"/>
  <c r="F4" i="7"/>
  <c r="F5" i="7" s="1"/>
  <c r="I699" i="9" l="1" a="1"/>
  <c r="I699" i="9" s="1"/>
  <c r="I255" i="8" a="1"/>
  <c r="I255" i="8" s="1"/>
  <c r="F6" i="7"/>
  <c r="G5" i="7" a="1"/>
  <c r="G5" i="7" s="1"/>
  <c r="G4" i="7" a="1"/>
  <c r="G4" i="7" s="1"/>
  <c r="G798" i="7" a="1"/>
  <c r="G798" i="7" s="1"/>
  <c r="F823" i="7"/>
  <c r="G244" i="7" a="1"/>
  <c r="G244" i="7" s="1"/>
  <c r="I700" i="9" l="1" a="1"/>
  <c r="I700" i="9" s="1"/>
  <c r="I256" i="8" a="1"/>
  <c r="I256" i="8" s="1"/>
  <c r="G6" i="7" a="1"/>
  <c r="G6" i="7" s="1"/>
  <c r="F7" i="7"/>
  <c r="G823" i="7" a="1"/>
  <c r="G823" i="7" s="1"/>
  <c r="F832" i="7"/>
  <c r="I701" i="9" l="1" a="1"/>
  <c r="I701" i="9" s="1"/>
  <c r="I257" i="8" a="1"/>
  <c r="I257" i="8" s="1"/>
  <c r="G7" i="7" a="1"/>
  <c r="G7" i="7" s="1"/>
  <c r="F8" i="7"/>
  <c r="G8" i="7" s="1" a="1"/>
  <c r="G8" i="7" s="1"/>
  <c r="G832" i="7" a="1"/>
  <c r="G832" i="7" s="1"/>
  <c r="F840" i="7"/>
  <c r="I702" i="9" l="1" a="1"/>
  <c r="I702" i="9" s="1"/>
  <c r="I258" i="8" a="1"/>
  <c r="I258" i="8" s="1"/>
  <c r="F857" i="7"/>
  <c r="G840" i="7" a="1"/>
  <c r="G840" i="7" s="1"/>
  <c r="I703" i="9" l="1" a="1"/>
  <c r="I703" i="9" s="1"/>
  <c r="I259" i="8" a="1"/>
  <c r="I259" i="8" s="1"/>
  <c r="G857" i="7" a="1"/>
  <c r="G857" i="7" s="1"/>
  <c r="F876" i="7"/>
  <c r="I704" i="9" l="1" a="1"/>
  <c r="I704" i="9" s="1"/>
  <c r="I260" i="8" a="1"/>
  <c r="I260" i="8" s="1"/>
  <c r="G876" i="7" a="1"/>
  <c r="G876" i="7" s="1"/>
  <c r="F883" i="7"/>
  <c r="I705" i="9" l="1" a="1"/>
  <c r="I705" i="9" s="1"/>
  <c r="I261" i="8" a="1"/>
  <c r="I261" i="8" s="1"/>
  <c r="G883" i="7" a="1"/>
  <c r="G883" i="7" s="1"/>
  <c r="F890" i="7"/>
  <c r="I706" i="9" l="1" a="1"/>
  <c r="I706" i="9" s="1"/>
  <c r="I262" i="8" a="1"/>
  <c r="I262" i="8" s="1"/>
  <c r="G890" i="7" a="1"/>
  <c r="G890" i="7" s="1"/>
  <c r="F938" i="7"/>
  <c r="I707" i="9" l="1" a="1"/>
  <c r="I707" i="9" s="1"/>
  <c r="I263" i="8" a="1"/>
  <c r="I263" i="8" s="1"/>
  <c r="G938" i="7" a="1"/>
  <c r="G938" i="7" s="1"/>
  <c r="F23" i="7"/>
  <c r="I708" i="9" l="1" a="1"/>
  <c r="I708" i="9" s="1"/>
  <c r="I264" i="8" a="1"/>
  <c r="I264" i="8" s="1"/>
  <c r="G23" i="7" a="1"/>
  <c r="G23" i="7" s="1"/>
  <c r="F42" i="7"/>
  <c r="I709" i="9" l="1" a="1"/>
  <c r="I709" i="9" s="1"/>
  <c r="I265" i="8" a="1"/>
  <c r="I265" i="8" s="1"/>
  <c r="G42" i="7" a="1"/>
  <c r="G42" i="7" s="1"/>
  <c r="F55" i="7"/>
  <c r="I710" i="9" l="1" a="1"/>
  <c r="I710" i="9" s="1"/>
  <c r="I266" i="8" a="1"/>
  <c r="I266" i="8" s="1"/>
  <c r="G55" i="7" a="1"/>
  <c r="G55" i="7" s="1"/>
  <c r="F68" i="7"/>
  <c r="I711" i="9" l="1" a="1"/>
  <c r="I711" i="9" s="1"/>
  <c r="I267" i="8" a="1"/>
  <c r="I267" i="8" s="1"/>
  <c r="F84" i="7"/>
  <c r="G68" i="7" a="1"/>
  <c r="G68" i="7" s="1"/>
  <c r="I712" i="9" l="1" a="1"/>
  <c r="I712" i="9" s="1"/>
  <c r="I268" i="8" a="1"/>
  <c r="I268" i="8" s="1"/>
  <c r="G84" i="7" a="1"/>
  <c r="G84" i="7" s="1"/>
  <c r="F94" i="7"/>
  <c r="I713" i="9" l="1" a="1"/>
  <c r="I713" i="9" s="1"/>
  <c r="I269" i="8" a="1"/>
  <c r="I269" i="8" s="1"/>
  <c r="G94" i="7" a="1"/>
  <c r="G94" i="7" s="1"/>
  <c r="F119" i="7"/>
  <c r="I714" i="9" l="1" a="1"/>
  <c r="I714" i="9" s="1"/>
  <c r="I270" i="8" a="1"/>
  <c r="I270" i="8" s="1"/>
  <c r="G119" i="7" a="1"/>
  <c r="G119" i="7" s="1"/>
  <c r="F139" i="7"/>
  <c r="I715" i="9" l="1" a="1"/>
  <c r="I715" i="9" s="1"/>
  <c r="I271" i="8" a="1"/>
  <c r="I271" i="8" s="1"/>
  <c r="G139" i="7" a="1"/>
  <c r="G139" i="7" s="1"/>
  <c r="F146" i="7"/>
  <c r="I716" i="9" l="1" a="1"/>
  <c r="I716" i="9" s="1"/>
  <c r="I272" i="8" a="1"/>
  <c r="I272" i="8" s="1"/>
  <c r="G146" i="7" a="1"/>
  <c r="G146" i="7" s="1"/>
  <c r="F181" i="7"/>
  <c r="I717" i="9" l="1" a="1"/>
  <c r="I717" i="9" s="1"/>
  <c r="I273" i="8" a="1"/>
  <c r="I273" i="8" s="1"/>
  <c r="G181" i="7" a="1"/>
  <c r="G181" i="7" s="1"/>
  <c r="F221" i="7"/>
  <c r="I718" i="9" l="1" a="1"/>
  <c r="I718" i="9" s="1"/>
  <c r="I274" i="8" a="1"/>
  <c r="I274" i="8" s="1"/>
  <c r="G221" i="7" a="1"/>
  <c r="G221" i="7" s="1"/>
  <c r="F251" i="7"/>
  <c r="I719" i="9" l="1" a="1"/>
  <c r="I719" i="9" s="1"/>
  <c r="I275" i="8" a="1"/>
  <c r="I275" i="8" s="1"/>
  <c r="G251" i="7" a="1"/>
  <c r="G251" i="7" s="1"/>
  <c r="F259" i="7"/>
  <c r="I720" i="9" l="1" a="1"/>
  <c r="I720" i="9" s="1"/>
  <c r="I276" i="8" a="1"/>
  <c r="I276" i="8" s="1"/>
  <c r="F268" i="7"/>
  <c r="G259" i="7" a="1"/>
  <c r="G259" i="7" s="1"/>
  <c r="I721" i="9" l="1" a="1"/>
  <c r="I721" i="9" s="1"/>
  <c r="I277" i="8" a="1"/>
  <c r="I277" i="8" s="1"/>
  <c r="G268" i="7" a="1"/>
  <c r="G268" i="7" s="1"/>
  <c r="F279" i="7"/>
  <c r="I722" i="9" l="1" a="1"/>
  <c r="I722" i="9" s="1"/>
  <c r="I278" i="8" a="1"/>
  <c r="I278" i="8" s="1"/>
  <c r="G279" i="7" a="1"/>
  <c r="G279" i="7" s="1"/>
  <c r="F284" i="7"/>
  <c r="F915" i="7"/>
  <c r="I723" i="9" l="1" a="1"/>
  <c r="I723" i="9" s="1"/>
  <c r="I279" i="8" a="1"/>
  <c r="I279" i="8" s="1"/>
  <c r="F924" i="7"/>
  <c r="G915" i="7" a="1"/>
  <c r="G915" i="7" s="1"/>
  <c r="G284" i="7" a="1"/>
  <c r="G284" i="7" s="1"/>
  <c r="F289" i="7"/>
  <c r="I724" i="9" l="1" a="1"/>
  <c r="I724" i="9" s="1"/>
  <c r="I280" i="8" a="1"/>
  <c r="I280" i="8" s="1"/>
  <c r="G289" i="7" a="1"/>
  <c r="G289" i="7" s="1"/>
  <c r="F305" i="7"/>
  <c r="G924" i="7" a="1"/>
  <c r="G924" i="7" s="1"/>
  <c r="F9" i="7"/>
  <c r="I725" i="9" l="1" a="1"/>
  <c r="I725" i="9" s="1"/>
  <c r="I281" i="8" a="1"/>
  <c r="I281" i="8" s="1"/>
  <c r="G9" i="7" a="1"/>
  <c r="G9" i="7" s="1"/>
  <c r="G305" i="7" a="1"/>
  <c r="G305" i="7" s="1"/>
  <c r="F314" i="7"/>
  <c r="I726" i="9" l="1" a="1"/>
  <c r="I726" i="9" s="1"/>
  <c r="I282" i="8" a="1"/>
  <c r="I282" i="8" s="1"/>
  <c r="G314" i="7" a="1"/>
  <c r="G314" i="7" s="1"/>
  <c r="F327" i="7"/>
  <c r="I727" i="9" l="1" a="1"/>
  <c r="I727" i="9" s="1"/>
  <c r="I283" i="8" a="1"/>
  <c r="I283" i="8" s="1"/>
  <c r="G327" i="7" a="1"/>
  <c r="G327" i="7" s="1"/>
  <c r="F343" i="7"/>
  <c r="I728" i="9" l="1" a="1"/>
  <c r="I728" i="9" s="1"/>
  <c r="I284" i="8" a="1"/>
  <c r="I284" i="8" s="1"/>
  <c r="G343" i="7" a="1"/>
  <c r="G343" i="7" s="1"/>
  <c r="F359" i="7"/>
  <c r="I729" i="9" l="1" a="1"/>
  <c r="I729" i="9" s="1"/>
  <c r="I285" i="8" a="1"/>
  <c r="I285" i="8" s="1"/>
  <c r="G359" i="7" a="1"/>
  <c r="G359" i="7" s="1"/>
  <c r="F368" i="7"/>
  <c r="F167" i="7"/>
  <c r="I730" i="9" l="1" a="1"/>
  <c r="I730" i="9" s="1"/>
  <c r="I286" i="8" a="1"/>
  <c r="I286" i="8" s="1"/>
  <c r="G368" i="7" a="1"/>
  <c r="G368" i="7" s="1"/>
  <c r="F383" i="7"/>
  <c r="G167" i="7" a="1"/>
  <c r="G167" i="7" s="1"/>
  <c r="I731" i="9" l="1" a="1"/>
  <c r="I731" i="9" s="1"/>
  <c r="I287" i="8" a="1"/>
  <c r="I287" i="8" s="1"/>
  <c r="F207" i="7"/>
  <c r="G383" i="7" a="1"/>
  <c r="G383" i="7" s="1"/>
  <c r="F400" i="7"/>
  <c r="I732" i="9" l="1" a="1"/>
  <c r="I732" i="9" s="1"/>
  <c r="I288" i="8" a="1"/>
  <c r="I288" i="8" s="1"/>
  <c r="G207" i="7" a="1"/>
  <c r="G207" i="7" s="1"/>
  <c r="G400" i="7" a="1"/>
  <c r="G400" i="7" s="1"/>
  <c r="F410" i="7"/>
  <c r="I733" i="9" l="1" a="1"/>
  <c r="I733" i="9" s="1"/>
  <c r="I289" i="8" a="1"/>
  <c r="I289" i="8" s="1"/>
  <c r="F245" i="7"/>
  <c r="G410" i="7" a="1"/>
  <c r="G410" i="7" s="1"/>
  <c r="F434" i="7"/>
  <c r="I734" i="9" l="1" a="1"/>
  <c r="I734" i="9" s="1"/>
  <c r="I290" i="8" a="1"/>
  <c r="I290" i="8" s="1"/>
  <c r="F462" i="7"/>
  <c r="G434" i="7" a="1"/>
  <c r="G434" i="7" s="1"/>
  <c r="G245" i="7" a="1"/>
  <c r="G245" i="7" s="1"/>
  <c r="I735" i="9" l="1" a="1"/>
  <c r="I735" i="9" s="1"/>
  <c r="I291" i="8" a="1"/>
  <c r="I291" i="8" s="1"/>
  <c r="G462" i="7" a="1"/>
  <c r="G462" i="7" s="1"/>
  <c r="F472" i="7"/>
  <c r="I736" i="9" l="1" a="1"/>
  <c r="I736" i="9" s="1"/>
  <c r="I292" i="8" a="1"/>
  <c r="I292" i="8" s="1"/>
  <c r="G472" i="7" a="1"/>
  <c r="G472" i="7" s="1"/>
  <c r="F496" i="7"/>
  <c r="I737" i="9" l="1" a="1"/>
  <c r="I737" i="9" s="1"/>
  <c r="I293" i="8" a="1"/>
  <c r="I293" i="8" s="1"/>
  <c r="G496" i="7" a="1"/>
  <c r="G496" i="7" s="1"/>
  <c r="F506" i="7"/>
  <c r="I738" i="9" l="1" a="1"/>
  <c r="I738" i="9" s="1"/>
  <c r="I294" i="8" a="1"/>
  <c r="I294" i="8" s="1"/>
  <c r="G506" i="7" a="1"/>
  <c r="G506" i="7" s="1"/>
  <c r="F518" i="7"/>
  <c r="I739" i="9" l="1" a="1"/>
  <c r="I739" i="9" s="1"/>
  <c r="I295" i="8" a="1"/>
  <c r="I295" i="8" s="1"/>
  <c r="G518" i="7" a="1"/>
  <c r="G518" i="7" s="1"/>
  <c r="F543" i="7"/>
  <c r="I740" i="9" l="1" a="1"/>
  <c r="I740" i="9" s="1"/>
  <c r="I296" i="8" a="1"/>
  <c r="I296" i="8" s="1"/>
  <c r="G543" i="7" a="1"/>
  <c r="G543" i="7" s="1"/>
  <c r="F554" i="7"/>
  <c r="I741" i="9" l="1" a="1"/>
  <c r="I741" i="9" s="1"/>
  <c r="I297" i="8" a="1"/>
  <c r="I297" i="8" s="1"/>
  <c r="G554" i="7" a="1"/>
  <c r="G554" i="7" s="1"/>
  <c r="F579" i="7"/>
  <c r="I742" i="9" l="1" a="1"/>
  <c r="I742" i="9" s="1"/>
  <c r="I298" i="8" a="1"/>
  <c r="I298" i="8" s="1"/>
  <c r="G579" i="7" a="1"/>
  <c r="G579" i="7" s="1"/>
  <c r="F604" i="7"/>
  <c r="I743" i="9" l="1" a="1"/>
  <c r="I743" i="9" s="1"/>
  <c r="I299" i="8" a="1"/>
  <c r="I299" i="8" s="1"/>
  <c r="F625" i="7"/>
  <c r="G604" i="7" a="1"/>
  <c r="G604" i="7" s="1"/>
  <c r="I744" i="9" l="1" a="1"/>
  <c r="I744" i="9" s="1"/>
  <c r="I300" i="8" a="1"/>
  <c r="I300" i="8" s="1"/>
  <c r="G625" i="7" a="1"/>
  <c r="G625" i="7" s="1"/>
  <c r="F650" i="7"/>
  <c r="I745" i="9" l="1" a="1"/>
  <c r="I745" i="9" s="1"/>
  <c r="I301" i="8" a="1"/>
  <c r="I301" i="8" s="1"/>
  <c r="G650" i="7" a="1"/>
  <c r="G650" i="7" s="1"/>
  <c r="F674" i="7"/>
  <c r="I746" i="9" l="1" a="1"/>
  <c r="I746" i="9" s="1"/>
  <c r="I302" i="8" a="1"/>
  <c r="I302" i="8" s="1"/>
  <c r="G674" i="7" a="1"/>
  <c r="G674" i="7" s="1"/>
  <c r="F694" i="7"/>
  <c r="I747" i="9" l="1" a="1"/>
  <c r="I747" i="9" s="1"/>
  <c r="I303" i="8" a="1"/>
  <c r="I303" i="8" s="1"/>
  <c r="G694" i="7" a="1"/>
  <c r="G694" i="7" s="1"/>
  <c r="F704" i="7"/>
  <c r="I748" i="9" l="1" a="1"/>
  <c r="I748" i="9" s="1"/>
  <c r="I304" i="8" a="1"/>
  <c r="I304" i="8" s="1"/>
  <c r="G704" i="7" a="1"/>
  <c r="G704" i="7" s="1"/>
  <c r="F710" i="7"/>
  <c r="I749" i="9" l="1" a="1"/>
  <c r="I749" i="9" s="1"/>
  <c r="I305" i="8" a="1"/>
  <c r="I305" i="8" s="1"/>
  <c r="G710" i="7" a="1"/>
  <c r="G710" i="7" s="1"/>
  <c r="F739" i="7"/>
  <c r="I750" i="9" l="1" a="1"/>
  <c r="I750" i="9" s="1"/>
  <c r="I306" i="8" a="1"/>
  <c r="I306" i="8" s="1"/>
  <c r="G739" i="7" a="1"/>
  <c r="G739" i="7" s="1"/>
  <c r="F756" i="7"/>
  <c r="I751" i="9" l="1" a="1"/>
  <c r="I751" i="9" s="1"/>
  <c r="I307" i="8" a="1"/>
  <c r="I307" i="8" s="1"/>
  <c r="G756" i="7" a="1"/>
  <c r="G756" i="7" s="1"/>
  <c r="F781" i="7"/>
  <c r="I752" i="9" l="1" a="1"/>
  <c r="I752" i="9" s="1"/>
  <c r="I308" i="8" a="1"/>
  <c r="I308" i="8" s="1"/>
  <c r="F799" i="7"/>
  <c r="G781" i="7" a="1"/>
  <c r="G781" i="7" s="1"/>
  <c r="I753" i="9" l="1" a="1"/>
  <c r="I753" i="9" s="1"/>
  <c r="I309" i="8" a="1"/>
  <c r="I309" i="8" s="1"/>
  <c r="G799" i="7" a="1"/>
  <c r="G799" i="7" s="1"/>
  <c r="F824" i="7"/>
  <c r="I754" i="9" l="1" a="1"/>
  <c r="I754" i="9" s="1"/>
  <c r="I310" i="8" a="1"/>
  <c r="I310" i="8" s="1"/>
  <c r="G824" i="7" a="1"/>
  <c r="G824" i="7" s="1"/>
  <c r="F833" i="7"/>
  <c r="I755" i="9" l="1" a="1"/>
  <c r="I755" i="9" s="1"/>
  <c r="I311" i="8" a="1"/>
  <c r="I311" i="8" s="1"/>
  <c r="G833" i="7" a="1"/>
  <c r="G833" i="7" s="1"/>
  <c r="F841" i="7"/>
  <c r="F916" i="7"/>
  <c r="I756" i="9" l="1" a="1"/>
  <c r="I756" i="9" s="1"/>
  <c r="I312" i="8" a="1"/>
  <c r="I312" i="8" s="1"/>
  <c r="G841" i="7" a="1"/>
  <c r="G841" i="7" s="1"/>
  <c r="F858" i="7"/>
  <c r="G916" i="7" a="1"/>
  <c r="G916" i="7" s="1"/>
  <c r="F925" i="7"/>
  <c r="I757" i="9" l="1" a="1"/>
  <c r="I757" i="9" s="1"/>
  <c r="I313" i="8" a="1"/>
  <c r="I313" i="8" s="1"/>
  <c r="G925" i="7" a="1"/>
  <c r="G925" i="7" s="1"/>
  <c r="F10" i="7"/>
  <c r="G858" i="7" a="1"/>
  <c r="G858" i="7" s="1"/>
  <c r="F877" i="7"/>
  <c r="I758" i="9" l="1" a="1"/>
  <c r="I758" i="9" s="1"/>
  <c r="I314" i="8" a="1"/>
  <c r="I314" i="8" s="1"/>
  <c r="G877" i="7" a="1"/>
  <c r="G877" i="7" s="1"/>
  <c r="F884" i="7"/>
  <c r="G10" i="7" a="1"/>
  <c r="G10" i="7" s="1"/>
  <c r="I759" i="9" l="1" a="1"/>
  <c r="I759" i="9" s="1"/>
  <c r="I315" i="8" a="1"/>
  <c r="I315" i="8" s="1"/>
  <c r="G884" i="7" a="1"/>
  <c r="G884" i="7" s="1"/>
  <c r="F891" i="7"/>
  <c r="I760" i="9" l="1" a="1"/>
  <c r="I760" i="9" s="1"/>
  <c r="I316" i="8" a="1"/>
  <c r="I316" i="8" s="1"/>
  <c r="G891" i="7" a="1"/>
  <c r="G891" i="7" s="1"/>
  <c r="F939" i="7"/>
  <c r="I761" i="9" l="1" a="1"/>
  <c r="I761" i="9" s="1"/>
  <c r="I317" i="8" a="1"/>
  <c r="I317" i="8" s="1"/>
  <c r="G939" i="7" a="1"/>
  <c r="G939" i="7" s="1"/>
  <c r="F24" i="7"/>
  <c r="I762" i="9" l="1" a="1"/>
  <c r="I762" i="9" s="1"/>
  <c r="I318" i="8" a="1"/>
  <c r="I318" i="8" s="1"/>
  <c r="F168" i="7"/>
  <c r="G24" i="7" a="1"/>
  <c r="G24" i="7" s="1"/>
  <c r="F43" i="7"/>
  <c r="F44" i="7" s="1"/>
  <c r="I763" i="9" l="1" a="1"/>
  <c r="I763" i="9" s="1"/>
  <c r="I319" i="8" a="1"/>
  <c r="I319" i="8" s="1"/>
  <c r="G44" i="7" a="1"/>
  <c r="G44" i="7" s="1"/>
  <c r="F45" i="7"/>
  <c r="G43" i="7" a="1"/>
  <c r="G43" i="7" s="1"/>
  <c r="F56" i="7"/>
  <c r="F57" i="7" s="1"/>
  <c r="G168" i="7" a="1"/>
  <c r="G168" i="7" s="1"/>
  <c r="I764" i="9" l="1" a="1"/>
  <c r="I764" i="9" s="1"/>
  <c r="I320" i="8" a="1"/>
  <c r="I320" i="8" s="1"/>
  <c r="G57" i="7" a="1"/>
  <c r="G57" i="7" s="1"/>
  <c r="F58" i="7"/>
  <c r="G45" i="7" a="1"/>
  <c r="G45" i="7" s="1"/>
  <c r="F46" i="7"/>
  <c r="G56" i="7" a="1"/>
  <c r="G56" i="7" s="1"/>
  <c r="F69" i="7"/>
  <c r="F70" i="7" s="1"/>
  <c r="F208" i="7"/>
  <c r="I765" i="9" l="1" a="1"/>
  <c r="I765" i="9" s="1"/>
  <c r="I321" i="8" a="1"/>
  <c r="I321" i="8" s="1"/>
  <c r="G70" i="7" a="1"/>
  <c r="G70" i="7" s="1"/>
  <c r="F71" i="7"/>
  <c r="F47" i="7"/>
  <c r="G46" i="7" a="1"/>
  <c r="G46" i="7" s="1"/>
  <c r="G58" i="7" a="1"/>
  <c r="G58" i="7" s="1"/>
  <c r="F59" i="7"/>
  <c r="G59" i="7" s="1" a="1"/>
  <c r="G59" i="7" s="1"/>
  <c r="G69" i="7" a="1"/>
  <c r="G69" i="7" s="1"/>
  <c r="F85" i="7"/>
  <c r="F86" i="7" s="1"/>
  <c r="G208" i="7" a="1"/>
  <c r="G208" i="7" s="1"/>
  <c r="I766" i="9" l="1" a="1"/>
  <c r="I766" i="9" s="1"/>
  <c r="I322" i="8" a="1"/>
  <c r="I322" i="8" s="1"/>
  <c r="G47" i="7" a="1"/>
  <c r="G47" i="7" s="1"/>
  <c r="F48" i="7"/>
  <c r="G71" i="7" a="1"/>
  <c r="G71" i="7" s="1"/>
  <c r="F72" i="7"/>
  <c r="G86" i="7" a="1"/>
  <c r="G86" i="7" s="1"/>
  <c r="F87" i="7"/>
  <c r="F246" i="7"/>
  <c r="F95" i="7"/>
  <c r="F96" i="7" s="1"/>
  <c r="G85" i="7" a="1"/>
  <c r="G85" i="7" s="1"/>
  <c r="I767" i="9" l="1" a="1"/>
  <c r="I767" i="9" s="1"/>
  <c r="I323" i="8" a="1"/>
  <c r="I323" i="8" s="1"/>
  <c r="G96" i="7" a="1"/>
  <c r="G96" i="7" s="1"/>
  <c r="F97" i="7"/>
  <c r="G87" i="7" a="1"/>
  <c r="G87" i="7" s="1"/>
  <c r="F88" i="7"/>
  <c r="F73" i="7"/>
  <c r="G72" i="7" a="1"/>
  <c r="G72" i="7" s="1"/>
  <c r="G48" i="7" a="1"/>
  <c r="G48" i="7" s="1"/>
  <c r="F49" i="7"/>
  <c r="G246" i="7" a="1"/>
  <c r="G246" i="7" s="1"/>
  <c r="G95" i="7" a="1"/>
  <c r="G95" i="7" s="1"/>
  <c r="F120" i="7"/>
  <c r="F121" i="7" s="1"/>
  <c r="I768" i="9" l="1" a="1"/>
  <c r="I768" i="9" s="1"/>
  <c r="I324" i="8" a="1"/>
  <c r="I324" i="8" s="1"/>
  <c r="G97" i="7" a="1"/>
  <c r="G97" i="7" s="1"/>
  <c r="F98" i="7"/>
  <c r="G49" i="7" a="1"/>
  <c r="G49" i="7" s="1"/>
  <c r="F50" i="7"/>
  <c r="G50" i="7" s="1" a="1"/>
  <c r="G50" i="7" s="1"/>
  <c r="G73" i="7" a="1"/>
  <c r="G73" i="7" s="1"/>
  <c r="F74" i="7"/>
  <c r="G121" i="7" a="1"/>
  <c r="G121" i="7" s="1"/>
  <c r="F122" i="7"/>
  <c r="F89" i="7"/>
  <c r="G89" i="7" s="1" a="1"/>
  <c r="G89" i="7" s="1"/>
  <c r="G88" i="7" a="1"/>
  <c r="G88" i="7" s="1"/>
  <c r="G120" i="7" a="1"/>
  <c r="G120" i="7" s="1"/>
  <c r="F140" i="7"/>
  <c r="F141" i="7" s="1"/>
  <c r="G141" i="7" s="1" a="1"/>
  <c r="G141" i="7" s="1"/>
  <c r="I769" i="9" l="1" a="1"/>
  <c r="I769" i="9" s="1"/>
  <c r="I325" i="8" a="1"/>
  <c r="I325" i="8" s="1"/>
  <c r="G122" i="7" a="1"/>
  <c r="G122" i="7" s="1"/>
  <c r="F123" i="7"/>
  <c r="G74" i="7" a="1"/>
  <c r="G74" i="7" s="1"/>
  <c r="F75" i="7"/>
  <c r="F99" i="7"/>
  <c r="G98" i="7" a="1"/>
  <c r="G98" i="7" s="1"/>
  <c r="G140" i="7" a="1"/>
  <c r="G140" i="7" s="1"/>
  <c r="F147" i="7"/>
  <c r="F148" i="7" s="1"/>
  <c r="I770" i="9" l="1" a="1"/>
  <c r="I770" i="9" s="1"/>
  <c r="I326" i="8" a="1"/>
  <c r="I326" i="8" s="1"/>
  <c r="G99" i="7" a="1"/>
  <c r="G99" i="7" s="1"/>
  <c r="F100" i="7"/>
  <c r="G75" i="7" a="1"/>
  <c r="G75" i="7" s="1"/>
  <c r="F76" i="7"/>
  <c r="G148" i="7" a="1"/>
  <c r="G148" i="7" s="1"/>
  <c r="F149" i="7"/>
  <c r="F124" i="7"/>
  <c r="G123" i="7" a="1"/>
  <c r="G123" i="7" s="1"/>
  <c r="G147" i="7" a="1"/>
  <c r="G147" i="7" s="1"/>
  <c r="F182" i="7"/>
  <c r="F183" i="7" s="1"/>
  <c r="I771" i="9" l="1" a="1"/>
  <c r="I771" i="9" s="1"/>
  <c r="I327" i="8" a="1"/>
  <c r="I327" i="8" s="1"/>
  <c r="G124" i="7" a="1"/>
  <c r="G124" i="7" s="1"/>
  <c r="F125" i="7"/>
  <c r="G76" i="7" a="1"/>
  <c r="G76" i="7" s="1"/>
  <c r="F77" i="7"/>
  <c r="G100" i="7" a="1"/>
  <c r="G100" i="7" s="1"/>
  <c r="F101" i="7"/>
  <c r="G183" i="7" a="1"/>
  <c r="G183" i="7" s="1"/>
  <c r="F184" i="7"/>
  <c r="G149" i="7" a="1"/>
  <c r="G149" i="7" s="1"/>
  <c r="F150" i="7"/>
  <c r="G182" i="7" a="1"/>
  <c r="G182" i="7" s="1"/>
  <c r="F222" i="7"/>
  <c r="F223" i="7" s="1"/>
  <c r="I772" i="9" l="1" a="1"/>
  <c r="I772" i="9" s="1"/>
  <c r="I328" i="8" a="1"/>
  <c r="I328" i="8" s="1"/>
  <c r="G223" i="7" a="1"/>
  <c r="G223" i="7" s="1"/>
  <c r="F224" i="7"/>
  <c r="G125" i="7" a="1"/>
  <c r="G125" i="7" s="1"/>
  <c r="F126" i="7"/>
  <c r="G184" i="7" a="1"/>
  <c r="G184" i="7" s="1"/>
  <c r="F185" i="7"/>
  <c r="G101" i="7" a="1"/>
  <c r="G101" i="7" s="1"/>
  <c r="F102" i="7"/>
  <c r="G77" i="7" a="1"/>
  <c r="G77" i="7" s="1"/>
  <c r="F78" i="7"/>
  <c r="G78" i="7" s="1" a="1"/>
  <c r="G78" i="7" s="1"/>
  <c r="F151" i="7"/>
  <c r="G150" i="7" a="1"/>
  <c r="G150" i="7" s="1"/>
  <c r="G222" i="7" a="1"/>
  <c r="G222" i="7" s="1"/>
  <c r="F252" i="7"/>
  <c r="F253" i="7" s="1"/>
  <c r="I773" i="9" l="1" a="1"/>
  <c r="I773" i="9" s="1"/>
  <c r="I329" i="8" a="1"/>
  <c r="I329" i="8" s="1"/>
  <c r="G185" i="7" a="1"/>
  <c r="G185" i="7" s="1"/>
  <c r="F186" i="7"/>
  <c r="G151" i="7" a="1"/>
  <c r="G151" i="7" s="1"/>
  <c r="F152" i="7"/>
  <c r="F225" i="7"/>
  <c r="G224" i="7" a="1"/>
  <c r="G224" i="7" s="1"/>
  <c r="G102" i="7" a="1"/>
  <c r="G102" i="7" s="1"/>
  <c r="F103" i="7"/>
  <c r="G126" i="7" a="1"/>
  <c r="G126" i="7" s="1"/>
  <c r="F127" i="7"/>
  <c r="G253" i="7" a="1"/>
  <c r="G253" i="7" s="1"/>
  <c r="F254" i="7"/>
  <c r="G252" i="7" a="1"/>
  <c r="G252" i="7" s="1"/>
  <c r="F260" i="7"/>
  <c r="F261" i="7" s="1"/>
  <c r="I774" i="9" l="1" a="1"/>
  <c r="I774" i="9" s="1"/>
  <c r="I330" i="8" a="1"/>
  <c r="I330" i="8" s="1"/>
  <c r="G261" i="7" a="1"/>
  <c r="G261" i="7" s="1"/>
  <c r="F262" i="7"/>
  <c r="G127" i="7" a="1"/>
  <c r="G127" i="7" s="1"/>
  <c r="F128" i="7"/>
  <c r="G103" i="7" a="1"/>
  <c r="G103" i="7" s="1"/>
  <c r="F104" i="7"/>
  <c r="G104" i="7" s="1" a="1"/>
  <c r="G104" i="7" s="1"/>
  <c r="G152" i="7" a="1"/>
  <c r="G152" i="7" s="1"/>
  <c r="F153" i="7"/>
  <c r="F226" i="7"/>
  <c r="G225" i="7" a="1"/>
  <c r="G225" i="7" s="1"/>
  <c r="F255" i="7"/>
  <c r="G255" i="7" s="1" a="1"/>
  <c r="G255" i="7" s="1"/>
  <c r="G254" i="7" a="1"/>
  <c r="G254" i="7" s="1"/>
  <c r="G186" i="7" a="1"/>
  <c r="G186" i="7" s="1"/>
  <c r="F187" i="7"/>
  <c r="G260" i="7" a="1"/>
  <c r="G260" i="7" s="1"/>
  <c r="F269" i="7"/>
  <c r="F270" i="7" s="1"/>
  <c r="I775" i="9" l="1" a="1"/>
  <c r="I775" i="9" s="1"/>
  <c r="I331" i="8" a="1"/>
  <c r="I331" i="8" s="1"/>
  <c r="G187" i="7" a="1"/>
  <c r="G187" i="7" s="1"/>
  <c r="F188" i="7"/>
  <c r="G270" i="7" a="1"/>
  <c r="G270" i="7" s="1"/>
  <c r="F271" i="7"/>
  <c r="G153" i="7" a="1"/>
  <c r="G153" i="7" s="1"/>
  <c r="F154" i="7"/>
  <c r="G128" i="7" a="1"/>
  <c r="G128" i="7" s="1"/>
  <c r="F129" i="7"/>
  <c r="G129" i="7" s="1" a="1"/>
  <c r="G129" i="7" s="1"/>
  <c r="F263" i="7"/>
  <c r="G263" i="7" s="1" a="1"/>
  <c r="G263" i="7" s="1"/>
  <c r="G262" i="7" a="1"/>
  <c r="G262" i="7" s="1"/>
  <c r="G226" i="7" a="1"/>
  <c r="G226" i="7" s="1"/>
  <c r="F227" i="7"/>
  <c r="F290" i="7"/>
  <c r="F291" i="7" s="1"/>
  <c r="G269" i="7" a="1"/>
  <c r="G269" i="7" s="1"/>
  <c r="I776" i="9" l="1" a="1"/>
  <c r="I776" i="9" s="1"/>
  <c r="I332" i="8" a="1"/>
  <c r="I332" i="8" s="1"/>
  <c r="G227" i="7" a="1"/>
  <c r="G227" i="7" s="1"/>
  <c r="F228" i="7"/>
  <c r="G291" i="7" a="1"/>
  <c r="G291" i="7" s="1"/>
  <c r="F292" i="7"/>
  <c r="F272" i="7"/>
  <c r="G271" i="7" a="1"/>
  <c r="G271" i="7" s="1"/>
  <c r="G188" i="7" a="1"/>
  <c r="G188" i="7" s="1"/>
  <c r="F189" i="7"/>
  <c r="G154" i="7" a="1"/>
  <c r="G154" i="7" s="1"/>
  <c r="F155" i="7"/>
  <c r="G290" i="7" a="1"/>
  <c r="G290" i="7" s="1"/>
  <c r="F306" i="7"/>
  <c r="F307" i="7" s="1"/>
  <c r="I777" i="9" l="1" a="1"/>
  <c r="I777" i="9" s="1"/>
  <c r="I333" i="8" a="1"/>
  <c r="I333" i="8" s="1"/>
  <c r="G189" i="7" a="1"/>
  <c r="G189" i="7" s="1"/>
  <c r="F190" i="7"/>
  <c r="F273" i="7"/>
  <c r="G272" i="7" a="1"/>
  <c r="G272" i="7" s="1"/>
  <c r="F293" i="7"/>
  <c r="G292" i="7" a="1"/>
  <c r="G292" i="7" s="1"/>
  <c r="G307" i="7" a="1"/>
  <c r="G307" i="7" s="1"/>
  <c r="F308" i="7"/>
  <c r="G228" i="7" a="1"/>
  <c r="G228" i="7" s="1"/>
  <c r="F229" i="7"/>
  <c r="G155" i="7" a="1"/>
  <c r="G155" i="7" s="1"/>
  <c r="F156" i="7"/>
  <c r="G156" i="7" s="1" a="1"/>
  <c r="G156" i="7" s="1"/>
  <c r="G306" i="7" a="1"/>
  <c r="G306" i="7" s="1"/>
  <c r="F315" i="7"/>
  <c r="F316" i="7" s="1"/>
  <c r="I778" i="9" l="1" a="1"/>
  <c r="I778" i="9" s="1"/>
  <c r="I334" i="8" a="1"/>
  <c r="I334" i="8" s="1"/>
  <c r="F309" i="7"/>
  <c r="G309" i="7" s="1" a="1"/>
  <c r="G309" i="7" s="1"/>
  <c r="G308" i="7" a="1"/>
  <c r="G308" i="7" s="1"/>
  <c r="F294" i="7"/>
  <c r="G293" i="7" a="1"/>
  <c r="G293" i="7" s="1"/>
  <c r="G316" i="7" a="1"/>
  <c r="G316" i="7" s="1"/>
  <c r="F317" i="7"/>
  <c r="F274" i="7"/>
  <c r="G273" i="7" a="1"/>
  <c r="G273" i="7" s="1"/>
  <c r="G190" i="7" a="1"/>
  <c r="G190" i="7" s="1"/>
  <c r="F191" i="7"/>
  <c r="G191" i="7" s="1" a="1"/>
  <c r="G191" i="7" s="1"/>
  <c r="G229" i="7" a="1"/>
  <c r="G229" i="7" s="1"/>
  <c r="F230" i="7"/>
  <c r="G315" i="7" a="1"/>
  <c r="G315" i="7" s="1"/>
  <c r="F328" i="7"/>
  <c r="F329" i="7" s="1"/>
  <c r="I779" i="9" l="1" a="1"/>
  <c r="I779" i="9" s="1"/>
  <c r="I335" i="8" a="1"/>
  <c r="I335" i="8" s="1"/>
  <c r="G274" i="7" a="1"/>
  <c r="G274" i="7" s="1"/>
  <c r="F275" i="7"/>
  <c r="G329" i="7" a="1"/>
  <c r="G329" i="7" s="1"/>
  <c r="F330" i="7"/>
  <c r="F295" i="7"/>
  <c r="G294" i="7" a="1"/>
  <c r="G294" i="7" s="1"/>
  <c r="G230" i="7" a="1"/>
  <c r="G230" i="7" s="1"/>
  <c r="F231" i="7"/>
  <c r="G231" i="7" s="1" a="1"/>
  <c r="G231" i="7" s="1"/>
  <c r="F318" i="7"/>
  <c r="G317" i="7" a="1"/>
  <c r="G317" i="7" s="1"/>
  <c r="G328" i="7" a="1"/>
  <c r="G328" i="7" s="1"/>
  <c r="F344" i="7"/>
  <c r="F345" i="7" s="1"/>
  <c r="I780" i="9" l="1" a="1"/>
  <c r="I780" i="9" s="1"/>
  <c r="I336" i="8" a="1"/>
  <c r="I336" i="8" s="1"/>
  <c r="F331" i="7"/>
  <c r="G330" i="7" a="1"/>
  <c r="G330" i="7" s="1"/>
  <c r="G345" i="7" a="1"/>
  <c r="G345" i="7" s="1"/>
  <c r="F346" i="7"/>
  <c r="G295" i="7" a="1"/>
  <c r="G295" i="7" s="1"/>
  <c r="F296" i="7"/>
  <c r="G275" i="7" a="1"/>
  <c r="G275" i="7" s="1"/>
  <c r="F276" i="7"/>
  <c r="G276" i="7" s="1" a="1"/>
  <c r="G276" i="7" s="1"/>
  <c r="F319" i="7"/>
  <c r="G318" i="7" a="1"/>
  <c r="G318" i="7" s="1"/>
  <c r="G344" i="7" a="1"/>
  <c r="G344" i="7" s="1"/>
  <c r="F360" i="7"/>
  <c r="F361" i="7" s="1"/>
  <c r="I781" i="9" l="1" a="1"/>
  <c r="I781" i="9" s="1"/>
  <c r="I337" i="8" a="1"/>
  <c r="I337" i="8" s="1"/>
  <c r="F320" i="7"/>
  <c r="G319" i="7" a="1"/>
  <c r="G319" i="7" s="1"/>
  <c r="G361" i="7" a="1"/>
  <c r="G361" i="7" s="1"/>
  <c r="F362" i="7"/>
  <c r="F347" i="7"/>
  <c r="G346" i="7" a="1"/>
  <c r="G346" i="7" s="1"/>
  <c r="G296" i="7" a="1"/>
  <c r="G296" i="7" s="1"/>
  <c r="F297" i="7"/>
  <c r="F332" i="7"/>
  <c r="G331" i="7" a="1"/>
  <c r="G331" i="7" s="1"/>
  <c r="G360" i="7" a="1"/>
  <c r="G360" i="7" s="1"/>
  <c r="F369" i="7"/>
  <c r="F370" i="7" s="1"/>
  <c r="I782" i="9" l="1" a="1"/>
  <c r="I782" i="9" s="1"/>
  <c r="I338" i="8" a="1"/>
  <c r="I338" i="8" s="1"/>
  <c r="G370" i="7" a="1"/>
  <c r="G370" i="7" s="1"/>
  <c r="F371" i="7"/>
  <c r="F348" i="7"/>
  <c r="G347" i="7" a="1"/>
  <c r="G347" i="7" s="1"/>
  <c r="G297" i="7" a="1"/>
  <c r="G297" i="7" s="1"/>
  <c r="F298" i="7"/>
  <c r="F363" i="7"/>
  <c r="G363" i="7" s="1" a="1"/>
  <c r="G363" i="7" s="1"/>
  <c r="G362" i="7" a="1"/>
  <c r="G362" i="7" s="1"/>
  <c r="F333" i="7"/>
  <c r="G332" i="7" a="1"/>
  <c r="G332" i="7" s="1"/>
  <c r="G320" i="7" a="1"/>
  <c r="G320" i="7" s="1"/>
  <c r="F321" i="7"/>
  <c r="G369" i="7" a="1"/>
  <c r="G369" i="7" s="1"/>
  <c r="F384" i="7"/>
  <c r="I783" i="9" l="1" a="1"/>
  <c r="I783" i="9" s="1"/>
  <c r="I339" i="8" a="1"/>
  <c r="I339" i="8" s="1"/>
  <c r="G321" i="7" a="1"/>
  <c r="G321" i="7" s="1"/>
  <c r="F322" i="7"/>
  <c r="G322" i="7" s="1" a="1"/>
  <c r="G322" i="7" s="1"/>
  <c r="G333" i="7" a="1"/>
  <c r="G333" i="7" s="1"/>
  <c r="F334" i="7"/>
  <c r="G298" i="7" a="1"/>
  <c r="G298" i="7" s="1"/>
  <c r="F299" i="7"/>
  <c r="G299" i="7" s="1" a="1"/>
  <c r="G299" i="7" s="1"/>
  <c r="F349" i="7"/>
  <c r="G348" i="7" a="1"/>
  <c r="G348" i="7" s="1"/>
  <c r="F372" i="7"/>
  <c r="G371" i="7" a="1"/>
  <c r="G371" i="7" s="1"/>
  <c r="G384" i="7" a="1"/>
  <c r="G384" i="7" s="1"/>
  <c r="F401" i="7"/>
  <c r="F402" i="7" s="1"/>
  <c r="I784" i="9" l="1" a="1"/>
  <c r="I784" i="9" s="1"/>
  <c r="I340" i="8" a="1"/>
  <c r="I340" i="8" s="1"/>
  <c r="G349" i="7" a="1"/>
  <c r="G349" i="7" s="1"/>
  <c r="F350" i="7"/>
  <c r="G334" i="7" a="1"/>
  <c r="G334" i="7" s="1"/>
  <c r="F335" i="7"/>
  <c r="G402" i="7" a="1"/>
  <c r="G402" i="7" s="1"/>
  <c r="F403" i="7"/>
  <c r="F373" i="7"/>
  <c r="G372" i="7" a="1"/>
  <c r="G372" i="7" s="1"/>
  <c r="F411" i="7"/>
  <c r="F412" i="7" s="1"/>
  <c r="G401" i="7" a="1"/>
  <c r="G401" i="7" s="1"/>
  <c r="I785" i="9" l="1" a="1"/>
  <c r="I785" i="9" s="1"/>
  <c r="I341" i="8" a="1"/>
  <c r="I341" i="8" s="1"/>
  <c r="F374" i="7"/>
  <c r="G373" i="7" a="1"/>
  <c r="G373" i="7" s="1"/>
  <c r="F404" i="7"/>
  <c r="G403" i="7" a="1"/>
  <c r="G403" i="7" s="1"/>
  <c r="G335" i="7" a="1"/>
  <c r="G335" i="7" s="1"/>
  <c r="F336" i="7"/>
  <c r="G350" i="7" a="1"/>
  <c r="G350" i="7" s="1"/>
  <c r="F351" i="7"/>
  <c r="G412" i="7" a="1"/>
  <c r="G412" i="7" s="1"/>
  <c r="F413" i="7"/>
  <c r="G411" i="7" a="1"/>
  <c r="G411" i="7" s="1"/>
  <c r="F435" i="7"/>
  <c r="F436" i="7" s="1"/>
  <c r="I786" i="9" l="1" a="1"/>
  <c r="I786" i="9" s="1"/>
  <c r="I342" i="8" a="1"/>
  <c r="I342" i="8" s="1"/>
  <c r="G436" i="7" a="1"/>
  <c r="G436" i="7" s="1"/>
  <c r="F437" i="7"/>
  <c r="G351" i="7" a="1"/>
  <c r="G351" i="7" s="1"/>
  <c r="F352" i="7"/>
  <c r="F405" i="7"/>
  <c r="G405" i="7" s="1" a="1"/>
  <c r="G405" i="7" s="1"/>
  <c r="G404" i="7" a="1"/>
  <c r="G404" i="7" s="1"/>
  <c r="F414" i="7"/>
  <c r="G413" i="7" a="1"/>
  <c r="G413" i="7" s="1"/>
  <c r="G336" i="7" a="1"/>
  <c r="G336" i="7" s="1"/>
  <c r="F337" i="7"/>
  <c r="G337" i="7" s="1" a="1"/>
  <c r="G337" i="7" s="1"/>
  <c r="G374" i="7" a="1"/>
  <c r="G374" i="7" s="1"/>
  <c r="F375" i="7"/>
  <c r="F463" i="7"/>
  <c r="F464" i="7" s="1"/>
  <c r="G435" i="7" a="1"/>
  <c r="G435" i="7" s="1"/>
  <c r="I787" i="9" l="1" a="1"/>
  <c r="I787" i="9" s="1"/>
  <c r="I343" i="8" a="1"/>
  <c r="I343" i="8" s="1"/>
  <c r="G464" i="7" a="1"/>
  <c r="G464" i="7" s="1"/>
  <c r="F465" i="7"/>
  <c r="F415" i="7"/>
  <c r="G414" i="7" a="1"/>
  <c r="G414" i="7" s="1"/>
  <c r="G352" i="7" a="1"/>
  <c r="G352" i="7" s="1"/>
  <c r="F353" i="7"/>
  <c r="G353" i="7" s="1" a="1"/>
  <c r="G353" i="7" s="1"/>
  <c r="G375" i="7" a="1"/>
  <c r="G375" i="7" s="1"/>
  <c r="F376" i="7"/>
  <c r="F438" i="7"/>
  <c r="G437" i="7" a="1"/>
  <c r="G437" i="7" s="1"/>
  <c r="G463" i="7" a="1"/>
  <c r="G463" i="7" s="1"/>
  <c r="F473" i="7"/>
  <c r="F474" i="7" s="1"/>
  <c r="I788" i="9" l="1" a="1"/>
  <c r="I788" i="9" s="1"/>
  <c r="I344" i="8" a="1"/>
  <c r="I344" i="8" s="1"/>
  <c r="G474" i="7" a="1"/>
  <c r="G474" i="7" s="1"/>
  <c r="F475" i="7"/>
  <c r="G376" i="7" a="1"/>
  <c r="G376" i="7" s="1"/>
  <c r="F377" i="7"/>
  <c r="F416" i="7"/>
  <c r="G415" i="7" a="1"/>
  <c r="G415" i="7" s="1"/>
  <c r="F466" i="7"/>
  <c r="G465" i="7" a="1"/>
  <c r="G465" i="7" s="1"/>
  <c r="F439" i="7"/>
  <c r="G438" i="7" a="1"/>
  <c r="G438" i="7" s="1"/>
  <c r="F917" i="7"/>
  <c r="G473" i="7" a="1"/>
  <c r="G473" i="7" s="1"/>
  <c r="F497" i="7"/>
  <c r="F498" i="7" s="1"/>
  <c r="I789" i="9" l="1" a="1"/>
  <c r="I789" i="9" s="1"/>
  <c r="I345" i="8" a="1"/>
  <c r="I345" i="8" s="1"/>
  <c r="F467" i="7"/>
  <c r="G467" i="7" s="1" a="1"/>
  <c r="G467" i="7" s="1"/>
  <c r="G466" i="7" a="1"/>
  <c r="G466" i="7" s="1"/>
  <c r="F440" i="7"/>
  <c r="G439" i="7" a="1"/>
  <c r="G439" i="7" s="1"/>
  <c r="G416" i="7" a="1"/>
  <c r="G416" i="7" s="1"/>
  <c r="F417" i="7"/>
  <c r="G498" i="7" a="1"/>
  <c r="G498" i="7" s="1"/>
  <c r="F499" i="7"/>
  <c r="G377" i="7" a="1"/>
  <c r="G377" i="7" s="1"/>
  <c r="F378" i="7"/>
  <c r="G378" i="7" s="1" a="1"/>
  <c r="G378" i="7" s="1"/>
  <c r="F476" i="7"/>
  <c r="G475" i="7" a="1"/>
  <c r="G475" i="7" s="1"/>
  <c r="G497" i="7" a="1"/>
  <c r="G497" i="7" s="1"/>
  <c r="F507" i="7"/>
  <c r="F508" i="7" s="1"/>
  <c r="F926" i="7"/>
  <c r="G917" i="7" a="1"/>
  <c r="G917" i="7" s="1"/>
  <c r="I790" i="9" l="1" a="1"/>
  <c r="I790" i="9" s="1"/>
  <c r="I346" i="8" a="1"/>
  <c r="I346" i="8" s="1"/>
  <c r="G508" i="7" a="1"/>
  <c r="G508" i="7" s="1"/>
  <c r="F509" i="7"/>
  <c r="G417" i="7" a="1"/>
  <c r="G417" i="7" s="1"/>
  <c r="F418" i="7"/>
  <c r="G440" i="7" a="1"/>
  <c r="G440" i="7" s="1"/>
  <c r="F441" i="7"/>
  <c r="F477" i="7"/>
  <c r="G476" i="7" a="1"/>
  <c r="G476" i="7" s="1"/>
  <c r="F500" i="7"/>
  <c r="G499" i="7" a="1"/>
  <c r="G499" i="7" s="1"/>
  <c r="G926" i="7" a="1"/>
  <c r="G926" i="7" s="1"/>
  <c r="F11" i="7"/>
  <c r="G507" i="7" a="1"/>
  <c r="G507" i="7" s="1"/>
  <c r="F519" i="7"/>
  <c r="F520" i="7" s="1"/>
  <c r="I791" i="9" l="1" a="1"/>
  <c r="I791" i="9" s="1"/>
  <c r="I347" i="8" a="1"/>
  <c r="I347" i="8" s="1"/>
  <c r="G520" i="7" a="1"/>
  <c r="G520" i="7" s="1"/>
  <c r="F521" i="7"/>
  <c r="F478" i="7"/>
  <c r="G477" i="7" a="1"/>
  <c r="G477" i="7" s="1"/>
  <c r="G441" i="7" a="1"/>
  <c r="G441" i="7" s="1"/>
  <c r="F442" i="7"/>
  <c r="G418" i="7" a="1"/>
  <c r="G418" i="7" s="1"/>
  <c r="F419" i="7"/>
  <c r="F510" i="7"/>
  <c r="G509" i="7" a="1"/>
  <c r="G509" i="7" s="1"/>
  <c r="F501" i="7"/>
  <c r="G501" i="7" s="1" a="1"/>
  <c r="G501" i="7" s="1"/>
  <c r="G500" i="7" a="1"/>
  <c r="G500" i="7" s="1"/>
  <c r="G11" i="7" a="1"/>
  <c r="G11" i="7" s="1"/>
  <c r="F79" i="7"/>
  <c r="G519" i="7" a="1"/>
  <c r="G519" i="7" s="1"/>
  <c r="F544" i="7"/>
  <c r="F545" i="7" s="1"/>
  <c r="I792" i="9" l="1" a="1"/>
  <c r="I792" i="9" s="1"/>
  <c r="I348" i="8" a="1"/>
  <c r="I348" i="8" s="1"/>
  <c r="G545" i="7" a="1"/>
  <c r="G545" i="7" s="1"/>
  <c r="F546" i="7"/>
  <c r="G546" i="7" s="1" a="1"/>
  <c r="G546" i="7" s="1"/>
  <c r="G419" i="7" a="1"/>
  <c r="G419" i="7" s="1"/>
  <c r="F420" i="7"/>
  <c r="G420" i="7" s="1" a="1"/>
  <c r="G420" i="7" s="1"/>
  <c r="G478" i="7" a="1"/>
  <c r="G478" i="7" s="1"/>
  <c r="F479" i="7"/>
  <c r="F522" i="7"/>
  <c r="G521" i="7" a="1"/>
  <c r="G521" i="7" s="1"/>
  <c r="G442" i="7" a="1"/>
  <c r="G442" i="7" s="1"/>
  <c r="F443" i="7"/>
  <c r="F511" i="7"/>
  <c r="G511" i="7" s="1" a="1"/>
  <c r="G511" i="7" s="1"/>
  <c r="G510" i="7" a="1"/>
  <c r="G510" i="7" s="1"/>
  <c r="G544" i="7" a="1"/>
  <c r="G544" i="7" s="1"/>
  <c r="F555" i="7"/>
  <c r="F556" i="7" s="1"/>
  <c r="G79" i="7" a="1"/>
  <c r="G79" i="7" s="1"/>
  <c r="F105" i="7"/>
  <c r="I793" i="9" l="1" a="1"/>
  <c r="I793" i="9" s="1"/>
  <c r="I349" i="8" a="1"/>
  <c r="I349" i="8" s="1"/>
  <c r="F523" i="7"/>
  <c r="G522" i="7" a="1"/>
  <c r="G522" i="7" s="1"/>
  <c r="G479" i="7" a="1"/>
  <c r="G479" i="7" s="1"/>
  <c r="F480" i="7"/>
  <c r="G443" i="7" a="1"/>
  <c r="G443" i="7" s="1"/>
  <c r="F444" i="7"/>
  <c r="G444" i="7" s="1" a="1"/>
  <c r="G444" i="7" s="1"/>
  <c r="G556" i="7" a="1"/>
  <c r="G556" i="7" s="1"/>
  <c r="F557" i="7"/>
  <c r="G555" i="7" a="1"/>
  <c r="G555" i="7" s="1"/>
  <c r="F580" i="7"/>
  <c r="F581" i="7" s="1"/>
  <c r="G105" i="7" a="1"/>
  <c r="G105" i="7" s="1"/>
  <c r="F130" i="7"/>
  <c r="I794" i="9" l="1" a="1"/>
  <c r="I794" i="9" s="1"/>
  <c r="I350" i="8" a="1"/>
  <c r="I350" i="8" s="1"/>
  <c r="F558" i="7"/>
  <c r="G557" i="7" a="1"/>
  <c r="G557" i="7" s="1"/>
  <c r="G480" i="7" a="1"/>
  <c r="G480" i="7" s="1"/>
  <c r="F481" i="7"/>
  <c r="G581" i="7" a="1"/>
  <c r="G581" i="7" s="1"/>
  <c r="F582" i="7"/>
  <c r="F524" i="7"/>
  <c r="G523" i="7" a="1"/>
  <c r="G523" i="7" s="1"/>
  <c r="G130" i="7" a="1"/>
  <c r="G130" i="7" s="1"/>
  <c r="F157" i="7"/>
  <c r="G580" i="7" a="1"/>
  <c r="G580" i="7" s="1"/>
  <c r="F605" i="7"/>
  <c r="F606" i="7" s="1"/>
  <c r="I795" i="9" l="1" a="1"/>
  <c r="I795" i="9" s="1"/>
  <c r="I351" i="8" a="1"/>
  <c r="I351" i="8" s="1"/>
  <c r="G524" i="7" a="1"/>
  <c r="G524" i="7" s="1"/>
  <c r="F525" i="7"/>
  <c r="G481" i="7" a="1"/>
  <c r="G481" i="7" s="1"/>
  <c r="F482" i="7"/>
  <c r="G482" i="7" s="1" a="1"/>
  <c r="G482" i="7" s="1"/>
  <c r="G606" i="7" a="1"/>
  <c r="G606" i="7" s="1"/>
  <c r="F607" i="7"/>
  <c r="F583" i="7"/>
  <c r="G582" i="7" a="1"/>
  <c r="G582" i="7" s="1"/>
  <c r="F559" i="7"/>
  <c r="G558" i="7" a="1"/>
  <c r="G558" i="7" s="1"/>
  <c r="F626" i="7"/>
  <c r="F627" i="7" s="1"/>
  <c r="G605" i="7" a="1"/>
  <c r="G605" i="7" s="1"/>
  <c r="G157" i="7" a="1"/>
  <c r="G157" i="7" s="1"/>
  <c r="F169" i="7"/>
  <c r="I796" i="9" l="1" a="1"/>
  <c r="I796" i="9" s="1"/>
  <c r="I352" i="8" a="1"/>
  <c r="I352" i="8" s="1"/>
  <c r="F608" i="7"/>
  <c r="G607" i="7" a="1"/>
  <c r="G607" i="7" s="1"/>
  <c r="G627" i="7" a="1"/>
  <c r="G627" i="7" s="1"/>
  <c r="F628" i="7"/>
  <c r="F584" i="7"/>
  <c r="G583" i="7" a="1"/>
  <c r="G583" i="7" s="1"/>
  <c r="G525" i="7" a="1"/>
  <c r="G525" i="7" s="1"/>
  <c r="F526" i="7"/>
  <c r="F560" i="7"/>
  <c r="G559" i="7" a="1"/>
  <c r="G559" i="7" s="1"/>
  <c r="G169" i="7" a="1"/>
  <c r="G169" i="7" s="1"/>
  <c r="F192" i="7"/>
  <c r="G626" i="7" a="1"/>
  <c r="G626" i="7" s="1"/>
  <c r="F651" i="7"/>
  <c r="F652" i="7" s="1"/>
  <c r="I797" i="9" l="1" a="1"/>
  <c r="I797" i="9" s="1"/>
  <c r="I353" i="8" a="1"/>
  <c r="I353" i="8" s="1"/>
  <c r="G652" i="7" a="1"/>
  <c r="G652" i="7" s="1"/>
  <c r="F653" i="7"/>
  <c r="G560" i="7" a="1"/>
  <c r="G560" i="7" s="1"/>
  <c r="F561" i="7"/>
  <c r="G526" i="7" a="1"/>
  <c r="G526" i="7" s="1"/>
  <c r="F527" i="7"/>
  <c r="F585" i="7"/>
  <c r="G584" i="7" a="1"/>
  <c r="G584" i="7" s="1"/>
  <c r="F629" i="7"/>
  <c r="G628" i="7" a="1"/>
  <c r="G628" i="7" s="1"/>
  <c r="F609" i="7"/>
  <c r="G608" i="7" a="1"/>
  <c r="G608" i="7" s="1"/>
  <c r="G192" i="7" a="1"/>
  <c r="G192" i="7" s="1"/>
  <c r="F209" i="7"/>
  <c r="G651" i="7" a="1"/>
  <c r="G651" i="7" s="1"/>
  <c r="F675" i="7"/>
  <c r="F676" i="7" s="1"/>
  <c r="I798" i="9" l="1" a="1"/>
  <c r="I798" i="9" s="1"/>
  <c r="I354" i="8" a="1"/>
  <c r="I354" i="8" s="1"/>
  <c r="G676" i="7" a="1"/>
  <c r="G676" i="7" s="1"/>
  <c r="F677" i="7"/>
  <c r="G585" i="7" a="1"/>
  <c r="G585" i="7" s="1"/>
  <c r="F586" i="7"/>
  <c r="G527" i="7" a="1"/>
  <c r="G527" i="7" s="1"/>
  <c r="F528" i="7"/>
  <c r="G528" i="7" s="1" a="1"/>
  <c r="G528" i="7" s="1"/>
  <c r="G561" i="7" a="1"/>
  <c r="G561" i="7" s="1"/>
  <c r="F562" i="7"/>
  <c r="F610" i="7"/>
  <c r="G609" i="7" a="1"/>
  <c r="G609" i="7" s="1"/>
  <c r="F654" i="7"/>
  <c r="G653" i="7" a="1"/>
  <c r="G653" i="7" s="1"/>
  <c r="F630" i="7"/>
  <c r="G629" i="7" a="1"/>
  <c r="G629" i="7" s="1"/>
  <c r="F695" i="7"/>
  <c r="F696" i="7" s="1"/>
  <c r="G675" i="7" a="1"/>
  <c r="G675" i="7" s="1"/>
  <c r="G209" i="7" a="1"/>
  <c r="G209" i="7" s="1"/>
  <c r="F232" i="7"/>
  <c r="I799" i="9" l="1" a="1"/>
  <c r="I799" i="9" s="1"/>
  <c r="I355" i="8" a="1"/>
  <c r="I355" i="8" s="1"/>
  <c r="G562" i="7" a="1"/>
  <c r="G562" i="7" s="1"/>
  <c r="F563" i="7"/>
  <c r="G696" i="7" a="1"/>
  <c r="G696" i="7" s="1"/>
  <c r="F697" i="7"/>
  <c r="F631" i="7"/>
  <c r="G630" i="7" a="1"/>
  <c r="G630" i="7" s="1"/>
  <c r="G586" i="7" a="1"/>
  <c r="G586" i="7" s="1"/>
  <c r="F587" i="7"/>
  <c r="F655" i="7"/>
  <c r="G654" i="7" a="1"/>
  <c r="G654" i="7" s="1"/>
  <c r="F678" i="7"/>
  <c r="G677" i="7" a="1"/>
  <c r="G677" i="7" s="1"/>
  <c r="G610" i="7" a="1"/>
  <c r="G610" i="7" s="1"/>
  <c r="F611" i="7"/>
  <c r="G232" i="7" a="1"/>
  <c r="G232" i="7" s="1"/>
  <c r="F300" i="7"/>
  <c r="G695" i="7" a="1"/>
  <c r="G695" i="7" s="1"/>
  <c r="F705" i="7"/>
  <c r="F706" i="7" s="1"/>
  <c r="I800" i="9" l="1" a="1"/>
  <c r="I800" i="9" s="1"/>
  <c r="I356" i="8" a="1"/>
  <c r="I356" i="8" s="1"/>
  <c r="G587" i="7" a="1"/>
  <c r="G587" i="7" s="1"/>
  <c r="F588" i="7"/>
  <c r="G706" i="7" a="1"/>
  <c r="G706" i="7" s="1"/>
  <c r="F707" i="7"/>
  <c r="G707" i="7" s="1" a="1"/>
  <c r="G707" i="7" s="1"/>
  <c r="G611" i="7" a="1"/>
  <c r="G611" i="7" s="1"/>
  <c r="F612" i="7"/>
  <c r="G631" i="7" a="1"/>
  <c r="G631" i="7" s="1"/>
  <c r="F632" i="7"/>
  <c r="F698" i="7"/>
  <c r="G697" i="7" a="1"/>
  <c r="G697" i="7" s="1"/>
  <c r="F679" i="7"/>
  <c r="G678" i="7" a="1"/>
  <c r="G678" i="7" s="1"/>
  <c r="G563" i="7" a="1"/>
  <c r="G563" i="7" s="1"/>
  <c r="F564" i="7"/>
  <c r="G564" i="7" s="1" a="1"/>
  <c r="G564" i="7" s="1"/>
  <c r="F656" i="7"/>
  <c r="G655" i="7" a="1"/>
  <c r="G655" i="7" s="1"/>
  <c r="G705" i="7" a="1"/>
  <c r="G705" i="7" s="1"/>
  <c r="F711" i="7"/>
  <c r="F712" i="7" s="1"/>
  <c r="G300" i="7" a="1"/>
  <c r="G300" i="7" s="1"/>
  <c r="F338" i="7"/>
  <c r="I801" i="9" l="1" a="1"/>
  <c r="I801" i="9" s="1"/>
  <c r="I357" i="8" a="1"/>
  <c r="I357" i="8" s="1"/>
  <c r="G632" i="7" a="1"/>
  <c r="G632" i="7" s="1"/>
  <c r="F633" i="7"/>
  <c r="G656" i="7" a="1"/>
  <c r="G656" i="7" s="1"/>
  <c r="F657" i="7"/>
  <c r="G612" i="7" a="1"/>
  <c r="G612" i="7" s="1"/>
  <c r="F613" i="7"/>
  <c r="F680" i="7"/>
  <c r="G679" i="7" a="1"/>
  <c r="G679" i="7" s="1"/>
  <c r="G712" i="7" a="1"/>
  <c r="G712" i="7" s="1"/>
  <c r="F713" i="7"/>
  <c r="G588" i="7" a="1"/>
  <c r="G588" i="7" s="1"/>
  <c r="F589" i="7"/>
  <c r="G589" i="7" s="1" a="1"/>
  <c r="G589" i="7" s="1"/>
  <c r="F699" i="7"/>
  <c r="G699" i="7" s="1" a="1"/>
  <c r="G699" i="7" s="1"/>
  <c r="G698" i="7" a="1"/>
  <c r="G698" i="7" s="1"/>
  <c r="G338" i="7" a="1"/>
  <c r="G338" i="7" s="1"/>
  <c r="F354" i="7"/>
  <c r="G711" i="7" a="1"/>
  <c r="G711" i="7" s="1"/>
  <c r="F740" i="7"/>
  <c r="F741" i="7" s="1"/>
  <c r="I802" i="9" l="1" a="1"/>
  <c r="I802" i="9" s="1"/>
  <c r="I358" i="8" a="1"/>
  <c r="I358" i="8" s="1"/>
  <c r="G741" i="7" a="1"/>
  <c r="G741" i="7" s="1"/>
  <c r="F742" i="7"/>
  <c r="G680" i="7" a="1"/>
  <c r="G680" i="7" s="1"/>
  <c r="F681" i="7"/>
  <c r="G613" i="7" a="1"/>
  <c r="G613" i="7" s="1"/>
  <c r="F614" i="7"/>
  <c r="G614" i="7" s="1" a="1"/>
  <c r="G614" i="7" s="1"/>
  <c r="G657" i="7" a="1"/>
  <c r="G657" i="7" s="1"/>
  <c r="F658" i="7"/>
  <c r="F714" i="7"/>
  <c r="G713" i="7" a="1"/>
  <c r="G713" i="7" s="1"/>
  <c r="G633" i="7" a="1"/>
  <c r="G633" i="7" s="1"/>
  <c r="F634" i="7"/>
  <c r="G740" i="7" a="1"/>
  <c r="G740" i="7" s="1"/>
  <c r="F757" i="7"/>
  <c r="F758" i="7" s="1"/>
  <c r="G354" i="7" a="1"/>
  <c r="G354" i="7" s="1"/>
  <c r="F379" i="7"/>
  <c r="I803" i="9" l="1" a="1"/>
  <c r="I803" i="9" s="1"/>
  <c r="I359" i="8" a="1"/>
  <c r="I359" i="8" s="1"/>
  <c r="G658" i="7" a="1"/>
  <c r="G658" i="7" s="1"/>
  <c r="F659" i="7"/>
  <c r="G758" i="7" a="1"/>
  <c r="G758" i="7" s="1"/>
  <c r="F759" i="7"/>
  <c r="G681" i="7" a="1"/>
  <c r="G681" i="7" s="1"/>
  <c r="F682" i="7"/>
  <c r="G634" i="7" a="1"/>
  <c r="G634" i="7" s="1"/>
  <c r="F635" i="7"/>
  <c r="G635" i="7" s="1" a="1"/>
  <c r="G635" i="7" s="1"/>
  <c r="F743" i="7"/>
  <c r="G742" i="7" a="1"/>
  <c r="G742" i="7" s="1"/>
  <c r="F715" i="7"/>
  <c r="G714" i="7" a="1"/>
  <c r="G714" i="7" s="1"/>
  <c r="F421" i="7"/>
  <c r="G379" i="7" a="1"/>
  <c r="G379" i="7" s="1"/>
  <c r="G757" i="7" a="1"/>
  <c r="G757" i="7" s="1"/>
  <c r="F782" i="7"/>
  <c r="F783" i="7" s="1"/>
  <c r="I804" i="9" l="1" a="1"/>
  <c r="I804" i="9" s="1"/>
  <c r="I360" i="8" a="1"/>
  <c r="I360" i="8" s="1"/>
  <c r="G783" i="7" a="1"/>
  <c r="G783" i="7" s="1"/>
  <c r="F784" i="7"/>
  <c r="G682" i="7" a="1"/>
  <c r="G682" i="7" s="1"/>
  <c r="F683" i="7"/>
  <c r="F760" i="7"/>
  <c r="G759" i="7" a="1"/>
  <c r="G759" i="7" s="1"/>
  <c r="F716" i="7"/>
  <c r="G715" i="7" a="1"/>
  <c r="G715" i="7" s="1"/>
  <c r="G659" i="7" a="1"/>
  <c r="G659" i="7" s="1"/>
  <c r="F660" i="7"/>
  <c r="G660" i="7" s="1" a="1"/>
  <c r="G660" i="7" s="1"/>
  <c r="F744" i="7"/>
  <c r="G743" i="7" a="1"/>
  <c r="G743" i="7" s="1"/>
  <c r="F800" i="7"/>
  <c r="F801" i="7" s="1"/>
  <c r="G782" i="7" a="1"/>
  <c r="G782" i="7" s="1"/>
  <c r="G421" i="7" a="1"/>
  <c r="G421" i="7" s="1"/>
  <c r="F445" i="7"/>
  <c r="I805" i="9" l="1" a="1"/>
  <c r="I805" i="9" s="1"/>
  <c r="I361" i="8" a="1"/>
  <c r="I361" i="8" s="1"/>
  <c r="G716" i="7" a="1"/>
  <c r="G716" i="7" s="1"/>
  <c r="F717" i="7"/>
  <c r="G801" i="7" a="1"/>
  <c r="G801" i="7" s="1"/>
  <c r="F802" i="7"/>
  <c r="F761" i="7"/>
  <c r="G760" i="7" a="1"/>
  <c r="G760" i="7" s="1"/>
  <c r="G683" i="7" a="1"/>
  <c r="G683" i="7" s="1"/>
  <c r="F684" i="7"/>
  <c r="G684" i="7" s="1" a="1"/>
  <c r="G684" i="7" s="1"/>
  <c r="F745" i="7"/>
  <c r="G744" i="7" a="1"/>
  <c r="G744" i="7" s="1"/>
  <c r="F785" i="7"/>
  <c r="G784" i="7" a="1"/>
  <c r="G784" i="7" s="1"/>
  <c r="G800" i="7" a="1"/>
  <c r="G800" i="7" s="1"/>
  <c r="F825" i="7"/>
  <c r="F826" i="7" s="1"/>
  <c r="G445" i="7" a="1"/>
  <c r="G445" i="7" s="1"/>
  <c r="F483" i="7"/>
  <c r="I806" i="9" l="1" a="1"/>
  <c r="I806" i="9" s="1"/>
  <c r="I362" i="8" a="1"/>
  <c r="I362" i="8" s="1"/>
  <c r="G826" i="7" a="1"/>
  <c r="G826" i="7" s="1"/>
  <c r="F827" i="7"/>
  <c r="F762" i="7"/>
  <c r="G761" i="7" a="1"/>
  <c r="G761" i="7" s="1"/>
  <c r="F803" i="7"/>
  <c r="G802" i="7" a="1"/>
  <c r="G802" i="7" s="1"/>
  <c r="F786" i="7"/>
  <c r="G785" i="7" a="1"/>
  <c r="G785" i="7" s="1"/>
  <c r="G717" i="7" a="1"/>
  <c r="G717" i="7" s="1"/>
  <c r="F718" i="7"/>
  <c r="G745" i="7" a="1"/>
  <c r="G745" i="7" s="1"/>
  <c r="F746" i="7"/>
  <c r="G483" i="7" a="1"/>
  <c r="G483" i="7" s="1"/>
  <c r="F529" i="7"/>
  <c r="G825" i="7" a="1"/>
  <c r="G825" i="7" s="1"/>
  <c r="F834" i="7"/>
  <c r="F835" i="7" s="1"/>
  <c r="I807" i="9" l="1" a="1"/>
  <c r="I807" i="9" s="1"/>
  <c r="I363" i="8" a="1"/>
  <c r="I363" i="8" s="1"/>
  <c r="G835" i="7" a="1"/>
  <c r="G835" i="7" s="1"/>
  <c r="F836" i="7"/>
  <c r="G836" i="7" s="1" a="1"/>
  <c r="G836" i="7" s="1"/>
  <c r="F787" i="7"/>
  <c r="G786" i="7" a="1"/>
  <c r="G786" i="7" s="1"/>
  <c r="F804" i="7"/>
  <c r="G803" i="7" a="1"/>
  <c r="G803" i="7" s="1"/>
  <c r="G746" i="7" a="1"/>
  <c r="G746" i="7" s="1"/>
  <c r="F747" i="7"/>
  <c r="G762" i="7" a="1"/>
  <c r="G762" i="7" s="1"/>
  <c r="F763" i="7"/>
  <c r="G718" i="7" a="1"/>
  <c r="G718" i="7" s="1"/>
  <c r="F719" i="7"/>
  <c r="F828" i="7"/>
  <c r="G828" i="7" s="1" a="1"/>
  <c r="G828" i="7" s="1"/>
  <c r="G827" i="7" a="1"/>
  <c r="G827" i="7" s="1"/>
  <c r="G529" i="7" a="1"/>
  <c r="G529" i="7" s="1"/>
  <c r="F565" i="7"/>
  <c r="F842" i="7"/>
  <c r="F843" i="7" s="1"/>
  <c r="G834" i="7" a="1"/>
  <c r="G834" i="7" s="1"/>
  <c r="I808" i="9" l="1" a="1"/>
  <c r="I808" i="9" s="1"/>
  <c r="I364" i="8" a="1"/>
  <c r="I364" i="8" s="1"/>
  <c r="G747" i="7" a="1"/>
  <c r="G747" i="7" s="1"/>
  <c r="F748" i="7"/>
  <c r="G843" i="7" a="1"/>
  <c r="G843" i="7" s="1"/>
  <c r="F844" i="7"/>
  <c r="G763" i="7" a="1"/>
  <c r="G763" i="7" s="1"/>
  <c r="F764" i="7"/>
  <c r="F805" i="7"/>
  <c r="G804" i="7" a="1"/>
  <c r="G804" i="7" s="1"/>
  <c r="G719" i="7" a="1"/>
  <c r="G719" i="7" s="1"/>
  <c r="F720" i="7"/>
  <c r="G720" i="7" s="1" a="1"/>
  <c r="G720" i="7" s="1"/>
  <c r="G787" i="7" a="1"/>
  <c r="G787" i="7" s="1"/>
  <c r="F788" i="7"/>
  <c r="G842" i="7" a="1"/>
  <c r="G842" i="7" s="1"/>
  <c r="F859" i="7"/>
  <c r="F860" i="7" s="1"/>
  <c r="G565" i="7" a="1"/>
  <c r="G565" i="7" s="1"/>
  <c r="F590" i="7"/>
  <c r="I809" i="9" l="1" a="1"/>
  <c r="I809" i="9" s="1"/>
  <c r="I365" i="8" a="1"/>
  <c r="I365" i="8" s="1"/>
  <c r="G805" i="7" a="1"/>
  <c r="G805" i="7" s="1"/>
  <c r="F806" i="7"/>
  <c r="G764" i="7" a="1"/>
  <c r="G764" i="7" s="1"/>
  <c r="F765" i="7"/>
  <c r="G860" i="7" a="1"/>
  <c r="G860" i="7" s="1"/>
  <c r="F861" i="7"/>
  <c r="F845" i="7"/>
  <c r="G845" i="7" s="1" a="1"/>
  <c r="G845" i="7" s="1"/>
  <c r="G844" i="7" a="1"/>
  <c r="G844" i="7" s="1"/>
  <c r="G788" i="7" a="1"/>
  <c r="G788" i="7" s="1"/>
  <c r="F789" i="7"/>
  <c r="G748" i="7" a="1"/>
  <c r="G748" i="7" s="1"/>
  <c r="F749" i="7"/>
  <c r="G749" i="7" s="1" a="1"/>
  <c r="G749" i="7" s="1"/>
  <c r="G859" i="7" a="1"/>
  <c r="G859" i="7" s="1"/>
  <c r="F878" i="7"/>
  <c r="F879" i="7" s="1"/>
  <c r="G590" i="7" a="1"/>
  <c r="G590" i="7" s="1"/>
  <c r="F615" i="7"/>
  <c r="I810" i="9" l="1" a="1"/>
  <c r="I810" i="9" s="1"/>
  <c r="I366" i="8" a="1"/>
  <c r="I366" i="8" s="1"/>
  <c r="G789" i="7" a="1"/>
  <c r="G789" i="7" s="1"/>
  <c r="F790" i="7"/>
  <c r="F862" i="7"/>
  <c r="G861" i="7" a="1"/>
  <c r="G861" i="7" s="1"/>
  <c r="G879" i="7" a="1"/>
  <c r="G879" i="7" s="1"/>
  <c r="F880" i="7"/>
  <c r="G765" i="7" a="1"/>
  <c r="G765" i="7" s="1"/>
  <c r="F766" i="7"/>
  <c r="G766" i="7" s="1" a="1"/>
  <c r="G766" i="7" s="1"/>
  <c r="G806" i="7" a="1"/>
  <c r="G806" i="7" s="1"/>
  <c r="F807" i="7"/>
  <c r="G615" i="7" a="1"/>
  <c r="G615" i="7" s="1"/>
  <c r="F636" i="7"/>
  <c r="G878" i="7" a="1"/>
  <c r="G878" i="7" s="1"/>
  <c r="F885" i="7"/>
  <c r="F886" i="7" s="1"/>
  <c r="G886" i="7" s="1" a="1"/>
  <c r="G886" i="7" s="1"/>
  <c r="I811" i="9" l="1" a="1"/>
  <c r="I811" i="9" s="1"/>
  <c r="I367" i="8" a="1"/>
  <c r="I367" i="8" s="1"/>
  <c r="F881" i="7"/>
  <c r="G881" i="7" s="1" a="1"/>
  <c r="G881" i="7" s="1"/>
  <c r="G880" i="7" a="1"/>
  <c r="G880" i="7" s="1"/>
  <c r="F863" i="7"/>
  <c r="G862" i="7" a="1"/>
  <c r="G862" i="7" s="1"/>
  <c r="G807" i="7" a="1"/>
  <c r="G807" i="7" s="1"/>
  <c r="F808" i="7"/>
  <c r="G790" i="7" a="1"/>
  <c r="G790" i="7" s="1"/>
  <c r="F791" i="7"/>
  <c r="G791" i="7" s="1" a="1"/>
  <c r="G791" i="7" s="1"/>
  <c r="G885" i="7" a="1"/>
  <c r="G885" i="7" s="1"/>
  <c r="F892" i="7"/>
  <c r="G636" i="7" a="1"/>
  <c r="G636" i="7" s="1"/>
  <c r="F661" i="7"/>
  <c r="I812" i="9" l="1" a="1"/>
  <c r="I812" i="9" s="1"/>
  <c r="I368" i="8" a="1"/>
  <c r="I368" i="8" s="1"/>
  <c r="G808" i="7" a="1"/>
  <c r="G808" i="7" s="1"/>
  <c r="F809" i="7"/>
  <c r="G809" i="7" s="1" a="1"/>
  <c r="G809" i="7" s="1"/>
  <c r="F864" i="7"/>
  <c r="G863" i="7" a="1"/>
  <c r="G863" i="7" s="1"/>
  <c r="G892" i="7" a="1"/>
  <c r="G892" i="7" s="1"/>
  <c r="F893" i="7"/>
  <c r="F685" i="7"/>
  <c r="G661" i="7" a="1"/>
  <c r="G661" i="7" s="1"/>
  <c r="I813" i="9" l="1" a="1"/>
  <c r="I813" i="9" s="1"/>
  <c r="I369" i="8" a="1"/>
  <c r="I369" i="8" s="1"/>
  <c r="G893" i="7" a="1"/>
  <c r="G893" i="7" s="1"/>
  <c r="F894" i="7"/>
  <c r="G864" i="7" a="1"/>
  <c r="G864" i="7" s="1"/>
  <c r="F865" i="7"/>
  <c r="G685" i="7" a="1"/>
  <c r="G685" i="7" s="1"/>
  <c r="F721" i="7"/>
  <c r="I814" i="9" l="1" a="1"/>
  <c r="I814" i="9" s="1"/>
  <c r="I370" i="8" a="1"/>
  <c r="I370" i="8" s="1"/>
  <c r="G865" i="7" a="1"/>
  <c r="G865" i="7" s="1"/>
  <c r="F866" i="7"/>
  <c r="F895" i="7"/>
  <c r="G894" i="7" a="1"/>
  <c r="G894" i="7" s="1"/>
  <c r="G721" i="7" a="1"/>
  <c r="G721" i="7" s="1"/>
  <c r="F750" i="7"/>
  <c r="I815" i="9" l="1" a="1"/>
  <c r="I815" i="9" s="1"/>
  <c r="I371" i="8" a="1"/>
  <c r="I371" i="8" s="1"/>
  <c r="F896" i="7"/>
  <c r="G895" i="7" a="1"/>
  <c r="G895" i="7" s="1"/>
  <c r="G866" i="7" a="1"/>
  <c r="G866" i="7" s="1"/>
  <c r="F867" i="7"/>
  <c r="G750" i="7" a="1"/>
  <c r="G750" i="7" s="1"/>
  <c r="F767" i="7"/>
  <c r="I816" i="9" l="1" a="1"/>
  <c r="I816" i="9" s="1"/>
  <c r="I372" i="8" a="1"/>
  <c r="I372" i="8" s="1"/>
  <c r="G867" i="7" a="1"/>
  <c r="G867" i="7" s="1"/>
  <c r="F868" i="7"/>
  <c r="G868" i="7" s="1" a="1"/>
  <c r="G868" i="7" s="1"/>
  <c r="F897" i="7"/>
  <c r="G896" i="7" a="1"/>
  <c r="G896" i="7" s="1"/>
  <c r="G767" i="7" a="1"/>
  <c r="G767" i="7" s="1"/>
  <c r="F792" i="7"/>
  <c r="I817" i="9" l="1" a="1"/>
  <c r="I817" i="9" s="1"/>
  <c r="I373" i="8" a="1"/>
  <c r="I373" i="8" s="1"/>
  <c r="G897" i="7" a="1"/>
  <c r="G897" i="7" s="1"/>
  <c r="F898" i="7"/>
  <c r="G792" i="7" a="1"/>
  <c r="G792" i="7" s="1"/>
  <c r="F810" i="7"/>
  <c r="I818" i="9" l="1" a="1"/>
  <c r="I818" i="9" s="1"/>
  <c r="I374" i="8" a="1"/>
  <c r="I374" i="8" s="1"/>
  <c r="G898" i="7" a="1"/>
  <c r="G898" i="7" s="1"/>
  <c r="F899" i="7"/>
  <c r="G810" i="7" a="1"/>
  <c r="G810" i="7" s="1"/>
  <c r="F869" i="7"/>
  <c r="I819" i="9" l="1" a="1"/>
  <c r="I819" i="9" s="1"/>
  <c r="I375" i="8" a="1"/>
  <c r="I375" i="8" s="1"/>
  <c r="G899" i="7" a="1"/>
  <c r="G899" i="7" s="1"/>
  <c r="F900" i="7"/>
  <c r="G869" i="7" a="1"/>
  <c r="G869" i="7" s="1"/>
  <c r="I820" i="9" l="1" a="1"/>
  <c r="I820" i="9" s="1"/>
  <c r="I376" i="8" a="1"/>
  <c r="I376" i="8" s="1"/>
  <c r="G900" i="7" a="1"/>
  <c r="G900" i="7" s="1"/>
  <c r="F901" i="7"/>
  <c r="F918" i="7"/>
  <c r="I821" i="9" l="1" a="1"/>
  <c r="I821" i="9" s="1"/>
  <c r="I377" i="8" a="1"/>
  <c r="I377" i="8" s="1"/>
  <c r="G901" i="7" a="1"/>
  <c r="G901" i="7" s="1"/>
  <c r="F902" i="7"/>
  <c r="G902" i="7" s="1" a="1"/>
  <c r="G902" i="7" s="1"/>
  <c r="F927" i="7"/>
  <c r="G918" i="7" a="1"/>
  <c r="G918" i="7" s="1"/>
  <c r="I822" i="9" l="1" a="1"/>
  <c r="I822" i="9" s="1"/>
  <c r="I378" i="8" a="1"/>
  <c r="I378" i="8" s="1"/>
  <c r="G927" i="7" a="1"/>
  <c r="G927" i="7" s="1"/>
  <c r="F12" i="7"/>
  <c r="I823" i="9" l="1" a="1"/>
  <c r="I823" i="9" s="1"/>
  <c r="I379" i="8" a="1"/>
  <c r="I379" i="8" s="1"/>
  <c r="G12" i="7" a="1"/>
  <c r="G12" i="7" s="1"/>
  <c r="F106" i="7"/>
  <c r="I824" i="9" l="1" a="1"/>
  <c r="I824" i="9" s="1"/>
  <c r="I380" i="8" a="1"/>
  <c r="I380" i="8" s="1"/>
  <c r="G106" i="7" a="1"/>
  <c r="G106" i="7" s="1"/>
  <c r="F131" i="7"/>
  <c r="I825" i="9" l="1" a="1"/>
  <c r="I825" i="9" s="1"/>
  <c r="I381" i="8" a="1"/>
  <c r="I381" i="8" s="1"/>
  <c r="F158" i="7"/>
  <c r="G131" i="7" a="1"/>
  <c r="G131" i="7" s="1"/>
  <c r="I826" i="9" l="1" a="1"/>
  <c r="I826" i="9" s="1"/>
  <c r="I382" i="8" a="1"/>
  <c r="I382" i="8" s="1"/>
  <c r="G158" i="7" a="1"/>
  <c r="G158" i="7" s="1"/>
  <c r="F170" i="7"/>
  <c r="I827" i="9" l="1" a="1"/>
  <c r="I827" i="9" s="1"/>
  <c r="I383" i="8" a="1"/>
  <c r="I383" i="8" s="1"/>
  <c r="G170" i="7" a="1"/>
  <c r="G170" i="7" s="1"/>
  <c r="F193" i="7"/>
  <c r="I828" i="9" l="1" a="1"/>
  <c r="I828" i="9" s="1"/>
  <c r="I384" i="8" a="1"/>
  <c r="I384" i="8" s="1"/>
  <c r="F210" i="7"/>
  <c r="G193" i="7" a="1"/>
  <c r="G193" i="7" s="1"/>
  <c r="I829" i="9" l="1" a="1"/>
  <c r="I829" i="9" s="1"/>
  <c r="I385" i="8" a="1"/>
  <c r="I385" i="8" s="1"/>
  <c r="G210" i="7" a="1"/>
  <c r="G210" i="7" s="1"/>
  <c r="F233" i="7"/>
  <c r="I830" i="9" l="1" a="1"/>
  <c r="I830" i="9" s="1"/>
  <c r="I386" i="8" a="1"/>
  <c r="I386" i="8" s="1"/>
  <c r="G233" i="7" a="1"/>
  <c r="G233" i="7" s="1"/>
  <c r="F422" i="7"/>
  <c r="I831" i="9" l="1" a="1"/>
  <c r="I831" i="9" s="1"/>
  <c r="I387" i="8" a="1"/>
  <c r="I387" i="8" s="1"/>
  <c r="G422" i="7" a="1"/>
  <c r="G422" i="7" s="1"/>
  <c r="F446" i="7"/>
  <c r="I832" i="9" l="1" a="1"/>
  <c r="I832" i="9" s="1"/>
  <c r="I388" i="8" a="1"/>
  <c r="I388" i="8" s="1"/>
  <c r="G446" i="7" a="1"/>
  <c r="G446" i="7" s="1"/>
  <c r="F484" i="7"/>
  <c r="I833" i="9" l="1" a="1"/>
  <c r="I833" i="9" s="1"/>
  <c r="I389" i="8" a="1"/>
  <c r="I389" i="8" s="1"/>
  <c r="G484" i="7" a="1"/>
  <c r="G484" i="7" s="1"/>
  <c r="F530" i="7"/>
  <c r="I834" i="9" l="1" a="1"/>
  <c r="I834" i="9" s="1"/>
  <c r="I390" i="8" a="1"/>
  <c r="I390" i="8" s="1"/>
  <c r="G530" i="7" a="1"/>
  <c r="G530" i="7" s="1"/>
  <c r="F566" i="7"/>
  <c r="I835" i="9" l="1" a="1"/>
  <c r="I835" i="9" s="1"/>
  <c r="I391" i="8" a="1"/>
  <c r="I391" i="8" s="1"/>
  <c r="F591" i="7"/>
  <c r="G566" i="7" a="1"/>
  <c r="G566" i="7" s="1"/>
  <c r="I836" i="9" l="1" a="1"/>
  <c r="I836" i="9" s="1"/>
  <c r="I392" i="8" a="1"/>
  <c r="I392" i="8" s="1"/>
  <c r="F616" i="7"/>
  <c r="G591" i="7" a="1"/>
  <c r="G591" i="7" s="1"/>
  <c r="I837" i="9" l="1" a="1"/>
  <c r="I837" i="9" s="1"/>
  <c r="I393" i="8" a="1"/>
  <c r="I393" i="8" s="1"/>
  <c r="F637" i="7"/>
  <c r="G616" i="7" a="1"/>
  <c r="G616" i="7" s="1"/>
  <c r="I838" i="9" l="1" a="1"/>
  <c r="I838" i="9" s="1"/>
  <c r="I394" i="8" a="1"/>
  <c r="I394" i="8" s="1"/>
  <c r="G637" i="7" a="1"/>
  <c r="G637" i="7" s="1"/>
  <c r="F662" i="7"/>
  <c r="I839" i="9" l="1" a="1"/>
  <c r="I839" i="9" s="1"/>
  <c r="I395" i="8" a="1"/>
  <c r="I395" i="8" s="1"/>
  <c r="F686" i="7"/>
  <c r="G662" i="7" a="1"/>
  <c r="G662" i="7" s="1"/>
  <c r="I840" i="9" l="1" a="1"/>
  <c r="I840" i="9" s="1"/>
  <c r="I396" i="8" a="1"/>
  <c r="I396" i="8" s="1"/>
  <c r="G686" i="7" a="1"/>
  <c r="G686" i="7" s="1"/>
  <c r="F722" i="7"/>
  <c r="I841" i="9" l="1" a="1"/>
  <c r="I841" i="9" s="1"/>
  <c r="I397" i="8" a="1"/>
  <c r="I397" i="8" s="1"/>
  <c r="G722" i="7" a="1"/>
  <c r="G722" i="7" s="1"/>
  <c r="F751" i="7"/>
  <c r="I842" i="9" l="1" a="1"/>
  <c r="I842" i="9" s="1"/>
  <c r="I398" i="8" a="1"/>
  <c r="I398" i="8" s="1"/>
  <c r="G751" i="7" a="1"/>
  <c r="G751" i="7" s="1"/>
  <c r="F768" i="7"/>
  <c r="I843" i="9" l="1" a="1"/>
  <c r="I843" i="9" s="1"/>
  <c r="I399" i="8" a="1"/>
  <c r="I399" i="8" s="1"/>
  <c r="G768" i="7" a="1"/>
  <c r="G768" i="7" s="1"/>
  <c r="F793" i="7"/>
  <c r="I844" i="9" l="1" a="1"/>
  <c r="I844" i="9" s="1"/>
  <c r="I400" i="8" a="1"/>
  <c r="I400" i="8" s="1"/>
  <c r="F811" i="7"/>
  <c r="G793" i="7" a="1"/>
  <c r="G793" i="7" s="1"/>
  <c r="I845" i="9" l="1" a="1"/>
  <c r="I845" i="9" s="1"/>
  <c r="I401" i="8" a="1"/>
  <c r="I401" i="8" s="1"/>
  <c r="F870" i="7"/>
  <c r="F871" i="7" s="1"/>
  <c r="G811" i="7" a="1"/>
  <c r="G811" i="7" s="1"/>
  <c r="I846" i="9" l="1" a="1"/>
  <c r="I846" i="9" s="1"/>
  <c r="I402" i="8" a="1"/>
  <c r="I402" i="8" s="1"/>
  <c r="G871" i="7" a="1"/>
  <c r="G871" i="7" s="1"/>
  <c r="G870" i="7" a="1"/>
  <c r="G870" i="7" s="1"/>
  <c r="F903" i="7"/>
  <c r="F904" i="7" s="1"/>
  <c r="I847" i="9" l="1" a="1"/>
  <c r="I847" i="9" s="1"/>
  <c r="I403" i="8" a="1"/>
  <c r="I403" i="8" s="1"/>
  <c r="G904" i="7" a="1"/>
  <c r="G904" i="7" s="1"/>
  <c r="G903" i="7" a="1"/>
  <c r="G903" i="7" s="1"/>
  <c r="F919" i="7"/>
  <c r="F920" i="7" s="1"/>
  <c r="I848" i="9" l="1" a="1"/>
  <c r="I848" i="9" s="1"/>
  <c r="I404" i="8" a="1"/>
  <c r="I404" i="8" s="1"/>
  <c r="G920" i="7" a="1"/>
  <c r="G920" i="7" s="1"/>
  <c r="F928" i="7"/>
  <c r="F929" i="7" s="1"/>
  <c r="G919" i="7" a="1"/>
  <c r="G919" i="7" s="1"/>
  <c r="I849" i="9" l="1" a="1"/>
  <c r="I849" i="9" s="1"/>
  <c r="I405" i="8" a="1"/>
  <c r="I405" i="8" s="1"/>
  <c r="G929" i="7" a="1"/>
  <c r="G929" i="7" s="1"/>
  <c r="F13" i="7"/>
  <c r="F14" i="7" s="1"/>
  <c r="G928" i="7" a="1"/>
  <c r="G928" i="7" s="1"/>
  <c r="I850" i="9" l="1" a="1"/>
  <c r="I850" i="9" s="1"/>
  <c r="I406" i="8" a="1"/>
  <c r="I406" i="8" s="1"/>
  <c r="G14" i="7" a="1"/>
  <c r="G14" i="7" s="1"/>
  <c r="F15" i="7"/>
  <c r="G13" i="7" a="1"/>
  <c r="G13" i="7" s="1"/>
  <c r="F107" i="7"/>
  <c r="F108" i="7" s="1"/>
  <c r="I851" i="9" l="1" a="1"/>
  <c r="I851" i="9" s="1"/>
  <c r="I407" i="8" a="1"/>
  <c r="I407" i="8" s="1"/>
  <c r="F109" i="7"/>
  <c r="G108" i="7" a="1"/>
  <c r="G108" i="7" s="1"/>
  <c r="G15" i="7" a="1"/>
  <c r="G15" i="7" s="1"/>
  <c r="F16" i="7"/>
  <c r="F132" i="7"/>
  <c r="F133" i="7" s="1"/>
  <c r="G107" i="7" a="1"/>
  <c r="G107" i="7" s="1"/>
  <c r="I852" i="9" l="1" a="1"/>
  <c r="I852" i="9" s="1"/>
  <c r="I408" i="8" a="1"/>
  <c r="I408" i="8" s="1"/>
  <c r="F134" i="7"/>
  <c r="G134" i="7" s="1" a="1"/>
  <c r="G134" i="7" s="1"/>
  <c r="G133" i="7" a="1"/>
  <c r="G133" i="7" s="1"/>
  <c r="G16" i="7" a="1"/>
  <c r="G16" i="7" s="1"/>
  <c r="F17" i="7"/>
  <c r="G109" i="7" a="1"/>
  <c r="G109" i="7" s="1"/>
  <c r="F110" i="7"/>
  <c r="G132" i="7" a="1"/>
  <c r="G132" i="7" s="1"/>
  <c r="F159" i="7"/>
  <c r="F160" i="7" s="1"/>
  <c r="I853" i="9" l="1" a="1"/>
  <c r="I853" i="9" s="1"/>
  <c r="I409" i="8" a="1"/>
  <c r="I409" i="8" s="1"/>
  <c r="F161" i="7"/>
  <c r="G160" i="7" a="1"/>
  <c r="G160" i="7" s="1"/>
  <c r="G110" i="7" a="1"/>
  <c r="G110" i="7" s="1"/>
  <c r="F111" i="7"/>
  <c r="G17" i="7" a="1"/>
  <c r="G17" i="7" s="1"/>
  <c r="F18" i="7"/>
  <c r="F171" i="7"/>
  <c r="F172" i="7" s="1"/>
  <c r="G159" i="7" a="1"/>
  <c r="G159" i="7" s="1"/>
  <c r="I854" i="9" l="1" a="1"/>
  <c r="I854" i="9" s="1"/>
  <c r="I410" i="8" a="1"/>
  <c r="I410" i="8" s="1"/>
  <c r="F173" i="7"/>
  <c r="G172" i="7" a="1"/>
  <c r="G172" i="7" s="1"/>
  <c r="G18" i="7" a="1"/>
  <c r="G18" i="7" s="1"/>
  <c r="F19" i="7"/>
  <c r="G111" i="7" a="1"/>
  <c r="G111" i="7" s="1"/>
  <c r="F112" i="7"/>
  <c r="G161" i="7" a="1"/>
  <c r="G161" i="7" s="1"/>
  <c r="F162" i="7"/>
  <c r="G162" i="7" s="1" a="1"/>
  <c r="G162" i="7" s="1"/>
  <c r="G171" i="7" a="1"/>
  <c r="G171" i="7" s="1"/>
  <c r="F194" i="7"/>
  <c r="F195" i="7" s="1"/>
  <c r="I855" i="9" l="1" a="1"/>
  <c r="I855" i="9" s="1"/>
  <c r="I411" i="8" a="1"/>
  <c r="I411" i="8" s="1"/>
  <c r="F196" i="7"/>
  <c r="G195" i="7" a="1"/>
  <c r="G195" i="7" s="1"/>
  <c r="G112" i="7" a="1"/>
  <c r="G112" i="7" s="1"/>
  <c r="F113" i="7"/>
  <c r="G173" i="7" a="1"/>
  <c r="G173" i="7" s="1"/>
  <c r="F174" i="7"/>
  <c r="G19" i="7" a="1"/>
  <c r="G19" i="7" s="1"/>
  <c r="F20" i="7"/>
  <c r="G20" i="7" s="1" a="1"/>
  <c r="G20" i="7" s="1"/>
  <c r="G194" i="7" a="1"/>
  <c r="G194" i="7" s="1"/>
  <c r="F211" i="7"/>
  <c r="F212" i="7" s="1"/>
  <c r="I856" i="9" l="1" a="1"/>
  <c r="I856" i="9" s="1"/>
  <c r="I412" i="8" a="1"/>
  <c r="I412" i="8" s="1"/>
  <c r="F213" i="7"/>
  <c r="G212" i="7" a="1"/>
  <c r="G212" i="7" s="1"/>
  <c r="G174" i="7" a="1"/>
  <c r="G174" i="7" s="1"/>
  <c r="F175" i="7"/>
  <c r="G196" i="7" a="1"/>
  <c r="G196" i="7" s="1"/>
  <c r="F197" i="7"/>
  <c r="G113" i="7" a="1"/>
  <c r="G113" i="7" s="1"/>
  <c r="F114" i="7"/>
  <c r="G114" i="7" s="1" a="1"/>
  <c r="G114" i="7" s="1"/>
  <c r="G211" i="7" a="1"/>
  <c r="G211" i="7" s="1"/>
  <c r="F234" i="7"/>
  <c r="F235" i="7" s="1"/>
  <c r="I857" i="9" l="1" a="1"/>
  <c r="I857" i="9" s="1"/>
  <c r="I413" i="8" a="1"/>
  <c r="I413" i="8" s="1"/>
  <c r="F236" i="7"/>
  <c r="G235" i="7" a="1"/>
  <c r="G235" i="7" s="1"/>
  <c r="G175" i="7" a="1"/>
  <c r="G175" i="7" s="1"/>
  <c r="F176" i="7"/>
  <c r="G197" i="7" a="1"/>
  <c r="G197" i="7" s="1"/>
  <c r="F198" i="7"/>
  <c r="G213" i="7" a="1"/>
  <c r="G213" i="7" s="1"/>
  <c r="F214" i="7"/>
  <c r="G234" i="7" a="1"/>
  <c r="G234" i="7" s="1"/>
  <c r="F423" i="7"/>
  <c r="F424" i="7" s="1"/>
  <c r="I858" i="9" l="1" a="1"/>
  <c r="I858" i="9" s="1"/>
  <c r="I414" i="8" a="1"/>
  <c r="I414" i="8" s="1"/>
  <c r="F425" i="7"/>
  <c r="G424" i="7" a="1"/>
  <c r="G424" i="7" s="1"/>
  <c r="G198" i="7" a="1"/>
  <c r="G198" i="7" s="1"/>
  <c r="F199" i="7"/>
  <c r="G176" i="7" a="1"/>
  <c r="G176" i="7" s="1"/>
  <c r="F177" i="7"/>
  <c r="G236" i="7" a="1"/>
  <c r="G236" i="7" s="1"/>
  <c r="F237" i="7"/>
  <c r="G214" i="7" a="1"/>
  <c r="G214" i="7" s="1"/>
  <c r="F215" i="7"/>
  <c r="G423" i="7" a="1"/>
  <c r="G423" i="7" s="1"/>
  <c r="F447" i="7"/>
  <c r="F448" i="7" s="1"/>
  <c r="I859" i="9" l="1" a="1"/>
  <c r="I859" i="9" s="1"/>
  <c r="I415" i="8" a="1"/>
  <c r="I415" i="8" s="1"/>
  <c r="F449" i="7"/>
  <c r="G448" i="7" a="1"/>
  <c r="G448" i="7" s="1"/>
  <c r="G237" i="7" a="1"/>
  <c r="G237" i="7" s="1"/>
  <c r="F238" i="7"/>
  <c r="G177" i="7" a="1"/>
  <c r="G177" i="7" s="1"/>
  <c r="F178" i="7"/>
  <c r="G178" i="7" s="1" a="1"/>
  <c r="G178" i="7" s="1"/>
  <c r="G199" i="7" a="1"/>
  <c r="G199" i="7" s="1"/>
  <c r="F200" i="7"/>
  <c r="G215" i="7" a="1"/>
  <c r="G215" i="7" s="1"/>
  <c r="F216" i="7"/>
  <c r="G425" i="7" a="1"/>
  <c r="G425" i="7" s="1"/>
  <c r="F426" i="7"/>
  <c r="G447" i="7" a="1"/>
  <c r="G447" i="7" s="1"/>
  <c r="F485" i="7"/>
  <c r="F486" i="7" s="1"/>
  <c r="I860" i="9" l="1" a="1"/>
  <c r="I860" i="9" s="1"/>
  <c r="I416" i="8" a="1"/>
  <c r="I416" i="8" s="1"/>
  <c r="F487" i="7"/>
  <c r="G486" i="7" a="1"/>
  <c r="G486" i="7" s="1"/>
  <c r="G238" i="7" a="1"/>
  <c r="G238" i="7" s="1"/>
  <c r="F239" i="7"/>
  <c r="G426" i="7" a="1"/>
  <c r="G426" i="7" s="1"/>
  <c r="F427" i="7"/>
  <c r="G216" i="7" a="1"/>
  <c r="G216" i="7" s="1"/>
  <c r="F217" i="7"/>
  <c r="G449" i="7" a="1"/>
  <c r="G449" i="7" s="1"/>
  <c r="F450" i="7"/>
  <c r="G200" i="7" a="1"/>
  <c r="G200" i="7" s="1"/>
  <c r="F201" i="7"/>
  <c r="G201" i="7" s="1" a="1"/>
  <c r="G201" i="7" s="1"/>
  <c r="F531" i="7"/>
  <c r="F532" i="7" s="1"/>
  <c r="G485" i="7" a="1"/>
  <c r="G485" i="7" s="1"/>
  <c r="I861" i="9" l="1" a="1"/>
  <c r="I861" i="9" s="1"/>
  <c r="I417" i="8" a="1"/>
  <c r="I417" i="8" s="1"/>
  <c r="F533" i="7"/>
  <c r="G532" i="7" a="1"/>
  <c r="G532" i="7" s="1"/>
  <c r="G239" i="7" a="1"/>
  <c r="G239" i="7" s="1"/>
  <c r="F240" i="7"/>
  <c r="G427" i="7" a="1"/>
  <c r="G427" i="7" s="1"/>
  <c r="F428" i="7"/>
  <c r="G450" i="7" a="1"/>
  <c r="G450" i="7" s="1"/>
  <c r="F451" i="7"/>
  <c r="G487" i="7" a="1"/>
  <c r="G487" i="7" s="1"/>
  <c r="F488" i="7"/>
  <c r="G488" i="7" s="1" a="1"/>
  <c r="G488" i="7" s="1"/>
  <c r="G217" i="7" a="1"/>
  <c r="G217" i="7" s="1"/>
  <c r="F218" i="7"/>
  <c r="G218" i="7" s="1" a="1"/>
  <c r="G218" i="7" s="1"/>
  <c r="F567" i="7"/>
  <c r="F568" i="7" s="1"/>
  <c r="G531" i="7" a="1"/>
  <c r="G531" i="7" s="1"/>
  <c r="I862" i="9" l="1" a="1"/>
  <c r="I862" i="9" s="1"/>
  <c r="I418" i="8" a="1"/>
  <c r="I418" i="8" s="1"/>
  <c r="F569" i="7"/>
  <c r="G568" i="7" a="1"/>
  <c r="G568" i="7" s="1"/>
  <c r="G451" i="7" a="1"/>
  <c r="G451" i="7" s="1"/>
  <c r="F452" i="7"/>
  <c r="G428" i="7" a="1"/>
  <c r="G428" i="7" s="1"/>
  <c r="F429" i="7"/>
  <c r="G240" i="7" a="1"/>
  <c r="G240" i="7" s="1"/>
  <c r="F241" i="7"/>
  <c r="G241" i="7" s="1" a="1"/>
  <c r="G241" i="7" s="1"/>
  <c r="G533" i="7" a="1"/>
  <c r="G533" i="7" s="1"/>
  <c r="F534" i="7"/>
  <c r="G567" i="7" a="1"/>
  <c r="G567" i="7" s="1"/>
  <c r="F592" i="7"/>
  <c r="F593" i="7" s="1"/>
  <c r="I863" i="9" l="1" a="1"/>
  <c r="I863" i="9" s="1"/>
  <c r="I419" i="8" a="1"/>
  <c r="I419" i="8" s="1"/>
  <c r="F594" i="7"/>
  <c r="G593" i="7" a="1"/>
  <c r="G593" i="7" s="1"/>
  <c r="G429" i="7" a="1"/>
  <c r="G429" i="7" s="1"/>
  <c r="F430" i="7"/>
  <c r="G430" i="7" s="1" a="1"/>
  <c r="G430" i="7" s="1"/>
  <c r="G452" i="7" a="1"/>
  <c r="G452" i="7" s="1"/>
  <c r="F453" i="7"/>
  <c r="G534" i="7" a="1"/>
  <c r="G534" i="7" s="1"/>
  <c r="F535" i="7"/>
  <c r="G569" i="7" a="1"/>
  <c r="G569" i="7" s="1"/>
  <c r="F570" i="7"/>
  <c r="F617" i="7"/>
  <c r="F618" i="7" s="1"/>
  <c r="G592" i="7" a="1"/>
  <c r="G592" i="7" s="1"/>
  <c r="I864" i="9" l="1" a="1"/>
  <c r="I864" i="9" s="1"/>
  <c r="I420" i="8" a="1"/>
  <c r="I420" i="8" s="1"/>
  <c r="F619" i="7"/>
  <c r="G618" i="7" a="1"/>
  <c r="G618" i="7" s="1"/>
  <c r="G535" i="7" a="1"/>
  <c r="G535" i="7" s="1"/>
  <c r="F536" i="7"/>
  <c r="G453" i="7" a="1"/>
  <c r="G453" i="7" s="1"/>
  <c r="F454" i="7"/>
  <c r="G454" i="7" s="1" a="1"/>
  <c r="G454" i="7" s="1"/>
  <c r="G570" i="7" a="1"/>
  <c r="G570" i="7" s="1"/>
  <c r="F571" i="7"/>
  <c r="G594" i="7" a="1"/>
  <c r="G594" i="7" s="1"/>
  <c r="F595" i="7"/>
  <c r="G617" i="7" a="1"/>
  <c r="G617" i="7" s="1"/>
  <c r="F638" i="7"/>
  <c r="F639" i="7" s="1"/>
  <c r="I865" i="9" l="1" a="1"/>
  <c r="I865" i="9" s="1"/>
  <c r="I421" i="8" a="1"/>
  <c r="I421" i="8" s="1"/>
  <c r="F640" i="7"/>
  <c r="G639" i="7" a="1"/>
  <c r="G639" i="7" s="1"/>
  <c r="G571" i="7" a="1"/>
  <c r="G571" i="7" s="1"/>
  <c r="F572" i="7"/>
  <c r="G536" i="7" a="1"/>
  <c r="G536" i="7" s="1"/>
  <c r="F537" i="7"/>
  <c r="G595" i="7" a="1"/>
  <c r="G595" i="7" s="1"/>
  <c r="F596" i="7"/>
  <c r="G619" i="7" a="1"/>
  <c r="G619" i="7" s="1"/>
  <c r="F620" i="7"/>
  <c r="G620" i="7" s="1" a="1"/>
  <c r="G620" i="7" s="1"/>
  <c r="G638" i="7" a="1"/>
  <c r="G638" i="7" s="1"/>
  <c r="F663" i="7"/>
  <c r="F664" i="7" s="1"/>
  <c r="I866" i="9" l="1" a="1"/>
  <c r="I866" i="9" s="1"/>
  <c r="I422" i="8" a="1"/>
  <c r="I422" i="8" s="1"/>
  <c r="F665" i="7"/>
  <c r="G664" i="7" a="1"/>
  <c r="G664" i="7" s="1"/>
  <c r="G537" i="7" a="1"/>
  <c r="G537" i="7" s="1"/>
  <c r="F538" i="7"/>
  <c r="G538" i="7" s="1" a="1"/>
  <c r="G538" i="7" s="1"/>
  <c r="G596" i="7" a="1"/>
  <c r="G596" i="7" s="1"/>
  <c r="F597" i="7"/>
  <c r="G572" i="7" a="1"/>
  <c r="G572" i="7" s="1"/>
  <c r="F573" i="7"/>
  <c r="G640" i="7" a="1"/>
  <c r="G640" i="7" s="1"/>
  <c r="F641" i="7"/>
  <c r="G663" i="7" a="1"/>
  <c r="G663" i="7" s="1"/>
  <c r="F687" i="7"/>
  <c r="F688" i="7" s="1"/>
  <c r="I867" i="9" l="1" a="1"/>
  <c r="I867" i="9" s="1"/>
  <c r="I423" i="8" a="1"/>
  <c r="I423" i="8" s="1"/>
  <c r="F689" i="7"/>
  <c r="G689" i="7" s="1" a="1"/>
  <c r="G689" i="7" s="1"/>
  <c r="G688" i="7" a="1"/>
  <c r="G688" i="7" s="1"/>
  <c r="G597" i="7" a="1"/>
  <c r="G597" i="7" s="1"/>
  <c r="F598" i="7"/>
  <c r="G573" i="7" a="1"/>
  <c r="G573" i="7" s="1"/>
  <c r="F574" i="7"/>
  <c r="G574" i="7" s="1" a="1"/>
  <c r="G574" i="7" s="1"/>
  <c r="G641" i="7" a="1"/>
  <c r="G641" i="7" s="1"/>
  <c r="F642" i="7"/>
  <c r="G665" i="7" a="1"/>
  <c r="G665" i="7" s="1"/>
  <c r="F666" i="7"/>
  <c r="G687" i="7" a="1"/>
  <c r="G687" i="7" s="1"/>
  <c r="F723" i="7"/>
  <c r="F724" i="7" s="1"/>
  <c r="I868" i="9" l="1" a="1"/>
  <c r="I868" i="9" s="1"/>
  <c r="I424" i="8" a="1"/>
  <c r="I424" i="8" s="1"/>
  <c r="F725" i="7"/>
  <c r="G724" i="7" a="1"/>
  <c r="G724" i="7" s="1"/>
  <c r="G642" i="7" a="1"/>
  <c r="G642" i="7" s="1"/>
  <c r="F643" i="7"/>
  <c r="G598" i="7" a="1"/>
  <c r="G598" i="7" s="1"/>
  <c r="F599" i="7"/>
  <c r="G599" i="7" s="1" a="1"/>
  <c r="G599" i="7" s="1"/>
  <c r="G666" i="7" a="1"/>
  <c r="G666" i="7" s="1"/>
  <c r="F667" i="7"/>
  <c r="F769" i="7"/>
  <c r="F770" i="7" s="1"/>
  <c r="G723" i="7" a="1"/>
  <c r="G723" i="7" s="1"/>
  <c r="I869" i="9" l="1" a="1"/>
  <c r="I869" i="9" s="1"/>
  <c r="I425" i="8" a="1"/>
  <c r="I425" i="8" s="1"/>
  <c r="F771" i="7"/>
  <c r="G770" i="7" a="1"/>
  <c r="G770" i="7" s="1"/>
  <c r="G667" i="7" a="1"/>
  <c r="G667" i="7" s="1"/>
  <c r="F668" i="7"/>
  <c r="G643" i="7" a="1"/>
  <c r="G643" i="7" s="1"/>
  <c r="F644" i="7"/>
  <c r="G725" i="7" a="1"/>
  <c r="G725" i="7" s="1"/>
  <c r="F726" i="7"/>
  <c r="F794" i="7"/>
  <c r="G769" i="7" a="1"/>
  <c r="G769" i="7" s="1"/>
  <c r="I870" i="9" l="1" a="1"/>
  <c r="I870" i="9" s="1"/>
  <c r="I426" i="8" a="1"/>
  <c r="I426" i="8" s="1"/>
  <c r="G644" i="7" a="1"/>
  <c r="G644" i="7" s="1"/>
  <c r="F645" i="7"/>
  <c r="G645" i="7" s="1" a="1"/>
  <c r="G645" i="7" s="1"/>
  <c r="G726" i="7" a="1"/>
  <c r="G726" i="7" s="1"/>
  <c r="F727" i="7"/>
  <c r="G668" i="7" a="1"/>
  <c r="G668" i="7" s="1"/>
  <c r="F669" i="7"/>
  <c r="G771" i="7" a="1"/>
  <c r="G771" i="7" s="1"/>
  <c r="F772" i="7"/>
  <c r="G794" i="7" a="1"/>
  <c r="G794" i="7" s="1"/>
  <c r="F812" i="7"/>
  <c r="I871" i="9" l="1" a="1"/>
  <c r="I871" i="9" s="1"/>
  <c r="I427" i="8" a="1"/>
  <c r="I427" i="8" s="1"/>
  <c r="G727" i="7" a="1"/>
  <c r="G727" i="7" s="1"/>
  <c r="F728" i="7"/>
  <c r="G772" i="7" a="1"/>
  <c r="G772" i="7" s="1"/>
  <c r="F773" i="7"/>
  <c r="G669" i="7" a="1"/>
  <c r="G669" i="7" s="1"/>
  <c r="F670" i="7"/>
  <c r="G670" i="7" s="1" a="1"/>
  <c r="G670" i="7" s="1"/>
  <c r="G812" i="7" a="1"/>
  <c r="G812" i="7" s="1"/>
  <c r="F813" i="7"/>
  <c r="I872" i="9" l="1" a="1"/>
  <c r="I872" i="9" s="1"/>
  <c r="I428" i="8" a="1"/>
  <c r="I428" i="8" s="1"/>
  <c r="F847" i="7"/>
  <c r="F814" i="7"/>
  <c r="G813" i="7" a="1"/>
  <c r="G813" i="7" s="1"/>
  <c r="G728" i="7" a="1"/>
  <c r="G728" i="7" s="1"/>
  <c r="F729" i="7"/>
  <c r="G773" i="7" a="1"/>
  <c r="G773" i="7" s="1"/>
  <c r="F774" i="7"/>
  <c r="I873" i="9" l="1" a="1"/>
  <c r="I873" i="9" s="1"/>
  <c r="I429" i="8" a="1"/>
  <c r="I429" i="8" s="1"/>
  <c r="G729" i="7" a="1"/>
  <c r="G729" i="7" s="1"/>
  <c r="F730" i="7"/>
  <c r="G730" i="7" s="1" a="1"/>
  <c r="G730" i="7" s="1"/>
  <c r="G774" i="7" a="1"/>
  <c r="G774" i="7" s="1"/>
  <c r="F775" i="7"/>
  <c r="G814" i="7" a="1"/>
  <c r="G814" i="7" s="1"/>
  <c r="F815" i="7"/>
  <c r="F872" i="7"/>
  <c r="F848" i="7"/>
  <c r="G847" i="7" a="1"/>
  <c r="G847" i="7" s="1"/>
  <c r="I874" i="9" l="1" a="1"/>
  <c r="I874" i="9" s="1"/>
  <c r="I430" i="8" a="1"/>
  <c r="I430" i="8" s="1"/>
  <c r="G848" i="7" a="1"/>
  <c r="G848" i="7" s="1"/>
  <c r="F849" i="7"/>
  <c r="F905" i="7"/>
  <c r="G872" i="7" a="1"/>
  <c r="G872" i="7" s="1"/>
  <c r="G775" i="7" a="1"/>
  <c r="G775" i="7" s="1"/>
  <c r="F776" i="7"/>
  <c r="G776" i="7" s="1" a="1"/>
  <c r="G776" i="7" s="1"/>
  <c r="G815" i="7" a="1"/>
  <c r="G815" i="7" s="1"/>
  <c r="F816" i="7"/>
  <c r="I875" i="9" l="1" a="1"/>
  <c r="I875" i="9" s="1"/>
  <c r="I431" i="8" a="1"/>
  <c r="I431" i="8" s="1"/>
  <c r="G816" i="7" a="1"/>
  <c r="G816" i="7" s="1"/>
  <c r="F817" i="7"/>
  <c r="F921" i="7"/>
  <c r="F906" i="7"/>
  <c r="G905" i="7" a="1"/>
  <c r="G905" i="7" s="1"/>
  <c r="G849" i="7" a="1"/>
  <c r="G849" i="7" s="1"/>
  <c r="F850" i="7"/>
  <c r="I876" i="9" l="1" a="1"/>
  <c r="I876" i="9" s="1"/>
  <c r="I432" i="8" a="1"/>
  <c r="I432" i="8" s="1"/>
  <c r="F930" i="7"/>
  <c r="G921" i="7" a="1"/>
  <c r="G921" i="7" s="1"/>
  <c r="G850" i="7" a="1"/>
  <c r="G850" i="7" s="1"/>
  <c r="F851" i="7"/>
  <c r="G906" i="7" a="1"/>
  <c r="G906" i="7" s="1"/>
  <c r="F907" i="7"/>
  <c r="G817" i="7" a="1"/>
  <c r="G817" i="7" s="1"/>
  <c r="F818" i="7"/>
  <c r="I877" i="9" l="1" a="1"/>
  <c r="I877" i="9" s="1"/>
  <c r="I433" i="8" a="1"/>
  <c r="I433" i="8" s="1"/>
  <c r="G818" i="7" a="1"/>
  <c r="G818" i="7" s="1"/>
  <c r="F819" i="7"/>
  <c r="G819" i="7" s="1" a="1"/>
  <c r="G819" i="7" s="1"/>
  <c r="G907" i="7" a="1"/>
  <c r="G907" i="7" s="1"/>
  <c r="F908" i="7"/>
  <c r="G851" i="7" a="1"/>
  <c r="G851" i="7" s="1"/>
  <c r="F852" i="7"/>
  <c r="F931" i="7"/>
  <c r="G930" i="7" a="1"/>
  <c r="G930" i="7" s="1"/>
  <c r="I878" i="9" l="1" a="1"/>
  <c r="I878" i="9" s="1"/>
  <c r="I434" i="8" a="1"/>
  <c r="I434" i="8" s="1"/>
  <c r="G931" i="7" a="1"/>
  <c r="G931" i="7" s="1"/>
  <c r="F932" i="7"/>
  <c r="G852" i="7" a="1"/>
  <c r="G852" i="7" s="1"/>
  <c r="F853" i="7"/>
  <c r="G853" i="7" s="1" a="1"/>
  <c r="G853" i="7" s="1"/>
  <c r="G908" i="7" a="1"/>
  <c r="G908" i="7" s="1"/>
  <c r="F909" i="7"/>
  <c r="I879" i="9" l="1" a="1"/>
  <c r="I879" i="9" s="1"/>
  <c r="I435" i="8" a="1"/>
  <c r="I435" i="8" s="1"/>
  <c r="G909" i="7" a="1"/>
  <c r="G909" i="7" s="1"/>
  <c r="F910" i="7"/>
  <c r="G932" i="7" a="1"/>
  <c r="G932" i="7" s="1"/>
  <c r="F933" i="7"/>
  <c r="I880" i="9" l="1" a="1"/>
  <c r="I880" i="9" s="1"/>
  <c r="I436" i="8" a="1"/>
  <c r="I436" i="8" s="1"/>
  <c r="G933" i="7" a="1"/>
  <c r="G933" i="7" s="1"/>
  <c r="F934" i="7"/>
  <c r="G910" i="7" a="1"/>
  <c r="G910" i="7" s="1"/>
  <c r="F911" i="7"/>
  <c r="G911" i="7" s="1" a="1"/>
  <c r="G911" i="7" s="1"/>
  <c r="I881" i="9" l="1" a="1"/>
  <c r="I881" i="9" s="1"/>
  <c r="I437" i="8" a="1"/>
  <c r="I437" i="8" s="1"/>
  <c r="G934" i="7" a="1"/>
  <c r="G934" i="7" s="1"/>
  <c r="F935" i="7"/>
  <c r="I882" i="9" l="1" a="1"/>
  <c r="I882" i="9" s="1"/>
  <c r="I438" i="8" a="1"/>
  <c r="I438" i="8" s="1"/>
  <c r="G935" i="7" a="1"/>
  <c r="G935" i="7" s="1"/>
  <c r="F936" i="7"/>
  <c r="G936" i="7" s="1" a="1"/>
  <c r="G936" i="7" s="1"/>
  <c r="H3" i="7" a="1"/>
  <c r="H3" i="7"/>
  <c r="H4" i="7" a="1"/>
  <c r="H4" i="7" s="1"/>
  <c r="H5" i="7" s="1" a="1"/>
  <c r="H5" i="7" s="1"/>
  <c r="H6" i="7" s="1" a="1"/>
  <c r="H6" i="7" s="1"/>
  <c r="H7" i="7" s="1" a="1"/>
  <c r="H7" i="7" s="1"/>
  <c r="H8" i="7" s="1" a="1"/>
  <c r="H8" i="7" s="1"/>
  <c r="H9" i="7" s="1" a="1"/>
  <c r="H9" i="7" s="1"/>
  <c r="H10" i="7" s="1" a="1"/>
  <c r="H10" i="7" s="1"/>
  <c r="H11" i="7" s="1" a="1"/>
  <c r="H11" i="7" s="1"/>
  <c r="H12" i="7" s="1" a="1"/>
  <c r="H12" i="7" s="1"/>
  <c r="H13" i="7" s="1" a="1"/>
  <c r="H13" i="7" s="1"/>
  <c r="H14" i="7" s="1" a="1"/>
  <c r="H14" i="7" s="1"/>
  <c r="H15" i="7" s="1" a="1"/>
  <c r="H15" i="7" s="1"/>
  <c r="H16" i="7" s="1" a="1"/>
  <c r="H16" i="7" s="1"/>
  <c r="H17" i="7" s="1" a="1"/>
  <c r="H17" i="7" s="1"/>
  <c r="H18" i="7" s="1" a="1"/>
  <c r="H18" i="7" s="1"/>
  <c r="H19" i="7" s="1" a="1"/>
  <c r="H19" i="7" s="1"/>
  <c r="H20" i="7" s="1" a="1"/>
  <c r="H20" i="7" s="1"/>
  <c r="H21" i="7" s="1" a="1"/>
  <c r="H21" i="7" s="1"/>
  <c r="H22" i="7" s="1" a="1"/>
  <c r="H22" i="7" s="1"/>
  <c r="H23" i="7" s="1" a="1"/>
  <c r="H23" i="7" s="1"/>
  <c r="H24" i="7" s="1" a="1"/>
  <c r="H24" i="7" s="1"/>
  <c r="H25" i="7" s="1" a="1"/>
  <c r="H25" i="7" s="1"/>
  <c r="H26" i="7" s="1" a="1"/>
  <c r="H26" i="7" s="1"/>
  <c r="H27" i="7" s="1" a="1"/>
  <c r="H27" i="7" s="1"/>
  <c r="H28" i="7" s="1" a="1"/>
  <c r="H28" i="7" s="1"/>
  <c r="H29" i="7" s="1" a="1"/>
  <c r="H29" i="7" s="1"/>
  <c r="H30" i="7" s="1" a="1"/>
  <c r="H30" i="7" s="1"/>
  <c r="H31" i="7" s="1" a="1"/>
  <c r="H31" i="7" s="1"/>
  <c r="H32" i="7" s="1" a="1"/>
  <c r="H32" i="7" s="1"/>
  <c r="H33" i="7" s="1" a="1"/>
  <c r="H33" i="7" s="1"/>
  <c r="H34" i="7" s="1" a="1"/>
  <c r="H34" i="7" s="1"/>
  <c r="H35" i="7" s="1" a="1"/>
  <c r="H35" i="7" s="1"/>
  <c r="H36" i="7" s="1" a="1"/>
  <c r="H36" i="7" s="1"/>
  <c r="H37" i="7" s="1" a="1"/>
  <c r="H37" i="7" s="1"/>
  <c r="H38" i="7" s="1" a="1"/>
  <c r="H38" i="7" s="1"/>
  <c r="H39" i="7" s="1" a="1"/>
  <c r="H39" i="7" s="1"/>
  <c r="H40" i="7" s="1" a="1"/>
  <c r="H40" i="7" s="1"/>
  <c r="H41" i="7" s="1" a="1"/>
  <c r="H41" i="7" s="1"/>
  <c r="H42" i="7" s="1" a="1"/>
  <c r="H42" i="7" s="1"/>
  <c r="H43" i="7" s="1" a="1"/>
  <c r="H43" i="7" s="1"/>
  <c r="H44" i="7" s="1" a="1"/>
  <c r="H44" i="7" s="1"/>
  <c r="H45" i="7" s="1" a="1"/>
  <c r="H45" i="7" s="1"/>
  <c r="H46" i="7" s="1" a="1"/>
  <c r="H46" i="7" s="1"/>
  <c r="H47" i="7" s="1" a="1"/>
  <c r="H47" i="7" s="1"/>
  <c r="H48" i="7" s="1" a="1"/>
  <c r="H48" i="7" s="1"/>
  <c r="H49" i="7" s="1" a="1"/>
  <c r="H49" i="7" s="1"/>
  <c r="H50" i="7" s="1" a="1"/>
  <c r="H50" i="7" s="1"/>
  <c r="H51" i="7" s="1" a="1"/>
  <c r="H51" i="7" s="1"/>
  <c r="H52" i="7" s="1" a="1"/>
  <c r="H52" i="7" s="1"/>
  <c r="H53" i="7" s="1" a="1"/>
  <c r="H53" i="7" s="1"/>
  <c r="H54" i="7" s="1" a="1"/>
  <c r="H54" i="7" s="1"/>
  <c r="H55" i="7" s="1" a="1"/>
  <c r="H55" i="7" s="1"/>
  <c r="H56" i="7" s="1" a="1"/>
  <c r="H56" i="7" s="1"/>
  <c r="H57" i="7" s="1" a="1"/>
  <c r="H57" i="7" s="1"/>
  <c r="H58" i="7" s="1" a="1"/>
  <c r="H58" i="7" s="1"/>
  <c r="H59" i="7" s="1" a="1"/>
  <c r="H59" i="7" s="1"/>
  <c r="H60" i="7" s="1" a="1"/>
  <c r="H60" i="7" s="1"/>
  <c r="H61" i="7" s="1" a="1"/>
  <c r="H61" i="7" s="1"/>
  <c r="H62" i="7" s="1" a="1"/>
  <c r="H62" i="7" s="1"/>
  <c r="H63" i="7" s="1" a="1"/>
  <c r="H63" i="7" s="1"/>
  <c r="H64" i="7" s="1" a="1"/>
  <c r="H64" i="7" s="1"/>
  <c r="H65" i="7" s="1" a="1"/>
  <c r="H65" i="7" s="1"/>
  <c r="H66" i="7" s="1" a="1"/>
  <c r="H66" i="7" s="1"/>
  <c r="H67" i="7" s="1" a="1"/>
  <c r="H67" i="7" s="1"/>
  <c r="H68" i="7" s="1" a="1"/>
  <c r="H68" i="7" s="1"/>
  <c r="H69" i="7" s="1" a="1"/>
  <c r="H69" i="7" s="1"/>
  <c r="H70" i="7" s="1" a="1"/>
  <c r="H70" i="7" s="1"/>
  <c r="H71" i="7" s="1" a="1"/>
  <c r="H71" i="7" s="1"/>
  <c r="H72" i="7" s="1" a="1"/>
  <c r="H72" i="7" s="1"/>
  <c r="H73" i="7" s="1" a="1"/>
  <c r="H73" i="7" s="1"/>
  <c r="H74" i="7" s="1" a="1"/>
  <c r="H74" i="7" s="1"/>
  <c r="H75" i="7" s="1" a="1"/>
  <c r="H75" i="7" s="1"/>
  <c r="H76" i="7" s="1" a="1"/>
  <c r="H76" i="7" s="1"/>
  <c r="H77" i="7" s="1" a="1"/>
  <c r="H77" i="7" s="1"/>
  <c r="H78" i="7" s="1" a="1"/>
  <c r="H78" i="7" s="1"/>
  <c r="H79" i="7" s="1" a="1"/>
  <c r="H79" i="7" s="1"/>
  <c r="H80" i="7" s="1" a="1"/>
  <c r="H80" i="7" s="1"/>
  <c r="H81" i="7" s="1" a="1"/>
  <c r="H81" i="7" s="1"/>
  <c r="H82" i="7" s="1" a="1"/>
  <c r="H82" i="7" s="1"/>
  <c r="H83" i="7" s="1" a="1"/>
  <c r="H83" i="7" s="1"/>
  <c r="H84" i="7" s="1" a="1"/>
  <c r="H84" i="7" s="1"/>
  <c r="H85" i="7" s="1" a="1"/>
  <c r="H85" i="7" s="1"/>
  <c r="H86" i="7" s="1" a="1"/>
  <c r="H86" i="7" s="1"/>
  <c r="H87" i="7" s="1" a="1"/>
  <c r="H87" i="7" s="1"/>
  <c r="H88" i="7" s="1" a="1"/>
  <c r="H88" i="7" s="1"/>
  <c r="H89" i="7" s="1" a="1"/>
  <c r="H89" i="7" s="1"/>
  <c r="H90" i="7" s="1" a="1"/>
  <c r="H90" i="7" s="1"/>
  <c r="H91" i="7" s="1" a="1"/>
  <c r="H91" i="7" s="1"/>
  <c r="H92" i="7" s="1" a="1"/>
  <c r="H92" i="7" s="1"/>
  <c r="H93" i="7" s="1" a="1"/>
  <c r="H93" i="7" s="1"/>
  <c r="H94" i="7" s="1" a="1"/>
  <c r="H94" i="7" s="1"/>
  <c r="H95" i="7" s="1" a="1"/>
  <c r="H95" i="7" s="1"/>
  <c r="H96" i="7" s="1" a="1"/>
  <c r="H96" i="7" s="1"/>
  <c r="H97" i="7" s="1" a="1"/>
  <c r="H97" i="7" s="1"/>
  <c r="H98" i="7" s="1" a="1"/>
  <c r="H98" i="7" s="1"/>
  <c r="H99" i="7" s="1" a="1"/>
  <c r="H99" i="7" s="1"/>
  <c r="H100" i="7" s="1" a="1"/>
  <c r="H100" i="7" s="1"/>
  <c r="H101" i="7" s="1" a="1"/>
  <c r="H101" i="7" s="1"/>
  <c r="H102" i="7" s="1" a="1"/>
  <c r="H102" i="7" s="1"/>
  <c r="H103" i="7" s="1" a="1"/>
  <c r="H103" i="7" s="1"/>
  <c r="H104" i="7" s="1" a="1"/>
  <c r="H104" i="7" s="1"/>
  <c r="H105" i="7" s="1" a="1"/>
  <c r="H105" i="7" s="1"/>
  <c r="H106" i="7" s="1" a="1"/>
  <c r="H106" i="7" s="1"/>
  <c r="H107" i="7" s="1" a="1"/>
  <c r="H107" i="7" s="1"/>
  <c r="H108" i="7" s="1" a="1"/>
  <c r="H108" i="7" s="1"/>
  <c r="H109" i="7" s="1" a="1"/>
  <c r="H109" i="7" s="1"/>
  <c r="H110" i="7" s="1" a="1"/>
  <c r="H110" i="7" s="1"/>
  <c r="H111" i="7" s="1" a="1"/>
  <c r="H111" i="7" s="1"/>
  <c r="H112" i="7" s="1" a="1"/>
  <c r="H112" i="7" s="1"/>
  <c r="H113" i="7" s="1" a="1"/>
  <c r="H113" i="7" s="1"/>
  <c r="H114" i="7" s="1" a="1"/>
  <c r="H114" i="7" s="1"/>
  <c r="H115" i="7" s="1" a="1"/>
  <c r="H115" i="7" s="1"/>
  <c r="H116" i="7" s="1" a="1"/>
  <c r="H116" i="7" s="1"/>
  <c r="H117" i="7" s="1" a="1"/>
  <c r="H117" i="7" s="1"/>
  <c r="H118" i="7" s="1" a="1"/>
  <c r="H118" i="7" s="1"/>
  <c r="H119" i="7" s="1" a="1"/>
  <c r="H119" i="7" s="1"/>
  <c r="H120" i="7" s="1" a="1"/>
  <c r="H120" i="7" s="1"/>
  <c r="H121" i="7" s="1" a="1"/>
  <c r="H121" i="7" s="1"/>
  <c r="H122" i="7" s="1" a="1"/>
  <c r="H122" i="7" s="1"/>
  <c r="H123" i="7" s="1" a="1"/>
  <c r="H123" i="7" s="1"/>
  <c r="H124" i="7" s="1" a="1"/>
  <c r="H124" i="7" s="1"/>
  <c r="H125" i="7" s="1" a="1"/>
  <c r="H125" i="7" s="1"/>
  <c r="H126" i="7" s="1" a="1"/>
  <c r="H126" i="7" s="1"/>
  <c r="H127" i="7" s="1" a="1"/>
  <c r="H127" i="7" s="1"/>
  <c r="H128" i="7" s="1" a="1"/>
  <c r="H128" i="7" s="1"/>
  <c r="H129" i="7" s="1" a="1"/>
  <c r="H129" i="7" s="1"/>
  <c r="H130" i="7" s="1" a="1"/>
  <c r="H130" i="7" s="1"/>
  <c r="H131" i="7" s="1" a="1"/>
  <c r="H131" i="7" s="1"/>
  <c r="H132" i="7" s="1" a="1"/>
  <c r="H132" i="7" s="1"/>
  <c r="H133" i="7" s="1" a="1"/>
  <c r="H133" i="7" s="1"/>
  <c r="H134" i="7" s="1" a="1"/>
  <c r="H134" i="7" s="1"/>
  <c r="H135" i="7" s="1" a="1"/>
  <c r="H135" i="7" s="1"/>
  <c r="H136" i="7" s="1" a="1"/>
  <c r="H136" i="7" s="1"/>
  <c r="H137" i="7" s="1" a="1"/>
  <c r="H137" i="7" s="1"/>
  <c r="H138" i="7" s="1" a="1"/>
  <c r="H138" i="7" s="1"/>
  <c r="H139" i="7" s="1" a="1"/>
  <c r="H139" i="7" s="1"/>
  <c r="H140" i="7" s="1" a="1"/>
  <c r="H140" i="7" s="1"/>
  <c r="H141" i="7" s="1" a="1"/>
  <c r="H141" i="7" s="1"/>
  <c r="H142" i="7" s="1" a="1"/>
  <c r="H142" i="7" s="1"/>
  <c r="H143" i="7" s="1" a="1"/>
  <c r="H143" i="7" s="1"/>
  <c r="H144" i="7" s="1" a="1"/>
  <c r="H144" i="7" s="1"/>
  <c r="H145" i="7" s="1" a="1"/>
  <c r="H145" i="7" s="1"/>
  <c r="H146" i="7" s="1" a="1"/>
  <c r="H146" i="7" s="1"/>
  <c r="H147" i="7" s="1" a="1"/>
  <c r="H147" i="7" s="1"/>
  <c r="H148" i="7" s="1" a="1"/>
  <c r="H148" i="7" s="1"/>
  <c r="H149" i="7" s="1" a="1"/>
  <c r="H149" i="7" s="1"/>
  <c r="H150" i="7" s="1" a="1"/>
  <c r="H150" i="7" s="1"/>
  <c r="H151" i="7" s="1" a="1"/>
  <c r="H151" i="7" s="1"/>
  <c r="H152" i="7" s="1" a="1"/>
  <c r="H152" i="7" s="1"/>
  <c r="H153" i="7" s="1" a="1"/>
  <c r="H153" i="7" s="1"/>
  <c r="H154" i="7" s="1" a="1"/>
  <c r="H154" i="7" s="1"/>
  <c r="H155" i="7" s="1" a="1"/>
  <c r="H155" i="7" s="1"/>
  <c r="H156" i="7" s="1" a="1"/>
  <c r="H156" i="7" s="1"/>
  <c r="H157" i="7" s="1" a="1"/>
  <c r="H157" i="7" s="1"/>
  <c r="H158" i="7" s="1" a="1"/>
  <c r="H158" i="7" s="1"/>
  <c r="H159" i="7" s="1" a="1"/>
  <c r="H159" i="7" s="1"/>
  <c r="H160" i="7" s="1" a="1"/>
  <c r="H160" i="7" s="1"/>
  <c r="H161" i="7" s="1" a="1"/>
  <c r="H161" i="7" s="1"/>
  <c r="H162" i="7" s="1" a="1"/>
  <c r="H162" i="7" s="1"/>
  <c r="H163" i="7" s="1" a="1"/>
  <c r="H163" i="7" s="1"/>
  <c r="H164" i="7" s="1" a="1"/>
  <c r="H164" i="7" s="1"/>
  <c r="H165" i="7" s="1" a="1"/>
  <c r="H165" i="7" s="1"/>
  <c r="H166" i="7" s="1" a="1"/>
  <c r="H166" i="7" s="1"/>
  <c r="H167" i="7" s="1" a="1"/>
  <c r="H167" i="7" s="1"/>
  <c r="H168" i="7" s="1" a="1"/>
  <c r="H168" i="7" s="1"/>
  <c r="H169" i="7" s="1" a="1"/>
  <c r="H169" i="7" s="1"/>
  <c r="H170" i="7" s="1" a="1"/>
  <c r="H170" i="7" s="1"/>
  <c r="H171" i="7" s="1" a="1"/>
  <c r="H171" i="7" s="1"/>
  <c r="H172" i="7" s="1" a="1"/>
  <c r="H172" i="7" s="1"/>
  <c r="H173" i="7" s="1" a="1"/>
  <c r="H173" i="7" s="1"/>
  <c r="H174" i="7" s="1" a="1"/>
  <c r="H174" i="7" s="1"/>
  <c r="H175" i="7" s="1" a="1"/>
  <c r="H175" i="7" s="1"/>
  <c r="H176" i="7" s="1" a="1"/>
  <c r="H176" i="7" s="1"/>
  <c r="H177" i="7" s="1" a="1"/>
  <c r="H177" i="7" s="1"/>
  <c r="H178" i="7" s="1" a="1"/>
  <c r="H178" i="7" s="1"/>
  <c r="H179" i="7" s="1" a="1"/>
  <c r="H179" i="7" s="1"/>
  <c r="H180" i="7" s="1" a="1"/>
  <c r="H180" i="7" s="1"/>
  <c r="H181" i="7" s="1" a="1"/>
  <c r="H181" i="7" s="1"/>
  <c r="H182" i="7" s="1" a="1"/>
  <c r="H182" i="7" s="1"/>
  <c r="H183" i="7" s="1" a="1"/>
  <c r="H183" i="7" s="1"/>
  <c r="H184" i="7" s="1" a="1"/>
  <c r="H184" i="7" s="1"/>
  <c r="H185" i="7" s="1" a="1"/>
  <c r="H185" i="7" s="1"/>
  <c r="H186" i="7" s="1" a="1"/>
  <c r="H186" i="7" s="1"/>
  <c r="H187" i="7" s="1" a="1"/>
  <c r="H187" i="7" s="1"/>
  <c r="H188" i="7" s="1" a="1"/>
  <c r="H188" i="7" s="1"/>
  <c r="H189" i="7" s="1" a="1"/>
  <c r="H189" i="7" s="1"/>
  <c r="H190" i="7" s="1" a="1"/>
  <c r="H190" i="7" s="1"/>
  <c r="H191" i="7" s="1" a="1"/>
  <c r="H191" i="7" s="1"/>
  <c r="H192" i="7" s="1" a="1"/>
  <c r="H192" i="7" s="1"/>
  <c r="H193" i="7" s="1" a="1"/>
  <c r="H193" i="7" s="1"/>
  <c r="H194" i="7" s="1" a="1"/>
  <c r="H194" i="7" s="1"/>
  <c r="H195" i="7" s="1" a="1"/>
  <c r="H195" i="7" s="1"/>
  <c r="H196" i="7" s="1" a="1"/>
  <c r="H196" i="7" s="1"/>
  <c r="H197" i="7" s="1" a="1"/>
  <c r="H197" i="7" s="1"/>
  <c r="H198" i="7" s="1" a="1"/>
  <c r="H198" i="7" s="1"/>
  <c r="H199" i="7" s="1" a="1"/>
  <c r="H199" i="7" s="1"/>
  <c r="H200" i="7" s="1" a="1"/>
  <c r="H200" i="7" s="1"/>
  <c r="H201" i="7" s="1" a="1"/>
  <c r="H201" i="7" s="1"/>
  <c r="H202" i="7" s="1" a="1"/>
  <c r="H202" i="7" s="1"/>
  <c r="H203" i="7" s="1" a="1"/>
  <c r="H203" i="7" s="1"/>
  <c r="H204" i="7" s="1" a="1"/>
  <c r="H204" i="7" s="1"/>
  <c r="H205" i="7" s="1" a="1"/>
  <c r="H205" i="7" s="1"/>
  <c r="H206" i="7" s="1" a="1"/>
  <c r="H206" i="7" s="1"/>
  <c r="H207" i="7" s="1" a="1"/>
  <c r="H207" i="7" s="1"/>
  <c r="H208" i="7" s="1" a="1"/>
  <c r="H208" i="7" s="1"/>
  <c r="H209" i="7" s="1" a="1"/>
  <c r="H209" i="7" s="1"/>
  <c r="H210" i="7" s="1" a="1"/>
  <c r="H210" i="7" s="1"/>
  <c r="H211" i="7" s="1" a="1"/>
  <c r="H211" i="7" s="1"/>
  <c r="H212" i="7" s="1" a="1"/>
  <c r="H212" i="7" s="1"/>
  <c r="H213" i="7" s="1" a="1"/>
  <c r="H213" i="7" s="1"/>
  <c r="H214" i="7" s="1" a="1"/>
  <c r="H214" i="7" s="1"/>
  <c r="H215" i="7" s="1" a="1"/>
  <c r="H215" i="7" s="1"/>
  <c r="H216" i="7" s="1" a="1"/>
  <c r="H216" i="7" s="1"/>
  <c r="H217" i="7" s="1" a="1"/>
  <c r="H217" i="7" s="1"/>
  <c r="H218" i="7" s="1" a="1"/>
  <c r="H218" i="7" s="1"/>
  <c r="H219" i="7" s="1" a="1"/>
  <c r="H219" i="7" s="1"/>
  <c r="H220" i="7" s="1" a="1"/>
  <c r="H220" i="7" s="1"/>
  <c r="H221" i="7" s="1" a="1"/>
  <c r="H221" i="7" s="1"/>
  <c r="H222" i="7" s="1" a="1"/>
  <c r="H222" i="7" s="1"/>
  <c r="H223" i="7" s="1" a="1"/>
  <c r="H223" i="7" s="1"/>
  <c r="H224" i="7" s="1" a="1"/>
  <c r="H224" i="7" s="1"/>
  <c r="H225" i="7" s="1" a="1"/>
  <c r="H225" i="7" s="1"/>
  <c r="H226" i="7" s="1" a="1"/>
  <c r="H226" i="7" s="1"/>
  <c r="H227" i="7" s="1" a="1"/>
  <c r="H227" i="7" s="1"/>
  <c r="H228" i="7" s="1" a="1"/>
  <c r="H228" i="7" s="1"/>
  <c r="H229" i="7" s="1" a="1"/>
  <c r="H229" i="7" s="1"/>
  <c r="H230" i="7" s="1" a="1"/>
  <c r="H230" i="7" s="1"/>
  <c r="H231" i="7" s="1" a="1"/>
  <c r="H231" i="7" s="1"/>
  <c r="H232" i="7" s="1" a="1"/>
  <c r="H232" i="7" s="1"/>
  <c r="H233" i="7" s="1" a="1"/>
  <c r="H233" i="7" s="1"/>
  <c r="H234" i="7" s="1" a="1"/>
  <c r="H234" i="7" s="1"/>
  <c r="H235" i="7" s="1" a="1"/>
  <c r="H235" i="7" s="1"/>
  <c r="H236" i="7" s="1" a="1"/>
  <c r="H236" i="7" s="1"/>
  <c r="H237" i="7" s="1" a="1"/>
  <c r="H237" i="7" s="1"/>
  <c r="H238" i="7" s="1" a="1"/>
  <c r="H238" i="7" s="1"/>
  <c r="H239" i="7" s="1" a="1"/>
  <c r="H239" i="7" s="1"/>
  <c r="H240" i="7" s="1" a="1"/>
  <c r="H240" i="7" s="1"/>
  <c r="H241" i="7" s="1" a="1"/>
  <c r="H241" i="7" s="1"/>
  <c r="H242" i="7" s="1" a="1"/>
  <c r="H242" i="7" s="1"/>
  <c r="H243" i="7" s="1" a="1"/>
  <c r="H243" i="7" s="1"/>
  <c r="H244" i="7" s="1" a="1"/>
  <c r="H244" i="7" s="1"/>
  <c r="H245" i="7" s="1" a="1"/>
  <c r="H245" i="7" s="1"/>
  <c r="H246" i="7" s="1" a="1"/>
  <c r="H246" i="7" s="1"/>
  <c r="H247" i="7" s="1" a="1"/>
  <c r="H247" i="7" s="1"/>
  <c r="H248" i="7" s="1" a="1"/>
  <c r="H248" i="7" s="1"/>
  <c r="H249" i="7" s="1" a="1"/>
  <c r="H249" i="7" s="1"/>
  <c r="H250" i="7" s="1" a="1"/>
  <c r="H250" i="7" s="1"/>
  <c r="H251" i="7" s="1" a="1"/>
  <c r="H251" i="7" s="1"/>
  <c r="H252" i="7" s="1" a="1"/>
  <c r="H252" i="7" s="1"/>
  <c r="H253" i="7" s="1" a="1"/>
  <c r="H253" i="7" s="1"/>
  <c r="H254" i="7" s="1" a="1"/>
  <c r="H254" i="7" s="1"/>
  <c r="H255" i="7" s="1" a="1"/>
  <c r="H255" i="7" s="1"/>
  <c r="H256" i="7" s="1" a="1"/>
  <c r="H256" i="7" s="1"/>
  <c r="H257" i="7" s="1" a="1"/>
  <c r="H257" i="7" s="1"/>
  <c r="H258" i="7" s="1" a="1"/>
  <c r="H258" i="7" s="1"/>
  <c r="H259" i="7" s="1" a="1"/>
  <c r="H259" i="7" s="1"/>
  <c r="H260" i="7" s="1" a="1"/>
  <c r="H260" i="7" s="1"/>
  <c r="H261" i="7" s="1" a="1"/>
  <c r="H261" i="7" s="1"/>
  <c r="H262" i="7" s="1" a="1"/>
  <c r="H262" i="7" s="1"/>
  <c r="H263" i="7" s="1" a="1"/>
  <c r="H263" i="7" s="1"/>
  <c r="H264" i="7" s="1" a="1"/>
  <c r="H264" i="7" s="1"/>
  <c r="H265" i="7" s="1" a="1"/>
  <c r="H265" i="7" s="1"/>
  <c r="H266" i="7" s="1" a="1"/>
  <c r="H266" i="7" s="1"/>
  <c r="H267" i="7" s="1" a="1"/>
  <c r="H267" i="7" s="1"/>
  <c r="H268" i="7" s="1" a="1"/>
  <c r="H268" i="7" s="1"/>
  <c r="H269" i="7" s="1" a="1"/>
  <c r="H269" i="7" s="1"/>
  <c r="H270" i="7" s="1" a="1"/>
  <c r="H270" i="7" s="1"/>
  <c r="H271" i="7" s="1" a="1"/>
  <c r="H271" i="7" s="1"/>
  <c r="H272" i="7" s="1" a="1"/>
  <c r="H272" i="7" s="1"/>
  <c r="H273" i="7" s="1" a="1"/>
  <c r="H273" i="7" s="1"/>
  <c r="H274" i="7" s="1" a="1"/>
  <c r="H274" i="7" s="1"/>
  <c r="H275" i="7" s="1" a="1"/>
  <c r="H275" i="7" s="1"/>
  <c r="H276" i="7" s="1" a="1"/>
  <c r="H276" i="7" s="1"/>
  <c r="H277" i="7" s="1" a="1"/>
  <c r="H277" i="7" s="1"/>
  <c r="H278" i="7" s="1" a="1"/>
  <c r="H278" i="7" s="1"/>
  <c r="H279" i="7" s="1" a="1"/>
  <c r="H279" i="7" s="1"/>
  <c r="H280" i="7" s="1" a="1"/>
  <c r="H280" i="7" s="1"/>
  <c r="H281" i="7" s="1" a="1"/>
  <c r="H281" i="7" s="1"/>
  <c r="H282" i="7" s="1" a="1"/>
  <c r="H282" i="7" s="1"/>
  <c r="H283" i="7" s="1" a="1"/>
  <c r="H283" i="7" s="1"/>
  <c r="H284" i="7" s="1" a="1"/>
  <c r="H284" i="7" s="1"/>
  <c r="H285" i="7" s="1" a="1"/>
  <c r="H285" i="7" s="1"/>
  <c r="H286" i="7" s="1" a="1"/>
  <c r="H286" i="7" s="1"/>
  <c r="H287" i="7" s="1" a="1"/>
  <c r="H287" i="7" s="1"/>
  <c r="H288" i="7" s="1" a="1"/>
  <c r="H288" i="7" s="1"/>
  <c r="H289" i="7" s="1" a="1"/>
  <c r="H289" i="7" s="1"/>
  <c r="H290" i="7" s="1" a="1"/>
  <c r="H290" i="7" s="1"/>
  <c r="H291" i="7" s="1" a="1"/>
  <c r="H291" i="7" s="1"/>
  <c r="H292" i="7" s="1" a="1"/>
  <c r="H292" i="7" s="1"/>
  <c r="H293" i="7" s="1" a="1"/>
  <c r="H293" i="7" s="1"/>
  <c r="H294" i="7" s="1" a="1"/>
  <c r="H294" i="7" s="1"/>
  <c r="H295" i="7" s="1" a="1"/>
  <c r="H295" i="7" s="1"/>
  <c r="H296" i="7" s="1" a="1"/>
  <c r="H296" i="7" s="1"/>
  <c r="H297" i="7" s="1" a="1"/>
  <c r="H297" i="7" s="1"/>
  <c r="H298" i="7" s="1" a="1"/>
  <c r="H298" i="7" s="1"/>
  <c r="H299" i="7" s="1" a="1"/>
  <c r="H299" i="7" s="1"/>
  <c r="H300" i="7" s="1" a="1"/>
  <c r="H300" i="7" s="1"/>
  <c r="H301" i="7" s="1" a="1"/>
  <c r="H301" i="7" s="1"/>
  <c r="H302" i="7" s="1" a="1"/>
  <c r="H302" i="7" s="1"/>
  <c r="H303" i="7" s="1" a="1"/>
  <c r="H303" i="7" s="1"/>
  <c r="H304" i="7" s="1" a="1"/>
  <c r="H304" i="7" s="1"/>
  <c r="H305" i="7" s="1" a="1"/>
  <c r="H305" i="7" s="1"/>
  <c r="H306" i="7" s="1" a="1"/>
  <c r="H306" i="7" s="1"/>
  <c r="H307" i="7" s="1" a="1"/>
  <c r="H307" i="7" s="1"/>
  <c r="H308" i="7" s="1" a="1"/>
  <c r="H308" i="7" s="1"/>
  <c r="H309" i="7" s="1" a="1"/>
  <c r="H309" i="7" s="1"/>
  <c r="H310" i="7" s="1" a="1"/>
  <c r="H310" i="7" s="1"/>
  <c r="H311" i="7" s="1" a="1"/>
  <c r="H311" i="7" s="1"/>
  <c r="H312" i="7" s="1" a="1"/>
  <c r="H312" i="7" s="1"/>
  <c r="H313" i="7" s="1" a="1"/>
  <c r="H313" i="7" s="1"/>
  <c r="H314" i="7" s="1" a="1"/>
  <c r="H314" i="7" s="1"/>
  <c r="H315" i="7" s="1" a="1"/>
  <c r="H315" i="7" s="1"/>
  <c r="H316" i="7" s="1" a="1"/>
  <c r="H316" i="7" s="1"/>
  <c r="H317" i="7" s="1" a="1"/>
  <c r="H317" i="7" s="1"/>
  <c r="H318" i="7" s="1" a="1"/>
  <c r="H318" i="7" s="1"/>
  <c r="H319" i="7" s="1" a="1"/>
  <c r="H319" i="7" s="1"/>
  <c r="H320" i="7" s="1" a="1"/>
  <c r="H320" i="7" s="1"/>
  <c r="H321" i="7" s="1" a="1"/>
  <c r="H321" i="7" s="1"/>
  <c r="H322" i="7" s="1" a="1"/>
  <c r="H322" i="7" s="1"/>
  <c r="H323" i="7" s="1" a="1"/>
  <c r="H323" i="7" s="1"/>
  <c r="H324" i="7" s="1" a="1"/>
  <c r="H324" i="7" s="1"/>
  <c r="H325" i="7" s="1" a="1"/>
  <c r="H325" i="7" s="1"/>
  <c r="H326" i="7" s="1" a="1"/>
  <c r="H326" i="7" s="1"/>
  <c r="H327" i="7" s="1" a="1"/>
  <c r="H327" i="7" s="1"/>
  <c r="H328" i="7" s="1" a="1"/>
  <c r="H328" i="7" s="1"/>
  <c r="H329" i="7" s="1" a="1"/>
  <c r="H329" i="7" s="1"/>
  <c r="H330" i="7" s="1" a="1"/>
  <c r="H330" i="7" s="1"/>
  <c r="H331" i="7" s="1" a="1"/>
  <c r="H331" i="7" s="1"/>
  <c r="H332" i="7" s="1" a="1"/>
  <c r="H332" i="7" s="1"/>
  <c r="H333" i="7" s="1" a="1"/>
  <c r="H333" i="7" s="1"/>
  <c r="H334" i="7" s="1" a="1"/>
  <c r="H334" i="7" s="1"/>
  <c r="H335" i="7" s="1" a="1"/>
  <c r="H335" i="7" s="1"/>
  <c r="H336" i="7" s="1" a="1"/>
  <c r="H336" i="7" s="1"/>
  <c r="H337" i="7" s="1" a="1"/>
  <c r="H337" i="7" s="1"/>
  <c r="H338" i="7" s="1" a="1"/>
  <c r="H338" i="7" s="1"/>
  <c r="H339" i="7" s="1" a="1"/>
  <c r="H339" i="7" s="1"/>
  <c r="H340" i="7" s="1" a="1"/>
  <c r="H340" i="7" s="1"/>
  <c r="H341" i="7" s="1" a="1"/>
  <c r="H341" i="7" s="1"/>
  <c r="H342" i="7" s="1" a="1"/>
  <c r="H342" i="7" s="1"/>
  <c r="H343" i="7" s="1" a="1"/>
  <c r="H343" i="7" s="1"/>
  <c r="H344" i="7" s="1" a="1"/>
  <c r="H344" i="7" s="1"/>
  <c r="H345" i="7" s="1" a="1"/>
  <c r="H345" i="7" s="1"/>
  <c r="H346" i="7" s="1" a="1"/>
  <c r="H346" i="7" s="1"/>
  <c r="H347" i="7" s="1" a="1"/>
  <c r="H347" i="7" s="1"/>
  <c r="H348" i="7" s="1" a="1"/>
  <c r="H348" i="7" s="1"/>
  <c r="H349" i="7" s="1" a="1"/>
  <c r="H349" i="7" s="1"/>
  <c r="H350" i="7" s="1" a="1"/>
  <c r="H350" i="7" s="1"/>
  <c r="H351" i="7" s="1" a="1"/>
  <c r="H351" i="7" s="1"/>
  <c r="H352" i="7" s="1" a="1"/>
  <c r="H352" i="7" s="1"/>
  <c r="H353" i="7" s="1" a="1"/>
  <c r="H353" i="7" s="1"/>
  <c r="H354" i="7" s="1" a="1"/>
  <c r="H354" i="7" s="1"/>
  <c r="H355" i="7" s="1" a="1"/>
  <c r="H355" i="7" s="1"/>
  <c r="H356" i="7" s="1" a="1"/>
  <c r="H356" i="7" s="1"/>
  <c r="H357" i="7" s="1" a="1"/>
  <c r="H357" i="7" s="1"/>
  <c r="H358" i="7" s="1" a="1"/>
  <c r="H358" i="7" s="1"/>
  <c r="H359" i="7" s="1" a="1"/>
  <c r="H359" i="7" s="1"/>
  <c r="H360" i="7" s="1" a="1"/>
  <c r="H360" i="7" s="1"/>
  <c r="H361" i="7" s="1" a="1"/>
  <c r="H361" i="7" s="1"/>
  <c r="H362" i="7" s="1" a="1"/>
  <c r="H362" i="7" s="1"/>
  <c r="H363" i="7" s="1" a="1"/>
  <c r="H363" i="7" s="1"/>
  <c r="H364" i="7" s="1" a="1"/>
  <c r="H364" i="7" s="1"/>
  <c r="H365" i="7" s="1" a="1"/>
  <c r="H365" i="7" s="1"/>
  <c r="H366" i="7" s="1" a="1"/>
  <c r="H366" i="7" s="1"/>
  <c r="H367" i="7" s="1" a="1"/>
  <c r="H367" i="7" s="1"/>
  <c r="H368" i="7" s="1" a="1"/>
  <c r="H368" i="7" s="1"/>
  <c r="H369" i="7" s="1" a="1"/>
  <c r="H369" i="7" s="1"/>
  <c r="H370" i="7" s="1" a="1"/>
  <c r="H370" i="7" s="1"/>
  <c r="H371" i="7" s="1" a="1"/>
  <c r="H371" i="7" s="1"/>
  <c r="H372" i="7" s="1" a="1"/>
  <c r="H372" i="7" s="1"/>
  <c r="H373" i="7" s="1" a="1"/>
  <c r="H373" i="7" s="1"/>
  <c r="H374" i="7" s="1" a="1"/>
  <c r="H374" i="7" s="1"/>
  <c r="H375" i="7" s="1" a="1"/>
  <c r="H375" i="7" s="1"/>
  <c r="H376" i="7" s="1" a="1"/>
  <c r="H376" i="7" s="1"/>
  <c r="H377" i="7" s="1" a="1"/>
  <c r="H377" i="7" s="1"/>
  <c r="H378" i="7" s="1" a="1"/>
  <c r="H378" i="7" s="1"/>
  <c r="H379" i="7" s="1" a="1"/>
  <c r="H379" i="7" s="1"/>
  <c r="H380" i="7" s="1" a="1"/>
  <c r="H380" i="7" s="1"/>
  <c r="H381" i="7" s="1" a="1"/>
  <c r="H381" i="7" s="1"/>
  <c r="H382" i="7" s="1" a="1"/>
  <c r="H382" i="7" s="1"/>
  <c r="H383" i="7" s="1" a="1"/>
  <c r="H383" i="7" s="1"/>
  <c r="H384" i="7" s="1" a="1"/>
  <c r="H384" i="7" s="1"/>
  <c r="H385" i="7" s="1" a="1"/>
  <c r="H385" i="7" s="1"/>
  <c r="H386" i="7" s="1" a="1"/>
  <c r="H386" i="7" s="1"/>
  <c r="H387" i="7" s="1" a="1"/>
  <c r="H387" i="7" s="1"/>
  <c r="H388" i="7" s="1" a="1"/>
  <c r="H388" i="7" s="1"/>
  <c r="H389" i="7" s="1" a="1"/>
  <c r="H389" i="7" s="1"/>
  <c r="H390" i="7" s="1" a="1"/>
  <c r="H390" i="7" s="1"/>
  <c r="H391" i="7" s="1" a="1"/>
  <c r="H391" i="7" s="1"/>
  <c r="H392" i="7" s="1" a="1"/>
  <c r="H392" i="7" s="1"/>
  <c r="H393" i="7" s="1" a="1"/>
  <c r="H393" i="7" s="1"/>
  <c r="H394" i="7" s="1" a="1"/>
  <c r="H394" i="7" s="1"/>
  <c r="H395" i="7" s="1" a="1"/>
  <c r="H395" i="7" s="1"/>
  <c r="H396" i="7" s="1" a="1"/>
  <c r="H396" i="7" s="1"/>
  <c r="H397" i="7" s="1" a="1"/>
  <c r="H397" i="7" s="1"/>
  <c r="H398" i="7" s="1" a="1"/>
  <c r="H398" i="7" s="1"/>
  <c r="H399" i="7" s="1" a="1"/>
  <c r="H399" i="7" s="1"/>
  <c r="H400" i="7" s="1" a="1"/>
  <c r="H400" i="7" s="1"/>
  <c r="H401" i="7" s="1" a="1"/>
  <c r="H401" i="7" s="1"/>
  <c r="H402" i="7" s="1" a="1"/>
  <c r="H402" i="7" s="1"/>
  <c r="H403" i="7" s="1" a="1"/>
  <c r="H403" i="7" s="1"/>
  <c r="H404" i="7" s="1" a="1"/>
  <c r="H404" i="7" s="1"/>
  <c r="H405" i="7" s="1" a="1"/>
  <c r="H405" i="7" s="1"/>
  <c r="H406" i="7" s="1" a="1"/>
  <c r="H406" i="7" s="1"/>
  <c r="H407" i="7" s="1" a="1"/>
  <c r="H407" i="7" s="1"/>
  <c r="H408" i="7" s="1" a="1"/>
  <c r="H408" i="7" s="1"/>
  <c r="H409" i="7" s="1" a="1"/>
  <c r="H409" i="7" s="1"/>
  <c r="H410" i="7" s="1" a="1"/>
  <c r="H410" i="7" s="1"/>
  <c r="H411" i="7" s="1" a="1"/>
  <c r="H411" i="7" s="1"/>
  <c r="H412" i="7" s="1" a="1"/>
  <c r="H412" i="7" s="1"/>
  <c r="H413" i="7" s="1" a="1"/>
  <c r="H413" i="7" s="1"/>
  <c r="H414" i="7" s="1" a="1"/>
  <c r="H414" i="7" s="1"/>
  <c r="H415" i="7" s="1" a="1"/>
  <c r="H415" i="7" s="1"/>
  <c r="H416" i="7" s="1" a="1"/>
  <c r="H416" i="7" s="1"/>
  <c r="H417" i="7" s="1" a="1"/>
  <c r="H417" i="7" s="1"/>
  <c r="H418" i="7" s="1" a="1"/>
  <c r="H418" i="7" s="1"/>
  <c r="H419" i="7" s="1" a="1"/>
  <c r="H419" i="7" s="1"/>
  <c r="H420" i="7" s="1" a="1"/>
  <c r="H420" i="7" s="1"/>
  <c r="H421" i="7" s="1" a="1"/>
  <c r="H421" i="7" s="1"/>
  <c r="H422" i="7" s="1" a="1"/>
  <c r="H422" i="7" s="1"/>
  <c r="H423" i="7" s="1" a="1"/>
  <c r="H423" i="7" s="1"/>
  <c r="H424" i="7" s="1" a="1"/>
  <c r="H424" i="7" s="1"/>
  <c r="H425" i="7" s="1" a="1"/>
  <c r="H425" i="7" s="1"/>
  <c r="H426" i="7" s="1" a="1"/>
  <c r="H426" i="7" s="1"/>
  <c r="H427" i="7" s="1" a="1"/>
  <c r="H427" i="7" s="1"/>
  <c r="H428" i="7" s="1" a="1"/>
  <c r="H428" i="7" s="1"/>
  <c r="H429" i="7" s="1" a="1"/>
  <c r="H429" i="7" s="1"/>
  <c r="H430" i="7" s="1" a="1"/>
  <c r="H430" i="7" s="1"/>
  <c r="H431" i="7" s="1" a="1"/>
  <c r="H431" i="7" s="1"/>
  <c r="H432" i="7" s="1" a="1"/>
  <c r="H432" i="7" s="1"/>
  <c r="H433" i="7" s="1" a="1"/>
  <c r="H433" i="7" s="1"/>
  <c r="H434" i="7" s="1" a="1"/>
  <c r="H434" i="7" s="1"/>
  <c r="H435" i="7" s="1" a="1"/>
  <c r="H435" i="7" s="1"/>
  <c r="H436" i="7" s="1" a="1"/>
  <c r="H436" i="7" s="1"/>
  <c r="H437" i="7" s="1" a="1"/>
  <c r="H437" i="7" s="1"/>
  <c r="H438" i="7" s="1" a="1"/>
  <c r="H438" i="7" s="1"/>
  <c r="H439" i="7" s="1" a="1"/>
  <c r="H439" i="7" s="1"/>
  <c r="H440" i="7" s="1" a="1"/>
  <c r="H440" i="7" s="1"/>
  <c r="H441" i="7" s="1" a="1"/>
  <c r="H441" i="7" s="1"/>
  <c r="H442" i="7" s="1" a="1"/>
  <c r="H442" i="7" s="1"/>
  <c r="H443" i="7" s="1" a="1"/>
  <c r="H443" i="7" s="1"/>
  <c r="H444" i="7" s="1" a="1"/>
  <c r="H444" i="7" s="1"/>
  <c r="H445" i="7" s="1" a="1"/>
  <c r="H445" i="7" s="1"/>
  <c r="H446" i="7" s="1" a="1"/>
  <c r="H446" i="7" s="1"/>
  <c r="H447" i="7" s="1" a="1"/>
  <c r="H447" i="7" s="1"/>
  <c r="H448" i="7" s="1" a="1"/>
  <c r="H448" i="7" s="1"/>
  <c r="H449" i="7" s="1" a="1"/>
  <c r="H449" i="7" s="1"/>
  <c r="H450" i="7" s="1" a="1"/>
  <c r="H450" i="7" s="1"/>
  <c r="H451" i="7" s="1" a="1"/>
  <c r="H451" i="7" s="1"/>
  <c r="H452" i="7" s="1" a="1"/>
  <c r="H452" i="7" s="1"/>
  <c r="H453" i="7" s="1" a="1"/>
  <c r="H453" i="7" s="1"/>
  <c r="H454" i="7" s="1" a="1"/>
  <c r="H454" i="7" s="1"/>
  <c r="H455" i="7" s="1" a="1"/>
  <c r="H455" i="7" s="1"/>
  <c r="H456" i="7" s="1" a="1"/>
  <c r="H456" i="7" s="1"/>
  <c r="H457" i="7" s="1" a="1"/>
  <c r="H457" i="7" s="1"/>
  <c r="H458" i="7" s="1" a="1"/>
  <c r="H458" i="7" s="1"/>
  <c r="H459" i="7" s="1" a="1"/>
  <c r="H459" i="7" s="1"/>
  <c r="H460" i="7" s="1" a="1"/>
  <c r="H460" i="7" s="1"/>
  <c r="H461" i="7" s="1" a="1"/>
  <c r="H461" i="7" s="1"/>
  <c r="H462" i="7" s="1" a="1"/>
  <c r="H462" i="7" s="1"/>
  <c r="H463" i="7" s="1" a="1"/>
  <c r="H463" i="7" s="1"/>
  <c r="H464" i="7" s="1" a="1"/>
  <c r="H464" i="7" s="1"/>
  <c r="H465" i="7" s="1" a="1"/>
  <c r="H465" i="7" s="1"/>
  <c r="H466" i="7" s="1" a="1"/>
  <c r="H466" i="7" s="1"/>
  <c r="H467" i="7" s="1" a="1"/>
  <c r="H467" i="7" s="1"/>
  <c r="H468" i="7" s="1" a="1"/>
  <c r="H468" i="7" s="1"/>
  <c r="H469" i="7" s="1" a="1"/>
  <c r="H469" i="7" s="1"/>
  <c r="H470" i="7" s="1" a="1"/>
  <c r="H470" i="7" s="1"/>
  <c r="H471" i="7" s="1" a="1"/>
  <c r="H471" i="7" s="1"/>
  <c r="H472" i="7" s="1" a="1"/>
  <c r="H472" i="7" s="1"/>
  <c r="H473" i="7" s="1" a="1"/>
  <c r="H473" i="7" s="1"/>
  <c r="H474" i="7" s="1" a="1"/>
  <c r="H474" i="7" s="1"/>
  <c r="H475" i="7" s="1" a="1"/>
  <c r="H475" i="7" s="1"/>
  <c r="H476" i="7" s="1" a="1"/>
  <c r="H476" i="7" s="1"/>
  <c r="H477" i="7" s="1" a="1"/>
  <c r="H477" i="7" s="1"/>
  <c r="H478" i="7" s="1" a="1"/>
  <c r="H478" i="7" s="1"/>
  <c r="H479" i="7" s="1" a="1"/>
  <c r="H479" i="7" s="1"/>
  <c r="H480" i="7" s="1" a="1"/>
  <c r="H480" i="7" s="1"/>
  <c r="H481" i="7" s="1" a="1"/>
  <c r="H481" i="7" s="1"/>
  <c r="H482" i="7" s="1" a="1"/>
  <c r="H482" i="7" s="1"/>
  <c r="H483" i="7" s="1" a="1"/>
  <c r="H483" i="7" s="1"/>
  <c r="H484" i="7" s="1" a="1"/>
  <c r="H484" i="7" s="1"/>
  <c r="H485" i="7" s="1" a="1"/>
  <c r="H485" i="7" s="1"/>
  <c r="H486" i="7" s="1" a="1"/>
  <c r="H486" i="7" s="1"/>
  <c r="H487" i="7" s="1" a="1"/>
  <c r="H487" i="7" s="1"/>
  <c r="H488" i="7" s="1" a="1"/>
  <c r="H488" i="7" s="1"/>
  <c r="H489" i="7" s="1" a="1"/>
  <c r="H489" i="7" s="1"/>
  <c r="H490" i="7" s="1" a="1"/>
  <c r="H490" i="7" s="1"/>
  <c r="H491" i="7" s="1" a="1"/>
  <c r="H491" i="7" s="1"/>
  <c r="H492" i="7" s="1" a="1"/>
  <c r="H492" i="7" s="1"/>
  <c r="H493" i="7" s="1" a="1"/>
  <c r="H493" i="7" s="1"/>
  <c r="H494" i="7" s="1" a="1"/>
  <c r="H494" i="7" s="1"/>
  <c r="H495" i="7" s="1" a="1"/>
  <c r="H495" i="7" s="1"/>
  <c r="H496" i="7" s="1" a="1"/>
  <c r="H496" i="7" s="1"/>
  <c r="H497" i="7" s="1" a="1"/>
  <c r="H497" i="7" s="1"/>
  <c r="H498" i="7" s="1" a="1"/>
  <c r="H498" i="7" s="1"/>
  <c r="H499" i="7" s="1" a="1"/>
  <c r="H499" i="7" s="1"/>
  <c r="H500" i="7" s="1" a="1"/>
  <c r="H500" i="7" s="1"/>
  <c r="H501" i="7" s="1" a="1"/>
  <c r="H501" i="7" s="1"/>
  <c r="H502" i="7" s="1" a="1"/>
  <c r="H502" i="7" s="1"/>
  <c r="H503" i="7" s="1" a="1"/>
  <c r="H503" i="7" s="1"/>
  <c r="H504" i="7" s="1" a="1"/>
  <c r="H504" i="7" s="1"/>
  <c r="H505" i="7" s="1" a="1"/>
  <c r="H505" i="7" s="1"/>
  <c r="H506" i="7" s="1" a="1"/>
  <c r="H506" i="7" s="1"/>
  <c r="H507" i="7" s="1" a="1"/>
  <c r="H507" i="7" s="1"/>
  <c r="H508" i="7" s="1" a="1"/>
  <c r="H508" i="7" s="1"/>
  <c r="H509" i="7" s="1" a="1"/>
  <c r="H509" i="7" s="1"/>
  <c r="H510" i="7" s="1" a="1"/>
  <c r="H510" i="7" s="1"/>
  <c r="H511" i="7" s="1" a="1"/>
  <c r="H511" i="7" s="1"/>
  <c r="H512" i="7" s="1" a="1"/>
  <c r="H512" i="7" s="1"/>
  <c r="H513" i="7" s="1" a="1"/>
  <c r="H513" i="7" s="1"/>
  <c r="H514" i="7" s="1" a="1"/>
  <c r="H514" i="7" s="1"/>
  <c r="H515" i="7" s="1" a="1"/>
  <c r="H515" i="7" s="1"/>
  <c r="H516" i="7" s="1" a="1"/>
  <c r="H516" i="7" s="1"/>
  <c r="H517" i="7" s="1" a="1"/>
  <c r="H517" i="7" s="1"/>
  <c r="H518" i="7" s="1" a="1"/>
  <c r="H518" i="7" s="1"/>
  <c r="H519" i="7" s="1" a="1"/>
  <c r="H519" i="7" s="1"/>
  <c r="H520" i="7" s="1" a="1"/>
  <c r="H520" i="7" s="1"/>
  <c r="H521" i="7" s="1" a="1"/>
  <c r="H521" i="7" s="1"/>
  <c r="H522" i="7" s="1" a="1"/>
  <c r="H522" i="7" s="1"/>
  <c r="H523" i="7" s="1" a="1"/>
  <c r="H523" i="7" s="1"/>
  <c r="H524" i="7" s="1" a="1"/>
  <c r="H524" i="7" s="1"/>
  <c r="H525" i="7" s="1" a="1"/>
  <c r="H525" i="7" s="1"/>
  <c r="H526" i="7" s="1" a="1"/>
  <c r="H526" i="7" s="1"/>
  <c r="H527" i="7" s="1" a="1"/>
  <c r="H527" i="7" s="1"/>
  <c r="H528" i="7" s="1" a="1"/>
  <c r="H528" i="7" s="1"/>
  <c r="H529" i="7" s="1" a="1"/>
  <c r="H529" i="7" s="1"/>
  <c r="H530" i="7" s="1" a="1"/>
  <c r="H530" i="7" s="1"/>
  <c r="H531" i="7" s="1" a="1"/>
  <c r="H531" i="7" s="1"/>
  <c r="H532" i="7" s="1" a="1"/>
  <c r="H532" i="7" s="1"/>
  <c r="H533" i="7" s="1" a="1"/>
  <c r="H533" i="7" s="1"/>
  <c r="H534" i="7" s="1" a="1"/>
  <c r="H534" i="7" s="1"/>
  <c r="H535" i="7" s="1" a="1"/>
  <c r="H535" i="7" s="1"/>
  <c r="H536" i="7" s="1" a="1"/>
  <c r="H536" i="7" s="1"/>
  <c r="H537" i="7" s="1" a="1"/>
  <c r="H537" i="7" s="1"/>
  <c r="H538" i="7" s="1" a="1"/>
  <c r="H538" i="7" s="1"/>
  <c r="H539" i="7" s="1" a="1"/>
  <c r="H539" i="7" s="1"/>
  <c r="H540" i="7" s="1" a="1"/>
  <c r="H540" i="7" s="1"/>
  <c r="H541" i="7" s="1" a="1"/>
  <c r="H541" i="7" s="1"/>
  <c r="H542" i="7" s="1" a="1"/>
  <c r="H542" i="7" s="1"/>
  <c r="H543" i="7" s="1" a="1"/>
  <c r="H543" i="7" s="1"/>
  <c r="H544" i="7" s="1" a="1"/>
  <c r="H544" i="7" s="1"/>
  <c r="H545" i="7" s="1" a="1"/>
  <c r="H545" i="7" s="1"/>
  <c r="H546" i="7" s="1" a="1"/>
  <c r="H546" i="7" s="1"/>
  <c r="H547" i="7" s="1" a="1"/>
  <c r="H547" i="7" s="1"/>
  <c r="H548" i="7" s="1" a="1"/>
  <c r="H548" i="7" s="1"/>
  <c r="H549" i="7" s="1" a="1"/>
  <c r="H549" i="7" s="1"/>
  <c r="H550" i="7" s="1" a="1"/>
  <c r="H550" i="7" s="1"/>
  <c r="H551" i="7" s="1" a="1"/>
  <c r="H551" i="7" s="1"/>
  <c r="H552" i="7" s="1" a="1"/>
  <c r="H552" i="7" s="1"/>
  <c r="H553" i="7" s="1" a="1"/>
  <c r="H553" i="7" s="1"/>
  <c r="H554" i="7" s="1" a="1"/>
  <c r="H554" i="7" s="1"/>
  <c r="H555" i="7" s="1" a="1"/>
  <c r="H555" i="7" s="1"/>
  <c r="H556" i="7" s="1" a="1"/>
  <c r="H556" i="7" s="1"/>
  <c r="H557" i="7" s="1" a="1"/>
  <c r="H557" i="7" s="1"/>
  <c r="H558" i="7" s="1" a="1"/>
  <c r="H558" i="7" s="1"/>
  <c r="H559" i="7" s="1" a="1"/>
  <c r="H559" i="7" s="1"/>
  <c r="H560" i="7" s="1" a="1"/>
  <c r="H560" i="7" s="1"/>
  <c r="H561" i="7" s="1" a="1"/>
  <c r="H561" i="7" s="1"/>
  <c r="H562" i="7" s="1" a="1"/>
  <c r="H562" i="7" s="1"/>
  <c r="H563" i="7" s="1" a="1"/>
  <c r="H563" i="7" s="1"/>
  <c r="H564" i="7" s="1" a="1"/>
  <c r="H564" i="7" s="1"/>
  <c r="H565" i="7" s="1" a="1"/>
  <c r="H565" i="7" s="1"/>
  <c r="H566" i="7" s="1" a="1"/>
  <c r="H566" i="7" s="1"/>
  <c r="H567" i="7" s="1" a="1"/>
  <c r="H567" i="7" s="1"/>
  <c r="H568" i="7" s="1" a="1"/>
  <c r="H568" i="7" s="1"/>
  <c r="H569" i="7" s="1" a="1"/>
  <c r="H569" i="7" s="1"/>
  <c r="H570" i="7" s="1" a="1"/>
  <c r="H570" i="7" s="1"/>
  <c r="H571" i="7" s="1" a="1"/>
  <c r="H571" i="7" s="1"/>
  <c r="H572" i="7" s="1" a="1"/>
  <c r="H572" i="7" s="1"/>
  <c r="H573" i="7" s="1" a="1"/>
  <c r="H573" i="7" s="1"/>
  <c r="H574" i="7" s="1" a="1"/>
  <c r="H574" i="7" s="1"/>
  <c r="H575" i="7" s="1" a="1"/>
  <c r="H575" i="7" s="1"/>
  <c r="H576" i="7" s="1" a="1"/>
  <c r="H576" i="7" s="1"/>
  <c r="H577" i="7" s="1" a="1"/>
  <c r="H577" i="7" s="1"/>
  <c r="H578" i="7" s="1" a="1"/>
  <c r="H578" i="7" s="1"/>
  <c r="H579" i="7" s="1" a="1"/>
  <c r="H579" i="7" s="1"/>
  <c r="H580" i="7" s="1" a="1"/>
  <c r="H580" i="7" s="1"/>
  <c r="H581" i="7" s="1" a="1"/>
  <c r="H581" i="7" s="1"/>
  <c r="H582" i="7" s="1" a="1"/>
  <c r="H582" i="7" s="1"/>
  <c r="H583" i="7" s="1" a="1"/>
  <c r="H583" i="7" s="1"/>
  <c r="H584" i="7" s="1" a="1"/>
  <c r="H584" i="7" s="1"/>
  <c r="H585" i="7" s="1" a="1"/>
  <c r="H585" i="7" s="1"/>
  <c r="H586" i="7" s="1" a="1"/>
  <c r="H586" i="7" s="1"/>
  <c r="H587" i="7" s="1" a="1"/>
  <c r="H587" i="7" s="1"/>
  <c r="H588" i="7" s="1" a="1"/>
  <c r="H588" i="7" s="1"/>
  <c r="H589" i="7" s="1" a="1"/>
  <c r="H589" i="7" s="1"/>
  <c r="H590" i="7" s="1" a="1"/>
  <c r="H590" i="7" s="1"/>
  <c r="H591" i="7" s="1" a="1"/>
  <c r="H591" i="7" s="1"/>
  <c r="H592" i="7" s="1" a="1"/>
  <c r="H592" i="7" s="1"/>
  <c r="H593" i="7" s="1" a="1"/>
  <c r="H593" i="7" s="1"/>
  <c r="H594" i="7" s="1" a="1"/>
  <c r="H594" i="7" s="1"/>
  <c r="H595" i="7" s="1" a="1"/>
  <c r="H595" i="7" s="1"/>
  <c r="H596" i="7" s="1" a="1"/>
  <c r="H596" i="7" s="1"/>
  <c r="H597" i="7" s="1" a="1"/>
  <c r="H597" i="7" s="1"/>
  <c r="H598" i="7" s="1" a="1"/>
  <c r="H598" i="7" s="1"/>
  <c r="H599" i="7" s="1" a="1"/>
  <c r="H599" i="7" s="1"/>
  <c r="H600" i="7" s="1" a="1"/>
  <c r="H600" i="7" s="1"/>
  <c r="H601" i="7" s="1" a="1"/>
  <c r="H601" i="7" s="1"/>
  <c r="H602" i="7" s="1" a="1"/>
  <c r="H602" i="7" s="1"/>
  <c r="H603" i="7" s="1" a="1"/>
  <c r="H603" i="7" s="1"/>
  <c r="H604" i="7" s="1" a="1"/>
  <c r="H604" i="7" s="1"/>
  <c r="H605" i="7" s="1" a="1"/>
  <c r="H605" i="7" s="1"/>
  <c r="H606" i="7" s="1" a="1"/>
  <c r="H606" i="7" s="1"/>
  <c r="H607" i="7" s="1" a="1"/>
  <c r="H607" i="7" s="1"/>
  <c r="H608" i="7" s="1" a="1"/>
  <c r="H608" i="7" s="1"/>
  <c r="H609" i="7" s="1" a="1"/>
  <c r="H609" i="7" s="1"/>
  <c r="H610" i="7" s="1" a="1"/>
  <c r="H610" i="7" s="1"/>
  <c r="H611" i="7" s="1" a="1"/>
  <c r="H611" i="7" s="1"/>
  <c r="H612" i="7" s="1" a="1"/>
  <c r="H612" i="7" s="1"/>
  <c r="H613" i="7" s="1" a="1"/>
  <c r="H613" i="7" s="1"/>
  <c r="H614" i="7" s="1" a="1"/>
  <c r="H614" i="7" s="1"/>
  <c r="H615" i="7" s="1" a="1"/>
  <c r="H615" i="7" s="1"/>
  <c r="H616" i="7" s="1" a="1"/>
  <c r="H616" i="7" s="1"/>
  <c r="H617" i="7" s="1" a="1"/>
  <c r="H617" i="7" s="1"/>
  <c r="H618" i="7" s="1" a="1"/>
  <c r="H618" i="7" s="1"/>
  <c r="H619" i="7" s="1" a="1"/>
  <c r="H619" i="7" s="1"/>
  <c r="H620" i="7" s="1" a="1"/>
  <c r="H620" i="7" s="1"/>
  <c r="H621" i="7" s="1" a="1"/>
  <c r="H621" i="7" s="1"/>
  <c r="H622" i="7" s="1" a="1"/>
  <c r="H622" i="7" s="1"/>
  <c r="H623" i="7" s="1" a="1"/>
  <c r="H623" i="7" s="1"/>
  <c r="H624" i="7" s="1" a="1"/>
  <c r="H624" i="7" s="1"/>
  <c r="H625" i="7" s="1" a="1"/>
  <c r="H625" i="7" s="1"/>
  <c r="H626" i="7" s="1" a="1"/>
  <c r="H626" i="7" s="1"/>
  <c r="H627" i="7" s="1" a="1"/>
  <c r="H627" i="7" s="1"/>
  <c r="H628" i="7" s="1" a="1"/>
  <c r="H628" i="7" s="1"/>
  <c r="H629" i="7" s="1" a="1"/>
  <c r="H629" i="7" s="1"/>
  <c r="H630" i="7" s="1" a="1"/>
  <c r="H630" i="7" s="1"/>
  <c r="H631" i="7" s="1" a="1"/>
  <c r="H631" i="7" s="1"/>
  <c r="H632" i="7" s="1" a="1"/>
  <c r="H632" i="7" s="1"/>
  <c r="H633" i="7" s="1" a="1"/>
  <c r="H633" i="7" s="1"/>
  <c r="H634" i="7" s="1" a="1"/>
  <c r="H634" i="7" s="1"/>
  <c r="H635" i="7" s="1" a="1"/>
  <c r="H635" i="7" s="1"/>
  <c r="H636" i="7" s="1" a="1"/>
  <c r="H636" i="7" s="1"/>
  <c r="H637" i="7" s="1" a="1"/>
  <c r="H637" i="7" s="1"/>
  <c r="H638" i="7" s="1" a="1"/>
  <c r="H638" i="7" s="1"/>
  <c r="H639" i="7" s="1" a="1"/>
  <c r="H639" i="7" s="1"/>
  <c r="H640" i="7" s="1" a="1"/>
  <c r="H640" i="7" s="1"/>
  <c r="H641" i="7" s="1" a="1"/>
  <c r="H641" i="7" s="1"/>
  <c r="H642" i="7" s="1" a="1"/>
  <c r="H642" i="7" s="1"/>
  <c r="H643" i="7" s="1" a="1"/>
  <c r="H643" i="7" s="1"/>
  <c r="H644" i="7" s="1" a="1"/>
  <c r="H644" i="7" s="1"/>
  <c r="H645" i="7" s="1" a="1"/>
  <c r="H645" i="7" s="1"/>
  <c r="H646" i="7" s="1" a="1"/>
  <c r="H646" i="7" s="1"/>
  <c r="H647" i="7" s="1" a="1"/>
  <c r="H647" i="7" s="1"/>
  <c r="H648" i="7" s="1" a="1"/>
  <c r="H648" i="7" s="1"/>
  <c r="H649" i="7" s="1" a="1"/>
  <c r="H649" i="7" s="1"/>
  <c r="H650" i="7" s="1" a="1"/>
  <c r="H650" i="7" s="1"/>
  <c r="H651" i="7" s="1" a="1"/>
  <c r="H651" i="7" s="1"/>
  <c r="H652" i="7" s="1" a="1"/>
  <c r="H652" i="7" s="1"/>
  <c r="H653" i="7" s="1" a="1"/>
  <c r="H653" i="7" s="1"/>
  <c r="H654" i="7" s="1" a="1"/>
  <c r="H654" i="7" s="1"/>
  <c r="H655" i="7" s="1" a="1"/>
  <c r="H655" i="7" s="1"/>
  <c r="H656" i="7" s="1" a="1"/>
  <c r="H656" i="7" s="1"/>
  <c r="H657" i="7" s="1" a="1"/>
  <c r="H657" i="7" s="1"/>
  <c r="H658" i="7" s="1" a="1"/>
  <c r="H658" i="7" s="1"/>
  <c r="H659" i="7" s="1" a="1"/>
  <c r="H659" i="7" s="1"/>
  <c r="H660" i="7" s="1" a="1"/>
  <c r="H660" i="7" s="1"/>
  <c r="H661" i="7" s="1" a="1"/>
  <c r="H661" i="7" s="1"/>
  <c r="H662" i="7" s="1" a="1"/>
  <c r="H662" i="7" s="1"/>
  <c r="H663" i="7" s="1" a="1"/>
  <c r="H663" i="7" s="1"/>
  <c r="H664" i="7" s="1" a="1"/>
  <c r="H664" i="7" s="1"/>
  <c r="H665" i="7" s="1" a="1"/>
  <c r="H665" i="7" s="1"/>
  <c r="H666" i="7" s="1" a="1"/>
  <c r="H666" i="7" s="1"/>
  <c r="H667" i="7" s="1" a="1"/>
  <c r="H667" i="7" s="1"/>
  <c r="H668" i="7" s="1" a="1"/>
  <c r="H668" i="7" s="1"/>
  <c r="H669" i="7" s="1" a="1"/>
  <c r="H669" i="7" s="1"/>
  <c r="H670" i="7" s="1" a="1"/>
  <c r="H670" i="7" s="1"/>
  <c r="H671" i="7" s="1" a="1"/>
  <c r="H671" i="7" s="1"/>
  <c r="H672" i="7" s="1" a="1"/>
  <c r="H672" i="7" s="1"/>
  <c r="H673" i="7" s="1" a="1"/>
  <c r="H673" i="7" s="1"/>
  <c r="H674" i="7" s="1" a="1"/>
  <c r="H674" i="7" s="1"/>
  <c r="H675" i="7" s="1" a="1"/>
  <c r="H675" i="7" s="1"/>
  <c r="H676" i="7" s="1" a="1"/>
  <c r="H676" i="7" s="1"/>
  <c r="H677" i="7" s="1" a="1"/>
  <c r="H677" i="7" s="1"/>
  <c r="H678" i="7" s="1" a="1"/>
  <c r="H678" i="7" s="1"/>
  <c r="H679" i="7" s="1" a="1"/>
  <c r="H679" i="7" s="1"/>
  <c r="H680" i="7" s="1" a="1"/>
  <c r="H680" i="7" s="1"/>
  <c r="H681" i="7" s="1" a="1"/>
  <c r="H681" i="7" s="1"/>
  <c r="H682" i="7" s="1" a="1"/>
  <c r="H682" i="7" s="1"/>
  <c r="H683" i="7" s="1" a="1"/>
  <c r="H683" i="7" s="1"/>
  <c r="H684" i="7" s="1" a="1"/>
  <c r="H684" i="7" s="1"/>
  <c r="H685" i="7" s="1" a="1"/>
  <c r="H685" i="7" s="1"/>
  <c r="H686" i="7" s="1" a="1"/>
  <c r="H686" i="7" s="1"/>
  <c r="H687" i="7" s="1" a="1"/>
  <c r="H687" i="7" s="1"/>
  <c r="H688" i="7" s="1" a="1"/>
  <c r="H688" i="7" s="1"/>
  <c r="H689" i="7" s="1" a="1"/>
  <c r="H689" i="7" s="1"/>
  <c r="H690" i="7" s="1" a="1"/>
  <c r="H690" i="7" s="1"/>
  <c r="H691" i="7" s="1" a="1"/>
  <c r="H691" i="7" s="1"/>
  <c r="H692" i="7" s="1" a="1"/>
  <c r="H692" i="7" s="1"/>
  <c r="H693" i="7" s="1" a="1"/>
  <c r="H693" i="7" s="1"/>
  <c r="H694" i="7" s="1" a="1"/>
  <c r="H694" i="7" s="1"/>
  <c r="H695" i="7" s="1" a="1"/>
  <c r="H695" i="7" s="1"/>
  <c r="H696" i="7" s="1" a="1"/>
  <c r="H696" i="7" s="1"/>
  <c r="H697" i="7" s="1" a="1"/>
  <c r="H697" i="7" s="1"/>
  <c r="H698" i="7" s="1" a="1"/>
  <c r="H698" i="7" s="1"/>
  <c r="H699" i="7" s="1" a="1"/>
  <c r="H699" i="7" s="1"/>
  <c r="H700" i="7" s="1" a="1"/>
  <c r="H700" i="7" s="1"/>
  <c r="H701" i="7" s="1" a="1"/>
  <c r="H701" i="7" s="1"/>
  <c r="H702" i="7" s="1" a="1"/>
  <c r="H702" i="7" s="1"/>
  <c r="H703" i="7" s="1" a="1"/>
  <c r="H703" i="7" s="1"/>
  <c r="H704" i="7" s="1" a="1"/>
  <c r="H704" i="7" s="1"/>
  <c r="H705" i="7" s="1" a="1"/>
  <c r="H705" i="7" s="1"/>
  <c r="H706" i="7" s="1" a="1"/>
  <c r="H706" i="7" s="1"/>
  <c r="H707" i="7" s="1" a="1"/>
  <c r="H707" i="7" s="1"/>
  <c r="H708" i="7" s="1" a="1"/>
  <c r="H708" i="7" s="1"/>
  <c r="H709" i="7" s="1" a="1"/>
  <c r="H709" i="7" s="1"/>
  <c r="H710" i="7" s="1" a="1"/>
  <c r="H710" i="7" s="1"/>
  <c r="H711" i="7" s="1" a="1"/>
  <c r="H711" i="7" s="1"/>
  <c r="H712" i="7" s="1" a="1"/>
  <c r="H712" i="7" s="1"/>
  <c r="H713" i="7" s="1" a="1"/>
  <c r="H713" i="7" s="1"/>
  <c r="H714" i="7" s="1" a="1"/>
  <c r="H714" i="7" s="1"/>
  <c r="H715" i="7" s="1" a="1"/>
  <c r="H715" i="7" s="1"/>
  <c r="H716" i="7" s="1" a="1"/>
  <c r="H716" i="7" s="1"/>
  <c r="H717" i="7" s="1" a="1"/>
  <c r="H717" i="7" s="1"/>
  <c r="H718" i="7" s="1" a="1"/>
  <c r="H718" i="7" s="1"/>
  <c r="H719" i="7" s="1" a="1"/>
  <c r="H719" i="7" s="1"/>
  <c r="H720" i="7" s="1" a="1"/>
  <c r="H720" i="7" s="1"/>
  <c r="H721" i="7" s="1" a="1"/>
  <c r="H721" i="7" s="1"/>
  <c r="H722" i="7" s="1" a="1"/>
  <c r="H722" i="7" s="1"/>
  <c r="H723" i="7" s="1" a="1"/>
  <c r="H723" i="7" s="1"/>
  <c r="H724" i="7" s="1" a="1"/>
  <c r="H724" i="7" s="1"/>
  <c r="H725" i="7" s="1" a="1"/>
  <c r="H725" i="7" s="1"/>
  <c r="H726" i="7" s="1" a="1"/>
  <c r="H726" i="7" s="1"/>
  <c r="H727" i="7" s="1" a="1"/>
  <c r="H727" i="7" s="1"/>
  <c r="H728" i="7" s="1" a="1"/>
  <c r="H728" i="7" s="1"/>
  <c r="H729" i="7" s="1" a="1"/>
  <c r="H729" i="7" s="1"/>
  <c r="H730" i="7" s="1" a="1"/>
  <c r="H730" i="7" s="1"/>
  <c r="H731" i="7" s="1" a="1"/>
  <c r="H731" i="7" s="1"/>
  <c r="H732" i="7" s="1" a="1"/>
  <c r="H732" i="7" s="1"/>
  <c r="H733" i="7" s="1" a="1"/>
  <c r="H733" i="7" s="1"/>
  <c r="H734" i="7" s="1" a="1"/>
  <c r="H734" i="7" s="1"/>
  <c r="H735" i="7" s="1" a="1"/>
  <c r="H735" i="7" s="1"/>
  <c r="H736" i="7" s="1" a="1"/>
  <c r="H736" i="7" s="1"/>
  <c r="H737" i="7" s="1" a="1"/>
  <c r="H737" i="7" s="1"/>
  <c r="H738" i="7" s="1" a="1"/>
  <c r="H738" i="7" s="1"/>
  <c r="H739" i="7" s="1" a="1"/>
  <c r="H739" i="7" s="1"/>
  <c r="H740" i="7" s="1" a="1"/>
  <c r="H740" i="7" s="1"/>
  <c r="H741" i="7" s="1" a="1"/>
  <c r="H741" i="7" s="1"/>
  <c r="H742" i="7" s="1" a="1"/>
  <c r="H742" i="7" s="1"/>
  <c r="H743" i="7" s="1" a="1"/>
  <c r="H743" i="7" s="1"/>
  <c r="H744" i="7" s="1" a="1"/>
  <c r="H744" i="7" s="1"/>
  <c r="H745" i="7" s="1" a="1"/>
  <c r="H745" i="7" s="1"/>
  <c r="H746" i="7" s="1" a="1"/>
  <c r="H746" i="7" s="1"/>
  <c r="H747" i="7" s="1" a="1"/>
  <c r="H747" i="7" s="1"/>
  <c r="H748" i="7" s="1" a="1"/>
  <c r="H748" i="7" s="1"/>
  <c r="H749" i="7" s="1" a="1"/>
  <c r="H749" i="7" s="1"/>
  <c r="H750" i="7" s="1" a="1"/>
  <c r="H750" i="7" s="1"/>
  <c r="H751" i="7" s="1" a="1"/>
  <c r="H751" i="7" s="1"/>
  <c r="H752" i="7" s="1" a="1"/>
  <c r="H752" i="7" s="1"/>
  <c r="H753" i="7" s="1" a="1"/>
  <c r="H753" i="7" s="1"/>
  <c r="H754" i="7" s="1" a="1"/>
  <c r="H754" i="7" s="1"/>
  <c r="H755" i="7" s="1" a="1"/>
  <c r="H755" i="7" s="1"/>
  <c r="H756" i="7" s="1" a="1"/>
  <c r="H756" i="7" s="1"/>
  <c r="H757" i="7" s="1" a="1"/>
  <c r="H757" i="7" s="1"/>
  <c r="H758" i="7" s="1" a="1"/>
  <c r="H758" i="7" s="1"/>
  <c r="H759" i="7" s="1" a="1"/>
  <c r="H759" i="7" s="1"/>
  <c r="H760" i="7" s="1" a="1"/>
  <c r="H760" i="7" s="1"/>
  <c r="H761" i="7" s="1" a="1"/>
  <c r="H761" i="7" s="1"/>
  <c r="H762" i="7" s="1" a="1"/>
  <c r="H762" i="7" s="1"/>
  <c r="H763" i="7" s="1" a="1"/>
  <c r="H763" i="7" s="1"/>
  <c r="H764" i="7" s="1" a="1"/>
  <c r="H764" i="7" s="1"/>
  <c r="H765" i="7" s="1" a="1"/>
  <c r="H765" i="7" s="1"/>
  <c r="H766" i="7" s="1" a="1"/>
  <c r="H766" i="7" s="1"/>
  <c r="H767" i="7" s="1" a="1"/>
  <c r="H767" i="7" s="1"/>
  <c r="H768" i="7" s="1" a="1"/>
  <c r="H768" i="7" s="1"/>
  <c r="H769" i="7" s="1" a="1"/>
  <c r="H769" i="7" s="1"/>
  <c r="H770" i="7" s="1" a="1"/>
  <c r="H770" i="7" s="1"/>
  <c r="H771" i="7" s="1" a="1"/>
  <c r="H771" i="7" s="1"/>
  <c r="H772" i="7" s="1" a="1"/>
  <c r="H772" i="7" s="1"/>
  <c r="H773" i="7" s="1" a="1"/>
  <c r="H773" i="7" s="1"/>
  <c r="H774" i="7" s="1" a="1"/>
  <c r="H774" i="7" s="1"/>
  <c r="H775" i="7" s="1" a="1"/>
  <c r="H775" i="7" s="1"/>
  <c r="H776" i="7" s="1" a="1"/>
  <c r="H776" i="7" s="1"/>
  <c r="H777" i="7" s="1" a="1"/>
  <c r="H777" i="7" s="1"/>
  <c r="H778" i="7" s="1" a="1"/>
  <c r="H778" i="7" s="1"/>
  <c r="H779" i="7" s="1" a="1"/>
  <c r="H779" i="7" s="1"/>
  <c r="H780" i="7" s="1" a="1"/>
  <c r="H780" i="7" s="1"/>
  <c r="H781" i="7" s="1" a="1"/>
  <c r="H781" i="7" s="1"/>
  <c r="H782" i="7" s="1" a="1"/>
  <c r="H782" i="7" s="1"/>
  <c r="H783" i="7" s="1" a="1"/>
  <c r="H783" i="7" s="1"/>
  <c r="H784" i="7" s="1" a="1"/>
  <c r="H784" i="7" s="1"/>
  <c r="H785" i="7" s="1" a="1"/>
  <c r="H785" i="7" s="1"/>
  <c r="H786" i="7" s="1" a="1"/>
  <c r="H786" i="7" s="1"/>
  <c r="H787" i="7" s="1" a="1"/>
  <c r="H787" i="7" s="1"/>
  <c r="H788" i="7" s="1" a="1"/>
  <c r="H788" i="7" s="1"/>
  <c r="H789" i="7" s="1" a="1"/>
  <c r="H789" i="7" s="1"/>
  <c r="H790" i="7" s="1" a="1"/>
  <c r="H790" i="7" s="1"/>
  <c r="H791" i="7" s="1" a="1"/>
  <c r="H791" i="7" s="1"/>
  <c r="H792" i="7" s="1" a="1"/>
  <c r="H792" i="7" s="1"/>
  <c r="H793" i="7" s="1" a="1"/>
  <c r="H793" i="7" s="1"/>
  <c r="H794" i="7" s="1" a="1"/>
  <c r="H794" i="7" s="1"/>
  <c r="H795" i="7" s="1" a="1"/>
  <c r="H795" i="7" s="1"/>
  <c r="H796" i="7" s="1" a="1"/>
  <c r="H796" i="7" s="1"/>
  <c r="H797" i="7" s="1" a="1"/>
  <c r="H797" i="7" s="1"/>
  <c r="H798" i="7" s="1" a="1"/>
  <c r="H798" i="7" s="1"/>
  <c r="H799" i="7" s="1" a="1"/>
  <c r="H799" i="7" s="1"/>
  <c r="H800" i="7" s="1" a="1"/>
  <c r="H800" i="7" s="1"/>
  <c r="H801" i="7" s="1" a="1"/>
  <c r="H801" i="7" s="1"/>
  <c r="H802" i="7" s="1" a="1"/>
  <c r="H802" i="7" s="1"/>
  <c r="H803" i="7" s="1" a="1"/>
  <c r="H803" i="7" s="1"/>
  <c r="H804" i="7" s="1" a="1"/>
  <c r="H804" i="7" s="1"/>
  <c r="H805" i="7" s="1" a="1"/>
  <c r="H805" i="7" s="1"/>
  <c r="H806" i="7" s="1" a="1"/>
  <c r="H806" i="7" s="1"/>
  <c r="H807" i="7" s="1" a="1"/>
  <c r="H807" i="7" s="1"/>
  <c r="H808" i="7" s="1" a="1"/>
  <c r="H808" i="7" s="1"/>
  <c r="H809" i="7" s="1" a="1"/>
  <c r="H809" i="7" s="1"/>
  <c r="H810" i="7" s="1" a="1"/>
  <c r="H810" i="7" s="1"/>
  <c r="H811" i="7" s="1" a="1"/>
  <c r="H811" i="7" s="1"/>
  <c r="H812" i="7" s="1" a="1"/>
  <c r="H812" i="7" s="1"/>
  <c r="H813" i="7" s="1" a="1"/>
  <c r="H813" i="7" s="1"/>
  <c r="H814" i="7" s="1" a="1"/>
  <c r="H814" i="7" s="1"/>
  <c r="H815" i="7" s="1" a="1"/>
  <c r="H815" i="7" s="1"/>
  <c r="H816" i="7" s="1" a="1"/>
  <c r="H816" i="7" s="1"/>
  <c r="H817" i="7" s="1" a="1"/>
  <c r="H817" i="7" s="1"/>
  <c r="H818" i="7" s="1" a="1"/>
  <c r="H818" i="7" s="1"/>
  <c r="H819" i="7" s="1" a="1"/>
  <c r="H819" i="7" s="1"/>
  <c r="H820" i="7" s="1" a="1"/>
  <c r="H820" i="7" s="1"/>
  <c r="H821" i="7" s="1" a="1"/>
  <c r="H821" i="7" s="1"/>
  <c r="H822" i="7" s="1" a="1"/>
  <c r="H822" i="7" s="1"/>
  <c r="H823" i="7" s="1" a="1"/>
  <c r="H823" i="7" s="1"/>
  <c r="H824" i="7" s="1" a="1"/>
  <c r="H824" i="7" s="1"/>
  <c r="H825" i="7" s="1" a="1"/>
  <c r="H825" i="7" s="1"/>
  <c r="H826" i="7" s="1" a="1"/>
  <c r="H826" i="7" s="1"/>
  <c r="H827" i="7" s="1" a="1"/>
  <c r="H827" i="7" s="1"/>
  <c r="H828" i="7" s="1" a="1"/>
  <c r="H828" i="7" s="1"/>
  <c r="H829" i="7" s="1" a="1"/>
  <c r="H829" i="7" s="1"/>
  <c r="H830" i="7" s="1" a="1"/>
  <c r="H830" i="7" s="1"/>
  <c r="H831" i="7" s="1" a="1"/>
  <c r="H831" i="7" s="1"/>
  <c r="H832" i="7" s="1" a="1"/>
  <c r="H832" i="7" s="1"/>
  <c r="H833" i="7" s="1" a="1"/>
  <c r="H833" i="7" s="1"/>
  <c r="H834" i="7" s="1" a="1"/>
  <c r="H834" i="7" s="1"/>
  <c r="H835" i="7" s="1" a="1"/>
  <c r="H835" i="7" s="1"/>
  <c r="H836" i="7" s="1" a="1"/>
  <c r="H836" i="7" s="1"/>
  <c r="H837" i="7" s="1" a="1"/>
  <c r="H837" i="7" s="1"/>
  <c r="H838" i="7" s="1" a="1"/>
  <c r="H838" i="7" s="1"/>
  <c r="H839" i="7" s="1" a="1"/>
  <c r="H839" i="7" s="1"/>
  <c r="H840" i="7" s="1" a="1"/>
  <c r="H840" i="7" s="1"/>
  <c r="H841" i="7" s="1" a="1"/>
  <c r="H841" i="7" s="1"/>
  <c r="H842" i="7" s="1" a="1"/>
  <c r="H842" i="7" s="1"/>
  <c r="H843" i="7" s="1" a="1"/>
  <c r="H843" i="7" s="1"/>
  <c r="H844" i="7" s="1" a="1"/>
  <c r="H844" i="7" s="1"/>
  <c r="H845" i="7" s="1" a="1"/>
  <c r="H845" i="7" s="1"/>
  <c r="H846" i="7" s="1" a="1"/>
  <c r="H846" i="7" s="1"/>
  <c r="H847" i="7" s="1" a="1"/>
  <c r="H847" i="7" s="1"/>
  <c r="H848" i="7" s="1" a="1"/>
  <c r="H848" i="7" s="1"/>
  <c r="H849" i="7" s="1" a="1"/>
  <c r="H849" i="7" s="1"/>
  <c r="H850" i="7" s="1" a="1"/>
  <c r="H850" i="7" s="1"/>
  <c r="H851" i="7" s="1" a="1"/>
  <c r="H851" i="7" s="1"/>
  <c r="H852" i="7" s="1" a="1"/>
  <c r="H852" i="7" s="1"/>
  <c r="H853" i="7" s="1" a="1"/>
  <c r="H853" i="7" s="1"/>
  <c r="H854" i="7" s="1" a="1"/>
  <c r="H854" i="7" s="1"/>
  <c r="H855" i="7" s="1" a="1"/>
  <c r="H855" i="7" s="1"/>
  <c r="H856" i="7" s="1" a="1"/>
  <c r="H856" i="7" s="1"/>
  <c r="H857" i="7" s="1" a="1"/>
  <c r="H857" i="7" s="1"/>
  <c r="H858" i="7" s="1" a="1"/>
  <c r="H858" i="7" s="1"/>
  <c r="H859" i="7" s="1" a="1"/>
  <c r="H859" i="7" s="1"/>
  <c r="H860" i="7" s="1" a="1"/>
  <c r="H860" i="7" s="1"/>
  <c r="H861" i="7" s="1" a="1"/>
  <c r="H861" i="7" s="1"/>
  <c r="H862" i="7" s="1" a="1"/>
  <c r="H862" i="7" s="1"/>
  <c r="H863" i="7" s="1" a="1"/>
  <c r="H863" i="7" s="1"/>
  <c r="H864" i="7" s="1" a="1"/>
  <c r="H864" i="7" s="1"/>
  <c r="H865" i="7" s="1" a="1"/>
  <c r="H865" i="7" s="1"/>
  <c r="H866" i="7" s="1" a="1"/>
  <c r="H866" i="7" s="1"/>
  <c r="H867" i="7" s="1" a="1"/>
  <c r="H867" i="7" s="1"/>
  <c r="H868" i="7" s="1" a="1"/>
  <c r="H868" i="7" s="1"/>
  <c r="H869" i="7" s="1" a="1"/>
  <c r="H869" i="7" s="1"/>
  <c r="H870" i="7" s="1" a="1"/>
  <c r="H870" i="7" s="1"/>
  <c r="H871" i="7" s="1" a="1"/>
  <c r="H871" i="7" s="1"/>
  <c r="H872" i="7" s="1" a="1"/>
  <c r="H872" i="7" s="1"/>
  <c r="H873" i="7" s="1" a="1"/>
  <c r="H873" i="7" s="1"/>
  <c r="H874" i="7" s="1" a="1"/>
  <c r="H874" i="7" s="1"/>
  <c r="H875" i="7" s="1" a="1"/>
  <c r="H875" i="7" s="1"/>
  <c r="H876" i="7" s="1" a="1"/>
  <c r="H876" i="7" s="1"/>
  <c r="H877" i="7" s="1" a="1"/>
  <c r="H877" i="7" s="1"/>
  <c r="H878" i="7" s="1" a="1"/>
  <c r="H878" i="7" s="1"/>
  <c r="H879" i="7" s="1" a="1"/>
  <c r="H879" i="7" s="1"/>
  <c r="H880" i="7" s="1" a="1"/>
  <c r="H880" i="7" s="1"/>
  <c r="H881" i="7" s="1" a="1"/>
  <c r="H881" i="7" s="1"/>
  <c r="H882" i="7" s="1" a="1"/>
  <c r="H882" i="7" s="1"/>
  <c r="H883" i="7" s="1" a="1"/>
  <c r="H883" i="7" s="1"/>
  <c r="H884" i="7" s="1" a="1"/>
  <c r="H884" i="7" s="1"/>
  <c r="H885" i="7" s="1" a="1"/>
  <c r="H885" i="7" s="1"/>
  <c r="H886" i="7" s="1" a="1"/>
  <c r="H886" i="7" s="1"/>
  <c r="H887" i="7" s="1" a="1"/>
  <c r="H887" i="7" s="1"/>
  <c r="H888" i="7" s="1" a="1"/>
  <c r="H888" i="7" s="1"/>
  <c r="H889" i="7" s="1" a="1"/>
  <c r="H889" i="7" s="1"/>
  <c r="H890" i="7" s="1" a="1"/>
  <c r="H890" i="7" s="1"/>
  <c r="H891" i="7" s="1" a="1"/>
  <c r="H891" i="7" s="1"/>
  <c r="H892" i="7" s="1" a="1"/>
  <c r="H892" i="7" s="1"/>
  <c r="H893" i="7" s="1" a="1"/>
  <c r="H893" i="7" s="1"/>
  <c r="H894" i="7" s="1" a="1"/>
  <c r="H894" i="7" s="1"/>
  <c r="H895" i="7" s="1" a="1"/>
  <c r="H895" i="7" s="1"/>
  <c r="H896" i="7" s="1" a="1"/>
  <c r="H896" i="7" s="1"/>
  <c r="H897" i="7" s="1" a="1"/>
  <c r="H897" i="7" s="1"/>
  <c r="H898" i="7" s="1" a="1"/>
  <c r="H898" i="7" s="1"/>
  <c r="H899" i="7" s="1" a="1"/>
  <c r="H899" i="7" s="1"/>
  <c r="H900" i="7" s="1" a="1"/>
  <c r="H900" i="7" s="1"/>
  <c r="H901" i="7" s="1" a="1"/>
  <c r="H901" i="7" s="1"/>
  <c r="H902" i="7" s="1" a="1"/>
  <c r="H902" i="7" s="1"/>
  <c r="H903" i="7" s="1" a="1"/>
  <c r="H903" i="7" s="1"/>
  <c r="H904" i="7" s="1" a="1"/>
  <c r="H904" i="7" s="1"/>
  <c r="H905" i="7" s="1" a="1"/>
  <c r="H905" i="7" s="1"/>
  <c r="H906" i="7" s="1" a="1"/>
  <c r="H906" i="7" s="1"/>
  <c r="H907" i="7" s="1" a="1"/>
  <c r="H907" i="7" s="1"/>
  <c r="H908" i="7" s="1" a="1"/>
  <c r="H908" i="7" s="1"/>
  <c r="H909" i="7" s="1" a="1"/>
  <c r="H909" i="7" s="1"/>
  <c r="H910" i="7" s="1" a="1"/>
  <c r="H910" i="7" s="1"/>
  <c r="H911" i="7" s="1" a="1"/>
  <c r="H911" i="7" s="1"/>
  <c r="H912" i="7" s="1" a="1"/>
  <c r="H912" i="7" s="1"/>
  <c r="H913" i="7" s="1" a="1"/>
  <c r="H913" i="7" s="1"/>
  <c r="H914" i="7" s="1" a="1"/>
  <c r="H914" i="7" s="1"/>
  <c r="H915" i="7" s="1" a="1"/>
  <c r="H915" i="7" s="1"/>
  <c r="H916" i="7" s="1" a="1"/>
  <c r="H916" i="7" s="1"/>
  <c r="H917" i="7" s="1" a="1"/>
  <c r="H917" i="7" s="1"/>
  <c r="H918" i="7" s="1" a="1"/>
  <c r="H918" i="7" s="1"/>
  <c r="H919" i="7" s="1" a="1"/>
  <c r="H919" i="7" s="1"/>
  <c r="H920" i="7" s="1" a="1"/>
  <c r="H920" i="7" s="1"/>
  <c r="H921" i="7" s="1" a="1"/>
  <c r="H921" i="7" s="1"/>
  <c r="H922" i="7" s="1" a="1"/>
  <c r="H922" i="7" s="1"/>
  <c r="H923" i="7" s="1" a="1"/>
  <c r="H923" i="7" s="1"/>
  <c r="H924" i="7" s="1" a="1"/>
  <c r="H924" i="7" s="1"/>
  <c r="H925" i="7" s="1" a="1"/>
  <c r="H925" i="7" s="1"/>
  <c r="H926" i="7" s="1" a="1"/>
  <c r="H926" i="7" s="1"/>
  <c r="H927" i="7" s="1" a="1"/>
  <c r="H927" i="7" s="1"/>
  <c r="H928" i="7" s="1" a="1"/>
  <c r="H928" i="7" s="1"/>
  <c r="H929" i="7" s="1" a="1"/>
  <c r="H929" i="7" s="1"/>
  <c r="H930" i="7" s="1" a="1"/>
  <c r="H930" i="7" s="1"/>
  <c r="H931" i="7" s="1" a="1"/>
  <c r="H931" i="7" s="1"/>
  <c r="H932" i="7" s="1" a="1"/>
  <c r="H932" i="7" s="1"/>
  <c r="H933" i="7" s="1" a="1"/>
  <c r="H933" i="7" s="1"/>
  <c r="H934" i="7" s="1" a="1"/>
  <c r="H934" i="7" s="1"/>
  <c r="H935" i="7" s="1" a="1"/>
  <c r="H935" i="7" s="1"/>
  <c r="H936" i="7" s="1" a="1"/>
  <c r="H936" i="7" s="1"/>
  <c r="H937" i="7" s="1" a="1"/>
  <c r="H937" i="7" s="1"/>
  <c r="H938" i="7" s="1" a="1"/>
  <c r="H938" i="7" s="1"/>
  <c r="H939" i="7" s="1" a="1"/>
  <c r="H939" i="7" s="1"/>
  <c r="I3" i="7" a="1"/>
  <c r="I3" i="7" s="1"/>
  <c r="I4" i="7" s="1" a="1"/>
  <c r="I4" i="7" s="1"/>
  <c r="I5" i="7" s="1" a="1"/>
  <c r="I5" i="7" s="1"/>
  <c r="I6" i="7" s="1" a="1"/>
  <c r="I6" i="7" s="1"/>
  <c r="I7" i="7" s="1" a="1"/>
  <c r="I7" i="7" s="1"/>
  <c r="I8" i="7" s="1" a="1"/>
  <c r="I8" i="7" s="1"/>
  <c r="I9" i="7" s="1" a="1"/>
  <c r="I9" i="7" s="1"/>
  <c r="I10" i="7" s="1" a="1"/>
  <c r="I10" i="7" s="1"/>
  <c r="I11" i="7" s="1" a="1"/>
  <c r="I11" i="7" s="1"/>
  <c r="I12" i="7" s="1" a="1"/>
  <c r="I12" i="7" s="1"/>
  <c r="I13" i="7" s="1" a="1"/>
  <c r="I13" i="7" s="1"/>
  <c r="I14" i="7" s="1" a="1"/>
  <c r="I14" i="7" s="1"/>
  <c r="I15" i="7" s="1" a="1"/>
  <c r="I15" i="7" s="1"/>
  <c r="I16" i="7" s="1" a="1"/>
  <c r="I16" i="7" s="1"/>
  <c r="I17" i="7" s="1" a="1"/>
  <c r="I17" i="7" s="1"/>
  <c r="I18" i="7" s="1" a="1"/>
  <c r="I18" i="7" s="1"/>
  <c r="I19" i="7" s="1" a="1"/>
  <c r="I19" i="7" s="1"/>
  <c r="I20" i="7" s="1" a="1"/>
  <c r="I20" i="7" s="1"/>
  <c r="I21" i="7" s="1" a="1"/>
  <c r="I21" i="7" s="1"/>
  <c r="I22" i="7" s="1" a="1"/>
  <c r="I22" i="7" s="1"/>
  <c r="I23" i="7" s="1" a="1"/>
  <c r="I23" i="7" s="1"/>
  <c r="I24" i="7" s="1" a="1"/>
  <c r="I24" i="7" s="1"/>
  <c r="I25" i="7" s="1" a="1"/>
  <c r="I25" i="7" s="1"/>
  <c r="I26" i="7" s="1" a="1"/>
  <c r="I26" i="7" s="1"/>
  <c r="I27" i="7" s="1" a="1"/>
  <c r="I27" i="7" s="1"/>
  <c r="I28" i="7" s="1" a="1"/>
  <c r="I28" i="7" s="1"/>
  <c r="I29" i="7" s="1" a="1"/>
  <c r="I29" i="7" s="1"/>
  <c r="I30" i="7" s="1" a="1"/>
  <c r="I30" i="7" s="1"/>
  <c r="I31" i="7" s="1" a="1"/>
  <c r="I31" i="7" s="1"/>
  <c r="I32" i="7" s="1" a="1"/>
  <c r="I32" i="7" s="1"/>
  <c r="I33" i="7" s="1" a="1"/>
  <c r="I33" i="7" s="1"/>
  <c r="I34" i="7" s="1" a="1"/>
  <c r="I34" i="7" s="1"/>
  <c r="I35" i="7" s="1" a="1"/>
  <c r="I35" i="7" s="1"/>
  <c r="I36" i="7" s="1" a="1"/>
  <c r="I36" i="7" s="1"/>
  <c r="I37" i="7" s="1" a="1"/>
  <c r="I37" i="7" s="1"/>
  <c r="I38" i="7" s="1" a="1"/>
  <c r="I38" i="7" s="1"/>
  <c r="I39" i="7" s="1" a="1"/>
  <c r="I39" i="7" s="1"/>
  <c r="I40" i="7" s="1" a="1"/>
  <c r="I40" i="7" s="1"/>
  <c r="I41" i="7" s="1" a="1"/>
  <c r="I41" i="7" s="1"/>
  <c r="I42" i="7" s="1" a="1"/>
  <c r="I42" i="7" s="1"/>
  <c r="I43" i="7" s="1" a="1"/>
  <c r="I43" i="7" s="1"/>
  <c r="I44" i="7" s="1" a="1"/>
  <c r="I44" i="7" s="1"/>
  <c r="I45" i="7" s="1" a="1"/>
  <c r="I45" i="7" s="1"/>
  <c r="I46" i="7" s="1" a="1"/>
  <c r="I46" i="7" s="1"/>
  <c r="I47" i="7" s="1" a="1"/>
  <c r="I47" i="7" s="1"/>
  <c r="I48" i="7" s="1" a="1"/>
  <c r="I48" i="7" s="1"/>
  <c r="I49" i="7" s="1" a="1"/>
  <c r="I49" i="7" s="1"/>
  <c r="I50" i="7" s="1" a="1"/>
  <c r="I50" i="7" s="1"/>
  <c r="I51" i="7" s="1" a="1"/>
  <c r="I51" i="7" s="1"/>
  <c r="I52" i="7" s="1" a="1"/>
  <c r="I52" i="7" s="1"/>
  <c r="I53" i="7" s="1" a="1"/>
  <c r="I53" i="7" s="1"/>
  <c r="I54" i="7" s="1" a="1"/>
  <c r="I54" i="7" s="1"/>
  <c r="I55" i="7" s="1" a="1"/>
  <c r="I55" i="7" s="1"/>
  <c r="I56" i="7" s="1" a="1"/>
  <c r="I56" i="7" s="1"/>
  <c r="I57" i="7" s="1" a="1"/>
  <c r="I57" i="7" s="1"/>
  <c r="I58" i="7" s="1" a="1"/>
  <c r="I58" i="7" s="1"/>
  <c r="I59" i="7" s="1" a="1"/>
  <c r="I59" i="7" s="1"/>
  <c r="I60" i="7" s="1" a="1"/>
  <c r="I60" i="7" s="1"/>
  <c r="I61" i="7" s="1" a="1"/>
  <c r="I61" i="7" s="1"/>
  <c r="I62" i="7" s="1" a="1"/>
  <c r="I62" i="7" s="1"/>
  <c r="I63" i="7" s="1" a="1"/>
  <c r="I63" i="7" s="1"/>
  <c r="I64" i="7" s="1" a="1"/>
  <c r="I64" i="7" s="1"/>
  <c r="I65" i="7" s="1" a="1"/>
  <c r="I65" i="7" s="1"/>
  <c r="I66" i="7" s="1" a="1"/>
  <c r="I66" i="7" s="1"/>
  <c r="I67" i="7" s="1" a="1"/>
  <c r="I67" i="7" s="1"/>
  <c r="I68" i="7" s="1" a="1"/>
  <c r="I68" i="7" s="1"/>
  <c r="I69" i="7" s="1" a="1"/>
  <c r="I69" i="7" s="1"/>
  <c r="I70" i="7" s="1" a="1"/>
  <c r="I70" i="7" s="1"/>
  <c r="I71" i="7" s="1" a="1"/>
  <c r="I71" i="7" s="1"/>
  <c r="I72" i="7" s="1" a="1"/>
  <c r="I72" i="7" s="1"/>
  <c r="I73" i="7" s="1" a="1"/>
  <c r="I73" i="7" s="1"/>
  <c r="I74" i="7" s="1" a="1"/>
  <c r="I74" i="7" s="1"/>
  <c r="I75" i="7" s="1" a="1"/>
  <c r="I75" i="7" s="1"/>
  <c r="I76" i="7" s="1" a="1"/>
  <c r="I76" i="7" s="1"/>
  <c r="I77" i="7" s="1" a="1"/>
  <c r="I77" i="7" s="1"/>
  <c r="I78" i="7" s="1" a="1"/>
  <c r="I78" i="7" s="1"/>
  <c r="I79" i="7" s="1" a="1"/>
  <c r="I79" i="7" s="1"/>
  <c r="I80" i="7" s="1" a="1"/>
  <c r="I80" i="7" s="1"/>
  <c r="I81" i="7" s="1" a="1"/>
  <c r="I81" i="7" s="1"/>
  <c r="I82" i="7" s="1" a="1"/>
  <c r="I82" i="7" s="1"/>
  <c r="I83" i="7" s="1" a="1"/>
  <c r="I83" i="7" s="1"/>
  <c r="I84" i="7" s="1" a="1"/>
  <c r="I84" i="7" s="1"/>
  <c r="I85" i="7" s="1" a="1"/>
  <c r="I85" i="7" s="1"/>
  <c r="I86" i="7" s="1" a="1"/>
  <c r="I86" i="7" s="1"/>
  <c r="I87" i="7" s="1" a="1"/>
  <c r="I87" i="7" s="1"/>
  <c r="I88" i="7" s="1" a="1"/>
  <c r="I88" i="7" s="1"/>
  <c r="I89" i="7" s="1" a="1"/>
  <c r="I89" i="7" s="1"/>
  <c r="I90" i="7" s="1" a="1"/>
  <c r="I90" i="7" s="1"/>
  <c r="I91" i="7" s="1" a="1"/>
  <c r="I91" i="7" s="1"/>
  <c r="I92" i="7" s="1" a="1"/>
  <c r="I92" i="7" s="1"/>
  <c r="I93" i="7" s="1" a="1"/>
  <c r="I93" i="7" s="1"/>
  <c r="I94" i="7" s="1" a="1"/>
  <c r="I94" i="7" s="1"/>
  <c r="I95" i="7" s="1" a="1"/>
  <c r="I95" i="7" s="1"/>
  <c r="I96" i="7" s="1" a="1"/>
  <c r="I96" i="7" s="1"/>
  <c r="I97" i="7" s="1" a="1"/>
  <c r="I97" i="7" s="1"/>
  <c r="I98" i="7" s="1" a="1"/>
  <c r="I98" i="7" s="1"/>
  <c r="I99" i="7" s="1" a="1"/>
  <c r="I99" i="7" s="1"/>
  <c r="I100" i="7" s="1" a="1"/>
  <c r="I100" i="7" s="1"/>
  <c r="I101" i="7" s="1" a="1"/>
  <c r="I101" i="7" s="1"/>
  <c r="I102" i="7" s="1" a="1"/>
  <c r="I102" i="7" s="1"/>
  <c r="I103" i="7" s="1" a="1"/>
  <c r="I103" i="7" s="1"/>
  <c r="I104" i="7" s="1" a="1"/>
  <c r="I104" i="7" s="1"/>
  <c r="I105" i="7" s="1" a="1"/>
  <c r="I105" i="7" s="1"/>
  <c r="I106" i="7" s="1" a="1"/>
  <c r="I106" i="7" s="1"/>
  <c r="I107" i="7" s="1" a="1"/>
  <c r="I107" i="7" s="1"/>
  <c r="I108" i="7" s="1" a="1"/>
  <c r="I108" i="7" s="1"/>
  <c r="I109" i="7" s="1" a="1"/>
  <c r="I109" i="7" s="1"/>
  <c r="I110" i="7" s="1" a="1"/>
  <c r="I110" i="7" s="1"/>
  <c r="I111" i="7" s="1" a="1"/>
  <c r="I111" i="7" s="1"/>
  <c r="I112" i="7" s="1" a="1"/>
  <c r="I112" i="7" s="1"/>
  <c r="I113" i="7" s="1" a="1"/>
  <c r="I113" i="7" s="1"/>
  <c r="I114" i="7" s="1" a="1"/>
  <c r="I114" i="7" s="1"/>
  <c r="I115" i="7" s="1" a="1"/>
  <c r="I115" i="7" s="1"/>
  <c r="I116" i="7" s="1" a="1"/>
  <c r="I116" i="7" s="1"/>
  <c r="I117" i="7" s="1" a="1"/>
  <c r="I117" i="7" s="1"/>
  <c r="I118" i="7" s="1" a="1"/>
  <c r="I118" i="7" s="1"/>
  <c r="I119" i="7" s="1" a="1"/>
  <c r="I119" i="7" s="1"/>
  <c r="I120" i="7" s="1" a="1"/>
  <c r="I120" i="7" s="1"/>
  <c r="I121" i="7" s="1" a="1"/>
  <c r="I121" i="7" s="1"/>
  <c r="I122" i="7" s="1" a="1"/>
  <c r="I122" i="7" s="1"/>
  <c r="I123" i="7" s="1" a="1"/>
  <c r="I123" i="7" s="1"/>
  <c r="I124" i="7" s="1" a="1"/>
  <c r="I124" i="7" s="1"/>
  <c r="I125" i="7" s="1" a="1"/>
  <c r="I125" i="7" s="1"/>
  <c r="I126" i="7" s="1" a="1"/>
  <c r="I126" i="7" s="1"/>
  <c r="I127" i="7" s="1" a="1"/>
  <c r="I127" i="7" s="1"/>
  <c r="I128" i="7" s="1" a="1"/>
  <c r="I128" i="7" s="1"/>
  <c r="I129" i="7" s="1" a="1"/>
  <c r="I129" i="7" s="1"/>
  <c r="I130" i="7" s="1" a="1"/>
  <c r="I130" i="7" s="1"/>
  <c r="I131" i="7" s="1" a="1"/>
  <c r="I131" i="7" s="1"/>
  <c r="I132" i="7" s="1" a="1"/>
  <c r="I132" i="7" s="1"/>
  <c r="I133" i="7" s="1" a="1"/>
  <c r="I133" i="7" s="1"/>
  <c r="I134" i="7" s="1" a="1"/>
  <c r="I134" i="7" s="1"/>
  <c r="I135" i="7" s="1" a="1"/>
  <c r="I135" i="7" s="1"/>
  <c r="I136" i="7" s="1" a="1"/>
  <c r="I136" i="7" s="1"/>
  <c r="I137" i="7" s="1" a="1"/>
  <c r="I137" i="7" s="1"/>
  <c r="I138" i="7" s="1" a="1"/>
  <c r="I138" i="7" s="1"/>
  <c r="I139" i="7" s="1" a="1"/>
  <c r="I139" i="7" s="1"/>
  <c r="I140" i="7" s="1" a="1"/>
  <c r="I140" i="7" s="1"/>
  <c r="I141" i="7" s="1" a="1"/>
  <c r="I141" i="7" s="1"/>
  <c r="I142" i="7" s="1" a="1"/>
  <c r="I142" i="7" s="1"/>
  <c r="I143" i="7" s="1" a="1"/>
  <c r="I143" i="7" s="1"/>
  <c r="I144" i="7" s="1" a="1"/>
  <c r="I144" i="7" s="1"/>
  <c r="I145" i="7" s="1" a="1"/>
  <c r="I145" i="7" s="1"/>
  <c r="I146" i="7" s="1" a="1"/>
  <c r="I146" i="7" s="1"/>
  <c r="I147" i="7" s="1" a="1"/>
  <c r="I147" i="7" s="1"/>
  <c r="I148" i="7" s="1" a="1"/>
  <c r="I148" i="7" s="1"/>
  <c r="I149" i="7" s="1" a="1"/>
  <c r="I149" i="7" s="1"/>
  <c r="I150" i="7" s="1" a="1"/>
  <c r="I150" i="7" s="1"/>
  <c r="I151" i="7" s="1" a="1"/>
  <c r="I151" i="7" s="1"/>
  <c r="I152" i="7" s="1" a="1"/>
  <c r="I152" i="7" s="1"/>
  <c r="I153" i="7" s="1" a="1"/>
  <c r="I153" i="7" s="1"/>
  <c r="I154" i="7" s="1" a="1"/>
  <c r="I154" i="7" s="1"/>
  <c r="I155" i="7" s="1" a="1"/>
  <c r="I155" i="7" s="1"/>
  <c r="I156" i="7" s="1" a="1"/>
  <c r="I156" i="7" s="1"/>
  <c r="I157" i="7" s="1" a="1"/>
  <c r="I157" i="7" s="1"/>
  <c r="I158" i="7" s="1" a="1"/>
  <c r="I158" i="7" s="1"/>
  <c r="I159" i="7" s="1" a="1"/>
  <c r="I159" i="7" s="1"/>
  <c r="I160" i="7" s="1" a="1"/>
  <c r="I160" i="7" s="1"/>
  <c r="I161" i="7" s="1" a="1"/>
  <c r="I161" i="7" s="1"/>
  <c r="I162" i="7" s="1" a="1"/>
  <c r="I162" i="7" s="1"/>
  <c r="I163" i="7" s="1" a="1"/>
  <c r="I163" i="7" s="1"/>
  <c r="I164" i="7" s="1" a="1"/>
  <c r="I164" i="7" s="1"/>
  <c r="I165" i="7" s="1" a="1"/>
  <c r="I165" i="7" s="1"/>
  <c r="I166" i="7" s="1" a="1"/>
  <c r="I166" i="7" s="1"/>
  <c r="I167" i="7" s="1" a="1"/>
  <c r="I167" i="7" s="1"/>
  <c r="I168" i="7" s="1" a="1"/>
  <c r="I168" i="7" s="1"/>
  <c r="I169" i="7" s="1" a="1"/>
  <c r="I169" i="7" s="1"/>
  <c r="I170" i="7" s="1" a="1"/>
  <c r="I170" i="7" s="1"/>
  <c r="I171" i="7" s="1" a="1"/>
  <c r="I171" i="7" s="1"/>
  <c r="I172" i="7" s="1" a="1"/>
  <c r="I172" i="7" s="1"/>
  <c r="I173" i="7" s="1" a="1"/>
  <c r="I173" i="7" s="1"/>
  <c r="I174" i="7" s="1" a="1"/>
  <c r="I174" i="7" s="1"/>
  <c r="I175" i="7" s="1" a="1"/>
  <c r="I175" i="7" s="1"/>
  <c r="I176" i="7" s="1" a="1"/>
  <c r="I176" i="7" s="1"/>
  <c r="I177" i="7" s="1" a="1"/>
  <c r="I177" i="7" s="1"/>
  <c r="I178" i="7" s="1" a="1"/>
  <c r="I178" i="7" s="1"/>
  <c r="I179" i="7" s="1" a="1"/>
  <c r="I179" i="7" s="1"/>
  <c r="I180" i="7" s="1" a="1"/>
  <c r="I180" i="7" s="1"/>
  <c r="I181" i="7" s="1" a="1"/>
  <c r="I181" i="7" s="1"/>
  <c r="I182" i="7" s="1" a="1"/>
  <c r="I182" i="7" s="1"/>
  <c r="I183" i="7" s="1" a="1"/>
  <c r="I183" i="7" s="1"/>
  <c r="I184" i="7" s="1" a="1"/>
  <c r="I184" i="7" s="1"/>
  <c r="I185" i="7" s="1" a="1"/>
  <c r="I185" i="7" s="1"/>
  <c r="I186" i="7" s="1" a="1"/>
  <c r="I186" i="7" s="1"/>
  <c r="I187" i="7" s="1" a="1"/>
  <c r="I187" i="7" s="1"/>
  <c r="I188" i="7" s="1" a="1"/>
  <c r="I188" i="7" s="1"/>
  <c r="I189" i="7" s="1" a="1"/>
  <c r="I189" i="7" s="1"/>
  <c r="I190" i="7" s="1" a="1"/>
  <c r="I190" i="7" s="1"/>
  <c r="I191" i="7" s="1" a="1"/>
  <c r="I191" i="7" s="1"/>
  <c r="I192" i="7" s="1" a="1"/>
  <c r="I192" i="7" s="1"/>
  <c r="I193" i="7" s="1" a="1"/>
  <c r="I193" i="7" s="1"/>
  <c r="I194" i="7" s="1" a="1"/>
  <c r="I194" i="7" s="1"/>
  <c r="I195" i="7" s="1" a="1"/>
  <c r="I195" i="7" s="1"/>
  <c r="I196" i="7" s="1" a="1"/>
  <c r="I196" i="7" s="1"/>
  <c r="I197" i="7" s="1" a="1"/>
  <c r="I197" i="7" s="1"/>
  <c r="I198" i="7" s="1" a="1"/>
  <c r="I198" i="7" s="1"/>
  <c r="I199" i="7" s="1" a="1"/>
  <c r="I199" i="7" s="1"/>
  <c r="I200" i="7" s="1" a="1"/>
  <c r="I200" i="7" s="1"/>
  <c r="I201" i="7" s="1" a="1"/>
  <c r="I201" i="7" s="1"/>
  <c r="I202" i="7" s="1" a="1"/>
  <c r="I202" i="7" s="1"/>
  <c r="I203" i="7" s="1" a="1"/>
  <c r="I203" i="7" s="1"/>
  <c r="I204" i="7" s="1" a="1"/>
  <c r="I204" i="7" s="1"/>
  <c r="I205" i="7" s="1" a="1"/>
  <c r="I205" i="7" s="1"/>
  <c r="I206" i="7" s="1" a="1"/>
  <c r="I206" i="7" s="1"/>
  <c r="I207" i="7" s="1" a="1"/>
  <c r="I207" i="7" s="1"/>
  <c r="I208" i="7" s="1" a="1"/>
  <c r="I208" i="7" s="1"/>
  <c r="I209" i="7" s="1" a="1"/>
  <c r="I209" i="7" s="1"/>
  <c r="I210" i="7" s="1" a="1"/>
  <c r="I210" i="7" s="1"/>
  <c r="I211" i="7" s="1" a="1"/>
  <c r="I211" i="7" s="1"/>
  <c r="I212" i="7" s="1" a="1"/>
  <c r="I212" i="7" s="1"/>
  <c r="I213" i="7" s="1" a="1"/>
  <c r="I213" i="7" s="1"/>
  <c r="I214" i="7" s="1" a="1"/>
  <c r="I214" i="7" s="1"/>
  <c r="I215" i="7" s="1" a="1"/>
  <c r="I215" i="7" s="1"/>
  <c r="I216" i="7" s="1" a="1"/>
  <c r="I216" i="7" s="1"/>
  <c r="I217" i="7" s="1" a="1"/>
  <c r="I217" i="7" s="1"/>
  <c r="I218" i="7" s="1" a="1"/>
  <c r="I218" i="7" s="1"/>
  <c r="I219" i="7" s="1" a="1"/>
  <c r="I219" i="7" s="1"/>
  <c r="I220" i="7" s="1" a="1"/>
  <c r="I220" i="7" s="1"/>
  <c r="I221" i="7" s="1" a="1"/>
  <c r="I221" i="7" s="1"/>
  <c r="I222" i="7" s="1" a="1"/>
  <c r="I222" i="7" s="1"/>
  <c r="I223" i="7" s="1" a="1"/>
  <c r="I223" i="7" s="1"/>
  <c r="I224" i="7" s="1" a="1"/>
  <c r="I224" i="7" s="1"/>
  <c r="I225" i="7" s="1" a="1"/>
  <c r="I225" i="7" s="1"/>
  <c r="I226" i="7" s="1" a="1"/>
  <c r="I226" i="7" s="1"/>
  <c r="I227" i="7" s="1" a="1"/>
  <c r="I227" i="7" s="1"/>
  <c r="I228" i="7" s="1" a="1"/>
  <c r="I228" i="7" s="1"/>
  <c r="I229" i="7" s="1" a="1"/>
  <c r="I229" i="7" s="1"/>
  <c r="I230" i="7" s="1" a="1"/>
  <c r="I230" i="7" s="1"/>
  <c r="I231" i="7" s="1" a="1"/>
  <c r="I231" i="7" s="1"/>
  <c r="I232" i="7" s="1" a="1"/>
  <c r="I232" i="7" s="1"/>
  <c r="I233" i="7" s="1" a="1"/>
  <c r="I233" i="7" s="1"/>
  <c r="I234" i="7" s="1" a="1"/>
  <c r="I234" i="7" s="1"/>
  <c r="I235" i="7" s="1" a="1"/>
  <c r="I235" i="7" s="1"/>
  <c r="I236" i="7" s="1" a="1"/>
  <c r="I236" i="7" s="1"/>
  <c r="I237" i="7" s="1" a="1"/>
  <c r="I237" i="7" s="1"/>
  <c r="I238" i="7" s="1" a="1"/>
  <c r="I238" i="7" s="1"/>
  <c r="I239" i="7" s="1" a="1"/>
  <c r="I239" i="7" s="1"/>
  <c r="I240" i="7" s="1" a="1"/>
  <c r="I240" i="7" s="1"/>
  <c r="I241" i="7" s="1" a="1"/>
  <c r="I241" i="7" s="1"/>
  <c r="I242" i="7" s="1" a="1"/>
  <c r="I242" i="7" s="1"/>
  <c r="I243" i="7" s="1" a="1"/>
  <c r="I243" i="7" s="1"/>
  <c r="I244" i="7" s="1" a="1"/>
  <c r="I244" i="7" s="1"/>
  <c r="I245" i="7" s="1" a="1"/>
  <c r="I245" i="7" s="1"/>
  <c r="I246" i="7" s="1" a="1"/>
  <c r="I246" i="7" s="1"/>
  <c r="I247" i="7" s="1" a="1"/>
  <c r="I247" i="7" s="1"/>
  <c r="I248" i="7" s="1" a="1"/>
  <c r="I248" i="7" s="1"/>
  <c r="I249" i="7" s="1" a="1"/>
  <c r="I249" i="7" s="1"/>
  <c r="I250" i="7" s="1" a="1"/>
  <c r="I250" i="7" s="1"/>
  <c r="I251" i="7" s="1" a="1"/>
  <c r="I251" i="7" s="1"/>
  <c r="I252" i="7" s="1" a="1"/>
  <c r="I252" i="7" s="1"/>
  <c r="I253" i="7" s="1" a="1"/>
  <c r="I253" i="7" s="1"/>
  <c r="I254" i="7" s="1" a="1"/>
  <c r="I254" i="7" s="1"/>
  <c r="I255" i="7" s="1" a="1"/>
  <c r="I255" i="7" s="1"/>
  <c r="I256" i="7" s="1" a="1"/>
  <c r="I256" i="7" s="1"/>
  <c r="I257" i="7" s="1" a="1"/>
  <c r="I257" i="7" s="1"/>
  <c r="I258" i="7" s="1" a="1"/>
  <c r="I258" i="7" s="1"/>
  <c r="I259" i="7" s="1" a="1"/>
  <c r="I259" i="7" s="1"/>
  <c r="I260" i="7" s="1" a="1"/>
  <c r="I260" i="7" s="1"/>
  <c r="I261" i="7" s="1" a="1"/>
  <c r="I261" i="7" s="1"/>
  <c r="I262" i="7" s="1" a="1"/>
  <c r="I262" i="7" s="1"/>
  <c r="I263" i="7" s="1" a="1"/>
  <c r="I263" i="7" s="1"/>
  <c r="I264" i="7" s="1" a="1"/>
  <c r="I264" i="7" s="1"/>
  <c r="I265" i="7" s="1" a="1"/>
  <c r="I265" i="7" s="1"/>
  <c r="I266" i="7" s="1" a="1"/>
  <c r="I266" i="7" s="1"/>
  <c r="I267" i="7" s="1" a="1"/>
  <c r="I267" i="7" s="1"/>
  <c r="I268" i="7" s="1" a="1"/>
  <c r="I268" i="7" s="1"/>
  <c r="I269" i="7" s="1" a="1"/>
  <c r="I269" i="7" s="1"/>
  <c r="I270" i="7" s="1" a="1"/>
  <c r="I270" i="7" s="1"/>
  <c r="I271" i="7" s="1" a="1"/>
  <c r="I271" i="7" s="1"/>
  <c r="I272" i="7" s="1" a="1"/>
  <c r="I272" i="7" s="1"/>
  <c r="I273" i="7" s="1" a="1"/>
  <c r="I273" i="7" s="1"/>
  <c r="I274" i="7" s="1" a="1"/>
  <c r="I274" i="7" s="1"/>
  <c r="I275" i="7" s="1" a="1"/>
  <c r="I275" i="7" s="1"/>
  <c r="I276" i="7" s="1" a="1"/>
  <c r="I276" i="7" s="1"/>
  <c r="I277" i="7" s="1" a="1"/>
  <c r="I277" i="7" s="1"/>
  <c r="I278" i="7" s="1" a="1"/>
  <c r="I278" i="7" s="1"/>
  <c r="I279" i="7" s="1" a="1"/>
  <c r="I279" i="7" s="1"/>
  <c r="I280" i="7" s="1" a="1"/>
  <c r="I280" i="7" s="1"/>
  <c r="I281" i="7" s="1" a="1"/>
  <c r="I281" i="7" s="1"/>
  <c r="I282" i="7" s="1" a="1"/>
  <c r="I282" i="7" s="1"/>
  <c r="I283" i="7" s="1" a="1"/>
  <c r="I283" i="7" s="1"/>
  <c r="I284" i="7" s="1" a="1"/>
  <c r="I284" i="7" s="1"/>
  <c r="I285" i="7" s="1" a="1"/>
  <c r="I285" i="7" s="1"/>
  <c r="I286" i="7" s="1" a="1"/>
  <c r="I286" i="7" s="1"/>
  <c r="I287" i="7" s="1" a="1"/>
  <c r="I287" i="7" s="1"/>
  <c r="I288" i="7" s="1" a="1"/>
  <c r="I288" i="7" s="1"/>
  <c r="I289" i="7" s="1" a="1"/>
  <c r="I289" i="7" s="1"/>
  <c r="I290" i="7" s="1" a="1"/>
  <c r="I290" i="7" s="1"/>
  <c r="I291" i="7" s="1" a="1"/>
  <c r="I291" i="7" s="1"/>
  <c r="I292" i="7" s="1" a="1"/>
  <c r="I292" i="7" s="1"/>
  <c r="I293" i="7" s="1" a="1"/>
  <c r="I293" i="7" s="1"/>
  <c r="I294" i="7" s="1" a="1"/>
  <c r="I294" i="7" s="1"/>
  <c r="I295" i="7" s="1" a="1"/>
  <c r="I295" i="7" s="1"/>
  <c r="I296" i="7" s="1" a="1"/>
  <c r="I296" i="7" s="1"/>
  <c r="I297" i="7" s="1" a="1"/>
  <c r="I297" i="7" s="1"/>
  <c r="I298" i="7" s="1" a="1"/>
  <c r="I298" i="7" s="1"/>
  <c r="I299" i="7" s="1" a="1"/>
  <c r="I299" i="7" s="1"/>
  <c r="I300" i="7" s="1" a="1"/>
  <c r="I300" i="7" s="1"/>
  <c r="I301" i="7" s="1" a="1"/>
  <c r="I301" i="7" s="1"/>
  <c r="I302" i="7" s="1" a="1"/>
  <c r="I302" i="7" s="1"/>
  <c r="I303" i="7" s="1" a="1"/>
  <c r="I303" i="7" s="1"/>
  <c r="I304" i="7" s="1" a="1"/>
  <c r="I304" i="7" s="1"/>
  <c r="I305" i="7" s="1" a="1"/>
  <c r="I305" i="7" s="1"/>
  <c r="I306" i="7" s="1" a="1"/>
  <c r="I306" i="7" s="1"/>
  <c r="I307" i="7" s="1" a="1"/>
  <c r="I307" i="7" s="1"/>
  <c r="I308" i="7" s="1" a="1"/>
  <c r="I308" i="7" s="1"/>
  <c r="I309" i="7" s="1" a="1"/>
  <c r="I309" i="7" s="1"/>
  <c r="I310" i="7" s="1" a="1"/>
  <c r="I310" i="7" s="1"/>
  <c r="I311" i="7" s="1" a="1"/>
  <c r="I311" i="7" s="1"/>
  <c r="I312" i="7" s="1" a="1"/>
  <c r="I312" i="7" s="1"/>
  <c r="I313" i="7" s="1" a="1"/>
  <c r="I313" i="7" s="1"/>
  <c r="I314" i="7" s="1" a="1"/>
  <c r="I314" i="7" s="1"/>
  <c r="I315" i="7" s="1" a="1"/>
  <c r="I315" i="7" s="1"/>
  <c r="I316" i="7" s="1" a="1"/>
  <c r="I316" i="7" s="1"/>
  <c r="I317" i="7" s="1" a="1"/>
  <c r="I317" i="7" s="1"/>
  <c r="I318" i="7" s="1" a="1"/>
  <c r="I318" i="7" s="1"/>
  <c r="I319" i="7" s="1" a="1"/>
  <c r="I319" i="7" s="1"/>
  <c r="I320" i="7" s="1" a="1"/>
  <c r="I320" i="7" s="1"/>
  <c r="I321" i="7" s="1" a="1"/>
  <c r="I321" i="7" s="1"/>
  <c r="I322" i="7" s="1" a="1"/>
  <c r="I322" i="7" s="1"/>
  <c r="I323" i="7" s="1" a="1"/>
  <c r="I323" i="7" s="1"/>
  <c r="I324" i="7" s="1" a="1"/>
  <c r="I324" i="7" s="1"/>
  <c r="I325" i="7" s="1" a="1"/>
  <c r="I325" i="7" s="1"/>
  <c r="I326" i="7" s="1" a="1"/>
  <c r="I326" i="7" s="1"/>
  <c r="I327" i="7" s="1" a="1"/>
  <c r="I327" i="7" s="1"/>
  <c r="I328" i="7" s="1" a="1"/>
  <c r="I328" i="7" s="1"/>
  <c r="I329" i="7" s="1" a="1"/>
  <c r="I329" i="7" s="1"/>
  <c r="I330" i="7" s="1" a="1"/>
  <c r="I330" i="7" s="1"/>
  <c r="I331" i="7" s="1" a="1"/>
  <c r="I331" i="7" s="1"/>
  <c r="I332" i="7" s="1" a="1"/>
  <c r="I332" i="7" s="1"/>
  <c r="I333" i="7" s="1" a="1"/>
  <c r="I333" i="7" s="1"/>
  <c r="I334" i="7" s="1" a="1"/>
  <c r="I334" i="7" s="1"/>
  <c r="I335" i="7" s="1" a="1"/>
  <c r="I335" i="7" s="1"/>
  <c r="I336" i="7" s="1" a="1"/>
  <c r="I336" i="7" s="1"/>
  <c r="I337" i="7" s="1" a="1"/>
  <c r="I337" i="7" s="1"/>
  <c r="I338" i="7" s="1" a="1"/>
  <c r="I338" i="7" s="1"/>
  <c r="I339" i="7" s="1" a="1"/>
  <c r="I339" i="7" s="1"/>
  <c r="I340" i="7" s="1" a="1"/>
  <c r="I340" i="7" s="1"/>
  <c r="I341" i="7" s="1" a="1"/>
  <c r="I341" i="7" s="1"/>
  <c r="I342" i="7" s="1" a="1"/>
  <c r="I342" i="7" s="1"/>
  <c r="I343" i="7" s="1" a="1"/>
  <c r="I343" i="7" s="1"/>
  <c r="I344" i="7" s="1" a="1"/>
  <c r="I344" i="7" s="1"/>
  <c r="I345" i="7" s="1" a="1"/>
  <c r="I345" i="7" s="1"/>
  <c r="I346" i="7" s="1" a="1"/>
  <c r="I346" i="7" s="1"/>
  <c r="I347" i="7" s="1" a="1"/>
  <c r="I347" i="7" s="1"/>
  <c r="I348" i="7" s="1" a="1"/>
  <c r="I348" i="7" s="1"/>
  <c r="I349" i="7" s="1" a="1"/>
  <c r="I349" i="7" s="1"/>
  <c r="I350" i="7" s="1" a="1"/>
  <c r="I350" i="7" s="1"/>
  <c r="I351" i="7" s="1" a="1"/>
  <c r="I351" i="7" s="1"/>
  <c r="I352" i="7" s="1" a="1"/>
  <c r="I352" i="7" s="1"/>
  <c r="I353" i="7" s="1" a="1"/>
  <c r="I353" i="7" s="1"/>
  <c r="I354" i="7" s="1" a="1"/>
  <c r="I354" i="7" s="1"/>
  <c r="I355" i="7" s="1" a="1"/>
  <c r="I355" i="7" s="1"/>
  <c r="I356" i="7" s="1" a="1"/>
  <c r="I356" i="7" s="1"/>
  <c r="I357" i="7" s="1" a="1"/>
  <c r="I357" i="7" s="1"/>
  <c r="I358" i="7" s="1" a="1"/>
  <c r="I358" i="7" s="1"/>
  <c r="I359" i="7" s="1" a="1"/>
  <c r="I359" i="7" s="1"/>
  <c r="I360" i="7" s="1" a="1"/>
  <c r="I360" i="7" s="1"/>
  <c r="I361" i="7" s="1" a="1"/>
  <c r="I361" i="7" s="1"/>
  <c r="I362" i="7" s="1" a="1"/>
  <c r="I362" i="7" s="1"/>
  <c r="I363" i="7" s="1" a="1"/>
  <c r="I363" i="7" s="1"/>
  <c r="I364" i="7" s="1" a="1"/>
  <c r="I364" i="7" s="1"/>
  <c r="I365" i="7" s="1" a="1"/>
  <c r="I365" i="7" s="1"/>
  <c r="I366" i="7" s="1" a="1"/>
  <c r="I366" i="7" s="1"/>
  <c r="I367" i="7" s="1" a="1"/>
  <c r="I367" i="7" s="1"/>
  <c r="I368" i="7" s="1" a="1"/>
  <c r="I368" i="7" s="1"/>
  <c r="I369" i="7" s="1" a="1"/>
  <c r="I369" i="7" s="1"/>
  <c r="I370" i="7" s="1" a="1"/>
  <c r="I370" i="7" s="1"/>
  <c r="I371" i="7" s="1" a="1"/>
  <c r="I371" i="7" s="1"/>
  <c r="I372" i="7" s="1" a="1"/>
  <c r="I372" i="7" s="1"/>
  <c r="I373" i="7" s="1" a="1"/>
  <c r="I373" i="7" s="1"/>
  <c r="I374" i="7" s="1" a="1"/>
  <c r="I374" i="7" s="1"/>
  <c r="I375" i="7" s="1" a="1"/>
  <c r="I375" i="7" s="1"/>
  <c r="I376" i="7" s="1" a="1"/>
  <c r="I376" i="7" s="1"/>
  <c r="I377" i="7" s="1" a="1"/>
  <c r="I377" i="7" s="1"/>
  <c r="I378" i="7" s="1" a="1"/>
  <c r="I378" i="7" s="1"/>
  <c r="I379" i="7" s="1" a="1"/>
  <c r="I379" i="7" s="1"/>
  <c r="I380" i="7" s="1" a="1"/>
  <c r="I380" i="7" s="1"/>
  <c r="I381" i="7" s="1" a="1"/>
  <c r="I381" i="7" s="1"/>
  <c r="I382" i="7" s="1" a="1"/>
  <c r="I382" i="7" s="1"/>
  <c r="I383" i="7" s="1" a="1"/>
  <c r="I383" i="7" s="1"/>
  <c r="I384" i="7" s="1" a="1"/>
  <c r="I384" i="7" s="1"/>
  <c r="I385" i="7" s="1" a="1"/>
  <c r="I385" i="7" s="1"/>
  <c r="I386" i="7" s="1" a="1"/>
  <c r="I386" i="7" s="1"/>
  <c r="I387" i="7" s="1" a="1"/>
  <c r="I387" i="7" s="1"/>
  <c r="I388" i="7" s="1" a="1"/>
  <c r="I388" i="7" s="1"/>
  <c r="I389" i="7" s="1" a="1"/>
  <c r="I389" i="7" s="1"/>
  <c r="I390" i="7" s="1" a="1"/>
  <c r="I390" i="7" s="1"/>
  <c r="I391" i="7" s="1" a="1"/>
  <c r="I391" i="7" s="1"/>
  <c r="I392" i="7" s="1" a="1"/>
  <c r="I392" i="7" s="1"/>
  <c r="I393" i="7" s="1" a="1"/>
  <c r="I393" i="7" s="1"/>
  <c r="I394" i="7" s="1" a="1"/>
  <c r="I394" i="7" s="1"/>
  <c r="I395" i="7" s="1" a="1"/>
  <c r="I395" i="7" s="1"/>
  <c r="I396" i="7" s="1" a="1"/>
  <c r="I396" i="7" s="1"/>
  <c r="I397" i="7" s="1" a="1"/>
  <c r="I397" i="7" s="1"/>
  <c r="I398" i="7" s="1" a="1"/>
  <c r="I398" i="7" s="1"/>
  <c r="I399" i="7" s="1" a="1"/>
  <c r="I399" i="7" s="1"/>
  <c r="I400" i="7" s="1" a="1"/>
  <c r="I400" i="7" s="1"/>
  <c r="I401" i="7" s="1" a="1"/>
  <c r="I401" i="7" s="1"/>
  <c r="I402" i="7" s="1" a="1"/>
  <c r="I402" i="7" s="1"/>
  <c r="I403" i="7" s="1" a="1"/>
  <c r="I403" i="7" s="1"/>
  <c r="I404" i="7" s="1" a="1"/>
  <c r="I404" i="7" s="1"/>
  <c r="I405" i="7" s="1" a="1"/>
  <c r="I405" i="7" s="1"/>
  <c r="I406" i="7" s="1" a="1"/>
  <c r="I406" i="7" s="1"/>
  <c r="I407" i="7" s="1" a="1"/>
  <c r="I407" i="7" s="1"/>
  <c r="I408" i="7" s="1" a="1"/>
  <c r="I408" i="7" s="1"/>
  <c r="I409" i="7" s="1" a="1"/>
  <c r="I409" i="7" s="1"/>
  <c r="I410" i="7" s="1" a="1"/>
  <c r="I410" i="7" s="1"/>
  <c r="I411" i="7" s="1" a="1"/>
  <c r="I411" i="7" s="1"/>
  <c r="I412" i="7" s="1" a="1"/>
  <c r="I412" i="7" s="1"/>
  <c r="I413" i="7" s="1" a="1"/>
  <c r="I413" i="7" s="1"/>
  <c r="I414" i="7" s="1" a="1"/>
  <c r="I414" i="7" s="1"/>
  <c r="I415" i="7" s="1" a="1"/>
  <c r="I415" i="7" s="1"/>
  <c r="I416" i="7" s="1" a="1"/>
  <c r="I416" i="7" s="1"/>
  <c r="I417" i="7" s="1" a="1"/>
  <c r="I417" i="7" s="1"/>
  <c r="I418" i="7" s="1" a="1"/>
  <c r="I418" i="7" s="1"/>
  <c r="I419" i="7" s="1" a="1"/>
  <c r="I419" i="7" s="1"/>
  <c r="I420" i="7" s="1" a="1"/>
  <c r="I420" i="7" s="1"/>
  <c r="I421" i="7" s="1" a="1"/>
  <c r="I421" i="7" s="1"/>
  <c r="I422" i="7" s="1" a="1"/>
  <c r="I422" i="7" s="1"/>
  <c r="I423" i="7" s="1" a="1"/>
  <c r="I423" i="7" s="1"/>
  <c r="I424" i="7" s="1" a="1"/>
  <c r="I424" i="7" s="1"/>
  <c r="I425" i="7" s="1" a="1"/>
  <c r="I425" i="7" s="1"/>
  <c r="I426" i="7" s="1" a="1"/>
  <c r="I426" i="7" s="1"/>
  <c r="I427" i="7" s="1" a="1"/>
  <c r="I427" i="7" s="1"/>
  <c r="I428" i="7" s="1" a="1"/>
  <c r="I428" i="7" s="1"/>
  <c r="I429" i="7" s="1" a="1"/>
  <c r="I429" i="7" s="1"/>
  <c r="I430" i="7" s="1" a="1"/>
  <c r="I430" i="7" s="1"/>
  <c r="I431" i="7" s="1" a="1"/>
  <c r="I431" i="7" s="1"/>
  <c r="I432" i="7" s="1" a="1"/>
  <c r="I432" i="7" s="1"/>
  <c r="I433" i="7" s="1" a="1"/>
  <c r="I433" i="7" s="1"/>
  <c r="I434" i="7" s="1" a="1"/>
  <c r="I434" i="7" s="1"/>
  <c r="I435" i="7" s="1" a="1"/>
  <c r="I435" i="7" s="1"/>
  <c r="I436" i="7" s="1" a="1"/>
  <c r="I436" i="7" s="1"/>
  <c r="I437" i="7" s="1" a="1"/>
  <c r="I437" i="7" s="1"/>
  <c r="I438" i="7" s="1" a="1"/>
  <c r="I438" i="7" s="1"/>
  <c r="I439" i="7" s="1" a="1"/>
  <c r="I439" i="7" s="1"/>
  <c r="I440" i="7" s="1" a="1"/>
  <c r="I440" i="7" s="1"/>
  <c r="I441" i="7" s="1" a="1"/>
  <c r="I441" i="7" s="1"/>
  <c r="I442" i="7" s="1" a="1"/>
  <c r="I442" i="7" s="1"/>
  <c r="I443" i="7" s="1" a="1"/>
  <c r="I443" i="7" s="1"/>
  <c r="I444" i="7" s="1" a="1"/>
  <c r="I444" i="7" s="1"/>
  <c r="I445" i="7" s="1" a="1"/>
  <c r="I445" i="7" s="1"/>
  <c r="I446" i="7" s="1" a="1"/>
  <c r="I446" i="7" s="1"/>
  <c r="I447" i="7" s="1" a="1"/>
  <c r="I447" i="7" s="1"/>
  <c r="I448" i="7" s="1" a="1"/>
  <c r="I448" i="7" s="1"/>
  <c r="I449" i="7" s="1" a="1"/>
  <c r="I449" i="7" s="1"/>
  <c r="I450" i="7" s="1" a="1"/>
  <c r="I450" i="7" s="1"/>
  <c r="I451" i="7" s="1" a="1"/>
  <c r="I451" i="7" s="1"/>
  <c r="I452" i="7" s="1" a="1"/>
  <c r="I452" i="7" s="1"/>
  <c r="I453" i="7" s="1" a="1"/>
  <c r="I453" i="7" s="1"/>
  <c r="I454" i="7" s="1" a="1"/>
  <c r="I454" i="7" s="1"/>
  <c r="I455" i="7" s="1" a="1"/>
  <c r="I455" i="7" s="1"/>
  <c r="I456" i="7" s="1" a="1"/>
  <c r="I456" i="7" s="1"/>
  <c r="I457" i="7" s="1" a="1"/>
  <c r="I457" i="7" s="1"/>
  <c r="I458" i="7" s="1" a="1"/>
  <c r="I458" i="7" s="1"/>
  <c r="I459" i="7" s="1" a="1"/>
  <c r="I459" i="7" s="1"/>
  <c r="I460" i="7" s="1" a="1"/>
  <c r="I460" i="7" s="1"/>
  <c r="I461" i="7" s="1" a="1"/>
  <c r="I461" i="7" s="1"/>
  <c r="I462" i="7" s="1" a="1"/>
  <c r="I462" i="7" s="1"/>
  <c r="I463" i="7" s="1" a="1"/>
  <c r="I463" i="7" s="1"/>
  <c r="I464" i="7" s="1" a="1"/>
  <c r="I464" i="7" s="1"/>
  <c r="I465" i="7" s="1" a="1"/>
  <c r="I465" i="7" s="1"/>
  <c r="I466" i="7" s="1" a="1"/>
  <c r="I466" i="7" s="1"/>
  <c r="I467" i="7" s="1" a="1"/>
  <c r="I467" i="7" s="1"/>
  <c r="I468" i="7" s="1" a="1"/>
  <c r="I468" i="7" s="1"/>
  <c r="I469" i="7" s="1" a="1"/>
  <c r="I469" i="7" s="1"/>
  <c r="I470" i="7" s="1" a="1"/>
  <c r="I470" i="7" s="1"/>
  <c r="I471" i="7" s="1" a="1"/>
  <c r="I471" i="7" s="1"/>
  <c r="I472" i="7" s="1" a="1"/>
  <c r="I472" i="7" s="1"/>
  <c r="I473" i="7" s="1" a="1"/>
  <c r="I473" i="7" s="1"/>
  <c r="I474" i="7" s="1" a="1"/>
  <c r="I474" i="7" s="1"/>
  <c r="I475" i="7" s="1" a="1"/>
  <c r="I475" i="7" s="1"/>
  <c r="I476" i="7" s="1" a="1"/>
  <c r="I476" i="7" s="1"/>
  <c r="I477" i="7" s="1" a="1"/>
  <c r="I477" i="7" s="1"/>
  <c r="I478" i="7" s="1" a="1"/>
  <c r="I478" i="7" s="1"/>
  <c r="I479" i="7" s="1" a="1"/>
  <c r="I479" i="7" s="1"/>
  <c r="I480" i="7" s="1" a="1"/>
  <c r="I480" i="7" s="1"/>
  <c r="I481" i="7" s="1" a="1"/>
  <c r="I481" i="7" s="1"/>
  <c r="I482" i="7" s="1" a="1"/>
  <c r="I482" i="7" s="1"/>
  <c r="I483" i="7" s="1" a="1"/>
  <c r="I483" i="7" s="1"/>
  <c r="I484" i="7" s="1" a="1"/>
  <c r="I484" i="7" s="1"/>
  <c r="I485" i="7" s="1" a="1"/>
  <c r="I485" i="7" s="1"/>
  <c r="I486" i="7" s="1" a="1"/>
  <c r="I486" i="7" s="1"/>
  <c r="I487" i="7" s="1" a="1"/>
  <c r="I487" i="7" s="1"/>
  <c r="I488" i="7" s="1" a="1"/>
  <c r="I488" i="7" s="1"/>
  <c r="I489" i="7" s="1" a="1"/>
  <c r="I489" i="7" s="1"/>
  <c r="I490" i="7" s="1" a="1"/>
  <c r="I490" i="7" s="1"/>
  <c r="I491" i="7" s="1" a="1"/>
  <c r="I491" i="7" s="1"/>
  <c r="I492" i="7" s="1" a="1"/>
  <c r="I492" i="7" s="1"/>
  <c r="I493" i="7" s="1" a="1"/>
  <c r="I493" i="7" s="1"/>
  <c r="I494" i="7" s="1" a="1"/>
  <c r="I494" i="7" s="1"/>
  <c r="I495" i="7" s="1" a="1"/>
  <c r="I495" i="7" s="1"/>
  <c r="I496" i="7" s="1" a="1"/>
  <c r="I496" i="7" s="1"/>
  <c r="I497" i="7" s="1" a="1"/>
  <c r="I497" i="7" s="1"/>
  <c r="I498" i="7" s="1" a="1"/>
  <c r="I498" i="7" s="1"/>
  <c r="I499" i="7" s="1" a="1"/>
  <c r="I499" i="7" s="1"/>
  <c r="I500" i="7" s="1" a="1"/>
  <c r="I500" i="7" s="1"/>
  <c r="I501" i="7" s="1" a="1"/>
  <c r="I501" i="7" s="1"/>
  <c r="I502" i="7" s="1" a="1"/>
  <c r="I502" i="7" s="1"/>
  <c r="I503" i="7" s="1" a="1"/>
  <c r="I503" i="7" s="1"/>
  <c r="I504" i="7" s="1" a="1"/>
  <c r="I504" i="7" s="1"/>
  <c r="I505" i="7" s="1" a="1"/>
  <c r="I505" i="7" s="1"/>
  <c r="I506" i="7" s="1" a="1"/>
  <c r="I506" i="7" s="1"/>
  <c r="I507" i="7" s="1" a="1"/>
  <c r="I507" i="7" s="1"/>
  <c r="I508" i="7" s="1" a="1"/>
  <c r="I508" i="7" s="1"/>
  <c r="I509" i="7" s="1" a="1"/>
  <c r="I509" i="7" s="1"/>
  <c r="I510" i="7" s="1" a="1"/>
  <c r="I510" i="7" s="1"/>
  <c r="I511" i="7" s="1" a="1"/>
  <c r="I511" i="7" s="1"/>
  <c r="I512" i="7" s="1" a="1"/>
  <c r="I512" i="7" s="1"/>
  <c r="I513" i="7" s="1" a="1"/>
  <c r="I513" i="7" s="1"/>
  <c r="I514" i="7" s="1" a="1"/>
  <c r="I514" i="7" s="1"/>
  <c r="I515" i="7" s="1" a="1"/>
  <c r="I515" i="7" s="1"/>
  <c r="I516" i="7" s="1" a="1"/>
  <c r="I516" i="7" s="1"/>
  <c r="I517" i="7" s="1" a="1"/>
  <c r="I517" i="7" s="1"/>
  <c r="I518" i="7" s="1" a="1"/>
  <c r="I518" i="7" s="1"/>
  <c r="I519" i="7" s="1" a="1"/>
  <c r="I519" i="7" s="1"/>
  <c r="I520" i="7" s="1" a="1"/>
  <c r="I520" i="7" s="1"/>
  <c r="I521" i="7" s="1" a="1"/>
  <c r="I521" i="7" s="1"/>
  <c r="I522" i="7" s="1" a="1"/>
  <c r="I522" i="7" s="1"/>
  <c r="I523" i="7" s="1" a="1"/>
  <c r="I523" i="7" s="1"/>
  <c r="I524" i="7" s="1" a="1"/>
  <c r="I524" i="7" s="1"/>
  <c r="I525" i="7" s="1" a="1"/>
  <c r="I525" i="7" s="1"/>
  <c r="I526" i="7" s="1" a="1"/>
  <c r="I526" i="7" s="1"/>
  <c r="I527" i="7" s="1" a="1"/>
  <c r="I527" i="7" s="1"/>
  <c r="I528" i="7" s="1" a="1"/>
  <c r="I528" i="7" s="1"/>
  <c r="I529" i="7" s="1" a="1"/>
  <c r="I529" i="7" s="1"/>
  <c r="I530" i="7" s="1" a="1"/>
  <c r="I530" i="7" s="1"/>
  <c r="I531" i="7" s="1" a="1"/>
  <c r="I531" i="7" s="1"/>
  <c r="I532" i="7" s="1" a="1"/>
  <c r="I532" i="7" s="1"/>
  <c r="I533" i="7" s="1" a="1"/>
  <c r="I533" i="7" s="1"/>
  <c r="I534" i="7" s="1" a="1"/>
  <c r="I534" i="7" s="1"/>
  <c r="I535" i="7" s="1" a="1"/>
  <c r="I535" i="7" s="1"/>
  <c r="I536" i="7" s="1" a="1"/>
  <c r="I536" i="7" s="1"/>
  <c r="I537" i="7" s="1" a="1"/>
  <c r="I537" i="7" s="1"/>
  <c r="I538" i="7" s="1" a="1"/>
  <c r="I538" i="7" s="1"/>
  <c r="I539" i="7" s="1" a="1"/>
  <c r="I539" i="7" s="1"/>
  <c r="I540" i="7" s="1" a="1"/>
  <c r="I540" i="7" s="1"/>
  <c r="I541" i="7" s="1" a="1"/>
  <c r="I541" i="7" s="1"/>
  <c r="I542" i="7" s="1" a="1"/>
  <c r="I542" i="7" s="1"/>
  <c r="I543" i="7" s="1" a="1"/>
  <c r="I543" i="7" s="1"/>
  <c r="I544" i="7" s="1" a="1"/>
  <c r="I544" i="7" s="1"/>
  <c r="I545" i="7" s="1" a="1"/>
  <c r="I545" i="7" s="1"/>
  <c r="I546" i="7" s="1" a="1"/>
  <c r="I546" i="7" s="1"/>
  <c r="I547" i="7" s="1" a="1"/>
  <c r="I547" i="7" s="1"/>
  <c r="I548" i="7" s="1" a="1"/>
  <c r="I548" i="7" s="1"/>
  <c r="I549" i="7" s="1" a="1"/>
  <c r="I549" i="7" s="1"/>
  <c r="I550" i="7" s="1" a="1"/>
  <c r="I550" i="7" s="1"/>
  <c r="I551" i="7" s="1" a="1"/>
  <c r="I551" i="7" s="1"/>
  <c r="I552" i="7" s="1" a="1"/>
  <c r="I552" i="7" s="1"/>
  <c r="I553" i="7" s="1" a="1"/>
  <c r="I553" i="7" s="1"/>
  <c r="I554" i="7" s="1" a="1"/>
  <c r="I554" i="7" s="1"/>
  <c r="I555" i="7" s="1" a="1"/>
  <c r="I555" i="7" s="1"/>
  <c r="I556" i="7" s="1" a="1"/>
  <c r="I556" i="7" s="1"/>
  <c r="I557" i="7" s="1" a="1"/>
  <c r="I557" i="7" s="1"/>
  <c r="I558" i="7" s="1" a="1"/>
  <c r="I558" i="7" s="1"/>
  <c r="I559" i="7" s="1" a="1"/>
  <c r="I559" i="7" s="1"/>
  <c r="I560" i="7" s="1" a="1"/>
  <c r="I560" i="7" s="1"/>
  <c r="I561" i="7" s="1" a="1"/>
  <c r="I561" i="7" s="1"/>
  <c r="I562" i="7" s="1" a="1"/>
  <c r="I562" i="7" s="1"/>
  <c r="I563" i="7" s="1" a="1"/>
  <c r="I563" i="7" s="1"/>
  <c r="I564" i="7" s="1" a="1"/>
  <c r="I564" i="7" s="1"/>
  <c r="I565" i="7" s="1" a="1"/>
  <c r="I565" i="7" s="1"/>
  <c r="I566" i="7" s="1" a="1"/>
  <c r="I566" i="7" s="1"/>
  <c r="I567" i="7" s="1" a="1"/>
  <c r="I567" i="7" s="1"/>
  <c r="I568" i="7" s="1" a="1"/>
  <c r="I568" i="7" s="1"/>
  <c r="I569" i="7" s="1" a="1"/>
  <c r="I569" i="7" s="1"/>
  <c r="I570" i="7" s="1" a="1"/>
  <c r="I570" i="7" s="1"/>
  <c r="I571" i="7" s="1" a="1"/>
  <c r="I571" i="7" s="1"/>
  <c r="I572" i="7" s="1" a="1"/>
  <c r="I572" i="7" s="1"/>
  <c r="I573" i="7" s="1" a="1"/>
  <c r="I573" i="7" s="1"/>
  <c r="I574" i="7" s="1" a="1"/>
  <c r="I574" i="7" s="1"/>
  <c r="I575" i="7" s="1" a="1"/>
  <c r="I575" i="7" s="1"/>
  <c r="I576" i="7" s="1" a="1"/>
  <c r="I576" i="7" s="1"/>
  <c r="I577" i="7" s="1" a="1"/>
  <c r="I577" i="7" s="1"/>
  <c r="I578" i="7" s="1" a="1"/>
  <c r="I578" i="7" s="1"/>
  <c r="I579" i="7" s="1" a="1"/>
  <c r="I579" i="7" s="1"/>
  <c r="I580" i="7" s="1" a="1"/>
  <c r="I580" i="7" s="1"/>
  <c r="I581" i="7" s="1" a="1"/>
  <c r="I581" i="7" s="1"/>
  <c r="I582" i="7" s="1" a="1"/>
  <c r="I582" i="7" s="1"/>
  <c r="I583" i="7" s="1" a="1"/>
  <c r="I583" i="7" s="1"/>
  <c r="I584" i="7" s="1" a="1"/>
  <c r="I584" i="7" s="1"/>
  <c r="I585" i="7" s="1" a="1"/>
  <c r="I585" i="7" s="1"/>
  <c r="I586" i="7" s="1" a="1"/>
  <c r="I586" i="7" s="1"/>
  <c r="I587" i="7" s="1" a="1"/>
  <c r="I587" i="7" s="1"/>
  <c r="I588" i="7" s="1" a="1"/>
  <c r="I588" i="7" s="1"/>
  <c r="I589" i="7" s="1" a="1"/>
  <c r="I589" i="7" s="1"/>
  <c r="I590" i="7" s="1" a="1"/>
  <c r="I590" i="7" s="1"/>
  <c r="I591" i="7" s="1" a="1"/>
  <c r="I591" i="7" s="1"/>
  <c r="I592" i="7" s="1" a="1"/>
  <c r="I592" i="7" s="1"/>
  <c r="I593" i="7" s="1" a="1"/>
  <c r="I593" i="7" s="1"/>
  <c r="I594" i="7" s="1" a="1"/>
  <c r="I594" i="7" s="1"/>
  <c r="I595" i="7" s="1" a="1"/>
  <c r="I595" i="7" s="1"/>
  <c r="I596" i="7" s="1" a="1"/>
  <c r="I596" i="7" s="1"/>
  <c r="I597" i="7" s="1" a="1"/>
  <c r="I597" i="7" s="1"/>
  <c r="I598" i="7" s="1" a="1"/>
  <c r="I598" i="7" s="1"/>
  <c r="I599" i="7" s="1" a="1"/>
  <c r="I599" i="7" s="1"/>
  <c r="I600" i="7" s="1" a="1"/>
  <c r="I600" i="7" s="1"/>
  <c r="I601" i="7" s="1" a="1"/>
  <c r="I601" i="7" s="1"/>
  <c r="I602" i="7" s="1" a="1"/>
  <c r="I602" i="7" s="1"/>
  <c r="I603" i="7" s="1" a="1"/>
  <c r="I603" i="7" s="1"/>
  <c r="I604" i="7" s="1" a="1"/>
  <c r="I604" i="7" s="1"/>
  <c r="I605" i="7" s="1" a="1"/>
  <c r="I605" i="7" s="1"/>
  <c r="I606" i="7" s="1" a="1"/>
  <c r="I606" i="7" s="1"/>
  <c r="I607" i="7" s="1" a="1"/>
  <c r="I607" i="7" s="1"/>
  <c r="I608" i="7" s="1" a="1"/>
  <c r="I608" i="7" s="1"/>
  <c r="I609" i="7" s="1" a="1"/>
  <c r="I609" i="7" s="1"/>
  <c r="I610" i="7" s="1" a="1"/>
  <c r="I610" i="7" s="1"/>
  <c r="I611" i="7" s="1" a="1"/>
  <c r="I611" i="7" s="1"/>
  <c r="I612" i="7" s="1" a="1"/>
  <c r="I612" i="7" s="1"/>
  <c r="I613" i="7" s="1" a="1"/>
  <c r="I613" i="7" s="1"/>
  <c r="I614" i="7" s="1" a="1"/>
  <c r="I614" i="7" s="1"/>
  <c r="I615" i="7" s="1" a="1"/>
  <c r="I615" i="7" s="1"/>
  <c r="I616" i="7" s="1" a="1"/>
  <c r="I616" i="7" s="1"/>
  <c r="I617" i="7" s="1" a="1"/>
  <c r="I617" i="7" s="1"/>
  <c r="I618" i="7" s="1" a="1"/>
  <c r="I618" i="7" s="1"/>
  <c r="I619" i="7" s="1" a="1"/>
  <c r="I619" i="7" s="1"/>
  <c r="I620" i="7" s="1" a="1"/>
  <c r="I620" i="7" s="1"/>
  <c r="I621" i="7" s="1" a="1"/>
  <c r="I621" i="7" s="1"/>
  <c r="I622" i="7" s="1" a="1"/>
  <c r="I622" i="7" s="1"/>
  <c r="I623" i="7" s="1" a="1"/>
  <c r="I623" i="7" s="1"/>
  <c r="I624" i="7" s="1" a="1"/>
  <c r="I624" i="7" s="1"/>
  <c r="I625" i="7" s="1" a="1"/>
  <c r="I625" i="7" s="1"/>
  <c r="I626" i="7" s="1" a="1"/>
  <c r="I626" i="7" s="1"/>
  <c r="I627" i="7" s="1" a="1"/>
  <c r="I627" i="7" s="1"/>
  <c r="I628" i="7" s="1" a="1"/>
  <c r="I628" i="7" s="1"/>
  <c r="I629" i="7" s="1" a="1"/>
  <c r="I629" i="7" s="1"/>
  <c r="I630" i="7" s="1" a="1"/>
  <c r="I630" i="7" s="1"/>
  <c r="I631" i="7" s="1" a="1"/>
  <c r="I631" i="7" s="1"/>
  <c r="I632" i="7" s="1" a="1"/>
  <c r="I632" i="7" s="1"/>
  <c r="I633" i="7" s="1" a="1"/>
  <c r="I633" i="7" s="1"/>
  <c r="I634" i="7" s="1" a="1"/>
  <c r="I634" i="7" s="1"/>
  <c r="I635" i="7" s="1" a="1"/>
  <c r="I635" i="7" s="1"/>
  <c r="I636" i="7" s="1" a="1"/>
  <c r="I636" i="7" s="1"/>
  <c r="I637" i="7" s="1" a="1"/>
  <c r="I637" i="7" s="1"/>
  <c r="I638" i="7" s="1" a="1"/>
  <c r="I638" i="7" s="1"/>
  <c r="I639" i="7" s="1" a="1"/>
  <c r="I639" i="7" s="1"/>
  <c r="I640" i="7" s="1" a="1"/>
  <c r="I640" i="7" s="1"/>
  <c r="I641" i="7" s="1" a="1"/>
  <c r="I641" i="7" s="1"/>
  <c r="I642" i="7" s="1" a="1"/>
  <c r="I642" i="7" s="1"/>
  <c r="I643" i="7" s="1" a="1"/>
  <c r="I643" i="7" s="1"/>
  <c r="I644" i="7" s="1" a="1"/>
  <c r="I644" i="7" s="1"/>
  <c r="I645" i="7" s="1" a="1"/>
  <c r="I645" i="7" s="1"/>
  <c r="I646" i="7" s="1" a="1"/>
  <c r="I646" i="7" s="1"/>
  <c r="I647" i="7" s="1" a="1"/>
  <c r="I647" i="7" s="1"/>
  <c r="I648" i="7" s="1" a="1"/>
  <c r="I648" i="7" s="1"/>
  <c r="I649" i="7" s="1" a="1"/>
  <c r="I649" i="7" s="1"/>
  <c r="I650" i="7" s="1" a="1"/>
  <c r="I650" i="7" s="1"/>
  <c r="I651" i="7" s="1" a="1"/>
  <c r="I651" i="7" s="1"/>
  <c r="I652" i="7" s="1" a="1"/>
  <c r="I652" i="7" s="1"/>
  <c r="I653" i="7" s="1" a="1"/>
  <c r="I653" i="7" s="1"/>
  <c r="I654" i="7" s="1" a="1"/>
  <c r="I654" i="7" s="1"/>
  <c r="I655" i="7" s="1" a="1"/>
  <c r="I655" i="7" s="1"/>
  <c r="I656" i="7" s="1" a="1"/>
  <c r="I656" i="7" s="1"/>
  <c r="I657" i="7" s="1" a="1"/>
  <c r="I657" i="7" s="1"/>
  <c r="I658" i="7" s="1" a="1"/>
  <c r="I658" i="7" s="1"/>
  <c r="I659" i="7" s="1" a="1"/>
  <c r="I659" i="7" s="1"/>
  <c r="I660" i="7" s="1" a="1"/>
  <c r="I660" i="7" s="1"/>
  <c r="I661" i="7" s="1" a="1"/>
  <c r="I661" i="7" s="1"/>
  <c r="I662" i="7" s="1" a="1"/>
  <c r="I662" i="7" s="1"/>
  <c r="I663" i="7" s="1" a="1"/>
  <c r="I663" i="7" s="1"/>
  <c r="I664" i="7" s="1" a="1"/>
  <c r="I664" i="7" s="1"/>
  <c r="I665" i="7" s="1" a="1"/>
  <c r="I665" i="7" s="1"/>
  <c r="I666" i="7" s="1" a="1"/>
  <c r="I666" i="7" s="1"/>
  <c r="I667" i="7" s="1" a="1"/>
  <c r="I667" i="7" s="1"/>
  <c r="I668" i="7" s="1" a="1"/>
  <c r="I668" i="7" s="1"/>
  <c r="I669" i="7" s="1" a="1"/>
  <c r="I669" i="7" s="1"/>
  <c r="I670" i="7" s="1" a="1"/>
  <c r="I670" i="7" s="1"/>
  <c r="I671" i="7" s="1" a="1"/>
  <c r="I671" i="7" s="1"/>
  <c r="I672" i="7" s="1" a="1"/>
  <c r="I672" i="7" s="1"/>
  <c r="I673" i="7" s="1" a="1"/>
  <c r="I673" i="7" s="1"/>
  <c r="I674" i="7" s="1" a="1"/>
  <c r="I674" i="7" s="1"/>
  <c r="I675" i="7" s="1" a="1"/>
  <c r="I675" i="7" s="1"/>
  <c r="I676" i="7" s="1" a="1"/>
  <c r="I676" i="7" s="1"/>
  <c r="I677" i="7" s="1" a="1"/>
  <c r="I677" i="7" s="1"/>
  <c r="I678" i="7" s="1" a="1"/>
  <c r="I678" i="7" s="1"/>
  <c r="I679" i="7" s="1" a="1"/>
  <c r="I679" i="7" s="1"/>
  <c r="I680" i="7" s="1" a="1"/>
  <c r="I680" i="7" s="1"/>
  <c r="I681" i="7" s="1" a="1"/>
  <c r="I681" i="7" s="1"/>
  <c r="I682" i="7" s="1" a="1"/>
  <c r="I682" i="7" s="1"/>
  <c r="I683" i="7" s="1" a="1"/>
  <c r="I683" i="7" s="1"/>
  <c r="I684" i="7" s="1" a="1"/>
  <c r="I684" i="7" s="1"/>
  <c r="I685" i="7" s="1" a="1"/>
  <c r="I685" i="7" s="1"/>
  <c r="I686" i="7" s="1" a="1"/>
  <c r="I686" i="7" s="1"/>
  <c r="I687" i="7" s="1" a="1"/>
  <c r="I687" i="7" s="1"/>
  <c r="I688" i="7" s="1" a="1"/>
  <c r="I688" i="7" s="1"/>
  <c r="I689" i="7" s="1" a="1"/>
  <c r="I689" i="7" s="1"/>
  <c r="I690" i="7" s="1" a="1"/>
  <c r="I690" i="7" s="1"/>
  <c r="I691" i="7" s="1" a="1"/>
  <c r="I691" i="7" s="1"/>
  <c r="I692" i="7" s="1" a="1"/>
  <c r="I692" i="7" s="1"/>
  <c r="I693" i="7" s="1" a="1"/>
  <c r="I693" i="7" s="1"/>
  <c r="I694" i="7" s="1" a="1"/>
  <c r="I694" i="7" s="1"/>
  <c r="I695" i="7" s="1" a="1"/>
  <c r="I695" i="7" s="1"/>
  <c r="I696" i="7" s="1" a="1"/>
  <c r="I696" i="7" s="1"/>
  <c r="I697" i="7" s="1" a="1"/>
  <c r="I697" i="7" s="1"/>
  <c r="I698" i="7" s="1" a="1"/>
  <c r="I698" i="7" s="1"/>
  <c r="I699" i="7" s="1" a="1"/>
  <c r="I699" i="7" s="1"/>
  <c r="I700" i="7" s="1" a="1"/>
  <c r="I700" i="7" s="1"/>
  <c r="I701" i="7" s="1" a="1"/>
  <c r="I701" i="7" s="1"/>
  <c r="I702" i="7" s="1" a="1"/>
  <c r="I702" i="7" s="1"/>
  <c r="I703" i="7" s="1" a="1"/>
  <c r="I703" i="7" s="1"/>
  <c r="I704" i="7" s="1" a="1"/>
  <c r="I704" i="7" s="1"/>
  <c r="I705" i="7" s="1" a="1"/>
  <c r="I705" i="7" s="1"/>
  <c r="I706" i="7" s="1" a="1"/>
  <c r="I706" i="7" s="1"/>
  <c r="I707" i="7" s="1" a="1"/>
  <c r="I707" i="7" s="1"/>
  <c r="I708" i="7" s="1" a="1"/>
  <c r="I708" i="7" s="1"/>
  <c r="I709" i="7" s="1" a="1"/>
  <c r="I709" i="7" s="1"/>
  <c r="I710" i="7" s="1" a="1"/>
  <c r="I710" i="7" s="1"/>
  <c r="I711" i="7" s="1" a="1"/>
  <c r="I711" i="7" s="1"/>
  <c r="I712" i="7" s="1" a="1"/>
  <c r="I712" i="7" s="1"/>
  <c r="I713" i="7" s="1" a="1"/>
  <c r="I713" i="7" s="1"/>
  <c r="I714" i="7" s="1" a="1"/>
  <c r="I714" i="7" s="1"/>
  <c r="I715" i="7" s="1" a="1"/>
  <c r="I715" i="7" s="1"/>
  <c r="I716" i="7" s="1" a="1"/>
  <c r="I716" i="7" s="1"/>
  <c r="I717" i="7" s="1" a="1"/>
  <c r="I717" i="7" s="1"/>
  <c r="I718" i="7" s="1" a="1"/>
  <c r="I718" i="7" s="1"/>
  <c r="I719" i="7" s="1" a="1"/>
  <c r="I719" i="7" s="1"/>
  <c r="I720" i="7" s="1" a="1"/>
  <c r="I720" i="7" s="1"/>
  <c r="I721" i="7" s="1" a="1"/>
  <c r="I721" i="7" s="1"/>
  <c r="I722" i="7" s="1" a="1"/>
  <c r="I722" i="7" s="1"/>
  <c r="I723" i="7" s="1" a="1"/>
  <c r="I723" i="7" s="1"/>
  <c r="I724" i="7" s="1" a="1"/>
  <c r="I724" i="7" s="1"/>
  <c r="I725" i="7" s="1" a="1"/>
  <c r="I725" i="7" s="1"/>
  <c r="I726" i="7" s="1" a="1"/>
  <c r="I726" i="7" s="1"/>
  <c r="I727" i="7" s="1" a="1"/>
  <c r="I727" i="7" s="1"/>
  <c r="I728" i="7" s="1" a="1"/>
  <c r="I728" i="7" s="1"/>
  <c r="I729" i="7" s="1" a="1"/>
  <c r="I729" i="7" s="1"/>
  <c r="I730" i="7" s="1" a="1"/>
  <c r="I730" i="7" s="1"/>
  <c r="I731" i="7" s="1" a="1"/>
  <c r="I731" i="7" s="1"/>
  <c r="I732" i="7" s="1" a="1"/>
  <c r="I732" i="7" s="1"/>
  <c r="I733" i="7" s="1" a="1"/>
  <c r="I733" i="7" s="1"/>
  <c r="I734" i="7" s="1" a="1"/>
  <c r="I734" i="7" s="1"/>
  <c r="I735" i="7" s="1" a="1"/>
  <c r="I735" i="7" s="1"/>
  <c r="I736" i="7" s="1" a="1"/>
  <c r="I736" i="7" s="1"/>
  <c r="I737" i="7" s="1" a="1"/>
  <c r="I737" i="7" s="1"/>
  <c r="I738" i="7" s="1" a="1"/>
  <c r="I738" i="7" s="1"/>
  <c r="I739" i="7" s="1" a="1"/>
  <c r="I739" i="7" s="1"/>
  <c r="I740" i="7" s="1" a="1"/>
  <c r="I740" i="7" s="1"/>
  <c r="I741" i="7" s="1" a="1"/>
  <c r="I741" i="7" s="1"/>
  <c r="I742" i="7" s="1" a="1"/>
  <c r="I742" i="7" s="1"/>
  <c r="I743" i="7" s="1" a="1"/>
  <c r="I743" i="7" s="1"/>
  <c r="I744" i="7" s="1" a="1"/>
  <c r="I744" i="7" s="1"/>
  <c r="I745" i="7" s="1" a="1"/>
  <c r="I745" i="7" s="1"/>
  <c r="I746" i="7" s="1" a="1"/>
  <c r="I746" i="7" s="1"/>
  <c r="I747" i="7" s="1" a="1"/>
  <c r="I747" i="7" s="1"/>
  <c r="I748" i="7" s="1" a="1"/>
  <c r="I748" i="7" s="1"/>
  <c r="I749" i="7" s="1" a="1"/>
  <c r="I749" i="7" s="1"/>
  <c r="I750" i="7" s="1" a="1"/>
  <c r="I750" i="7" s="1"/>
  <c r="I751" i="7" s="1" a="1"/>
  <c r="I751" i="7" s="1"/>
  <c r="I752" i="7" s="1" a="1"/>
  <c r="I752" i="7" s="1"/>
  <c r="I753" i="7" s="1" a="1"/>
  <c r="I753" i="7" s="1"/>
  <c r="I754" i="7" s="1" a="1"/>
  <c r="I754" i="7" s="1"/>
  <c r="I755" i="7" s="1" a="1"/>
  <c r="I755" i="7" s="1"/>
  <c r="I756" i="7" s="1" a="1"/>
  <c r="I756" i="7" s="1"/>
  <c r="I757" i="7" s="1" a="1"/>
  <c r="I757" i="7" s="1"/>
  <c r="I758" i="7" s="1" a="1"/>
  <c r="I758" i="7" s="1"/>
  <c r="I759" i="7" s="1" a="1"/>
  <c r="I759" i="7" s="1"/>
  <c r="I760" i="7" s="1" a="1"/>
  <c r="I760" i="7" s="1"/>
  <c r="I761" i="7" s="1" a="1"/>
  <c r="I761" i="7" s="1"/>
  <c r="I762" i="7" s="1" a="1"/>
  <c r="I762" i="7" s="1"/>
  <c r="I763" i="7" s="1" a="1"/>
  <c r="I763" i="7" s="1"/>
  <c r="I764" i="7" s="1" a="1"/>
  <c r="I764" i="7" s="1"/>
  <c r="I765" i="7" s="1" a="1"/>
  <c r="I765" i="7" s="1"/>
  <c r="I766" i="7" s="1" a="1"/>
  <c r="I766" i="7" s="1"/>
  <c r="I767" i="7" s="1" a="1"/>
  <c r="I767" i="7" s="1"/>
  <c r="I768" i="7" s="1" a="1"/>
  <c r="I768" i="7" s="1"/>
  <c r="I769" i="7" s="1" a="1"/>
  <c r="I769" i="7" s="1"/>
  <c r="I770" i="7" s="1" a="1"/>
  <c r="I770" i="7" s="1"/>
  <c r="I771" i="7" s="1" a="1"/>
  <c r="I771" i="7" s="1"/>
  <c r="I772" i="7" s="1" a="1"/>
  <c r="I772" i="7" s="1"/>
  <c r="I773" i="7" s="1" a="1"/>
  <c r="I773" i="7" s="1"/>
  <c r="I774" i="7" s="1" a="1"/>
  <c r="I774" i="7" s="1"/>
  <c r="I775" i="7" s="1" a="1"/>
  <c r="I775" i="7" s="1"/>
  <c r="I776" i="7" s="1" a="1"/>
  <c r="I776" i="7" s="1"/>
  <c r="I777" i="7" s="1" a="1"/>
  <c r="I777" i="7" s="1"/>
  <c r="I778" i="7" s="1" a="1"/>
  <c r="I778" i="7" s="1"/>
  <c r="I779" i="7" s="1" a="1"/>
  <c r="I779" i="7" s="1"/>
  <c r="I780" i="7" s="1" a="1"/>
  <c r="I780" i="7" s="1"/>
  <c r="I781" i="7" s="1" a="1"/>
  <c r="I781" i="7" s="1"/>
  <c r="I782" i="7" s="1" a="1"/>
  <c r="I782" i="7" s="1"/>
  <c r="I783" i="7" s="1" a="1"/>
  <c r="I783" i="7" s="1"/>
  <c r="I784" i="7" s="1" a="1"/>
  <c r="I784" i="7" s="1"/>
  <c r="I785" i="7" s="1" a="1"/>
  <c r="I785" i="7" s="1"/>
  <c r="I786" i="7" s="1" a="1"/>
  <c r="I786" i="7" s="1"/>
  <c r="I787" i="7" s="1" a="1"/>
  <c r="I787" i="7" s="1"/>
  <c r="I788" i="7" s="1" a="1"/>
  <c r="I788" i="7" s="1"/>
  <c r="I789" i="7" s="1" a="1"/>
  <c r="I789" i="7" s="1"/>
  <c r="I790" i="7" s="1" a="1"/>
  <c r="I790" i="7" s="1"/>
  <c r="I791" i="7" s="1" a="1"/>
  <c r="I791" i="7" s="1"/>
  <c r="I792" i="7" s="1" a="1"/>
  <c r="I792" i="7" s="1"/>
  <c r="I793" i="7" s="1" a="1"/>
  <c r="I793" i="7" s="1"/>
  <c r="I794" i="7" s="1" a="1"/>
  <c r="I794" i="7" s="1"/>
  <c r="I795" i="7" s="1" a="1"/>
  <c r="I795" i="7" s="1"/>
  <c r="I796" i="7" s="1" a="1"/>
  <c r="I796" i="7" s="1"/>
  <c r="I797" i="7" s="1" a="1"/>
  <c r="I797" i="7" s="1"/>
  <c r="I798" i="7" s="1" a="1"/>
  <c r="I798" i="7" s="1"/>
  <c r="I799" i="7" s="1" a="1"/>
  <c r="I799" i="7" s="1"/>
  <c r="I800" i="7" s="1" a="1"/>
  <c r="I800" i="7" s="1"/>
  <c r="I801" i="7" s="1" a="1"/>
  <c r="I801" i="7" s="1"/>
  <c r="I802" i="7" s="1" a="1"/>
  <c r="I802" i="7" s="1"/>
  <c r="I803" i="7" s="1" a="1"/>
  <c r="I803" i="7" s="1"/>
  <c r="I804" i="7" s="1" a="1"/>
  <c r="I804" i="7" s="1"/>
  <c r="I805" i="7" s="1" a="1"/>
  <c r="I805" i="7" s="1"/>
  <c r="I806" i="7" s="1" a="1"/>
  <c r="I806" i="7" s="1"/>
  <c r="I807" i="7" s="1" a="1"/>
  <c r="I807" i="7" s="1"/>
  <c r="I808" i="7" s="1" a="1"/>
  <c r="I808" i="7" s="1"/>
  <c r="I809" i="7" s="1" a="1"/>
  <c r="I809" i="7" s="1"/>
  <c r="I810" i="7" s="1" a="1"/>
  <c r="I810" i="7" s="1"/>
  <c r="I811" i="7" s="1" a="1"/>
  <c r="I811" i="7" s="1"/>
  <c r="I812" i="7" s="1" a="1"/>
  <c r="I812" i="7" s="1"/>
  <c r="I813" i="7" s="1" a="1"/>
  <c r="I813" i="7" s="1"/>
  <c r="I814" i="7" s="1" a="1"/>
  <c r="I814" i="7" s="1"/>
  <c r="I815" i="7" s="1" a="1"/>
  <c r="I815" i="7" s="1"/>
  <c r="I816" i="7" s="1" a="1"/>
  <c r="I816" i="7" s="1"/>
  <c r="I817" i="7" s="1" a="1"/>
  <c r="I817" i="7" s="1"/>
  <c r="I818" i="7" s="1" a="1"/>
  <c r="I818" i="7" s="1"/>
  <c r="I819" i="7" s="1" a="1"/>
  <c r="I819" i="7" s="1"/>
  <c r="I820" i="7" s="1" a="1"/>
  <c r="I820" i="7" s="1"/>
  <c r="I821" i="7" s="1" a="1"/>
  <c r="I821" i="7" s="1"/>
  <c r="I822" i="7" s="1" a="1"/>
  <c r="I822" i="7" s="1"/>
  <c r="I823" i="7" s="1" a="1"/>
  <c r="I823" i="7" s="1"/>
  <c r="I824" i="7" s="1" a="1"/>
  <c r="I824" i="7" s="1"/>
  <c r="I825" i="7" s="1" a="1"/>
  <c r="I825" i="7" s="1"/>
  <c r="I826" i="7" s="1" a="1"/>
  <c r="I826" i="7" s="1"/>
  <c r="I827" i="7" s="1" a="1"/>
  <c r="I827" i="7" s="1"/>
  <c r="I828" i="7" s="1" a="1"/>
  <c r="I828" i="7" s="1"/>
  <c r="I829" i="7" s="1" a="1"/>
  <c r="I829" i="7" s="1"/>
  <c r="I830" i="7" s="1" a="1"/>
  <c r="I830" i="7" s="1"/>
  <c r="I831" i="7" s="1" a="1"/>
  <c r="I831" i="7" s="1"/>
  <c r="I832" i="7" s="1" a="1"/>
  <c r="I832" i="7" s="1"/>
  <c r="I833" i="7" s="1" a="1"/>
  <c r="I833" i="7" s="1"/>
  <c r="I834" i="7" s="1" a="1"/>
  <c r="I834" i="7" s="1"/>
  <c r="I835" i="7" s="1" a="1"/>
  <c r="I835" i="7" s="1"/>
  <c r="I836" i="7" s="1" a="1"/>
  <c r="I836" i="7" s="1"/>
  <c r="I837" i="7" s="1" a="1"/>
  <c r="I837" i="7" s="1"/>
  <c r="I838" i="7" s="1" a="1"/>
  <c r="I838" i="7" s="1"/>
  <c r="I839" i="7" s="1" a="1"/>
  <c r="I839" i="7" s="1"/>
  <c r="I840" i="7" s="1" a="1"/>
  <c r="I840" i="7" s="1"/>
  <c r="I841" i="7" s="1" a="1"/>
  <c r="I841" i="7" s="1"/>
  <c r="I842" i="7" s="1" a="1"/>
  <c r="I842" i="7" s="1"/>
  <c r="I843" i="7" s="1" a="1"/>
  <c r="I843" i="7" s="1"/>
  <c r="I844" i="7" s="1" a="1"/>
  <c r="I844" i="7" s="1"/>
  <c r="I845" i="7" s="1" a="1"/>
  <c r="I845" i="7" s="1"/>
  <c r="I846" i="7" s="1" a="1"/>
  <c r="I846" i="7" s="1"/>
  <c r="I847" i="7" s="1" a="1"/>
  <c r="I847" i="7" s="1"/>
  <c r="I848" i="7" s="1" a="1"/>
  <c r="I848" i="7" s="1"/>
  <c r="I849" i="7" s="1" a="1"/>
  <c r="I849" i="7" s="1"/>
  <c r="I850" i="7" s="1" a="1"/>
  <c r="I850" i="7" s="1"/>
  <c r="I851" i="7" s="1" a="1"/>
  <c r="I851" i="7" s="1"/>
  <c r="I852" i="7" s="1" a="1"/>
  <c r="I852" i="7" s="1"/>
  <c r="I853" i="7" s="1" a="1"/>
  <c r="I853" i="7" s="1"/>
  <c r="I854" i="7" s="1" a="1"/>
  <c r="I854" i="7" s="1"/>
  <c r="I855" i="7" s="1" a="1"/>
  <c r="I855" i="7" s="1"/>
  <c r="I856" i="7" s="1" a="1"/>
  <c r="I856" i="7" s="1"/>
  <c r="I857" i="7" s="1" a="1"/>
  <c r="I857" i="7" s="1"/>
  <c r="I858" i="7" s="1" a="1"/>
  <c r="I858" i="7" s="1"/>
  <c r="I859" i="7" s="1" a="1"/>
  <c r="I859" i="7" s="1"/>
  <c r="I860" i="7" s="1" a="1"/>
  <c r="I860" i="7" s="1"/>
  <c r="I861" i="7" s="1" a="1"/>
  <c r="I861" i="7" s="1"/>
  <c r="I862" i="7" s="1" a="1"/>
  <c r="I862" i="7" s="1"/>
  <c r="I863" i="7" s="1" a="1"/>
  <c r="I863" i="7" s="1"/>
  <c r="I864" i="7" s="1" a="1"/>
  <c r="I864" i="7" s="1"/>
  <c r="I865" i="7" s="1" a="1"/>
  <c r="I865" i="7" s="1"/>
  <c r="I866" i="7" s="1" a="1"/>
  <c r="I866" i="7" s="1"/>
  <c r="I867" i="7" s="1" a="1"/>
  <c r="I867" i="7" s="1"/>
  <c r="I868" i="7" s="1" a="1"/>
  <c r="I868" i="7" s="1"/>
  <c r="I869" i="7" s="1" a="1"/>
  <c r="I869" i="7" s="1"/>
  <c r="I870" i="7" s="1" a="1"/>
  <c r="I870" i="7" s="1"/>
  <c r="I871" i="7" s="1" a="1"/>
  <c r="I871" i="7" s="1"/>
  <c r="I872" i="7" s="1" a="1"/>
  <c r="I872" i="7" s="1"/>
  <c r="I873" i="7" s="1" a="1"/>
  <c r="I873" i="7" s="1"/>
  <c r="I874" i="7" s="1" a="1"/>
  <c r="I874" i="7" s="1"/>
  <c r="I875" i="7" s="1" a="1"/>
  <c r="I875" i="7" s="1"/>
  <c r="I876" i="7" s="1" a="1"/>
  <c r="I876" i="7" s="1"/>
  <c r="I877" i="7" s="1" a="1"/>
  <c r="I877" i="7" s="1"/>
  <c r="I878" i="7" s="1" a="1"/>
  <c r="I878" i="7" s="1"/>
  <c r="I879" i="7" s="1" a="1"/>
  <c r="I879" i="7" s="1"/>
  <c r="I880" i="7" s="1" a="1"/>
  <c r="I880" i="7" s="1"/>
  <c r="I881" i="7" s="1" a="1"/>
  <c r="I881" i="7" s="1"/>
  <c r="I882" i="7" s="1" a="1"/>
  <c r="I882" i="7" s="1"/>
  <c r="I883" i="7" s="1" a="1"/>
  <c r="I883" i="7" s="1"/>
  <c r="I884" i="7" s="1" a="1"/>
  <c r="I884" i="7" s="1"/>
  <c r="I885" i="7" s="1" a="1"/>
  <c r="I885" i="7" s="1"/>
  <c r="I886" i="7" s="1" a="1"/>
  <c r="I886" i="7" s="1"/>
  <c r="I887" i="7" s="1" a="1"/>
  <c r="I887" i="7" s="1"/>
  <c r="I888" i="7" s="1" a="1"/>
  <c r="I888" i="7" s="1"/>
  <c r="I889" i="7" s="1" a="1"/>
  <c r="I889" i="7" s="1"/>
  <c r="I890" i="7" s="1" a="1"/>
  <c r="I890" i="7" s="1"/>
  <c r="I891" i="7" s="1" a="1"/>
  <c r="I891" i="7" s="1"/>
  <c r="I892" i="7" s="1" a="1"/>
  <c r="I892" i="7" s="1"/>
  <c r="I893" i="7" s="1" a="1"/>
  <c r="I893" i="7" s="1"/>
  <c r="I894" i="7" s="1" a="1"/>
  <c r="I894" i="7" s="1"/>
  <c r="I895" i="7" s="1" a="1"/>
  <c r="I895" i="7" s="1"/>
  <c r="I896" i="7" s="1" a="1"/>
  <c r="I896" i="7" s="1"/>
  <c r="I897" i="7" s="1" a="1"/>
  <c r="I897" i="7" s="1"/>
  <c r="I898" i="7" s="1" a="1"/>
  <c r="I898" i="7" s="1"/>
  <c r="I899" i="7" s="1" a="1"/>
  <c r="I899" i="7" s="1"/>
  <c r="I900" i="7" s="1" a="1"/>
  <c r="I900" i="7" s="1"/>
  <c r="I901" i="7" s="1" a="1"/>
  <c r="I901" i="7" s="1"/>
  <c r="I902" i="7" s="1" a="1"/>
  <c r="I902" i="7" s="1"/>
  <c r="I903" i="7" s="1" a="1"/>
  <c r="I903" i="7" s="1"/>
  <c r="I904" i="7" s="1" a="1"/>
  <c r="I904" i="7" s="1"/>
  <c r="I905" i="7" s="1" a="1"/>
  <c r="I905" i="7" s="1"/>
  <c r="I906" i="7" s="1" a="1"/>
  <c r="I906" i="7" s="1"/>
  <c r="I907" i="7" s="1" a="1"/>
  <c r="I907" i="7" s="1"/>
  <c r="I908" i="7" s="1" a="1"/>
  <c r="I908" i="7" s="1"/>
  <c r="I909" i="7" s="1" a="1"/>
  <c r="I909" i="7" s="1"/>
  <c r="I910" i="7" s="1" a="1"/>
  <c r="I910" i="7" s="1"/>
  <c r="I911" i="7" s="1" a="1"/>
  <c r="I911" i="7" s="1"/>
  <c r="I912" i="7" s="1" a="1"/>
  <c r="I912" i="7" s="1"/>
  <c r="I913" i="7" s="1" a="1"/>
  <c r="I913" i="7" s="1"/>
  <c r="I914" i="7" s="1" a="1"/>
  <c r="I914" i="7" s="1"/>
  <c r="I915" i="7" s="1" a="1"/>
  <c r="I915" i="7" s="1"/>
  <c r="I916" i="7" s="1" a="1"/>
  <c r="I916" i="7" s="1"/>
  <c r="I917" i="7" s="1" a="1"/>
  <c r="I917" i="7" s="1"/>
  <c r="I918" i="7" s="1" a="1"/>
  <c r="I918" i="7" s="1"/>
  <c r="I919" i="7" s="1" a="1"/>
  <c r="I919" i="7" s="1"/>
  <c r="I920" i="7" s="1" a="1"/>
  <c r="I920" i="7" s="1"/>
  <c r="I921" i="7" s="1" a="1"/>
  <c r="I921" i="7" s="1"/>
  <c r="I922" i="7" s="1" a="1"/>
  <c r="I922" i="7" s="1"/>
  <c r="I923" i="7" s="1" a="1"/>
  <c r="I923" i="7" s="1"/>
  <c r="I924" i="7" s="1" a="1"/>
  <c r="I924" i="7" s="1"/>
  <c r="I925" i="7" s="1" a="1"/>
  <c r="I925" i="7" s="1"/>
  <c r="I926" i="7" s="1" a="1"/>
  <c r="I926" i="7" s="1"/>
  <c r="I927" i="7" s="1" a="1"/>
  <c r="I927" i="7" s="1"/>
  <c r="I928" i="7" s="1" a="1"/>
  <c r="I928" i="7" s="1"/>
  <c r="I929" i="7" s="1" a="1"/>
  <c r="I929" i="7" s="1"/>
  <c r="I930" i="7" s="1" a="1"/>
  <c r="I930" i="7" s="1"/>
  <c r="I931" i="7" s="1" a="1"/>
  <c r="I931" i="7" s="1"/>
  <c r="I932" i="7" s="1" a="1"/>
  <c r="I932" i="7" s="1"/>
  <c r="I933" i="7" s="1" a="1"/>
  <c r="I933" i="7" s="1"/>
  <c r="I934" i="7" s="1" a="1"/>
  <c r="I934" i="7" s="1"/>
  <c r="I935" i="7" s="1" a="1"/>
  <c r="I935" i="7" s="1"/>
  <c r="I936" i="7" s="1" a="1"/>
  <c r="I936" i="7" s="1"/>
  <c r="I937" i="7" s="1" a="1"/>
  <c r="I937" i="7" s="1"/>
  <c r="I938" i="7" s="1" a="1"/>
  <c r="I938" i="7" s="1"/>
  <c r="I939" i="7" s="1" a="1"/>
  <c r="I939" i="7" s="1"/>
  <c r="I883" i="9" l="1" a="1"/>
  <c r="I883" i="9" s="1"/>
  <c r="I439" i="8" a="1"/>
  <c r="I439" i="8" s="1"/>
  <c r="H940" i="7"/>
  <c r="S9" i="7" a="1"/>
  <c r="S9" i="7" s="1"/>
  <c r="Q27" i="7" a="1"/>
  <c r="Q27" i="7" s="1"/>
  <c r="R20" i="7" a="1"/>
  <c r="R20" i="7" s="1"/>
  <c r="S17" i="7" a="1"/>
  <c r="S17" i="7" s="1"/>
  <c r="Q23" i="7" a="1"/>
  <c r="Q23" i="7" s="1"/>
  <c r="Q13" i="7" a="1"/>
  <c r="Q13" i="7" s="1"/>
  <c r="R15" i="7" a="1"/>
  <c r="R15" i="7" s="1"/>
  <c r="R16" i="7" a="1"/>
  <c r="R16" i="7" s="1"/>
  <c r="Q8" i="7" a="1"/>
  <c r="Q8" i="7" s="1"/>
  <c r="S21" i="7" a="1"/>
  <c r="S21" i="7" s="1"/>
  <c r="S22" i="7" a="1"/>
  <c r="S22" i="7" s="1"/>
  <c r="Q14" i="7" a="1"/>
  <c r="Q14" i="7" s="1"/>
  <c r="R3" i="7" a="1"/>
  <c r="R3" i="7" s="1"/>
  <c r="S24" i="7" a="1"/>
  <c r="S24" i="7" s="1"/>
  <c r="S5" i="7" a="1"/>
  <c r="S5" i="7" s="1"/>
  <c r="Q21" i="7" a="1"/>
  <c r="Q21" i="7" s="1"/>
  <c r="R23" i="7" a="1"/>
  <c r="R23" i="7" s="1"/>
  <c r="R24" i="7" a="1"/>
  <c r="R24" i="7" s="1"/>
  <c r="Q16" i="7" a="1"/>
  <c r="Q16" i="7" s="1"/>
  <c r="R10" i="7" a="1"/>
  <c r="R10" i="7" s="1"/>
  <c r="R11" i="7" a="1"/>
  <c r="R11" i="7" s="1"/>
  <c r="Q17" i="7" a="1"/>
  <c r="Q17" i="7" s="1"/>
  <c r="Q11" i="7" a="1"/>
  <c r="Q11" i="7" s="1"/>
  <c r="R5" i="7" a="1"/>
  <c r="R5" i="7" s="1"/>
  <c r="S18" i="7" a="1"/>
  <c r="S18" i="7" s="1"/>
  <c r="Q15" i="7" a="1"/>
  <c r="Q15" i="7" s="1"/>
  <c r="Q6" i="7" a="1"/>
  <c r="Q6" i="7" s="1"/>
  <c r="Q25" i="7" a="1"/>
  <c r="Q25" i="7" s="1"/>
  <c r="Q24" i="7" a="1"/>
  <c r="Q24" i="7" s="1"/>
  <c r="Q9" i="7" a="1"/>
  <c r="Q9" i="7" s="1"/>
  <c r="R19" i="7" a="1"/>
  <c r="R19" i="7" s="1"/>
  <c r="S10" i="7" a="1"/>
  <c r="S10" i="7" s="1"/>
  <c r="Q19" i="7" a="1"/>
  <c r="Q19" i="7" s="1"/>
  <c r="R13" i="7" a="1"/>
  <c r="R13" i="7" s="1"/>
  <c r="S25" i="7" a="1"/>
  <c r="S25" i="7" s="1"/>
  <c r="S6" i="7" a="1"/>
  <c r="S6" i="7" s="1"/>
  <c r="Q22" i="7" a="1"/>
  <c r="Q22" i="7" s="1"/>
  <c r="S14" i="7" a="1"/>
  <c r="S14" i="7" s="1"/>
  <c r="S3" i="7" a="1"/>
  <c r="S3" i="7" s="1"/>
  <c r="R27" i="7" a="1"/>
  <c r="R27" i="7" s="1"/>
  <c r="S16" i="7" a="1"/>
  <c r="S16" i="7" s="1"/>
  <c r="Q20" i="7" a="1"/>
  <c r="Q20" i="7" s="1"/>
  <c r="R21" i="7" a="1"/>
  <c r="R21" i="7" s="1"/>
  <c r="R6" i="7" a="1"/>
  <c r="R6" i="7" s="1"/>
  <c r="S12" i="7" a="1"/>
  <c r="S12" i="7" s="1"/>
  <c r="S7" i="7" a="1"/>
  <c r="S7" i="7" s="1"/>
  <c r="S20" i="7" a="1"/>
  <c r="S20" i="7" s="1"/>
  <c r="R18" i="7" a="1"/>
  <c r="R18" i="7" s="1"/>
  <c r="Q10" i="7" a="1"/>
  <c r="Q10" i="7" s="1"/>
  <c r="S23" i="7" a="1"/>
  <c r="S23" i="7" s="1"/>
  <c r="Q7" i="7" a="1"/>
  <c r="Q7" i="7" s="1"/>
  <c r="Q4" i="7" a="1"/>
  <c r="Q4" i="7" s="1"/>
  <c r="R14" i="7" a="1"/>
  <c r="R14" i="7" s="1"/>
  <c r="S19" i="7" a="1"/>
  <c r="S19" i="7" s="1"/>
  <c r="S13" i="7" a="1"/>
  <c r="S13" i="7" s="1"/>
  <c r="R9" i="7" a="1"/>
  <c r="R9" i="7" s="1"/>
  <c r="R26" i="7" a="1"/>
  <c r="R26" i="7" s="1"/>
  <c r="Q18" i="7" a="1"/>
  <c r="Q18" i="7" s="1"/>
  <c r="R4" i="7" a="1"/>
  <c r="R4" i="7" s="1"/>
  <c r="S4" i="7" a="1"/>
  <c r="S4" i="7" s="1"/>
  <c r="Q12" i="7" a="1"/>
  <c r="Q12" i="7" s="1"/>
  <c r="R22" i="7" a="1"/>
  <c r="R22" i="7" s="1"/>
  <c r="S26" i="7" a="1"/>
  <c r="S26" i="7" s="1"/>
  <c r="S27" i="7" a="1"/>
  <c r="S27" i="7" s="1"/>
  <c r="R17" i="7" a="1"/>
  <c r="R17" i="7" s="1"/>
  <c r="S8" i="7" a="1"/>
  <c r="S8" i="7" s="1"/>
  <c r="Q26" i="7" a="1"/>
  <c r="Q26" i="7" s="1"/>
  <c r="R12" i="7" a="1"/>
  <c r="R12" i="7" s="1"/>
  <c r="S11" i="7" a="1"/>
  <c r="S11" i="7" s="1"/>
  <c r="Q3" i="7" a="1"/>
  <c r="Q3" i="7" s="1"/>
  <c r="Q5" i="7" a="1"/>
  <c r="Q5" i="7" s="1"/>
  <c r="R7" i="7" a="1"/>
  <c r="R7" i="7" s="1"/>
  <c r="R8" i="7" a="1"/>
  <c r="R8" i="7" s="1"/>
  <c r="R25" i="7" a="1"/>
  <c r="R25" i="7" s="1"/>
  <c r="S15" i="7" a="1"/>
  <c r="S15" i="7" s="1"/>
  <c r="I884" i="9" l="1" a="1"/>
  <c r="I884" i="9" s="1"/>
  <c r="I440" i="8" a="1"/>
  <c r="I440" i="8" s="1"/>
  <c r="I885" i="9" l="1" a="1"/>
  <c r="I885" i="9" s="1"/>
  <c r="I441" i="8" a="1"/>
  <c r="I441" i="8" s="1"/>
  <c r="I886" i="9" l="1" a="1"/>
  <c r="I886" i="9" s="1"/>
  <c r="I442" i="8" a="1"/>
  <c r="I442" i="8" s="1"/>
  <c r="I887" i="9" l="1" a="1"/>
  <c r="I887" i="9" s="1"/>
  <c r="I443" i="8" a="1"/>
  <c r="I443" i="8" s="1"/>
  <c r="I888" i="9" l="1" a="1"/>
  <c r="I888" i="9" s="1"/>
  <c r="I444" i="8" a="1"/>
  <c r="I444" i="8" s="1"/>
  <c r="I889" i="9" l="1" a="1"/>
  <c r="I889" i="9" s="1"/>
  <c r="I445" i="8" a="1"/>
  <c r="I445" i="8" s="1"/>
  <c r="I890" i="9" l="1" a="1"/>
  <c r="I890" i="9" s="1"/>
  <c r="I446" i="8" a="1"/>
  <c r="I446" i="8" s="1"/>
  <c r="I891" i="9" l="1" a="1"/>
  <c r="I891" i="9" s="1"/>
  <c r="I447" i="8" a="1"/>
  <c r="I447" i="8" s="1"/>
  <c r="I892" i="9" l="1" a="1"/>
  <c r="I892" i="9" s="1"/>
  <c r="I448" i="8" a="1"/>
  <c r="I448" i="8" s="1"/>
  <c r="I893" i="9" l="1" a="1"/>
  <c r="I893" i="9" s="1"/>
  <c r="I449" i="8" a="1"/>
  <c r="I449" i="8" s="1"/>
  <c r="I894" i="9" l="1" a="1"/>
  <c r="I894" i="9" s="1"/>
  <c r="I450" i="8" a="1"/>
  <c r="I450" i="8" s="1"/>
  <c r="I895" i="9" l="1" a="1"/>
  <c r="I895" i="9" s="1"/>
  <c r="I451" i="8" a="1"/>
  <c r="I451" i="8" s="1"/>
  <c r="I896" i="9" l="1" a="1"/>
  <c r="I896" i="9" s="1"/>
  <c r="I452" i="8" a="1"/>
  <c r="I452" i="8" s="1"/>
  <c r="I897" i="9" l="1" a="1"/>
  <c r="I897" i="9" s="1"/>
  <c r="I453" i="8" a="1"/>
  <c r="I453" i="8" s="1"/>
  <c r="I898" i="9" l="1" a="1"/>
  <c r="I898" i="9" s="1"/>
  <c r="I454" i="8" a="1"/>
  <c r="I454" i="8" s="1"/>
  <c r="I899" i="9" l="1" a="1"/>
  <c r="I899" i="9" s="1"/>
  <c r="I455" i="8" a="1"/>
  <c r="I455" i="8" s="1"/>
  <c r="I900" i="9" l="1" a="1"/>
  <c r="I900" i="9" s="1"/>
  <c r="I456" i="8" a="1"/>
  <c r="I456" i="8" s="1"/>
  <c r="I901" i="9" l="1" a="1"/>
  <c r="I901" i="9" s="1"/>
  <c r="I457" i="8" a="1"/>
  <c r="I457" i="8" s="1"/>
  <c r="I902" i="9" l="1" a="1"/>
  <c r="I902" i="9" s="1"/>
  <c r="I458" i="8" a="1"/>
  <c r="I458" i="8" s="1"/>
  <c r="I903" i="9" l="1" a="1"/>
  <c r="I903" i="9" s="1"/>
  <c r="I459" i="8" a="1"/>
  <c r="I459" i="8" s="1"/>
  <c r="I904" i="9" l="1" a="1"/>
  <c r="I904" i="9" s="1"/>
  <c r="I460" i="8" a="1"/>
  <c r="I460" i="8" s="1"/>
  <c r="I905" i="9" l="1" a="1"/>
  <c r="I905" i="9" s="1"/>
  <c r="I461" i="8" a="1"/>
  <c r="I461" i="8" s="1"/>
  <c r="I906" i="9" l="1" a="1"/>
  <c r="I906" i="9" s="1"/>
  <c r="I462" i="8" a="1"/>
  <c r="I462" i="8" s="1"/>
  <c r="I907" i="9" l="1" a="1"/>
  <c r="I907" i="9" s="1"/>
  <c r="I463" i="8" a="1"/>
  <c r="I463" i="8" s="1"/>
  <c r="I908" i="9" l="1" a="1"/>
  <c r="I908" i="9" s="1"/>
  <c r="I464" i="8" a="1"/>
  <c r="I464" i="8" s="1"/>
  <c r="I909" i="9" l="1" a="1"/>
  <c r="I909" i="9" s="1"/>
  <c r="I465" i="8" a="1"/>
  <c r="I465" i="8" s="1"/>
  <c r="I910" i="9" l="1" a="1"/>
  <c r="I910" i="9" s="1"/>
  <c r="I466" i="8" a="1"/>
  <c r="I466" i="8" s="1"/>
  <c r="I911" i="9" l="1" a="1"/>
  <c r="I911" i="9" s="1"/>
  <c r="I467" i="8" a="1"/>
  <c r="I467" i="8" s="1"/>
  <c r="I912" i="9" l="1" a="1"/>
  <c r="I912" i="9" s="1"/>
  <c r="I468" i="8" a="1"/>
  <c r="I468" i="8" s="1"/>
  <c r="I913" i="9" l="1" a="1"/>
  <c r="I913" i="9" s="1"/>
  <c r="I469" i="8" a="1"/>
  <c r="I469" i="8" s="1"/>
  <c r="I914" i="9" l="1" a="1"/>
  <c r="I914" i="9" s="1"/>
  <c r="I470" i="8" a="1"/>
  <c r="I470" i="8" s="1"/>
  <c r="I915" i="9" l="1" a="1"/>
  <c r="I915" i="9" s="1"/>
  <c r="I471" i="8" a="1"/>
  <c r="I471" i="8" s="1"/>
  <c r="I916" i="9" l="1" a="1"/>
  <c r="I916" i="9" s="1"/>
  <c r="I472" i="8" a="1"/>
  <c r="I472" i="8" s="1"/>
  <c r="I917" i="9" l="1" a="1"/>
  <c r="I917" i="9" s="1"/>
  <c r="I473" i="8" a="1"/>
  <c r="I473" i="8" s="1"/>
  <c r="I918" i="9" l="1" a="1"/>
  <c r="I918" i="9" s="1"/>
  <c r="I474" i="8" a="1"/>
  <c r="I474" i="8" s="1"/>
  <c r="I919" i="9" l="1" a="1"/>
  <c r="I919" i="9" s="1"/>
  <c r="I475" i="8" a="1"/>
  <c r="I475" i="8" s="1"/>
  <c r="I920" i="9" l="1" a="1"/>
  <c r="I920" i="9" s="1"/>
  <c r="I476" i="8" a="1"/>
  <c r="I476" i="8" s="1"/>
  <c r="I921" i="9" l="1" a="1"/>
  <c r="I921" i="9" s="1"/>
  <c r="I477" i="8" a="1"/>
  <c r="I477" i="8" s="1"/>
  <c r="I922" i="9" l="1" a="1"/>
  <c r="I922" i="9" s="1"/>
  <c r="I478" i="8" a="1"/>
  <c r="I478" i="8" s="1"/>
  <c r="I923" i="9" l="1" a="1"/>
  <c r="I923" i="9" s="1"/>
  <c r="I479" i="8" a="1"/>
  <c r="I479" i="8" s="1"/>
  <c r="I924" i="9" l="1" a="1"/>
  <c r="I924" i="9" s="1"/>
  <c r="I480" i="8" a="1"/>
  <c r="I480" i="8" s="1"/>
  <c r="I925" i="9" l="1" a="1"/>
  <c r="I925" i="9" s="1"/>
  <c r="I481" i="8" a="1"/>
  <c r="I481" i="8" s="1"/>
  <c r="I926" i="9" l="1" a="1"/>
  <c r="I926" i="9" s="1"/>
  <c r="I482" i="8" a="1"/>
  <c r="I482" i="8" s="1"/>
  <c r="I927" i="9" l="1" a="1"/>
  <c r="I927" i="9" s="1"/>
  <c r="I483" i="8" a="1"/>
  <c r="I483" i="8" s="1"/>
  <c r="I928" i="9" l="1" a="1"/>
  <c r="I928" i="9" s="1"/>
  <c r="I484" i="8" a="1"/>
  <c r="I484" i="8" s="1"/>
  <c r="I929" i="9" l="1" a="1"/>
  <c r="I929" i="9" s="1"/>
  <c r="I485" i="8" a="1"/>
  <c r="I485" i="8" s="1"/>
  <c r="I930" i="9" l="1" a="1"/>
  <c r="I930" i="9" s="1"/>
  <c r="I486" i="8" a="1"/>
  <c r="I486" i="8" s="1"/>
  <c r="I931" i="9" l="1" a="1"/>
  <c r="I931" i="9" s="1"/>
  <c r="I487" i="8" a="1"/>
  <c r="I487" i="8" s="1"/>
  <c r="I932" i="9" l="1" a="1"/>
  <c r="I932" i="9" s="1"/>
  <c r="I488" i="8" a="1"/>
  <c r="I488" i="8" s="1"/>
  <c r="I933" i="9" l="1" a="1"/>
  <c r="I933" i="9" s="1"/>
  <c r="I489" i="8" a="1"/>
  <c r="I489" i="8" s="1"/>
  <c r="I934" i="9" l="1" a="1"/>
  <c r="I934" i="9" s="1"/>
  <c r="I490" i="8" a="1"/>
  <c r="I490" i="8" s="1"/>
  <c r="I935" i="9" l="1" a="1"/>
  <c r="I935" i="9" s="1"/>
  <c r="I491" i="8" a="1"/>
  <c r="I491" i="8" s="1"/>
  <c r="I936" i="9" l="1" a="1"/>
  <c r="I936" i="9" s="1"/>
  <c r="I492" i="8" a="1"/>
  <c r="I492" i="8" s="1"/>
  <c r="I937" i="9" l="1" a="1"/>
  <c r="I937" i="9" s="1"/>
  <c r="I493" i="8" a="1"/>
  <c r="I493" i="8" s="1"/>
  <c r="I938" i="9" l="1" a="1"/>
  <c r="I938" i="9" s="1"/>
  <c r="I494" i="8" a="1"/>
  <c r="I494" i="8" s="1"/>
  <c r="I939" i="9" l="1" a="1"/>
  <c r="I939" i="9" s="1"/>
  <c r="R23" i="9" a="1"/>
  <c r="R23" i="9" s="1"/>
  <c r="R19" i="9" a="1"/>
  <c r="R19" i="9" s="1"/>
  <c r="P12" i="9" a="1"/>
  <c r="P12" i="9" s="1"/>
  <c r="R25" i="9" a="1"/>
  <c r="R25" i="9" s="1"/>
  <c r="R27" i="9" a="1"/>
  <c r="R27" i="9" s="1"/>
  <c r="R21" i="9" a="1"/>
  <c r="R21" i="9" s="1"/>
  <c r="P11" i="9" a="1"/>
  <c r="P11" i="9" s="1"/>
  <c r="Q19" i="9" a="1"/>
  <c r="Q19" i="9" s="1"/>
  <c r="P14" i="9" a="1"/>
  <c r="P14" i="9" s="1"/>
  <c r="P22" i="9" a="1"/>
  <c r="P22" i="9" s="1"/>
  <c r="R22" i="9" a="1"/>
  <c r="R22" i="9" s="1"/>
  <c r="Q13" i="9" a="1"/>
  <c r="Q13" i="9" s="1"/>
  <c r="P21" i="9" a="1"/>
  <c r="P21" i="9" s="1"/>
  <c r="P15" i="9" a="1"/>
  <c r="P15" i="9" s="1"/>
  <c r="Q17" i="9" a="1"/>
  <c r="Q17" i="9" s="1"/>
  <c r="R13" i="9" a="1"/>
  <c r="R13" i="9" s="1"/>
  <c r="P7" i="9" a="1"/>
  <c r="P7" i="9" s="1"/>
  <c r="Q7" i="9" a="1"/>
  <c r="Q7" i="9" s="1"/>
  <c r="P8" i="9" a="1"/>
  <c r="P8" i="9" s="1"/>
  <c r="R20" i="9" a="1"/>
  <c r="R20" i="9" s="1"/>
  <c r="Q24" i="9" a="1"/>
  <c r="Q24" i="9" s="1"/>
  <c r="Q21" i="9" a="1"/>
  <c r="Q21" i="9" s="1"/>
  <c r="Q8" i="9" a="1"/>
  <c r="Q8" i="9" s="1"/>
  <c r="R11" i="9" a="1"/>
  <c r="R11" i="9" s="1"/>
  <c r="Q14" i="9" a="1"/>
  <c r="Q14" i="9" s="1"/>
  <c r="P16" i="9" a="1"/>
  <c r="P16" i="9" s="1"/>
  <c r="P27" i="9" a="1"/>
  <c r="P27" i="9" s="1"/>
  <c r="P6" i="9" a="1"/>
  <c r="P6" i="9" s="1"/>
  <c r="Q16" i="9" a="1"/>
  <c r="Q16" i="9" s="1"/>
  <c r="R15" i="9" a="1"/>
  <c r="R15" i="9" s="1"/>
  <c r="Q3" i="9" a="1"/>
  <c r="Q3" i="9" s="1"/>
  <c r="R18" i="9" a="1"/>
  <c r="R18" i="9" s="1"/>
  <c r="Q26" i="9" a="1"/>
  <c r="Q26" i="9" s="1"/>
  <c r="P5" i="9" a="1"/>
  <c r="P5" i="9" s="1"/>
  <c r="R17" i="9" a="1"/>
  <c r="R17" i="9" s="1"/>
  <c r="Q25" i="9" a="1"/>
  <c r="Q25" i="9" s="1"/>
  <c r="R5" i="9" a="1"/>
  <c r="R5" i="9" s="1"/>
  <c r="Q10" i="9" a="1"/>
  <c r="Q10" i="9" s="1"/>
  <c r="P20" i="9" a="1"/>
  <c r="P20" i="9" s="1"/>
  <c r="Q20" i="9" a="1"/>
  <c r="Q20" i="9" s="1"/>
  <c r="R9" i="9" a="1"/>
  <c r="R9" i="9" s="1"/>
  <c r="Q4" i="9" a="1"/>
  <c r="Q4" i="9" s="1"/>
  <c r="P10" i="9" a="1"/>
  <c r="P10" i="9" s="1"/>
  <c r="P23" i="9" a="1"/>
  <c r="P23" i="9" s="1"/>
  <c r="R8" i="9" a="1"/>
  <c r="R8" i="9" s="1"/>
  <c r="Q12" i="9" a="1"/>
  <c r="Q12" i="9" s="1"/>
  <c r="Q5" i="9" a="1"/>
  <c r="Q5" i="9" s="1"/>
  <c r="R16" i="9" a="1"/>
  <c r="R16" i="9" s="1"/>
  <c r="P26" i="9" a="1"/>
  <c r="P26" i="9" s="1"/>
  <c r="P25" i="9" a="1"/>
  <c r="P25" i="9" s="1"/>
  <c r="P17" i="9" a="1"/>
  <c r="P17" i="9" s="1"/>
  <c r="P9" i="9" a="1"/>
  <c r="P9" i="9" s="1"/>
  <c r="Q11" i="9" a="1"/>
  <c r="Q11" i="9" s="1"/>
  <c r="P13" i="9" a="1"/>
  <c r="P13" i="9" s="1"/>
  <c r="P19" i="9" a="1"/>
  <c r="P19" i="9" s="1"/>
  <c r="Q23" i="9" a="1"/>
  <c r="Q23" i="9" s="1"/>
  <c r="R26" i="9" a="1"/>
  <c r="R26" i="9" s="1"/>
  <c r="R14" i="9" a="1"/>
  <c r="R14" i="9" s="1"/>
  <c r="R7" i="9" a="1"/>
  <c r="R7" i="9" s="1"/>
  <c r="Q9" i="9" a="1"/>
  <c r="Q9" i="9" s="1"/>
  <c r="Q6" i="9" a="1"/>
  <c r="Q6" i="9" s="1"/>
  <c r="I495" i="8" a="1"/>
  <c r="I495" i="8" s="1"/>
  <c r="Q15" i="9" l="1" a="1"/>
  <c r="Q15" i="9" s="1"/>
  <c r="P3" i="9" a="1"/>
  <c r="P3" i="9" s="1"/>
  <c r="R10" i="9" a="1"/>
  <c r="R10" i="9" s="1"/>
  <c r="P24" i="9" a="1"/>
  <c r="P24" i="9" s="1"/>
  <c r="R4" i="9" a="1"/>
  <c r="R4" i="9" s="1"/>
  <c r="P18" i="9" a="1"/>
  <c r="P18" i="9" s="1"/>
  <c r="Q27" i="9" a="1"/>
  <c r="Q27" i="9" s="1"/>
  <c r="Q18" i="9" a="1"/>
  <c r="Q18" i="9" s="1"/>
  <c r="Q22" i="9" a="1"/>
  <c r="Q22" i="9" s="1"/>
  <c r="R12" i="9" a="1"/>
  <c r="R12" i="9" s="1"/>
  <c r="R6" i="9" a="1"/>
  <c r="R6" i="9" s="1"/>
  <c r="P4" i="9" a="1"/>
  <c r="P4" i="9" s="1"/>
  <c r="R24" i="9" a="1"/>
  <c r="R24" i="9" s="1"/>
  <c r="R3" i="9" a="1"/>
  <c r="R3" i="9" s="1"/>
  <c r="I496" i="8" a="1"/>
  <c r="I496" i="8" s="1"/>
  <c r="I497" i="8" l="1" a="1"/>
  <c r="I497" i="8" s="1"/>
  <c r="I498" i="8" l="1" a="1"/>
  <c r="I498" i="8" s="1"/>
  <c r="I499" i="8" l="1" a="1"/>
  <c r="I499" i="8" s="1"/>
  <c r="I500" i="8" l="1" a="1"/>
  <c r="I500" i="8" s="1"/>
  <c r="I501" i="8" l="1" a="1"/>
  <c r="I501" i="8" s="1"/>
  <c r="I502" i="8" l="1" a="1"/>
  <c r="I502" i="8" s="1"/>
  <c r="I503" i="8" l="1" a="1"/>
  <c r="I503" i="8" s="1"/>
  <c r="I504" i="8" l="1" a="1"/>
  <c r="I504" i="8" s="1"/>
  <c r="I505" i="8" l="1" a="1"/>
  <c r="I505" i="8" s="1"/>
  <c r="I506" i="8" l="1" a="1"/>
  <c r="I506" i="8" s="1"/>
  <c r="I507" i="8" l="1" a="1"/>
  <c r="I507" i="8" s="1"/>
  <c r="I508" i="8" l="1" a="1"/>
  <c r="I508" i="8" s="1"/>
  <c r="I509" i="8" l="1" a="1"/>
  <c r="I509" i="8" s="1"/>
  <c r="I510" i="8" l="1" a="1"/>
  <c r="I510" i="8" s="1"/>
  <c r="I511" i="8" l="1" a="1"/>
  <c r="I511" i="8" s="1"/>
  <c r="I512" i="8" l="1" a="1"/>
  <c r="I512" i="8" s="1"/>
  <c r="I513" i="8" l="1" a="1"/>
  <c r="I513" i="8" s="1"/>
  <c r="I514" i="8" l="1" a="1"/>
  <c r="I514" i="8" s="1"/>
  <c r="I515" i="8" l="1" a="1"/>
  <c r="I515" i="8" s="1"/>
  <c r="I516" i="8" l="1" a="1"/>
  <c r="I516" i="8" s="1"/>
  <c r="I517" i="8" l="1" a="1"/>
  <c r="I517" i="8" s="1"/>
  <c r="I518" i="8" l="1" a="1"/>
  <c r="I518" i="8" s="1"/>
  <c r="I519" i="8" l="1" a="1"/>
  <c r="I519" i="8" s="1"/>
  <c r="I520" i="8" l="1" a="1"/>
  <c r="I520" i="8" s="1"/>
  <c r="I521" i="8" l="1" a="1"/>
  <c r="I521" i="8" s="1"/>
  <c r="I522" i="8" l="1" a="1"/>
  <c r="I522" i="8" s="1"/>
  <c r="I523" i="8" l="1" a="1"/>
  <c r="I523" i="8" s="1"/>
  <c r="I524" i="8" l="1" a="1"/>
  <c r="I524" i="8" s="1"/>
  <c r="I525" i="8" l="1" a="1"/>
  <c r="I525" i="8" s="1"/>
  <c r="I526" i="8" l="1" a="1"/>
  <c r="I526" i="8" s="1"/>
  <c r="I527" i="8" l="1" a="1"/>
  <c r="I527" i="8" s="1"/>
  <c r="I528" i="8" l="1" a="1"/>
  <c r="I528" i="8" s="1"/>
  <c r="I529" i="8" l="1" a="1"/>
  <c r="I529" i="8" s="1"/>
  <c r="I530" i="8" l="1" a="1"/>
  <c r="I530" i="8" s="1"/>
  <c r="I531" i="8" l="1" a="1"/>
  <c r="I531" i="8" s="1"/>
  <c r="I532" i="8" l="1" a="1"/>
  <c r="I532" i="8" s="1"/>
  <c r="I533" i="8" l="1" a="1"/>
  <c r="I533" i="8" s="1"/>
  <c r="I534" i="8" l="1" a="1"/>
  <c r="I534" i="8" s="1"/>
  <c r="I535" i="8" l="1" a="1"/>
  <c r="I535" i="8" s="1"/>
  <c r="I536" i="8" l="1" a="1"/>
  <c r="I536" i="8" s="1"/>
  <c r="I537" i="8" l="1" a="1"/>
  <c r="I537" i="8" s="1"/>
  <c r="I538" i="8" l="1" a="1"/>
  <c r="I538" i="8" s="1"/>
  <c r="I539" i="8" l="1" a="1"/>
  <c r="I539" i="8" s="1"/>
  <c r="I540" i="8" l="1" a="1"/>
  <c r="I540" i="8" s="1"/>
  <c r="I541" i="8" l="1" a="1"/>
  <c r="I541" i="8" s="1"/>
  <c r="I542" i="8" l="1" a="1"/>
  <c r="I542" i="8" s="1"/>
  <c r="I543" i="8" l="1" a="1"/>
  <c r="I543" i="8" s="1"/>
  <c r="I544" i="8" l="1" a="1"/>
  <c r="I544" i="8" s="1"/>
  <c r="I545" i="8" l="1" a="1"/>
  <c r="I545" i="8" s="1"/>
  <c r="I546" i="8" l="1" a="1"/>
  <c r="I546" i="8" s="1"/>
  <c r="I547" i="8" l="1" a="1"/>
  <c r="I547" i="8" s="1"/>
  <c r="I548" i="8" l="1" a="1"/>
  <c r="I548" i="8" s="1"/>
  <c r="I549" i="8" l="1" a="1"/>
  <c r="I549" i="8" s="1"/>
  <c r="I550" i="8" l="1" a="1"/>
  <c r="I550" i="8" s="1"/>
  <c r="I551" i="8" l="1" a="1"/>
  <c r="I551" i="8" s="1"/>
  <c r="I552" i="8" l="1" a="1"/>
  <c r="I552" i="8" s="1"/>
  <c r="I553" i="8" l="1" a="1"/>
  <c r="I553" i="8" s="1"/>
  <c r="I554" i="8" l="1" a="1"/>
  <c r="I554" i="8" s="1"/>
  <c r="I555" i="8" l="1" a="1"/>
  <c r="I555" i="8" s="1"/>
  <c r="I556" i="8" l="1" a="1"/>
  <c r="I556" i="8" s="1"/>
  <c r="I557" i="8" l="1" a="1"/>
  <c r="I557" i="8" s="1"/>
  <c r="I558" i="8" l="1" a="1"/>
  <c r="I558" i="8" s="1"/>
  <c r="I559" i="8" l="1" a="1"/>
  <c r="I559" i="8" s="1"/>
  <c r="I560" i="8" l="1" a="1"/>
  <c r="I560" i="8" s="1"/>
  <c r="I561" i="8" l="1" a="1"/>
  <c r="I561" i="8" s="1"/>
  <c r="I562" i="8" l="1" a="1"/>
  <c r="I562" i="8" s="1"/>
  <c r="I563" i="8" l="1" a="1"/>
  <c r="I563" i="8" s="1"/>
  <c r="I564" i="8" l="1" a="1"/>
  <c r="I564" i="8" s="1"/>
  <c r="I565" i="8" l="1" a="1"/>
  <c r="I565" i="8" s="1"/>
  <c r="I566" i="8" l="1" a="1"/>
  <c r="I566" i="8" s="1"/>
  <c r="I567" i="8" l="1" a="1"/>
  <c r="I567" i="8" s="1"/>
  <c r="I568" i="8" l="1" a="1"/>
  <c r="I568" i="8" s="1"/>
  <c r="I569" i="8" l="1" a="1"/>
  <c r="I569" i="8" s="1"/>
  <c r="I570" i="8" l="1" a="1"/>
  <c r="I570" i="8" s="1"/>
  <c r="I571" i="8" l="1" a="1"/>
  <c r="I571" i="8" s="1"/>
  <c r="I572" i="8" l="1" a="1"/>
  <c r="I572" i="8" s="1"/>
  <c r="I573" i="8" l="1" a="1"/>
  <c r="I573" i="8" s="1"/>
  <c r="I574" i="8" l="1" a="1"/>
  <c r="I574" i="8" s="1"/>
  <c r="I575" i="8" l="1" a="1"/>
  <c r="I575" i="8" s="1"/>
  <c r="I576" i="8" l="1" a="1"/>
  <c r="I576" i="8" s="1"/>
  <c r="I577" i="8" l="1" a="1"/>
  <c r="I577" i="8" s="1"/>
  <c r="I578" i="8" l="1" a="1"/>
  <c r="I578" i="8" s="1"/>
  <c r="I579" i="8" l="1" a="1"/>
  <c r="I579" i="8" s="1"/>
  <c r="I580" i="8" l="1" a="1"/>
  <c r="I580" i="8" s="1"/>
  <c r="I581" i="8" l="1" a="1"/>
  <c r="I581" i="8" s="1"/>
  <c r="I582" i="8" l="1" a="1"/>
  <c r="I582" i="8" s="1"/>
  <c r="I583" i="8" l="1" a="1"/>
  <c r="I583" i="8" s="1"/>
  <c r="I584" i="8" l="1" a="1"/>
  <c r="I584" i="8" s="1"/>
  <c r="I585" i="8" l="1" a="1"/>
  <c r="I585" i="8" s="1"/>
  <c r="I586" i="8" l="1" a="1"/>
  <c r="I586" i="8" s="1"/>
  <c r="I587" i="8" l="1" a="1"/>
  <c r="I587" i="8" s="1"/>
  <c r="I588" i="8" l="1" a="1"/>
  <c r="I588" i="8" s="1"/>
  <c r="I589" i="8" l="1" a="1"/>
  <c r="I589" i="8" s="1"/>
  <c r="I590" i="8" l="1" a="1"/>
  <c r="I590" i="8" s="1"/>
  <c r="I591" i="8" l="1" a="1"/>
  <c r="I591" i="8" s="1"/>
  <c r="I592" i="8" l="1" a="1"/>
  <c r="I592" i="8" s="1"/>
  <c r="I593" i="8" l="1" a="1"/>
  <c r="I593" i="8" s="1"/>
  <c r="I594" i="8" l="1" a="1"/>
  <c r="I594" i="8" s="1"/>
  <c r="I595" i="8" l="1" a="1"/>
  <c r="I595" i="8" s="1"/>
  <c r="I596" i="8" l="1" a="1"/>
  <c r="I596" i="8" s="1"/>
  <c r="I597" i="8" l="1" a="1"/>
  <c r="I597" i="8" s="1"/>
  <c r="I598" i="8" l="1" a="1"/>
  <c r="I598" i="8" s="1"/>
  <c r="I599" i="8" l="1" a="1"/>
  <c r="I599" i="8" s="1"/>
  <c r="I600" i="8" l="1" a="1"/>
  <c r="I600" i="8" s="1"/>
  <c r="I601" i="8" l="1" a="1"/>
  <c r="I601" i="8" s="1"/>
  <c r="I602" i="8" l="1" a="1"/>
  <c r="I602" i="8" s="1"/>
  <c r="I603" i="8" l="1" a="1"/>
  <c r="I603" i="8" s="1"/>
  <c r="I604" i="8" l="1" a="1"/>
  <c r="I604" i="8" s="1"/>
  <c r="I605" i="8" l="1" a="1"/>
  <c r="I605" i="8" s="1"/>
  <c r="I606" i="8" l="1" a="1"/>
  <c r="I606" i="8" s="1"/>
  <c r="I607" i="8" l="1" a="1"/>
  <c r="I607" i="8" s="1"/>
  <c r="I608" i="8" l="1" a="1"/>
  <c r="I608" i="8" s="1"/>
  <c r="I609" i="8" l="1" a="1"/>
  <c r="I609" i="8" s="1"/>
  <c r="I610" i="8" l="1" a="1"/>
  <c r="I610" i="8" s="1"/>
  <c r="I611" i="8" l="1" a="1"/>
  <c r="I611" i="8" s="1"/>
  <c r="I612" i="8" l="1" a="1"/>
  <c r="I612" i="8" s="1"/>
  <c r="I613" i="8" l="1" a="1"/>
  <c r="I613" i="8" s="1"/>
  <c r="I614" i="8" l="1" a="1"/>
  <c r="I614" i="8" s="1"/>
  <c r="I615" i="8" l="1" a="1"/>
  <c r="I615" i="8" s="1"/>
  <c r="I616" i="8" l="1" a="1"/>
  <c r="I616" i="8" s="1"/>
  <c r="I617" i="8" l="1" a="1"/>
  <c r="I617" i="8" s="1"/>
  <c r="I618" i="8" l="1" a="1"/>
  <c r="I618" i="8" s="1"/>
  <c r="I619" i="8" l="1" a="1"/>
  <c r="I619" i="8" s="1"/>
  <c r="I620" i="8" l="1" a="1"/>
  <c r="I620" i="8" s="1"/>
  <c r="I621" i="8" l="1" a="1"/>
  <c r="I621" i="8" s="1"/>
  <c r="I622" i="8" l="1" a="1"/>
  <c r="I622" i="8" s="1"/>
  <c r="I623" i="8" l="1" a="1"/>
  <c r="I623" i="8" s="1"/>
  <c r="I624" i="8" l="1" a="1"/>
  <c r="I624" i="8" s="1"/>
  <c r="I625" i="8" l="1" a="1"/>
  <c r="I625" i="8" s="1"/>
  <c r="I626" i="8" l="1" a="1"/>
  <c r="I626" i="8" s="1"/>
  <c r="I627" i="8" l="1" a="1"/>
  <c r="I627" i="8" s="1"/>
  <c r="I628" i="8" l="1" a="1"/>
  <c r="I628" i="8" s="1"/>
  <c r="I629" i="8" l="1" a="1"/>
  <c r="I629" i="8" s="1"/>
  <c r="I630" i="8" l="1" a="1"/>
  <c r="I630" i="8" s="1"/>
  <c r="I631" i="8" l="1" a="1"/>
  <c r="I631" i="8" s="1"/>
  <c r="I632" i="8" l="1" a="1"/>
  <c r="I632" i="8" s="1"/>
  <c r="I633" i="8" l="1" a="1"/>
  <c r="I633" i="8" s="1"/>
  <c r="I634" i="8" l="1" a="1"/>
  <c r="I634" i="8" s="1"/>
  <c r="I635" i="8" l="1" a="1"/>
  <c r="I635" i="8" s="1"/>
  <c r="I636" i="8" l="1" a="1"/>
  <c r="I636" i="8" s="1"/>
  <c r="I637" i="8" l="1" a="1"/>
  <c r="I637" i="8" s="1"/>
  <c r="I638" i="8" l="1" a="1"/>
  <c r="I638" i="8" s="1"/>
  <c r="I639" i="8" l="1" a="1"/>
  <c r="I639" i="8" s="1"/>
  <c r="I640" i="8" l="1" a="1"/>
  <c r="I640" i="8" s="1"/>
  <c r="I641" i="8" l="1" a="1"/>
  <c r="I641" i="8" s="1"/>
  <c r="I642" i="8" l="1" a="1"/>
  <c r="I642" i="8" s="1"/>
  <c r="I643" i="8" l="1" a="1"/>
  <c r="I643" i="8" s="1"/>
  <c r="I644" i="8" l="1" a="1"/>
  <c r="I644" i="8" s="1"/>
  <c r="I645" i="8" l="1" a="1"/>
  <c r="I645" i="8" s="1"/>
  <c r="I646" i="8" l="1" a="1"/>
  <c r="I646" i="8" s="1"/>
  <c r="I647" i="8" l="1" a="1"/>
  <c r="I647" i="8" s="1"/>
  <c r="I648" i="8" l="1" a="1"/>
  <c r="I648" i="8" s="1"/>
  <c r="I649" i="8" l="1" a="1"/>
  <c r="I649" i="8" s="1"/>
  <c r="I650" i="8" l="1" a="1"/>
  <c r="I650" i="8" s="1"/>
  <c r="I651" i="8" l="1" a="1"/>
  <c r="I651" i="8" s="1"/>
  <c r="I652" i="8" l="1" a="1"/>
  <c r="I652" i="8" s="1"/>
  <c r="I653" i="8" l="1" a="1"/>
  <c r="I653" i="8" s="1"/>
  <c r="I654" i="8" l="1" a="1"/>
  <c r="I654" i="8" s="1"/>
  <c r="I655" i="8" l="1" a="1"/>
  <c r="I655" i="8" s="1"/>
  <c r="I656" i="8" l="1" a="1"/>
  <c r="I656" i="8" s="1"/>
  <c r="I657" i="8" l="1" a="1"/>
  <c r="I657" i="8" s="1"/>
  <c r="I658" i="8" l="1" a="1"/>
  <c r="I658" i="8" s="1"/>
  <c r="I659" i="8" l="1" a="1"/>
  <c r="I659" i="8" s="1"/>
  <c r="I660" i="8" l="1" a="1"/>
  <c r="I660" i="8" s="1"/>
  <c r="I661" i="8" l="1" a="1"/>
  <c r="I661" i="8" s="1"/>
  <c r="I662" i="8" l="1" a="1"/>
  <c r="I662" i="8" s="1"/>
  <c r="I663" i="8" l="1" a="1"/>
  <c r="I663" i="8" s="1"/>
  <c r="I664" i="8" l="1" a="1"/>
  <c r="I664" i="8" s="1"/>
  <c r="I665" i="8" l="1" a="1"/>
  <c r="I665" i="8" s="1"/>
  <c r="I666" i="8" l="1" a="1"/>
  <c r="I666" i="8" s="1"/>
  <c r="I667" i="8" l="1" a="1"/>
  <c r="I667" i="8" s="1"/>
  <c r="I668" i="8" l="1" a="1"/>
  <c r="I668" i="8" s="1"/>
  <c r="I669" i="8" l="1" a="1"/>
  <c r="I669" i="8" s="1"/>
  <c r="I670" i="8" l="1" a="1"/>
  <c r="I670" i="8" s="1"/>
  <c r="I671" i="8" l="1" a="1"/>
  <c r="I671" i="8" s="1"/>
  <c r="I672" i="8" l="1" a="1"/>
  <c r="I672" i="8" s="1"/>
  <c r="I673" i="8" l="1" a="1"/>
  <c r="I673" i="8" s="1"/>
  <c r="I674" i="8" l="1" a="1"/>
  <c r="I674" i="8" s="1"/>
  <c r="I675" i="8" l="1" a="1"/>
  <c r="I675" i="8" s="1"/>
  <c r="I676" i="8" l="1" a="1"/>
  <c r="I676" i="8" s="1"/>
  <c r="I677" i="8" l="1" a="1"/>
  <c r="I677" i="8" s="1"/>
  <c r="I678" i="8" l="1" a="1"/>
  <c r="I678" i="8" s="1"/>
  <c r="I679" i="8" l="1" a="1"/>
  <c r="I679" i="8" s="1"/>
  <c r="I680" i="8" l="1" a="1"/>
  <c r="I680" i="8" s="1"/>
  <c r="I681" i="8" l="1" a="1"/>
  <c r="I681" i="8" s="1"/>
  <c r="I682" i="8" l="1" a="1"/>
  <c r="I682" i="8" s="1"/>
  <c r="I683" i="8" l="1" a="1"/>
  <c r="I683" i="8" s="1"/>
  <c r="I684" i="8" l="1" a="1"/>
  <c r="I684" i="8" s="1"/>
  <c r="I685" i="8" l="1" a="1"/>
  <c r="I685" i="8" s="1"/>
  <c r="I686" i="8" l="1" a="1"/>
  <c r="I686" i="8" s="1"/>
  <c r="I687" i="8" l="1" a="1"/>
  <c r="I687" i="8" s="1"/>
  <c r="I688" i="8" l="1" a="1"/>
  <c r="I688" i="8" s="1"/>
  <c r="I689" i="8" l="1" a="1"/>
  <c r="I689" i="8" s="1"/>
  <c r="I690" i="8" l="1" a="1"/>
  <c r="I690" i="8" s="1"/>
  <c r="I691" i="8" l="1" a="1"/>
  <c r="I691" i="8" s="1"/>
  <c r="I692" i="8" l="1" a="1"/>
  <c r="I692" i="8" s="1"/>
  <c r="I693" i="8" l="1" a="1"/>
  <c r="I693" i="8" s="1"/>
  <c r="I694" i="8" l="1" a="1"/>
  <c r="I694" i="8" s="1"/>
  <c r="I695" i="8" l="1" a="1"/>
  <c r="I695" i="8" s="1"/>
  <c r="I696" i="8" l="1" a="1"/>
  <c r="I696" i="8" s="1"/>
  <c r="I697" i="8" l="1" a="1"/>
  <c r="I697" i="8" s="1"/>
  <c r="I698" i="8" l="1" a="1"/>
  <c r="I698" i="8" s="1"/>
  <c r="I699" i="8" l="1" a="1"/>
  <c r="I699" i="8" s="1"/>
  <c r="I700" i="8" l="1" a="1"/>
  <c r="I700" i="8" s="1"/>
  <c r="I701" i="8" l="1" a="1"/>
  <c r="I701" i="8" s="1"/>
  <c r="I702" i="8" l="1" a="1"/>
  <c r="I702" i="8" s="1"/>
  <c r="I703" i="8" l="1" a="1"/>
  <c r="I703" i="8" s="1"/>
  <c r="I704" i="8" l="1" a="1"/>
  <c r="I704" i="8" s="1"/>
  <c r="I705" i="8" l="1" a="1"/>
  <c r="I705" i="8" s="1"/>
  <c r="I706" i="8" l="1" a="1"/>
  <c r="I706" i="8" s="1"/>
  <c r="I707" i="8" l="1" a="1"/>
  <c r="I707" i="8" s="1"/>
  <c r="I708" i="8" l="1" a="1"/>
  <c r="I708" i="8" s="1"/>
  <c r="I709" i="8" l="1" a="1"/>
  <c r="I709" i="8" s="1"/>
  <c r="I710" i="8" l="1" a="1"/>
  <c r="I710" i="8" s="1"/>
  <c r="I711" i="8" l="1" a="1"/>
  <c r="I711" i="8" s="1"/>
  <c r="I712" i="8" l="1" a="1"/>
  <c r="I712" i="8" s="1"/>
  <c r="I713" i="8" l="1" a="1"/>
  <c r="I713" i="8" s="1"/>
  <c r="I714" i="8" l="1" a="1"/>
  <c r="I714" i="8" s="1"/>
  <c r="I715" i="8" l="1" a="1"/>
  <c r="I715" i="8" s="1"/>
  <c r="I716" i="8" l="1" a="1"/>
  <c r="I716" i="8" s="1"/>
  <c r="I717" i="8" l="1" a="1"/>
  <c r="I717" i="8" s="1"/>
  <c r="I718" i="8" l="1" a="1"/>
  <c r="I718" i="8" s="1"/>
  <c r="I719" i="8" l="1" a="1"/>
  <c r="I719" i="8" s="1"/>
  <c r="I720" i="8" l="1" a="1"/>
  <c r="I720" i="8" s="1"/>
  <c r="I721" i="8" l="1" a="1"/>
  <c r="I721" i="8" s="1"/>
  <c r="I722" i="8" l="1" a="1"/>
  <c r="I722" i="8" s="1"/>
  <c r="I723" i="8" l="1" a="1"/>
  <c r="I723" i="8" s="1"/>
  <c r="I724" i="8" l="1" a="1"/>
  <c r="I724" i="8" s="1"/>
  <c r="I725" i="8" l="1" a="1"/>
  <c r="I725" i="8" s="1"/>
  <c r="I726" i="8" l="1" a="1"/>
  <c r="I726" i="8" s="1"/>
  <c r="I727" i="8" l="1" a="1"/>
  <c r="I727" i="8" s="1"/>
  <c r="I728" i="8" l="1" a="1"/>
  <c r="I728" i="8" s="1"/>
  <c r="I729" i="8" l="1" a="1"/>
  <c r="I729" i="8" s="1"/>
  <c r="I730" i="8" l="1" a="1"/>
  <c r="I730" i="8" s="1"/>
  <c r="I731" i="8" l="1" a="1"/>
  <c r="I731" i="8" s="1"/>
  <c r="I732" i="8" l="1" a="1"/>
  <c r="I732" i="8" s="1"/>
  <c r="I733" i="8" l="1" a="1"/>
  <c r="I733" i="8" s="1"/>
  <c r="I734" i="8" l="1" a="1"/>
  <c r="I734" i="8" s="1"/>
  <c r="I735" i="8" l="1" a="1"/>
  <c r="I735" i="8" s="1"/>
  <c r="I736" i="8" l="1" a="1"/>
  <c r="I736" i="8" s="1"/>
  <c r="I737" i="8" l="1" a="1"/>
  <c r="I737" i="8" s="1"/>
  <c r="I738" i="8" l="1" a="1"/>
  <c r="I738" i="8" s="1"/>
  <c r="I739" i="8" l="1" a="1"/>
  <c r="I739" i="8" s="1"/>
  <c r="I740" i="8" l="1" a="1"/>
  <c r="I740" i="8" s="1"/>
  <c r="I741" i="8" l="1" a="1"/>
  <c r="I741" i="8" s="1"/>
  <c r="I742" i="8" l="1" a="1"/>
  <c r="I742" i="8" s="1"/>
  <c r="I743" i="8" l="1" a="1"/>
  <c r="I743" i="8" s="1"/>
  <c r="I744" i="8" l="1" a="1"/>
  <c r="I744" i="8" s="1"/>
  <c r="I745" i="8" l="1" a="1"/>
  <c r="I745" i="8" s="1"/>
  <c r="I746" i="8" l="1" a="1"/>
  <c r="I746" i="8" s="1"/>
  <c r="I747" i="8" l="1" a="1"/>
  <c r="I747" i="8" s="1"/>
  <c r="I748" i="8" l="1" a="1"/>
  <c r="I748" i="8" s="1"/>
  <c r="I749" i="8" l="1" a="1"/>
  <c r="I749" i="8" s="1"/>
  <c r="I750" i="8" l="1" a="1"/>
  <c r="I750" i="8" s="1"/>
  <c r="I751" i="8" l="1" a="1"/>
  <c r="I751" i="8" s="1"/>
  <c r="I752" i="8" l="1" a="1"/>
  <c r="I752" i="8" s="1"/>
  <c r="I753" i="8" l="1" a="1"/>
  <c r="I753" i="8" s="1"/>
  <c r="I754" i="8" l="1" a="1"/>
  <c r="I754" i="8" s="1"/>
  <c r="I755" i="8" l="1" a="1"/>
  <c r="I755" i="8" s="1"/>
  <c r="I756" i="8" l="1" a="1"/>
  <c r="I756" i="8" s="1"/>
  <c r="I757" i="8" l="1" a="1"/>
  <c r="I757" i="8" s="1"/>
  <c r="I758" i="8" l="1" a="1"/>
  <c r="I758" i="8" s="1"/>
  <c r="I759" i="8" l="1" a="1"/>
  <c r="I759" i="8" s="1"/>
  <c r="I760" i="8" l="1" a="1"/>
  <c r="I760" i="8" s="1"/>
  <c r="I761" i="8" l="1" a="1"/>
  <c r="I761" i="8" s="1"/>
  <c r="I762" i="8" l="1" a="1"/>
  <c r="I762" i="8" s="1"/>
  <c r="I763" i="8" l="1" a="1"/>
  <c r="I763" i="8" s="1"/>
  <c r="I764" i="8" l="1" a="1"/>
  <c r="I764" i="8" s="1"/>
  <c r="I765" i="8" l="1" a="1"/>
  <c r="I765" i="8" s="1"/>
  <c r="I766" i="8" l="1" a="1"/>
  <c r="I766" i="8" s="1"/>
  <c r="I767" i="8" l="1" a="1"/>
  <c r="I767" i="8" s="1"/>
  <c r="I768" i="8" l="1" a="1"/>
  <c r="I768" i="8" s="1"/>
  <c r="I769" i="8" l="1" a="1"/>
  <c r="I769" i="8" s="1"/>
  <c r="I770" i="8" l="1" a="1"/>
  <c r="I770" i="8" s="1"/>
  <c r="I771" i="8" l="1" a="1"/>
  <c r="I771" i="8" s="1"/>
  <c r="I772" i="8" l="1" a="1"/>
  <c r="I772" i="8" s="1"/>
  <c r="I773" i="8" l="1" a="1"/>
  <c r="I773" i="8" s="1"/>
  <c r="I774" i="8" l="1" a="1"/>
  <c r="I774" i="8" s="1"/>
  <c r="I775" i="8" l="1" a="1"/>
  <c r="I775" i="8" s="1"/>
  <c r="I776" i="8" l="1" a="1"/>
  <c r="I776" i="8" s="1"/>
  <c r="I777" i="8" l="1" a="1"/>
  <c r="I777" i="8" s="1"/>
  <c r="I778" i="8" l="1" a="1"/>
  <c r="I778" i="8" s="1"/>
  <c r="I779" i="8" l="1" a="1"/>
  <c r="I779" i="8" s="1"/>
  <c r="I780" i="8" l="1" a="1"/>
  <c r="I780" i="8" s="1"/>
  <c r="I781" i="8" l="1" a="1"/>
  <c r="I781" i="8" s="1"/>
  <c r="I782" i="8" l="1" a="1"/>
  <c r="I782" i="8" s="1"/>
  <c r="I783" i="8" l="1" a="1"/>
  <c r="I783" i="8" s="1"/>
  <c r="I784" i="8" l="1" a="1"/>
  <c r="I784" i="8" s="1"/>
  <c r="I785" i="8" l="1" a="1"/>
  <c r="I785" i="8" s="1"/>
  <c r="I786" i="8" l="1" a="1"/>
  <c r="I786" i="8" s="1"/>
  <c r="I787" i="8" l="1" a="1"/>
  <c r="I787" i="8" s="1"/>
  <c r="I788" i="8" l="1" a="1"/>
  <c r="I788" i="8" s="1"/>
  <c r="I789" i="8" l="1" a="1"/>
  <c r="I789" i="8" s="1"/>
  <c r="I790" i="8" l="1" a="1"/>
  <c r="I790" i="8" s="1"/>
  <c r="I791" i="8" l="1" a="1"/>
  <c r="I791" i="8" s="1"/>
  <c r="I792" i="8" l="1" a="1"/>
  <c r="I792" i="8" s="1"/>
  <c r="I793" i="8" l="1" a="1"/>
  <c r="I793" i="8" s="1"/>
  <c r="I794" i="8" l="1" a="1"/>
  <c r="I794" i="8" s="1"/>
  <c r="I795" i="8" l="1" a="1"/>
  <c r="I795" i="8" s="1"/>
  <c r="I796" i="8" l="1" a="1"/>
  <c r="I796" i="8" s="1"/>
  <c r="I797" i="8" l="1" a="1"/>
  <c r="I797" i="8" s="1"/>
  <c r="I798" i="8" l="1" a="1"/>
  <c r="I798" i="8" s="1"/>
  <c r="I799" i="8" l="1" a="1"/>
  <c r="I799" i="8" s="1"/>
  <c r="I800" i="8" l="1" a="1"/>
  <c r="I800" i="8" s="1"/>
  <c r="I801" i="8" l="1" a="1"/>
  <c r="I801" i="8" s="1"/>
  <c r="I802" i="8" l="1" a="1"/>
  <c r="I802" i="8" s="1"/>
  <c r="I803" i="8" l="1" a="1"/>
  <c r="I803" i="8" s="1"/>
  <c r="I804" i="8" l="1" a="1"/>
  <c r="I804" i="8" s="1"/>
  <c r="I805" i="8" l="1" a="1"/>
  <c r="I805" i="8" s="1"/>
  <c r="I806" i="8" l="1" a="1"/>
  <c r="I806" i="8" s="1"/>
  <c r="I807" i="8" l="1" a="1"/>
  <c r="I807" i="8" s="1"/>
  <c r="I808" i="8" l="1" a="1"/>
  <c r="I808" i="8" s="1"/>
  <c r="I809" i="8" l="1" a="1"/>
  <c r="I809" i="8" s="1"/>
  <c r="I810" i="8" l="1" a="1"/>
  <c r="I810" i="8" s="1"/>
  <c r="I811" i="8" l="1" a="1"/>
  <c r="I811" i="8" s="1"/>
  <c r="I812" i="8" l="1" a="1"/>
  <c r="I812" i="8" s="1"/>
  <c r="I813" i="8" l="1" a="1"/>
  <c r="I813" i="8" s="1"/>
  <c r="I814" i="8" l="1" a="1"/>
  <c r="I814" i="8" s="1"/>
  <c r="I815" i="8" l="1" a="1"/>
  <c r="I815" i="8" s="1"/>
  <c r="I816" i="8" l="1" a="1"/>
  <c r="I816" i="8" s="1"/>
  <c r="I817" i="8" l="1" a="1"/>
  <c r="I817" i="8" s="1"/>
  <c r="I818" i="8" l="1" a="1"/>
  <c r="I818" i="8" s="1"/>
  <c r="I819" i="8" l="1" a="1"/>
  <c r="I819" i="8" s="1"/>
  <c r="I820" i="8" l="1" a="1"/>
  <c r="I820" i="8" s="1"/>
  <c r="I821" i="8" l="1" a="1"/>
  <c r="I821" i="8" s="1"/>
  <c r="I822" i="8" l="1" a="1"/>
  <c r="I822" i="8" s="1"/>
  <c r="I823" i="8" l="1" a="1"/>
  <c r="I823" i="8" s="1"/>
  <c r="I824" i="8" l="1" a="1"/>
  <c r="I824" i="8" s="1"/>
  <c r="I825" i="8" l="1" a="1"/>
  <c r="I825" i="8" s="1"/>
  <c r="I826" i="8" l="1" a="1"/>
  <c r="I826" i="8" s="1"/>
  <c r="I827" i="8" l="1" a="1"/>
  <c r="I827" i="8" s="1"/>
  <c r="I828" i="8" l="1" a="1"/>
  <c r="I828" i="8" s="1"/>
  <c r="I829" i="8" l="1" a="1"/>
  <c r="I829" i="8" s="1"/>
  <c r="I830" i="8" l="1" a="1"/>
  <c r="I830" i="8" s="1"/>
  <c r="I831" i="8" l="1" a="1"/>
  <c r="I831" i="8" s="1"/>
  <c r="I832" i="8" l="1" a="1"/>
  <c r="I832" i="8" s="1"/>
  <c r="I833" i="8" l="1" a="1"/>
  <c r="I833" i="8" s="1"/>
  <c r="I834" i="8" l="1" a="1"/>
  <c r="I834" i="8" s="1"/>
  <c r="I835" i="8" l="1" a="1"/>
  <c r="I835" i="8" s="1"/>
  <c r="I836" i="8" l="1" a="1"/>
  <c r="I836" i="8" s="1"/>
  <c r="I837" i="8" l="1" a="1"/>
  <c r="I837" i="8" s="1"/>
  <c r="I838" i="8" l="1" a="1"/>
  <c r="I838" i="8" s="1"/>
  <c r="I839" i="8" l="1" a="1"/>
  <c r="I839" i="8" s="1"/>
  <c r="I840" i="8" l="1" a="1"/>
  <c r="I840" i="8" s="1"/>
  <c r="I841" i="8" l="1" a="1"/>
  <c r="I841" i="8" s="1"/>
  <c r="I842" i="8" l="1" a="1"/>
  <c r="I842" i="8" s="1"/>
  <c r="I843" i="8" l="1" a="1"/>
  <c r="I843" i="8" s="1"/>
  <c r="I844" i="8" l="1" a="1"/>
  <c r="I844" i="8" s="1"/>
  <c r="I845" i="8" l="1" a="1"/>
  <c r="I845" i="8" s="1"/>
  <c r="I846" i="8" l="1" a="1"/>
  <c r="I846" i="8" s="1"/>
  <c r="I847" i="8" l="1" a="1"/>
  <c r="I847" i="8" s="1"/>
  <c r="I848" i="8" l="1" a="1"/>
  <c r="I848" i="8" s="1"/>
  <c r="I849" i="8" l="1" a="1"/>
  <c r="I849" i="8" s="1"/>
  <c r="I850" i="8" l="1" a="1"/>
  <c r="I850" i="8" s="1"/>
  <c r="I851" i="8" l="1" a="1"/>
  <c r="I851" i="8" s="1"/>
  <c r="I852" i="8" l="1" a="1"/>
  <c r="I852" i="8" s="1"/>
  <c r="I853" i="8" l="1" a="1"/>
  <c r="I853" i="8" s="1"/>
  <c r="I854" i="8" l="1" a="1"/>
  <c r="I854" i="8" s="1"/>
  <c r="I855" i="8" l="1" a="1"/>
  <c r="I855" i="8" s="1"/>
  <c r="I856" i="8" l="1" a="1"/>
  <c r="I856" i="8" s="1"/>
  <c r="I857" i="8" l="1" a="1"/>
  <c r="I857" i="8" s="1"/>
  <c r="I858" i="8" l="1" a="1"/>
  <c r="I858" i="8" s="1"/>
  <c r="I859" i="8" l="1" a="1"/>
  <c r="I859" i="8" s="1"/>
  <c r="I860" i="8" l="1" a="1"/>
  <c r="I860" i="8" s="1"/>
  <c r="I861" i="8" l="1" a="1"/>
  <c r="I861" i="8" s="1"/>
  <c r="I862" i="8" l="1" a="1"/>
  <c r="I862" i="8" s="1"/>
  <c r="I863" i="8" l="1" a="1"/>
  <c r="I863" i="8" s="1"/>
  <c r="I864" i="8" l="1" a="1"/>
  <c r="I864" i="8" s="1"/>
  <c r="I865" i="8" l="1" a="1"/>
  <c r="I865" i="8" s="1"/>
  <c r="I866" i="8" l="1" a="1"/>
  <c r="I866" i="8" s="1"/>
  <c r="I867" i="8" l="1" a="1"/>
  <c r="I867" i="8" s="1"/>
  <c r="I868" i="8" l="1" a="1"/>
  <c r="I868" i="8" s="1"/>
  <c r="I869" i="8" l="1" a="1"/>
  <c r="I869" i="8" s="1"/>
  <c r="I870" i="8" l="1" a="1"/>
  <c r="I870" i="8" s="1"/>
  <c r="I871" i="8" l="1" a="1"/>
  <c r="I871" i="8" s="1"/>
  <c r="I872" i="8" l="1" a="1"/>
  <c r="I872" i="8" s="1"/>
  <c r="I873" i="8" l="1" a="1"/>
  <c r="I873" i="8" s="1"/>
  <c r="I874" i="8" l="1" a="1"/>
  <c r="I874" i="8" s="1"/>
  <c r="I875" i="8" l="1" a="1"/>
  <c r="I875" i="8" s="1"/>
  <c r="I876" i="8" l="1" a="1"/>
  <c r="I876" i="8" s="1"/>
  <c r="I877" i="8" l="1" a="1"/>
  <c r="I877" i="8" s="1"/>
  <c r="I878" i="8" l="1" a="1"/>
  <c r="I878" i="8" s="1"/>
  <c r="I879" i="8" l="1" a="1"/>
  <c r="I879" i="8" s="1"/>
  <c r="I880" i="8" l="1" a="1"/>
  <c r="I880" i="8" s="1"/>
  <c r="I881" i="8" l="1" a="1"/>
  <c r="I881" i="8" s="1"/>
  <c r="I882" i="8" l="1" a="1"/>
  <c r="I882" i="8" s="1"/>
  <c r="I883" i="8" l="1" a="1"/>
  <c r="I883" i="8" s="1"/>
  <c r="I884" i="8" l="1" a="1"/>
  <c r="I884" i="8" s="1"/>
  <c r="I885" i="8" l="1" a="1"/>
  <c r="I885" i="8" s="1"/>
  <c r="I886" i="8" l="1" a="1"/>
  <c r="I886" i="8" s="1"/>
  <c r="I887" i="8" l="1" a="1"/>
  <c r="I887" i="8" s="1"/>
  <c r="I888" i="8" l="1" a="1"/>
  <c r="I888" i="8" s="1"/>
  <c r="I889" i="8" l="1" a="1"/>
  <c r="I889" i="8" s="1"/>
  <c r="I890" i="8" l="1" a="1"/>
  <c r="I890" i="8" s="1"/>
  <c r="I891" i="8" l="1" a="1"/>
  <c r="I891" i="8" s="1"/>
  <c r="I892" i="8" l="1" a="1"/>
  <c r="I892" i="8" s="1"/>
  <c r="R20" i="8" l="1" a="1"/>
  <c r="R20" i="8" s="1"/>
  <c r="R18" i="8" a="1"/>
  <c r="R18" i="8" s="1"/>
  <c r="R23" i="8" a="1"/>
  <c r="R23" i="8" s="1"/>
  <c r="S15" i="8" a="1"/>
  <c r="S15" i="8" s="1"/>
  <c r="R22" i="8" a="1"/>
  <c r="R22" i="8" s="1"/>
  <c r="S27" i="8" a="1"/>
  <c r="S27" i="8" s="1"/>
  <c r="R8" i="8" a="1"/>
  <c r="R8" i="8" s="1"/>
  <c r="Q14" i="8" a="1"/>
  <c r="Q14" i="8" s="1"/>
  <c r="I893" i="8" a="1"/>
  <c r="I893" i="8" s="1"/>
  <c r="S17" i="8" s="1" a="1"/>
  <c r="S17" i="8" s="1"/>
  <c r="R3" i="8" a="1"/>
  <c r="R3" i="8" s="1"/>
  <c r="R4" i="8" a="1"/>
  <c r="R4" i="8" s="1"/>
  <c r="S7" i="8" l="1" a="1"/>
  <c r="S7" i="8" s="1"/>
  <c r="S22" i="8" a="1"/>
  <c r="S22" i="8" s="1"/>
  <c r="R24" i="8" a="1"/>
  <c r="R24" i="8" s="1"/>
  <c r="R12" i="8" a="1"/>
  <c r="R12" i="8" s="1"/>
  <c r="R14" i="8" a="1"/>
  <c r="R14" i="8" s="1"/>
  <c r="R25" i="8" a="1"/>
  <c r="R25" i="8" s="1"/>
  <c r="R6" i="8" a="1"/>
  <c r="R6" i="8" s="1"/>
  <c r="S23" i="8" a="1"/>
  <c r="S23" i="8" s="1"/>
  <c r="S6" i="8" a="1"/>
  <c r="S6" i="8" s="1"/>
  <c r="R21" i="8" a="1"/>
  <c r="R21" i="8" s="1"/>
  <c r="R13" i="8" a="1"/>
  <c r="R13" i="8" s="1"/>
  <c r="S20" i="8" a="1"/>
  <c r="S20" i="8" s="1"/>
  <c r="R15" i="8" a="1"/>
  <c r="R15" i="8" s="1"/>
  <c r="R10" i="8" a="1"/>
  <c r="R10" i="8" s="1"/>
  <c r="S18" i="8" a="1"/>
  <c r="S18" i="8" s="1"/>
  <c r="S24" i="8" a="1"/>
  <c r="S24" i="8" s="1"/>
  <c r="R5" i="8" a="1"/>
  <c r="R5" i="8" s="1"/>
  <c r="S16" i="8" a="1"/>
  <c r="S16" i="8" s="1"/>
  <c r="S9" i="8" a="1"/>
  <c r="S9" i="8" s="1"/>
  <c r="S12" i="8" a="1"/>
  <c r="S12" i="8" s="1"/>
  <c r="S8" i="8" a="1"/>
  <c r="S8" i="8" s="1"/>
  <c r="R17" i="8" a="1"/>
  <c r="R17" i="8" s="1"/>
  <c r="S5" i="8" a="1"/>
  <c r="S5" i="8" s="1"/>
  <c r="S26" i="8" a="1"/>
  <c r="S26" i="8" s="1"/>
  <c r="R19" i="8" a="1"/>
  <c r="R19" i="8" s="1"/>
  <c r="R27" i="8" a="1"/>
  <c r="R27" i="8" s="1"/>
  <c r="Q13" i="8" a="1"/>
  <c r="Q13" i="8" s="1"/>
  <c r="S19" i="8" a="1"/>
  <c r="S19" i="8" s="1"/>
  <c r="S21" i="8" a="1"/>
  <c r="S21" i="8" s="1"/>
  <c r="S25" i="8" a="1"/>
  <c r="S25" i="8" s="1"/>
  <c r="R16" i="8" a="1"/>
  <c r="R16" i="8" s="1"/>
  <c r="Q6" i="8" a="1"/>
  <c r="Q6" i="8" s="1"/>
  <c r="S13" i="8" a="1"/>
  <c r="S13" i="8" s="1"/>
  <c r="S11" i="8" a="1"/>
  <c r="S11" i="8" s="1"/>
  <c r="S10" i="8" a="1"/>
  <c r="S10" i="8" s="1"/>
  <c r="R9" i="8" a="1"/>
  <c r="R9" i="8" s="1"/>
  <c r="Q11" i="8" a="1"/>
  <c r="Q11" i="8" s="1"/>
  <c r="R7" i="8" a="1"/>
  <c r="R7" i="8" s="1"/>
  <c r="S14" i="8" a="1"/>
  <c r="S14" i="8" s="1"/>
  <c r="R11" i="8" a="1"/>
  <c r="R11" i="8" s="1"/>
  <c r="R26" i="8" a="1"/>
  <c r="R26" i="8" s="1"/>
  <c r="Q27" i="8" a="1"/>
  <c r="Q27" i="8" s="1"/>
  <c r="Q23" i="8" a="1"/>
  <c r="Q23" i="8" s="1"/>
  <c r="Q10" i="8" a="1"/>
  <c r="Q10" i="8" s="1"/>
  <c r="Q15" i="8" a="1"/>
  <c r="Q15" i="8" s="1"/>
  <c r="Q21" i="8" a="1"/>
  <c r="Q21" i="8" s="1"/>
  <c r="Q22" i="8" a="1"/>
  <c r="Q22" i="8" s="1"/>
  <c r="Q5" i="8" a="1"/>
  <c r="Q5" i="8" s="1"/>
  <c r="Q16" i="8" a="1"/>
  <c r="Q16" i="8" s="1"/>
  <c r="Q18" i="8" a="1"/>
  <c r="Q18" i="8" s="1"/>
  <c r="Q24" i="8" a="1"/>
  <c r="Q24" i="8" s="1"/>
  <c r="Q26" i="8" a="1"/>
  <c r="Q26" i="8" s="1"/>
  <c r="Q4" i="8" a="1"/>
  <c r="Q4" i="8" s="1"/>
  <c r="Q8" i="8" a="1"/>
  <c r="Q8" i="8" s="1"/>
  <c r="Q12" i="8" a="1"/>
  <c r="Q12" i="8" s="1"/>
  <c r="Q17" i="8" a="1"/>
  <c r="Q17" i="8" s="1"/>
  <c r="Q7" i="8" a="1"/>
  <c r="Q7" i="8" s="1"/>
  <c r="Q19" i="8" a="1"/>
  <c r="Q19" i="8" s="1"/>
  <c r="Q20" i="8" a="1"/>
  <c r="Q20" i="8" s="1"/>
  <c r="Q9" i="8" a="1"/>
  <c r="Q9" i="8" s="1"/>
  <c r="Q3" i="8" a="1"/>
  <c r="Q3" i="8" s="1"/>
  <c r="Q25" i="8" a="1"/>
  <c r="Q25" i="8" s="1"/>
  <c r="S3" i="8" a="1"/>
  <c r="S3" i="8" s="1"/>
  <c r="S4" i="8" a="1"/>
  <c r="S4" i="8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<sst xmlns="http://schemas.openxmlformats.org/spreadsheetml/2006/main" count="5035" uniqueCount="166">
  <si>
    <t>Samtals Iðgjöld</t>
  </si>
  <si>
    <t>ár</t>
  </si>
  <si>
    <t>fjöldi sjóða</t>
  </si>
  <si>
    <t>samtals rekstrarkostn.</t>
  </si>
  <si>
    <t>Ár</t>
  </si>
  <si>
    <t>VIS01004</t>
  </si>
  <si>
    <t>Töflukóði:</t>
  </si>
  <si>
    <t>1979-</t>
  </si>
  <si>
    <t>Viðmiðunartími:</t>
  </si>
  <si>
    <t>Vísitölur</t>
  </si>
  <si>
    <t>Eining:</t>
  </si>
  <si>
    <t>Höfundaréttur</t>
  </si>
  <si>
    <t>20230427 09:00</t>
  </si>
  <si>
    <t>Síðast uppfært:</t>
  </si>
  <si>
    <t>Grunnur júní 1979=100. Árin 1979 til janúar 1989 ákvarðaðist lánskjaravísitalan að 2/3 hlutum af framfærsluvísitölu og 1/3 hluta af byggingarvísitölu.  Frá febrúar 1989 var lánskjaravísitalan samsett að jöfnu úr framfærslu-, byggingar- og launavísitölu.  
Frá apríl 1995 var hætt að nota lánskjaravísitölu til að verðtryggja nýjar fjárskuldbindingar, en vísitala neysluverðs til verðtryggingar notuð í staðinn. Í stað lánskjaravísitölu er reiknuð vísitala fyrir eldri fjárskuldbindingar sem breytist eins og vísitala neysluverðs til verðtryggingar. Núgildandi lög um verðtryggingu eru Lög um vexti og verðtryggingu, nr. 38/2001 með breytingu í lögum 51/2007</t>
  </si>
  <si>
    <t>2022M01</t>
  </si>
  <si>
    <t>2021M01</t>
  </si>
  <si>
    <t>2020M01</t>
  </si>
  <si>
    <t>2019M01</t>
  </si>
  <si>
    <t>2018M01</t>
  </si>
  <si>
    <t>2017M01</t>
  </si>
  <si>
    <t>2016M01</t>
  </si>
  <si>
    <t>2015M01</t>
  </si>
  <si>
    <t>2014M01</t>
  </si>
  <si>
    <t>2013M01</t>
  </si>
  <si>
    <t>2012M01</t>
  </si>
  <si>
    <t>2011M01</t>
  </si>
  <si>
    <t>2010M01</t>
  </si>
  <si>
    <t>2009M01</t>
  </si>
  <si>
    <t>2008M01</t>
  </si>
  <si>
    <t>2007M01</t>
  </si>
  <si>
    <t>2006M01</t>
  </si>
  <si>
    <t>2005M01</t>
  </si>
  <si>
    <t>2004M01</t>
  </si>
  <si>
    <t>2003M01</t>
  </si>
  <si>
    <t>2002M01</t>
  </si>
  <si>
    <t>2001M01</t>
  </si>
  <si>
    <t>2000M01</t>
  </si>
  <si>
    <t>1999M01</t>
  </si>
  <si>
    <t>1998M01</t>
  </si>
  <si>
    <t>1997M01</t>
  </si>
  <si>
    <t>Vísitala neysluverðs til verðtryggingar</t>
  </si>
  <si>
    <t>Vísitölur til verðtryggingar</t>
  </si>
  <si>
    <t>Núvirt</t>
  </si>
  <si>
    <t>Z</t>
  </si>
  <si>
    <t>(samtals) fjárfestingargjöld</t>
  </si>
  <si>
    <t>sjóðir</t>
  </si>
  <si>
    <t>attri 2</t>
  </si>
  <si>
    <t>attri 3</t>
  </si>
  <si>
    <t>Fjárfestingargjöld</t>
  </si>
  <si>
    <t>Hreinar Fjárfestingartekjur</t>
  </si>
  <si>
    <t>(Samtals) Fjárfestingargjöld</t>
  </si>
  <si>
    <t>Fjárfestingargjöld + Rekstrarkostn.</t>
  </si>
  <si>
    <t>Allianz</t>
  </si>
  <si>
    <t>Almenni lífeyrissjóðurinn</t>
  </si>
  <si>
    <t>Almennurlífeyrissj.VÍB</t>
  </si>
  <si>
    <t>Arion banki hf.</t>
  </si>
  <si>
    <t>Bayern</t>
  </si>
  <si>
    <t>Birta lífeyrissjóður</t>
  </si>
  <si>
    <t>Brú Lífeyrissjóður starfsmanna sveitarfélaga</t>
  </si>
  <si>
    <t>Eftirlaunasj. Landsbanka og Seðlabanka</t>
  </si>
  <si>
    <t>Eftirlaunasj. Sláturfél. Suðurlands</t>
  </si>
  <si>
    <t>Eftirlaunasj. starfsm. Íslandsb.</t>
  </si>
  <si>
    <t>Eftirlaunasj. stm. Glitnis banka</t>
  </si>
  <si>
    <t>Eftirlaunasj. stm. Hafnarfjarðk.</t>
  </si>
  <si>
    <t>Eftirlaunasj. stm. OLÍS</t>
  </si>
  <si>
    <t>Eftirlaunasjóður FÍA</t>
  </si>
  <si>
    <t>Eftirlaunasjóður Reykjanesbæjar</t>
  </si>
  <si>
    <t>Eftirlaunasjóður slökkviliðsmanna á Keflavíkurflugvelli</t>
  </si>
  <si>
    <t>Eftirlaunasjóður starfsmanna Útvegsbanka Íslands</t>
  </si>
  <si>
    <t>Festa - lífeyrissjóður</t>
  </si>
  <si>
    <t>Frjálsi lífeyrissjóðurinn</t>
  </si>
  <si>
    <t>Gildi - lífeyrissjóður</t>
  </si>
  <si>
    <t>Kjölur lífeyris-sjóður</t>
  </si>
  <si>
    <t>Kvika banki hf.</t>
  </si>
  <si>
    <t>Landsbankinn hf.</t>
  </si>
  <si>
    <t>Lífeyris-sjóður Suðurlands</t>
  </si>
  <si>
    <t>Lífeyris-sjóður lækna</t>
  </si>
  <si>
    <t>Lífeyris-sjóðurinn Skjöldur</t>
  </si>
  <si>
    <t>Lífeyris-sjóðurinnEining</t>
  </si>
  <si>
    <t>Lífeyris-sjóðurinnHlíf</t>
  </si>
  <si>
    <t>Lífeyrissj. Akranes-kaupstaðar</t>
  </si>
  <si>
    <t>Lífeyrissj. Bolungar-víkur</t>
  </si>
  <si>
    <t>Lífeyrissj. Eimskipa-félags Ísl.</t>
  </si>
  <si>
    <t>Lífeyrissj. Fél. ísl. stjstarfsm. á Keflvflugvelli</t>
  </si>
  <si>
    <t>Lífeyrissj. Neskaupstaðar</t>
  </si>
  <si>
    <t>Lífeyrissj. stm. Húsavíkurk.</t>
  </si>
  <si>
    <t>Lífeyrissj. stm. Reykjavíkur-apóteks</t>
  </si>
  <si>
    <t>Lífeyrissj. stm. Vestm.eyjab.</t>
  </si>
  <si>
    <t>Lífeyrissj.K.E.A.</t>
  </si>
  <si>
    <t>Lífeyrissj.arkitekta og tæknifr.</t>
  </si>
  <si>
    <t>Lífeyrissj.verkalfél.Norðurl. v</t>
  </si>
  <si>
    <t>Lífeyrissjóður Arkitekta</t>
  </si>
  <si>
    <t>Lífeyrissjóður Austurlands</t>
  </si>
  <si>
    <t>Lífeyrissjóður Flugvirkjafél. Íslands</t>
  </si>
  <si>
    <t>Lífeyrissjóður Félags íslenskra leikara</t>
  </si>
  <si>
    <t>Lífeyrissjóður Iðnaðarmannafél. Suðurnesja</t>
  </si>
  <si>
    <t>Lífeyrissjóður Mjólkur-samsölunnar</t>
  </si>
  <si>
    <t>Lífeyrissjóður Norðurlands</t>
  </si>
  <si>
    <t>Lífeyrissjóður Rangæinga</t>
  </si>
  <si>
    <t>Lífeyrissjóður Suðurnesja</t>
  </si>
  <si>
    <t>Lífeyrissjóður Tannlæknafél Ísl</t>
  </si>
  <si>
    <t>Lífeyrissjóður Tæknifræðingafélags Íslands</t>
  </si>
  <si>
    <t>Lífeyrissjóður Vestfirðinga</t>
  </si>
  <si>
    <t>Lífeyrissjóður Vestmannaeyja</t>
  </si>
  <si>
    <t>Lífeyrissjóður Vesturlands</t>
  </si>
  <si>
    <t>Lífeyrissjóður bankamanna</t>
  </si>
  <si>
    <t>Lífeyrissjóður blaðamanna</t>
  </si>
  <si>
    <t>Lífeyrissjóður bænda</t>
  </si>
  <si>
    <t>Lífeyrissjóður hjúkrunarfræðinga</t>
  </si>
  <si>
    <t>Lífeyrissjóður leigubifreiðastjóra</t>
  </si>
  <si>
    <t>Lífeyrissjóður sjómanna</t>
  </si>
  <si>
    <t>Lífeyrissjóður starfsm. Sjóvátryggingafél. ísl.</t>
  </si>
  <si>
    <t>Lífeyrissjóður starfsmanna Akureyrarbæjar</t>
  </si>
  <si>
    <t>Lífeyrissjóður starfsmanna Búnaðarbanka Íslands</t>
  </si>
  <si>
    <t>Lífeyrissjóður starfsmanna Kópavogsbæjar</t>
  </si>
  <si>
    <t>Lífeyrissjóður starfsmanna Reykjavíkurborgar</t>
  </si>
  <si>
    <t>Lífeyrissjóður starfsmanna ríkisins</t>
  </si>
  <si>
    <t>Lífeyrissjóður starfsmanna sveitarfélaga</t>
  </si>
  <si>
    <t>Lífeyrissjóður stm. Áburðarverks</t>
  </si>
  <si>
    <t>Lífeyrissjóður verkafólks í Grindavík</t>
  </si>
  <si>
    <t>Lífeyrissjóður verkalýðsfélaga á Suðurlandi</t>
  </si>
  <si>
    <t>Lífeyrissjóður verkfræðinga</t>
  </si>
  <si>
    <t>Lífeyrissjóður verslunarmanna</t>
  </si>
  <si>
    <t>Lífeyrissjóðurinn Framsýn</t>
  </si>
  <si>
    <t>Lífeyrissjóðurinn Lífiðn</t>
  </si>
  <si>
    <t>Lífsval</t>
  </si>
  <si>
    <t>Lífsverk lífeyrissjóður</t>
  </si>
  <si>
    <t>Sameinaði lífeyrissjóðurinn</t>
  </si>
  <si>
    <t>Samvinnulífeyrissjóðurinn</t>
  </si>
  <si>
    <t>Stafir lífeyrissjóður</t>
  </si>
  <si>
    <t>Stapi lífeyrissjóður</t>
  </si>
  <si>
    <t>Séreignalífeyrissjóðurinn</t>
  </si>
  <si>
    <t>Söfnunarsjóður lífeyrisréttinda</t>
  </si>
  <si>
    <t>Trygginga-sjóðurlækna</t>
  </si>
  <si>
    <t>Íslandsbanki hf.</t>
  </si>
  <si>
    <t>Íslenski lífeyrissjóðurinn</t>
  </si>
  <si>
    <t>Eignir</t>
  </si>
  <si>
    <t>-0.87106770</t>
  </si>
  <si>
    <t>-0.61811722</t>
  </si>
  <si>
    <t>Lífeyrissjóður alþingismanna</t>
  </si>
  <si>
    <t>Lífeyrissjóður ráðherra</t>
  </si>
  <si>
    <t>Year</t>
  </si>
  <si>
    <t>Ávöxtun</t>
  </si>
  <si>
    <t>Column1</t>
  </si>
  <si>
    <t>Column2</t>
  </si>
  <si>
    <t>Total</t>
  </si>
  <si>
    <t>Column3</t>
  </si>
  <si>
    <t>Column4</t>
  </si>
  <si>
    <t>Vísitalan án Eignavigtun</t>
  </si>
  <si>
    <t>Vigtuð vísitala</t>
  </si>
  <si>
    <t>upper quart</t>
  </si>
  <si>
    <t>lower quart</t>
  </si>
  <si>
    <t>mid</t>
  </si>
  <si>
    <t>Vigtuð Meðalávöxtun</t>
  </si>
  <si>
    <t>Vigtað meðaltak</t>
  </si>
  <si>
    <t>miðgildi</t>
  </si>
  <si>
    <t>upper q ávöxt</t>
  </si>
  <si>
    <t>lower q áv</t>
  </si>
  <si>
    <t>mid ávöxtun</t>
  </si>
  <si>
    <t>Ave at least 10 years</t>
  </si>
  <si>
    <t>Ave return</t>
  </si>
  <si>
    <t>Av yearly return</t>
  </si>
  <si>
    <t>Average</t>
  </si>
  <si>
    <t>Vigtað Average</t>
  </si>
  <si>
    <t>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</si>
</sst>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1" formatCode="_-* #,##0_-;\-* #,##0_-;_-* &quot;-&quot;_-;_-@_-"/>
    <numFmt numFmtId="167" formatCode="#,##0.00000"/>
    <numFmt numFmtId="168" formatCode="_-* #,##0.0_-;\-* #,##0.0_-;_-* &quot;-&quot;_-;_-@_-"/>
    <numFmt numFmtId="169" formatCode="0.0%"/>
    <numFmt numFmtId="172" formatCode="_-* #,##0.0\ _I_S_K_-;\-* #,##0.0\ _I_S_K_-;_-* &quot;-&quot;?\ _I_S_K_-;_-@_-"/>
    <numFmt numFmtId="173" formatCode="_-* #,##0.00_-;\-* #,##0.00_-;_-* &quot;-&quot;_-;_-@_-"/>
    <numFmt numFmtId="179" formatCode="0.000%"/>
    <numFmt numFmtId="180" formatCode="0.0000000000"/>
  </numFmts>
  <fonts count="14">
    <font>
      <sz val="12"/>
      <color theme="1"/>
      <name val="TimesNewRomanPSMT"/>
      <family val="2"/>
    </font>
    <font>
      <sz val="12"/>
      <color theme="1"/>
      <name val="TimesNewRomanPSMT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4"/>
      <color rgb="FF000000"/>
      <name val="Calibri"/>
      <family val="2"/>
    </font>
    <font>
      <i/>
      <sz val="8"/>
      <color theme="1"/>
      <name val="Arial"/>
      <family val="2"/>
    </font>
    <font>
      <i/>
      <sz val="8"/>
      <color rgb="FF000000"/>
      <name val="Arial"/>
      <family val="2"/>
    </font>
    <font>
      <b/>
      <sz val="12"/>
      <color theme="0"/>
      <name val="TimesNewRomanPSMT"/>
      <family val="2"/>
    </font>
    <font>
      <sz val="8"/>
      <name val="TimesNewRomanPSMT"/>
      <family val="2"/>
    </font>
    <font>
      <sz val="14"/>
      <name val="Monaco"/>
      <family val="2"/>
    </font>
    <font>
      <sz val="11"/>
      <name val="Times New Roman"/>
      <family val="1"/>
    </font>
    <font>
      <sz val="12"/>
      <name val="TimesNewRomanPSMT"/>
      <family val="2"/>
    </font>
    <font>
      <sz val="12"/>
      <name val="Times New Roman"/>
      <family val="1"/>
    </font>
    <font>
      <b/>
      <sz val="12"/>
      <color theme="1"/>
      <name val="TimesNewRomanPSMT"/>
    </font>
  </fonts>
  <fills count="6">
    <fill>
      <patternFill patternType="none"/>
    </fill>
    <fill>
      <patternFill patternType="gray125"/>
    </fill>
    <fill>
      <patternFill patternType="solid">
        <fgColor rgb="FF2C9ADC"/>
        <bgColor indexed="64"/>
      </patternFill>
    </fill>
    <fill>
      <patternFill patternType="solid">
        <fgColor rgb="FF2C9ADC"/>
        <bgColor rgb="FF000000"/>
      </patternFill>
    </fill>
    <fill>
      <patternFill patternType="solid">
        <fgColor theme="2" tint="-0.249977111117893"/>
        <bgColor theme="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double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Border="0" applyAlignment="0"/>
  </cellStyleXfs>
  <cellXfs count="43">
    <xf numFmtId="0" fontId="0" fillId="0" borderId="0" xfId="0"/>
    <xf numFmtId="41" fontId="0" fillId="0" borderId="0" xfId="1" applyFont="1"/>
    <xf numFmtId="0" fontId="2" fillId="0" borderId="0" xfId="3"/>
    <xf numFmtId="0" fontId="2" fillId="0" borderId="0" xfId="3" applyAlignment="1">
      <alignment wrapText="1"/>
    </xf>
    <xf numFmtId="1" fontId="2" fillId="0" borderId="0" xfId="3" applyNumberFormat="1"/>
    <xf numFmtId="0" fontId="3" fillId="0" borderId="0" xfId="3" applyFont="1"/>
    <xf numFmtId="0" fontId="4" fillId="0" borderId="0" xfId="3" applyFont="1"/>
    <xf numFmtId="10" fontId="2" fillId="0" borderId="0" xfId="2" applyNumberFormat="1" applyFont="1"/>
    <xf numFmtId="41" fontId="0" fillId="0" borderId="0" xfId="0" applyNumberFormat="1"/>
    <xf numFmtId="3" fontId="5" fillId="2" borderId="0" xfId="0" applyNumberFormat="1" applyFont="1" applyFill="1"/>
    <xf numFmtId="3" fontId="6" fillId="3" borderId="0" xfId="0" applyNumberFormat="1" applyFont="1" applyFill="1"/>
    <xf numFmtId="0" fontId="0" fillId="0" borderId="1" xfId="0" applyBorder="1"/>
    <xf numFmtId="41" fontId="0" fillId="0" borderId="1" xfId="1" applyFont="1" applyBorder="1"/>
    <xf numFmtId="3" fontId="0" fillId="0" borderId="0" xfId="0" applyNumberFormat="1"/>
    <xf numFmtId="167" fontId="0" fillId="0" borderId="0" xfId="0" applyNumberFormat="1"/>
    <xf numFmtId="168" fontId="0" fillId="0" borderId="0" xfId="1" applyNumberFormat="1" applyFont="1"/>
    <xf numFmtId="9" fontId="0" fillId="0" borderId="0" xfId="2" applyFont="1"/>
    <xf numFmtId="169" fontId="0" fillId="0" borderId="0" xfId="2" applyNumberFormat="1" applyFont="1"/>
    <xf numFmtId="0" fontId="0" fillId="0" borderId="0" xfId="1" applyNumberFormat="1" applyFont="1"/>
    <xf numFmtId="0" fontId="0" fillId="0" borderId="0" xfId="0" applyNumberFormat="1" applyFont="1"/>
    <xf numFmtId="168" fontId="0" fillId="0" borderId="0" xfId="0" applyNumberFormat="1" applyFont="1"/>
    <xf numFmtId="41" fontId="0" fillId="0" borderId="0" xfId="0" applyNumberFormat="1" applyFont="1"/>
    <xf numFmtId="0" fontId="9" fillId="0" borderId="0" xfId="0" applyFont="1"/>
    <xf numFmtId="0" fontId="10" fillId="0" borderId="0" xfId="0" applyFont="1"/>
    <xf numFmtId="0" fontId="0" fillId="0" borderId="0" xfId="0" applyFont="1"/>
    <xf numFmtId="172" fontId="0" fillId="0" borderId="0" xfId="0" applyNumberFormat="1"/>
    <xf numFmtId="173" fontId="0" fillId="0" borderId="0" xfId="1" applyNumberFormat="1" applyFont="1"/>
    <xf numFmtId="10" fontId="11" fillId="0" borderId="0" xfId="2" applyNumberFormat="1" applyFont="1"/>
    <xf numFmtId="10" fontId="0" fillId="0" borderId="0" xfId="2" applyNumberFormat="1" applyFont="1"/>
    <xf numFmtId="179" fontId="0" fillId="0" borderId="0" xfId="2" applyNumberFormat="1" applyFont="1"/>
    <xf numFmtId="168" fontId="12" fillId="0" borderId="0" xfId="1" applyNumberFormat="1" applyFont="1"/>
    <xf numFmtId="179" fontId="1" fillId="0" borderId="0" xfId="0" applyNumberFormat="1" applyFont="1"/>
    <xf numFmtId="168" fontId="7" fillId="4" borderId="2" xfId="1" applyNumberFormat="1" applyFont="1" applyFill="1" applyBorder="1"/>
    <xf numFmtId="0" fontId="0" fillId="5" borderId="0" xfId="0" applyFill="1"/>
    <xf numFmtId="41" fontId="0" fillId="5" borderId="0" xfId="1" applyFont="1" applyFill="1"/>
    <xf numFmtId="169" fontId="9" fillId="0" borderId="0" xfId="2" applyNumberFormat="1" applyFont="1"/>
    <xf numFmtId="10" fontId="0" fillId="0" borderId="0" xfId="0" applyNumberFormat="1"/>
    <xf numFmtId="0" fontId="0" fillId="0" borderId="3" xfId="0" applyBorder="1"/>
    <xf numFmtId="10" fontId="0" fillId="0" borderId="3" xfId="2" applyNumberFormat="1" applyFont="1" applyBorder="1"/>
    <xf numFmtId="180" fontId="0" fillId="0" borderId="0" xfId="0" applyNumberFormat="1"/>
    <xf numFmtId="0" fontId="13" fillId="0" borderId="0" xfId="0" applyFont="1"/>
    <xf numFmtId="10" fontId="13" fillId="0" borderId="0" xfId="2" applyNumberFormat="1" applyFont="1"/>
    <xf numFmtId="179" fontId="0" fillId="0" borderId="0" xfId="0" applyNumberFormat="1" applyFont="1"/>
  </cellXfs>
  <cellStyles count="4">
    <cellStyle name="Comma [0]" xfId="1" builtinId="6"/>
    <cellStyle name="Normal" xfId="0" builtinId="0"/>
    <cellStyle name="Normal 2" xfId="3" xr:uid="{6B37898E-6FF3-434F-8295-A30E4D747500}"/>
    <cellStyle name="Per cent" xfId="2" builtinId="5"/>
  </cellStyles>
  <dxfs count="6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NewRomanPSMT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NewRomanPSMT"/>
        <family val="2"/>
        <scheme val="none"/>
      </font>
      <numFmt numFmtId="168" formatCode="_-* #,##0.0_-;\-* #,##0.0_-;_-* &quot;-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NewRomanPSMT"/>
        <family val="2"/>
        <scheme val="none"/>
      </font>
      <numFmt numFmtId="33" formatCode="_-* #,##0_-;\-* #,##0_-;_-* &quot;-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NewRomanPSMT"/>
        <family val="2"/>
        <scheme val="none"/>
      </font>
      <numFmt numFmtId="33" formatCode="_-* #,##0_-;\-* #,##0_-;_-* &quot;-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NewRomanPSMT"/>
        <family val="2"/>
        <scheme val="none"/>
      </font>
      <numFmt numFmtId="179" formatCode="0.0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NewRomanPSMT"/>
        <family val="2"/>
        <scheme val="none"/>
      </font>
      <numFmt numFmtId="33" formatCode="_-* #,##0_-;\-* #,##0_-;_-* &quot;-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NewRomanPSMT"/>
        <family val="2"/>
        <scheme val="none"/>
      </font>
      <numFmt numFmtId="0" formatCode="General"/>
    </dxf>
    <dxf>
      <numFmt numFmtId="168" formatCode="_-* #,##0.0_-;\-* #,##0.0_-;_-* &quot;-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NewRomanPSMT"/>
        <family val="2"/>
        <scheme val="none"/>
      </font>
      <numFmt numFmtId="168" formatCode="_-* #,##0.0_-;\-* #,##0.0_-;_-* &quot;-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NewRomanPSMT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NewRomanPSMT"/>
        <family val="2"/>
        <scheme val="none"/>
      </font>
      <numFmt numFmtId="179" formatCode="0.0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NewRomanPSMT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NewRomanPSMT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NewRomanPSMT"/>
        <family val="2"/>
        <scheme val="none"/>
      </font>
      <numFmt numFmtId="168" formatCode="_-* #,##0.0_-;\-* #,##0.0_-;_-* &quot;-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NewRomanPSMT"/>
        <family val="2"/>
        <scheme val="none"/>
      </font>
      <numFmt numFmtId="33" formatCode="_-* #,##0_-;\-* #,##0_-;_-* &quot;-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NewRomanPSMT"/>
        <family val="2"/>
        <scheme val="none"/>
      </font>
      <numFmt numFmtId="33" formatCode="_-* #,##0_-;\-* #,##0_-;_-* &quot;-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NewRomanPSMT"/>
        <family val="2"/>
        <scheme val="none"/>
      </font>
      <numFmt numFmtId="179" formatCode="0.0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NewRomanPSMT"/>
        <family val="2"/>
        <scheme val="none"/>
      </font>
      <numFmt numFmtId="33" formatCode="_-* #,##0_-;\-* #,##0_-;_-* &quot;-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NewRomanPSMT"/>
        <family val="2"/>
        <scheme val="none"/>
      </font>
      <numFmt numFmtId="0" formatCode="General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NewRomanPSMT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NewRomanPSMT"/>
        <family val="2"/>
        <scheme val="none"/>
      </font>
      <numFmt numFmtId="168" formatCode="_-* #,##0.0_-;\-* #,##0.0_-;_-* &quot;-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NewRomanPSMT"/>
        <family val="2"/>
        <scheme val="none"/>
      </font>
      <numFmt numFmtId="33" formatCode="_-* #,##0_-;\-* #,##0_-;_-* &quot;-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NewRomanPSMT"/>
        <family val="2"/>
        <scheme val="none"/>
      </font>
      <numFmt numFmtId="33" formatCode="_-* #,##0_-;\-* #,##0_-;_-* &quot;-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NewRomanPSMT"/>
        <family val="2"/>
        <scheme val="none"/>
      </font>
      <numFmt numFmtId="179" formatCode="0.0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NewRomanPSMT"/>
        <family val="2"/>
        <scheme val="none"/>
      </font>
      <numFmt numFmtId="33" formatCode="_-* #,##0_-;\-* #,##0_-;_-* &quot;-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NewRomanPSMT"/>
        <family val="2"/>
        <scheme val="none"/>
      </font>
      <numFmt numFmtId="0" formatCode="General"/>
    </dxf>
    <dxf>
      <numFmt numFmtId="168" formatCode="_-* #,##0.0_-;\-* #,##0.0_-;_-* &quot;-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NewRomanPSMT"/>
        <family val="2"/>
        <scheme val="none"/>
      </font>
      <numFmt numFmtId="168" formatCode="_-* #,##0.0_-;\-* #,##0.0_-;_-* &quot;-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NewRomanPSMT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NewRomanPSMT"/>
        <family val="2"/>
        <scheme val="none"/>
      </font>
      <numFmt numFmtId="179" formatCode="0.0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NewRomanPSMT"/>
        <family val="2"/>
        <scheme val="none"/>
      </font>
    </dxf>
    <dxf>
      <numFmt numFmtId="168" formatCode="_-* #,##0.0_-;\-* #,##0.0_-;_-* &quot;-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NewRomanPSMT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NewRomanPSMT"/>
        <family val="2"/>
        <scheme val="none"/>
      </font>
      <numFmt numFmtId="168" formatCode="_-* #,##0.0_-;\-* #,##0.0_-;_-* &quot;-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NewRomanPSMT"/>
        <family val="2"/>
        <scheme val="none"/>
      </font>
      <numFmt numFmtId="168" formatCode="_-* #,##0.0_-;\-* #,##0.0_-;_-* &quot;-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NewRomanPSMT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NewRomanPSMT"/>
        <family val="2"/>
        <scheme val="none"/>
      </font>
      <numFmt numFmtId="33" formatCode="_-* #,##0_-;\-* #,##0_-;_-* &quot;-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NewRomanPSMT"/>
        <family val="2"/>
        <scheme val="none"/>
      </font>
      <numFmt numFmtId="33" formatCode="_-* #,##0_-;\-* #,##0_-;_-* &quot;-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NewRomanPSMT"/>
        <family val="2"/>
        <scheme val="none"/>
      </font>
      <numFmt numFmtId="179" formatCode="0.0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NewRomanPSMT"/>
        <family val="2"/>
        <scheme val="none"/>
      </font>
      <numFmt numFmtId="179" formatCode="0.0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NewRomanPSMT"/>
        <family val="2"/>
        <scheme val="none"/>
      </font>
      <numFmt numFmtId="33" formatCode="_-* #,##0_-;\-* #,##0_-;_-* &quot;-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NewRomanPSMT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NewRomanPSMT"/>
        <family val="2"/>
        <scheme val="none"/>
      </font>
      <numFmt numFmtId="0" formatCode="General"/>
    </dxf>
    <dxf>
      <numFmt numFmtId="168" formatCode="_-* #,##0.0_-;\-* #,##0.0_-;_-* &quot;-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NewRomanPSMT"/>
        <family val="2"/>
        <scheme val="none"/>
      </font>
      <numFmt numFmtId="179" formatCode="0.0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NewRomanPSMT"/>
        <family val="2"/>
        <scheme val="none"/>
      </font>
      <numFmt numFmtId="168" formatCode="_-* #,##0.0_-;\-* #,##0.0_-;_-* &quot;-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NewRomanPSMT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NewRomanPSMT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Sheet2!$F$5:$F$29</c:f>
              <c:numCache>
                <c:formatCode>General</c:formatCode>
                <c:ptCount val="25"/>
                <c:pt idx="0">
                  <c:v>1997</c:v>
                </c:pt>
                <c:pt idx="1">
                  <c:v>1998</c:v>
                </c:pt>
                <c:pt idx="2">
                  <c:v>1999</c:v>
                </c:pt>
                <c:pt idx="3">
                  <c:v>2000</c:v>
                </c:pt>
                <c:pt idx="4">
                  <c:v>2001</c:v>
                </c:pt>
                <c:pt idx="5">
                  <c:v>2002</c:v>
                </c:pt>
                <c:pt idx="6">
                  <c:v>2003</c:v>
                </c:pt>
                <c:pt idx="7">
                  <c:v>2004</c:v>
                </c:pt>
                <c:pt idx="8">
                  <c:v>2005</c:v>
                </c:pt>
                <c:pt idx="9">
                  <c:v>2006</c:v>
                </c:pt>
                <c:pt idx="10">
                  <c:v>2007</c:v>
                </c:pt>
                <c:pt idx="11">
                  <c:v>2008</c:v>
                </c:pt>
                <c:pt idx="12">
                  <c:v>2009</c:v>
                </c:pt>
                <c:pt idx="13">
                  <c:v>2010</c:v>
                </c:pt>
                <c:pt idx="14">
                  <c:v>2011</c:v>
                </c:pt>
                <c:pt idx="15">
                  <c:v>2012</c:v>
                </c:pt>
                <c:pt idx="16">
                  <c:v>2013</c:v>
                </c:pt>
                <c:pt idx="17">
                  <c:v>2014</c:v>
                </c:pt>
                <c:pt idx="18">
                  <c:v>2015</c:v>
                </c:pt>
                <c:pt idx="19">
                  <c:v>2016</c:v>
                </c:pt>
                <c:pt idx="20">
                  <c:v>2017</c:v>
                </c:pt>
                <c:pt idx="21">
                  <c:v>2018</c:v>
                </c:pt>
                <c:pt idx="22">
                  <c:v>2019</c:v>
                </c:pt>
                <c:pt idx="23">
                  <c:v>2020</c:v>
                </c:pt>
                <c:pt idx="24">
                  <c:v>2021</c:v>
                </c:pt>
              </c:numCache>
            </c:numRef>
          </c:cat>
          <c:val>
            <c:numRef>
              <c:f>Sheet2!$E$5:$E$29</c:f>
              <c:numCache>
                <c:formatCode>_(* #,##0_);_(* \(#,##0\);_(* "-"_);_(@_)</c:formatCode>
                <c:ptCount val="25"/>
                <c:pt idx="0">
                  <c:v>26260508</c:v>
                </c:pt>
                <c:pt idx="1">
                  <c:v>36748088</c:v>
                </c:pt>
                <c:pt idx="2">
                  <c:v>54817829</c:v>
                </c:pt>
                <c:pt idx="3">
                  <c:v>76299867</c:v>
                </c:pt>
                <c:pt idx="4">
                  <c:v>118718257</c:v>
                </c:pt>
                <c:pt idx="5">
                  <c:v>66982266</c:v>
                </c:pt>
                <c:pt idx="6">
                  <c:v>73565655</c:v>
                </c:pt>
                <c:pt idx="7">
                  <c:v>72354700</c:v>
                </c:pt>
                <c:pt idx="8">
                  <c:v>87006382</c:v>
                </c:pt>
                <c:pt idx="9">
                  <c:v>96062439</c:v>
                </c:pt>
                <c:pt idx="10">
                  <c:v>145757886</c:v>
                </c:pt>
                <c:pt idx="11">
                  <c:v>113452115</c:v>
                </c:pt>
                <c:pt idx="12">
                  <c:v>107313470</c:v>
                </c:pt>
                <c:pt idx="13">
                  <c:v>110348926</c:v>
                </c:pt>
                <c:pt idx="14">
                  <c:v>116971023</c:v>
                </c:pt>
                <c:pt idx="15">
                  <c:v>124326671</c:v>
                </c:pt>
                <c:pt idx="16">
                  <c:v>132946616</c:v>
                </c:pt>
                <c:pt idx="17">
                  <c:v>142764294</c:v>
                </c:pt>
                <c:pt idx="18">
                  <c:v>162559750</c:v>
                </c:pt>
                <c:pt idx="19">
                  <c:v>302860891</c:v>
                </c:pt>
                <c:pt idx="20">
                  <c:v>272742201</c:v>
                </c:pt>
                <c:pt idx="21">
                  <c:v>244545261</c:v>
                </c:pt>
                <c:pt idx="22">
                  <c:v>302294666</c:v>
                </c:pt>
                <c:pt idx="23">
                  <c:v>311556853</c:v>
                </c:pt>
                <c:pt idx="24">
                  <c:v>338632323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13-6D4A-BC5D-1E90E56BB0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88877615"/>
        <c:axId val="954849408"/>
      </c:lineChart>
      <c:catAx>
        <c:axId val="98887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S"/>
          </a:p>
        </c:txPr>
        <c:crossAx val="954849408"/>
        <c:crosses val="autoZero"/>
        <c:auto val="1"/>
        <c:lblAlgn val="ctr"/>
        <c:lblOffset val="100"/>
        <c:noMultiLvlLbl val="0"/>
      </c:catAx>
      <c:valAx>
        <c:axId val="954849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S"/>
          </a:p>
        </c:txPr>
        <c:crossAx val="9888776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kostnaður!$D$2</c:f>
              <c:strCache>
                <c:ptCount val="1"/>
                <c:pt idx="0">
                  <c:v>samtals rekstrarkostn.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kostnaður!$C$3:$C$27</c:f>
              <c:numCache>
                <c:formatCode>General</c:formatCode>
                <c:ptCount val="25"/>
                <c:pt idx="0">
                  <c:v>1997</c:v>
                </c:pt>
                <c:pt idx="1">
                  <c:v>1998</c:v>
                </c:pt>
                <c:pt idx="2">
                  <c:v>1999</c:v>
                </c:pt>
                <c:pt idx="3">
                  <c:v>2000</c:v>
                </c:pt>
                <c:pt idx="4">
                  <c:v>2001</c:v>
                </c:pt>
                <c:pt idx="5">
                  <c:v>2002</c:v>
                </c:pt>
                <c:pt idx="6">
                  <c:v>2003</c:v>
                </c:pt>
                <c:pt idx="7">
                  <c:v>2004</c:v>
                </c:pt>
                <c:pt idx="8">
                  <c:v>2005</c:v>
                </c:pt>
                <c:pt idx="9">
                  <c:v>2006</c:v>
                </c:pt>
                <c:pt idx="10">
                  <c:v>2007</c:v>
                </c:pt>
                <c:pt idx="11">
                  <c:v>2008</c:v>
                </c:pt>
                <c:pt idx="12">
                  <c:v>2009</c:v>
                </c:pt>
                <c:pt idx="13">
                  <c:v>2010</c:v>
                </c:pt>
                <c:pt idx="14">
                  <c:v>2011</c:v>
                </c:pt>
                <c:pt idx="15">
                  <c:v>2012</c:v>
                </c:pt>
                <c:pt idx="16">
                  <c:v>2013</c:v>
                </c:pt>
                <c:pt idx="17">
                  <c:v>2014</c:v>
                </c:pt>
                <c:pt idx="18">
                  <c:v>2015</c:v>
                </c:pt>
                <c:pt idx="19">
                  <c:v>2016</c:v>
                </c:pt>
                <c:pt idx="20">
                  <c:v>2017</c:v>
                </c:pt>
                <c:pt idx="21">
                  <c:v>2018</c:v>
                </c:pt>
                <c:pt idx="22">
                  <c:v>2019</c:v>
                </c:pt>
                <c:pt idx="23">
                  <c:v>2020</c:v>
                </c:pt>
                <c:pt idx="24">
                  <c:v>2021</c:v>
                </c:pt>
              </c:numCache>
            </c:numRef>
          </c:cat>
          <c:val>
            <c:numRef>
              <c:f>kostnaður!$F$3:$F$27</c:f>
              <c:numCache>
                <c:formatCode>_(* #,##0_);_(* \(#,##0\);_(* "-"_);_(@_)</c:formatCode>
                <c:ptCount val="25"/>
                <c:pt idx="0">
                  <c:v>1679775.2315325248</c:v>
                </c:pt>
                <c:pt idx="1">
                  <c:v>1818039.0473598258</c:v>
                </c:pt>
                <c:pt idx="2">
                  <c:v>2010819.8505154639</c:v>
                </c:pt>
                <c:pt idx="3">
                  <c:v>2806424.7550717471</c:v>
                </c:pt>
                <c:pt idx="4">
                  <c:v>4178699.3439635537</c:v>
                </c:pt>
                <c:pt idx="5">
                  <c:v>2450879.8392139347</c:v>
                </c:pt>
                <c:pt idx="6">
                  <c:v>2631502.6434782608</c:v>
                </c:pt>
                <c:pt idx="7">
                  <c:v>2803296.0125523014</c:v>
                </c:pt>
                <c:pt idx="8">
                  <c:v>2913877.0992366415</c:v>
                </c:pt>
                <c:pt idx="9">
                  <c:v>2930085.6423741551</c:v>
                </c:pt>
                <c:pt idx="10">
                  <c:v>2945051.4442867278</c:v>
                </c:pt>
                <c:pt idx="11">
                  <c:v>2691320.9698078684</c:v>
                </c:pt>
                <c:pt idx="12">
                  <c:v>2711536.2464907356</c:v>
                </c:pt>
                <c:pt idx="13">
                  <c:v>2854821.8413132695</c:v>
                </c:pt>
                <c:pt idx="14">
                  <c:v>3511949.1809672383</c:v>
                </c:pt>
                <c:pt idx="15">
                  <c:v>3239457.1791044776</c:v>
                </c:pt>
                <c:pt idx="16">
                  <c:v>3332879.8704103674</c:v>
                </c:pt>
                <c:pt idx="17">
                  <c:v>3556733.7933491687</c:v>
                </c:pt>
                <c:pt idx="18">
                  <c:v>4188697.5663716816</c:v>
                </c:pt>
                <c:pt idx="19">
                  <c:v>6593632.0620437963</c:v>
                </c:pt>
                <c:pt idx="20">
                  <c:v>7108270.6278026914</c:v>
                </c:pt>
                <c:pt idx="21">
                  <c:v>7578709.9739413681</c:v>
                </c:pt>
                <c:pt idx="22">
                  <c:v>7695416.6497461917</c:v>
                </c:pt>
                <c:pt idx="23">
                  <c:v>8040623.3966891477</c:v>
                </c:pt>
                <c:pt idx="24">
                  <c:v>8214369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1C1-B84A-B42E-B563488857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79551024"/>
        <c:axId val="1244493488"/>
      </c:barChart>
      <c:lineChart>
        <c:grouping val="standard"/>
        <c:varyColors val="0"/>
        <c:ser>
          <c:idx val="2"/>
          <c:order val="1"/>
          <c:tx>
            <c:strRef>
              <c:f>kostnaður!$E$2</c:f>
              <c:strCache>
                <c:ptCount val="1"/>
                <c:pt idx="0">
                  <c:v>fjöldi sjóða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kostnaður!$E$3:$E$27</c:f>
              <c:numCache>
                <c:formatCode>General</c:formatCode>
                <c:ptCount val="25"/>
                <c:pt idx="0">
                  <c:v>55</c:v>
                </c:pt>
                <c:pt idx="1">
                  <c:v>56</c:v>
                </c:pt>
                <c:pt idx="2">
                  <c:v>60</c:v>
                </c:pt>
                <c:pt idx="3">
                  <c:v>70</c:v>
                </c:pt>
                <c:pt idx="4">
                  <c:v>85</c:v>
                </c:pt>
                <c:pt idx="5">
                  <c:v>60</c:v>
                </c:pt>
                <c:pt idx="6">
                  <c:v>59</c:v>
                </c:pt>
                <c:pt idx="7">
                  <c:v>54</c:v>
                </c:pt>
                <c:pt idx="8">
                  <c:v>52</c:v>
                </c:pt>
                <c:pt idx="9">
                  <c:v>48</c:v>
                </c:pt>
                <c:pt idx="10">
                  <c:v>43</c:v>
                </c:pt>
                <c:pt idx="11">
                  <c:v>42</c:v>
                </c:pt>
                <c:pt idx="12">
                  <c:v>40</c:v>
                </c:pt>
                <c:pt idx="13">
                  <c:v>36</c:v>
                </c:pt>
                <c:pt idx="14">
                  <c:v>36</c:v>
                </c:pt>
                <c:pt idx="15">
                  <c:v>35</c:v>
                </c:pt>
                <c:pt idx="16">
                  <c:v>31</c:v>
                </c:pt>
                <c:pt idx="17">
                  <c:v>31</c:v>
                </c:pt>
                <c:pt idx="18">
                  <c:v>30</c:v>
                </c:pt>
                <c:pt idx="19">
                  <c:v>29</c:v>
                </c:pt>
                <c:pt idx="20">
                  <c:v>28</c:v>
                </c:pt>
                <c:pt idx="21">
                  <c:v>25</c:v>
                </c:pt>
                <c:pt idx="22">
                  <c:v>25</c:v>
                </c:pt>
                <c:pt idx="23">
                  <c:v>25</c:v>
                </c:pt>
                <c:pt idx="24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1C1-B84A-B42E-B563488857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3750368"/>
        <c:axId val="1281248480"/>
      </c:lineChart>
      <c:catAx>
        <c:axId val="879551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S"/>
          </a:p>
        </c:txPr>
        <c:crossAx val="1244493488"/>
        <c:crosses val="autoZero"/>
        <c:auto val="1"/>
        <c:lblAlgn val="ctr"/>
        <c:lblOffset val="100"/>
        <c:noMultiLvlLbl val="0"/>
      </c:catAx>
      <c:valAx>
        <c:axId val="1244493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Rekstrarkostnaður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S"/>
            </a:p>
          </c:txPr>
        </c:title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S"/>
          </a:p>
        </c:txPr>
        <c:crossAx val="879551024"/>
        <c:crosses val="autoZero"/>
        <c:crossBetween val="between"/>
      </c:valAx>
      <c:valAx>
        <c:axId val="1281248480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Sjóðir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S"/>
          </a:p>
        </c:txPr>
        <c:crossAx val="523750368"/>
        <c:crosses val="max"/>
        <c:crossBetween val="between"/>
      </c:valAx>
      <c:catAx>
        <c:axId val="523750368"/>
        <c:scaling>
          <c:orientation val="minMax"/>
        </c:scaling>
        <c:delete val="1"/>
        <c:axPos val="b"/>
        <c:majorTickMark val="none"/>
        <c:minorTickMark val="none"/>
        <c:tickLblPos val="nextTo"/>
        <c:crossAx val="12812484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kostnaður!$E$32</c:f>
              <c:strCache>
                <c:ptCount val="1"/>
                <c:pt idx="0">
                  <c:v>(samtals) fjárfestingargjöld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kostnaður!$C$33:$C$57</c:f>
              <c:numCache>
                <c:formatCode>General</c:formatCode>
                <c:ptCount val="25"/>
                <c:pt idx="0">
                  <c:v>1997</c:v>
                </c:pt>
                <c:pt idx="1">
                  <c:v>1998</c:v>
                </c:pt>
                <c:pt idx="2">
                  <c:v>1999</c:v>
                </c:pt>
                <c:pt idx="3">
                  <c:v>2000</c:v>
                </c:pt>
                <c:pt idx="4">
                  <c:v>2001</c:v>
                </c:pt>
                <c:pt idx="5">
                  <c:v>2002</c:v>
                </c:pt>
                <c:pt idx="6">
                  <c:v>2003</c:v>
                </c:pt>
                <c:pt idx="7">
                  <c:v>2004</c:v>
                </c:pt>
                <c:pt idx="8">
                  <c:v>2005</c:v>
                </c:pt>
                <c:pt idx="9">
                  <c:v>2006</c:v>
                </c:pt>
                <c:pt idx="10">
                  <c:v>2007</c:v>
                </c:pt>
                <c:pt idx="11">
                  <c:v>2008</c:v>
                </c:pt>
                <c:pt idx="12">
                  <c:v>2009</c:v>
                </c:pt>
                <c:pt idx="13">
                  <c:v>2010</c:v>
                </c:pt>
                <c:pt idx="14">
                  <c:v>2011</c:v>
                </c:pt>
                <c:pt idx="15">
                  <c:v>2012</c:v>
                </c:pt>
                <c:pt idx="16">
                  <c:v>2013</c:v>
                </c:pt>
                <c:pt idx="17">
                  <c:v>2014</c:v>
                </c:pt>
                <c:pt idx="18">
                  <c:v>2015</c:v>
                </c:pt>
                <c:pt idx="19">
                  <c:v>2016</c:v>
                </c:pt>
                <c:pt idx="20">
                  <c:v>2017</c:v>
                </c:pt>
                <c:pt idx="21">
                  <c:v>2018</c:v>
                </c:pt>
                <c:pt idx="22">
                  <c:v>2019</c:v>
                </c:pt>
                <c:pt idx="23">
                  <c:v>2020</c:v>
                </c:pt>
                <c:pt idx="24">
                  <c:v>2021</c:v>
                </c:pt>
              </c:numCache>
            </c:numRef>
          </c:cat>
          <c:val>
            <c:numRef>
              <c:f>kostnaður!$F$33:$F$57</c:f>
              <c:numCache>
                <c:formatCode>_(* #,##0_);_(* \(#,##0\);_(* "-"_);_(@_)</c:formatCode>
                <c:ptCount val="25"/>
                <c:pt idx="0">
                  <c:v>949264.92833517084</c:v>
                </c:pt>
                <c:pt idx="1">
                  <c:v>1238550.1143168209</c:v>
                </c:pt>
                <c:pt idx="2">
                  <c:v>1582702.8402061856</c:v>
                </c:pt>
                <c:pt idx="3">
                  <c:v>2313566.5413161805</c:v>
                </c:pt>
                <c:pt idx="4">
                  <c:v>3270079.3530751709</c:v>
                </c:pt>
                <c:pt idx="5">
                  <c:v>2161404.8682447523</c:v>
                </c:pt>
                <c:pt idx="6">
                  <c:v>2504606.517391304</c:v>
                </c:pt>
                <c:pt idx="7">
                  <c:v>2977327.5062761507</c:v>
                </c:pt>
                <c:pt idx="8">
                  <c:v>3306294.2748091603</c:v>
                </c:pt>
                <c:pt idx="9">
                  <c:v>3025281.6378662661</c:v>
                </c:pt>
                <c:pt idx="10">
                  <c:v>3093819.6238466995</c:v>
                </c:pt>
                <c:pt idx="11">
                  <c:v>2075018.5086916746</c:v>
                </c:pt>
                <c:pt idx="12">
                  <c:v>2207330.1207186976</c:v>
                </c:pt>
                <c:pt idx="13">
                  <c:v>2294220.2134062927</c:v>
                </c:pt>
                <c:pt idx="14">
                  <c:v>2703024.4773790948</c:v>
                </c:pt>
                <c:pt idx="15">
                  <c:v>2926620.3358208956</c:v>
                </c:pt>
                <c:pt idx="16">
                  <c:v>3254328.207343413</c:v>
                </c:pt>
                <c:pt idx="17">
                  <c:v>3267874.5819477434</c:v>
                </c:pt>
                <c:pt idx="18">
                  <c:v>4352135.9734513275</c:v>
                </c:pt>
                <c:pt idx="19">
                  <c:v>1730650.6683394162</c:v>
                </c:pt>
                <c:pt idx="20">
                  <c:v>1410412.9843049329</c:v>
                </c:pt>
                <c:pt idx="21">
                  <c:v>1646489.3745928339</c:v>
                </c:pt>
                <c:pt idx="22">
                  <c:v>2010451.1230964465</c:v>
                </c:pt>
                <c:pt idx="23">
                  <c:v>2206728.2648681789</c:v>
                </c:pt>
                <c:pt idx="24">
                  <c:v>2288036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9F3-4A45-9BEB-7C834AC500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4048880"/>
        <c:axId val="1373296160"/>
      </c:lineChart>
      <c:catAx>
        <c:axId val="324048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S"/>
          </a:p>
        </c:txPr>
        <c:crossAx val="1373296160"/>
        <c:crosses val="autoZero"/>
        <c:auto val="1"/>
        <c:lblAlgn val="ctr"/>
        <c:lblOffset val="100"/>
        <c:noMultiLvlLbl val="0"/>
      </c:catAx>
      <c:valAx>
        <c:axId val="1373296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S"/>
          </a:p>
        </c:txPr>
        <c:crossAx val="324048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kostnaður!$D$61</c:f>
              <c:strCache>
                <c:ptCount val="1"/>
                <c:pt idx="0">
                  <c:v>Fjárfestingargjöld + Rekstrarkostn.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kostnaður!$C$62:$C$86</c:f>
              <c:numCache>
                <c:formatCode>General</c:formatCode>
                <c:ptCount val="25"/>
                <c:pt idx="0">
                  <c:v>1997</c:v>
                </c:pt>
                <c:pt idx="1">
                  <c:v>1998</c:v>
                </c:pt>
                <c:pt idx="2">
                  <c:v>1999</c:v>
                </c:pt>
                <c:pt idx="3">
                  <c:v>2000</c:v>
                </c:pt>
                <c:pt idx="4">
                  <c:v>2001</c:v>
                </c:pt>
                <c:pt idx="5">
                  <c:v>2002</c:v>
                </c:pt>
                <c:pt idx="6">
                  <c:v>2003</c:v>
                </c:pt>
                <c:pt idx="7">
                  <c:v>2004</c:v>
                </c:pt>
                <c:pt idx="8">
                  <c:v>2005</c:v>
                </c:pt>
                <c:pt idx="9">
                  <c:v>2006</c:v>
                </c:pt>
                <c:pt idx="10">
                  <c:v>2007</c:v>
                </c:pt>
                <c:pt idx="11">
                  <c:v>2008</c:v>
                </c:pt>
                <c:pt idx="12">
                  <c:v>2009</c:v>
                </c:pt>
                <c:pt idx="13">
                  <c:v>2010</c:v>
                </c:pt>
                <c:pt idx="14">
                  <c:v>2011</c:v>
                </c:pt>
                <c:pt idx="15">
                  <c:v>2012</c:v>
                </c:pt>
                <c:pt idx="16">
                  <c:v>2013</c:v>
                </c:pt>
                <c:pt idx="17">
                  <c:v>2014</c:v>
                </c:pt>
                <c:pt idx="18">
                  <c:v>2015</c:v>
                </c:pt>
                <c:pt idx="19">
                  <c:v>2016</c:v>
                </c:pt>
                <c:pt idx="20">
                  <c:v>2017</c:v>
                </c:pt>
                <c:pt idx="21">
                  <c:v>2018</c:v>
                </c:pt>
                <c:pt idx="22">
                  <c:v>2019</c:v>
                </c:pt>
                <c:pt idx="23">
                  <c:v>2020</c:v>
                </c:pt>
                <c:pt idx="24">
                  <c:v>2021</c:v>
                </c:pt>
              </c:numCache>
            </c:numRef>
          </c:cat>
          <c:val>
            <c:numRef>
              <c:f>kostnaður!$D$62:$D$86</c:f>
              <c:numCache>
                <c:formatCode>_(* #,##0_);_(* \(#,##0\);_(* "-"_);_(@_)</c:formatCode>
                <c:ptCount val="25"/>
                <c:pt idx="0">
                  <c:v>2629040.1598676955</c:v>
                </c:pt>
                <c:pt idx="1">
                  <c:v>3056589.1616766467</c:v>
                </c:pt>
                <c:pt idx="2">
                  <c:v>3593522.6907216497</c:v>
                </c:pt>
                <c:pt idx="3">
                  <c:v>5119991.2963879276</c:v>
                </c:pt>
                <c:pt idx="4">
                  <c:v>7448778.697038725</c:v>
                </c:pt>
                <c:pt idx="5">
                  <c:v>4612284.707458687</c:v>
                </c:pt>
                <c:pt idx="6">
                  <c:v>5136109.1608695649</c:v>
                </c:pt>
                <c:pt idx="7">
                  <c:v>5780623.5188284516</c:v>
                </c:pt>
                <c:pt idx="8">
                  <c:v>6220171.3740458023</c:v>
                </c:pt>
                <c:pt idx="9">
                  <c:v>5955367.2802404212</c:v>
                </c:pt>
                <c:pt idx="10">
                  <c:v>6038871.0681334268</c:v>
                </c:pt>
                <c:pt idx="11">
                  <c:v>4766339.4784995429</c:v>
                </c:pt>
                <c:pt idx="12">
                  <c:v>4918866.3672094326</c:v>
                </c:pt>
                <c:pt idx="13">
                  <c:v>5149042.0547195617</c:v>
                </c:pt>
                <c:pt idx="14">
                  <c:v>6214973.6583463326</c:v>
                </c:pt>
                <c:pt idx="15">
                  <c:v>6166077.5149253737</c:v>
                </c:pt>
                <c:pt idx="16">
                  <c:v>6587208.0777537804</c:v>
                </c:pt>
                <c:pt idx="17">
                  <c:v>6824608.3752969122</c:v>
                </c:pt>
                <c:pt idx="18">
                  <c:v>8540833.5398230087</c:v>
                </c:pt>
                <c:pt idx="19">
                  <c:v>8324282.7303832127</c:v>
                </c:pt>
                <c:pt idx="20">
                  <c:v>8518683.6121076234</c:v>
                </c:pt>
                <c:pt idx="21">
                  <c:v>9225199.3485342022</c:v>
                </c:pt>
                <c:pt idx="22">
                  <c:v>9705867.7728426382</c:v>
                </c:pt>
                <c:pt idx="23">
                  <c:v>10247351.661557326</c:v>
                </c:pt>
                <c:pt idx="24">
                  <c:v>10502405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EF2-6E42-8A0C-67A1076037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41999328"/>
        <c:axId val="1246807024"/>
      </c:lineChart>
      <c:catAx>
        <c:axId val="1741999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S"/>
          </a:p>
        </c:txPr>
        <c:crossAx val="1246807024"/>
        <c:crosses val="autoZero"/>
        <c:auto val="1"/>
        <c:lblAlgn val="ctr"/>
        <c:lblOffset val="100"/>
        <c:noMultiLvlLbl val="0"/>
      </c:catAx>
      <c:valAx>
        <c:axId val="1246807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S"/>
          </a:p>
        </c:txPr>
        <c:crossAx val="1741999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'Eignir '!$P$2</c:f>
              <c:strCache>
                <c:ptCount val="1"/>
                <c:pt idx="0">
                  <c:v>Vigtað meðaltak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'Eignir '!$N$3:$N$27</c:f>
              <c:numCache>
                <c:formatCode>General</c:formatCode>
                <c:ptCount val="25"/>
                <c:pt idx="0">
                  <c:v>1997</c:v>
                </c:pt>
                <c:pt idx="1">
                  <c:v>1998</c:v>
                </c:pt>
                <c:pt idx="2">
                  <c:v>1999</c:v>
                </c:pt>
                <c:pt idx="3">
                  <c:v>2000</c:v>
                </c:pt>
                <c:pt idx="4">
                  <c:v>2001</c:v>
                </c:pt>
                <c:pt idx="5">
                  <c:v>2002</c:v>
                </c:pt>
                <c:pt idx="6">
                  <c:v>2003</c:v>
                </c:pt>
                <c:pt idx="7">
                  <c:v>2004</c:v>
                </c:pt>
                <c:pt idx="8">
                  <c:v>2005</c:v>
                </c:pt>
                <c:pt idx="9">
                  <c:v>2006</c:v>
                </c:pt>
                <c:pt idx="10">
                  <c:v>2007</c:v>
                </c:pt>
                <c:pt idx="11">
                  <c:v>2008</c:v>
                </c:pt>
                <c:pt idx="12">
                  <c:v>2009</c:v>
                </c:pt>
                <c:pt idx="13">
                  <c:v>2010</c:v>
                </c:pt>
                <c:pt idx="14">
                  <c:v>2011</c:v>
                </c:pt>
                <c:pt idx="15">
                  <c:v>2012</c:v>
                </c:pt>
                <c:pt idx="16">
                  <c:v>2013</c:v>
                </c:pt>
                <c:pt idx="17">
                  <c:v>2014</c:v>
                </c:pt>
                <c:pt idx="18">
                  <c:v>2015</c:v>
                </c:pt>
                <c:pt idx="19">
                  <c:v>2016</c:v>
                </c:pt>
                <c:pt idx="20">
                  <c:v>2017</c:v>
                </c:pt>
                <c:pt idx="21">
                  <c:v>2018</c:v>
                </c:pt>
                <c:pt idx="22">
                  <c:v>2019</c:v>
                </c:pt>
                <c:pt idx="23">
                  <c:v>2020</c:v>
                </c:pt>
                <c:pt idx="24">
                  <c:v>2021</c:v>
                </c:pt>
              </c:numCache>
            </c:numRef>
          </c:cat>
          <c:val>
            <c:numRef>
              <c:f>'Eignir '!$P$3:$P$27</c:f>
              <c:numCache>
                <c:formatCode>General</c:formatCode>
                <c:ptCount val="25"/>
                <c:pt idx="0">
                  <c:v>100</c:v>
                </c:pt>
                <c:pt idx="1">
                  <c:v>107.11186565673697</c:v>
                </c:pt>
                <c:pt idx="2">
                  <c:v>120.02032965757705</c:v>
                </c:pt>
                <c:pt idx="3">
                  <c:v>120.3074548584991</c:v>
                </c:pt>
                <c:pt idx="4">
                  <c:v>117.02905320637328</c:v>
                </c:pt>
                <c:pt idx="5">
                  <c:v>115.4242366788973</c:v>
                </c:pt>
                <c:pt idx="6">
                  <c:v>133.19193086756502</c:v>
                </c:pt>
                <c:pt idx="7">
                  <c:v>151.41869599209861</c:v>
                </c:pt>
                <c:pt idx="8">
                  <c:v>178.42564385767122</c:v>
                </c:pt>
                <c:pt idx="9">
                  <c:v>203.57786186085158</c:v>
                </c:pt>
                <c:pt idx="10">
                  <c:v>205.00759198272704</c:v>
                </c:pt>
                <c:pt idx="11">
                  <c:v>149.30167756069062</c:v>
                </c:pt>
                <c:pt idx="12">
                  <c:v>150.51853876051084</c:v>
                </c:pt>
                <c:pt idx="13">
                  <c:v>154.91665471463926</c:v>
                </c:pt>
                <c:pt idx="14">
                  <c:v>159.33570375387797</c:v>
                </c:pt>
                <c:pt idx="15">
                  <c:v>174.5576659960002</c:v>
                </c:pt>
                <c:pt idx="16">
                  <c:v>187.28241366519237</c:v>
                </c:pt>
                <c:pt idx="17">
                  <c:v>205.80440874766308</c:v>
                </c:pt>
                <c:pt idx="18">
                  <c:v>226.43644916345775</c:v>
                </c:pt>
                <c:pt idx="19">
                  <c:v>225.71206190614538</c:v>
                </c:pt>
                <c:pt idx="20">
                  <c:v>242.64823525681354</c:v>
                </c:pt>
                <c:pt idx="21">
                  <c:v>249.64057795317868</c:v>
                </c:pt>
                <c:pt idx="22">
                  <c:v>289.67114949928572</c:v>
                </c:pt>
                <c:pt idx="23">
                  <c:v>327.63113240491583</c:v>
                </c:pt>
                <c:pt idx="24">
                  <c:v>373.49220369496425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52-974F-99A6-1CF962482DC4}"/>
            </c:ext>
          </c:extLst>
        </c:ser>
        <c:ser>
          <c:idx val="1"/>
          <c:order val="1"/>
          <c:tx>
            <c:strRef>
              <c:f>'Eignir '!$Q$2</c:f>
              <c:strCache>
                <c:ptCount val="1"/>
                <c:pt idx="0">
                  <c:v>upper quart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'Eignir '!$N$3:$N$27</c:f>
              <c:numCache>
                <c:formatCode>General</c:formatCode>
                <c:ptCount val="25"/>
                <c:pt idx="0">
                  <c:v>1997</c:v>
                </c:pt>
                <c:pt idx="1">
                  <c:v>1998</c:v>
                </c:pt>
                <c:pt idx="2">
                  <c:v>1999</c:v>
                </c:pt>
                <c:pt idx="3">
                  <c:v>2000</c:v>
                </c:pt>
                <c:pt idx="4">
                  <c:v>2001</c:v>
                </c:pt>
                <c:pt idx="5">
                  <c:v>2002</c:v>
                </c:pt>
                <c:pt idx="6">
                  <c:v>2003</c:v>
                </c:pt>
                <c:pt idx="7">
                  <c:v>2004</c:v>
                </c:pt>
                <c:pt idx="8">
                  <c:v>2005</c:v>
                </c:pt>
                <c:pt idx="9">
                  <c:v>2006</c:v>
                </c:pt>
                <c:pt idx="10">
                  <c:v>2007</c:v>
                </c:pt>
                <c:pt idx="11">
                  <c:v>2008</c:v>
                </c:pt>
                <c:pt idx="12">
                  <c:v>2009</c:v>
                </c:pt>
                <c:pt idx="13">
                  <c:v>2010</c:v>
                </c:pt>
                <c:pt idx="14">
                  <c:v>2011</c:v>
                </c:pt>
                <c:pt idx="15">
                  <c:v>2012</c:v>
                </c:pt>
                <c:pt idx="16">
                  <c:v>2013</c:v>
                </c:pt>
                <c:pt idx="17">
                  <c:v>2014</c:v>
                </c:pt>
                <c:pt idx="18">
                  <c:v>2015</c:v>
                </c:pt>
                <c:pt idx="19">
                  <c:v>2016</c:v>
                </c:pt>
                <c:pt idx="20">
                  <c:v>2017</c:v>
                </c:pt>
                <c:pt idx="21">
                  <c:v>2018</c:v>
                </c:pt>
                <c:pt idx="22">
                  <c:v>2019</c:v>
                </c:pt>
                <c:pt idx="23">
                  <c:v>2020</c:v>
                </c:pt>
                <c:pt idx="24">
                  <c:v>2021</c:v>
                </c:pt>
              </c:numCache>
            </c:numRef>
          </c:cat>
          <c:val>
            <c:numRef>
              <c:f>'Eignir '!$Q$3:$Q$27</c:f>
              <c:numCache>
                <c:formatCode>_-* #,##0.00_-;\-* #,##0.00_-;_-* "-"_-;_-@_-</c:formatCode>
                <c:ptCount val="25"/>
                <c:pt idx="0">
                  <c:v>100</c:v>
                </c:pt>
                <c:pt idx="1">
                  <c:v>108</c:v>
                </c:pt>
                <c:pt idx="2">
                  <c:v>120.68758241439426</c:v>
                </c:pt>
                <c:pt idx="3">
                  <c:v>120.233825</c:v>
                </c:pt>
                <c:pt idx="4">
                  <c:v>119.826881</c:v>
                </c:pt>
                <c:pt idx="5">
                  <c:v>121.12854048</c:v>
                </c:pt>
                <c:pt idx="6">
                  <c:v>133.25437415067378</c:v>
                </c:pt>
                <c:pt idx="7">
                  <c:v>146.97128681130243</c:v>
                </c:pt>
                <c:pt idx="8">
                  <c:v>166.01626074320936</c:v>
                </c:pt>
                <c:pt idx="9">
                  <c:v>194.13768078415757</c:v>
                </c:pt>
                <c:pt idx="10">
                  <c:v>203.47249806980011</c:v>
                </c:pt>
                <c:pt idx="11">
                  <c:v>157.88378376124575</c:v>
                </c:pt>
                <c:pt idx="12">
                  <c:v>161.7682484479364</c:v>
                </c:pt>
                <c:pt idx="13">
                  <c:v>164.88273436917291</c:v>
                </c:pt>
                <c:pt idx="14">
                  <c:v>167.99290446627262</c:v>
                </c:pt>
                <c:pt idx="15">
                  <c:v>177.65076305559847</c:v>
                </c:pt>
                <c:pt idx="16">
                  <c:v>185.90699324921815</c:v>
                </c:pt>
                <c:pt idx="17">
                  <c:v>199.63815398615762</c:v>
                </c:pt>
                <c:pt idx="18">
                  <c:v>218.11188343832825</c:v>
                </c:pt>
                <c:pt idx="19">
                  <c:v>225.84021672789038</c:v>
                </c:pt>
                <c:pt idx="20">
                  <c:v>238.02321425358701</c:v>
                </c:pt>
                <c:pt idx="21">
                  <c:v>248.56923413369816</c:v>
                </c:pt>
                <c:pt idx="22">
                  <c:v>270.09247902587356</c:v>
                </c:pt>
                <c:pt idx="23">
                  <c:v>294.70280783781016</c:v>
                </c:pt>
                <c:pt idx="24">
                  <c:v>337.11451854015456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52-974F-99A6-1CF962482DC4}"/>
            </c:ext>
          </c:extLst>
        </c:ser>
        <c:ser>
          <c:idx val="2"/>
          <c:order val="2"/>
          <c:tx>
            <c:strRef>
              <c:f>'Eignir '!$R$2</c:f>
              <c:strCache>
                <c:ptCount val="1"/>
                <c:pt idx="0">
                  <c:v>lower quart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'Eignir '!$N$3:$N$27</c:f>
              <c:numCache>
                <c:formatCode>General</c:formatCode>
                <c:ptCount val="25"/>
                <c:pt idx="0">
                  <c:v>1997</c:v>
                </c:pt>
                <c:pt idx="1">
                  <c:v>1998</c:v>
                </c:pt>
                <c:pt idx="2">
                  <c:v>1999</c:v>
                </c:pt>
                <c:pt idx="3">
                  <c:v>2000</c:v>
                </c:pt>
                <c:pt idx="4">
                  <c:v>2001</c:v>
                </c:pt>
                <c:pt idx="5">
                  <c:v>2002</c:v>
                </c:pt>
                <c:pt idx="6">
                  <c:v>2003</c:v>
                </c:pt>
                <c:pt idx="7">
                  <c:v>2004</c:v>
                </c:pt>
                <c:pt idx="8">
                  <c:v>2005</c:v>
                </c:pt>
                <c:pt idx="9">
                  <c:v>2006</c:v>
                </c:pt>
                <c:pt idx="10">
                  <c:v>2007</c:v>
                </c:pt>
                <c:pt idx="11">
                  <c:v>2008</c:v>
                </c:pt>
                <c:pt idx="12">
                  <c:v>2009</c:v>
                </c:pt>
                <c:pt idx="13">
                  <c:v>2010</c:v>
                </c:pt>
                <c:pt idx="14">
                  <c:v>2011</c:v>
                </c:pt>
                <c:pt idx="15">
                  <c:v>2012</c:v>
                </c:pt>
                <c:pt idx="16">
                  <c:v>2013</c:v>
                </c:pt>
                <c:pt idx="17">
                  <c:v>2014</c:v>
                </c:pt>
                <c:pt idx="18">
                  <c:v>2015</c:v>
                </c:pt>
                <c:pt idx="19">
                  <c:v>2016</c:v>
                </c:pt>
                <c:pt idx="20">
                  <c:v>2017</c:v>
                </c:pt>
                <c:pt idx="21">
                  <c:v>2018</c:v>
                </c:pt>
                <c:pt idx="22">
                  <c:v>2019</c:v>
                </c:pt>
                <c:pt idx="23">
                  <c:v>2020</c:v>
                </c:pt>
                <c:pt idx="24">
                  <c:v>2021</c:v>
                </c:pt>
              </c:numCache>
            </c:numRef>
          </c:cat>
          <c:val>
            <c:numRef>
              <c:f>'Eignir '!$R$3:$R$27</c:f>
              <c:numCache>
                <c:formatCode>_-* #,##0.00_-;\-* #,##0.00_-;_-* "-"_-;_-@_-</c:formatCode>
                <c:ptCount val="25"/>
                <c:pt idx="0">
                  <c:v>100</c:v>
                </c:pt>
                <c:pt idx="1">
                  <c:v>106</c:v>
                </c:pt>
                <c:pt idx="2">
                  <c:v>113.42</c:v>
                </c:pt>
                <c:pt idx="3">
                  <c:v>111.73464399196239</c:v>
                </c:pt>
                <c:pt idx="4">
                  <c:v>107.69922000000003</c:v>
                </c:pt>
                <c:pt idx="5">
                  <c:v>104.93400960000001</c:v>
                </c:pt>
                <c:pt idx="6">
                  <c:v>114.72558279120003</c:v>
                </c:pt>
                <c:pt idx="7">
                  <c:v>124.19781000062403</c:v>
                </c:pt>
                <c:pt idx="8">
                  <c:v>133.367430933702</c:v>
                </c:pt>
                <c:pt idx="9">
                  <c:v>147.55164468885266</c:v>
                </c:pt>
                <c:pt idx="10">
                  <c:v>151.68778450001457</c:v>
                </c:pt>
                <c:pt idx="11">
                  <c:v>125.00648730002226</c:v>
                </c:pt>
                <c:pt idx="12">
                  <c:v>126.10993313617283</c:v>
                </c:pt>
                <c:pt idx="13">
                  <c:v>130.02257798415741</c:v>
                </c:pt>
                <c:pt idx="14">
                  <c:v>132.96765898531527</c:v>
                </c:pt>
                <c:pt idx="15">
                  <c:v>136.53219311404001</c:v>
                </c:pt>
                <c:pt idx="16">
                  <c:v>147.0644394412349</c:v>
                </c:pt>
                <c:pt idx="17">
                  <c:v>159.89249645543379</c:v>
                </c:pt>
                <c:pt idx="18">
                  <c:v>171.88294927424707</c:v>
                </c:pt>
                <c:pt idx="19">
                  <c:v>171.20838212910107</c:v>
                </c:pt>
                <c:pt idx="20">
                  <c:v>180.9663228071754</c:v>
                </c:pt>
                <c:pt idx="21">
                  <c:v>186.79816694247367</c:v>
                </c:pt>
                <c:pt idx="22">
                  <c:v>204.32055545538481</c:v>
                </c:pt>
                <c:pt idx="23">
                  <c:v>221.14911910888387</c:v>
                </c:pt>
                <c:pt idx="24">
                  <c:v>242.11856325170703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F52-974F-99A6-1CF962482DC4}"/>
            </c:ext>
          </c:extLst>
        </c:ser>
        <c:ser>
          <c:idx val="3"/>
          <c:order val="3"/>
          <c:tx>
            <c:strRef>
              <c:f>'Eignir '!$S$2</c:f>
              <c:strCache>
                <c:ptCount val="1"/>
                <c:pt idx="0">
                  <c:v>miðgildi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'Eignir '!$N$3:$N$27</c:f>
              <c:numCache>
                <c:formatCode>General</c:formatCode>
                <c:ptCount val="25"/>
                <c:pt idx="0">
                  <c:v>1997</c:v>
                </c:pt>
                <c:pt idx="1">
                  <c:v>1998</c:v>
                </c:pt>
                <c:pt idx="2">
                  <c:v>1999</c:v>
                </c:pt>
                <c:pt idx="3">
                  <c:v>2000</c:v>
                </c:pt>
                <c:pt idx="4">
                  <c:v>2001</c:v>
                </c:pt>
                <c:pt idx="5">
                  <c:v>2002</c:v>
                </c:pt>
                <c:pt idx="6">
                  <c:v>2003</c:v>
                </c:pt>
                <c:pt idx="7">
                  <c:v>2004</c:v>
                </c:pt>
                <c:pt idx="8">
                  <c:v>2005</c:v>
                </c:pt>
                <c:pt idx="9">
                  <c:v>2006</c:v>
                </c:pt>
                <c:pt idx="10">
                  <c:v>2007</c:v>
                </c:pt>
                <c:pt idx="11">
                  <c:v>2008</c:v>
                </c:pt>
                <c:pt idx="12">
                  <c:v>2009</c:v>
                </c:pt>
                <c:pt idx="13">
                  <c:v>2010</c:v>
                </c:pt>
                <c:pt idx="14">
                  <c:v>2011</c:v>
                </c:pt>
                <c:pt idx="15">
                  <c:v>2012</c:v>
                </c:pt>
                <c:pt idx="16">
                  <c:v>2013</c:v>
                </c:pt>
                <c:pt idx="17">
                  <c:v>2014</c:v>
                </c:pt>
                <c:pt idx="18">
                  <c:v>2015</c:v>
                </c:pt>
                <c:pt idx="19">
                  <c:v>2016</c:v>
                </c:pt>
                <c:pt idx="20">
                  <c:v>2017</c:v>
                </c:pt>
                <c:pt idx="21">
                  <c:v>2018</c:v>
                </c:pt>
                <c:pt idx="22">
                  <c:v>2019</c:v>
                </c:pt>
                <c:pt idx="23">
                  <c:v>2020</c:v>
                </c:pt>
                <c:pt idx="24">
                  <c:v>2021</c:v>
                </c:pt>
              </c:numCache>
            </c:numRef>
          </c:cat>
          <c:val>
            <c:numRef>
              <c:f>'Eignir '!$S$3:$S$27</c:f>
              <c:numCache>
                <c:formatCode>_-* #,##0.00_-;\-* #,##0.00_-;_-* "-"_-;_-@_-</c:formatCode>
                <c:ptCount val="25"/>
                <c:pt idx="0">
                  <c:v>100</c:v>
                </c:pt>
                <c:pt idx="1">
                  <c:v>107</c:v>
                </c:pt>
                <c:pt idx="2">
                  <c:v>116.64000000000001</c:v>
                </c:pt>
                <c:pt idx="3">
                  <c:v>117.64915000000002</c:v>
                </c:pt>
                <c:pt idx="4">
                  <c:v>113.42803002147562</c:v>
                </c:pt>
                <c:pt idx="5">
                  <c:v>111.99430655999998</c:v>
                </c:pt>
                <c:pt idx="6">
                  <c:v>125.36712871200002</c:v>
                </c:pt>
                <c:pt idx="7">
                  <c:v>139.87841510250001</c:v>
                </c:pt>
                <c:pt idx="8">
                  <c:v>153.05068942551361</c:v>
                </c:pt>
                <c:pt idx="9">
                  <c:v>171.28070015881707</c:v>
                </c:pt>
                <c:pt idx="10">
                  <c:v>174.93423311804446</c:v>
                </c:pt>
                <c:pt idx="11">
                  <c:v>145.17043265813277</c:v>
                </c:pt>
                <c:pt idx="12">
                  <c:v>144.38474461279591</c:v>
                </c:pt>
                <c:pt idx="13">
                  <c:v>148.64519973231953</c:v>
                </c:pt>
                <c:pt idx="14">
                  <c:v>150.92940215396337</c:v>
                </c:pt>
                <c:pt idx="15">
                  <c:v>160.68274679963258</c:v>
                </c:pt>
                <c:pt idx="16">
                  <c:v>170.36918628437635</c:v>
                </c:pt>
                <c:pt idx="17">
                  <c:v>184.19597378387382</c:v>
                </c:pt>
                <c:pt idx="18">
                  <c:v>199.55214546169304</c:v>
                </c:pt>
                <c:pt idx="19">
                  <c:v>207.20871647622775</c:v>
                </c:pt>
                <c:pt idx="20">
                  <c:v>218.51653498584605</c:v>
                </c:pt>
                <c:pt idx="21">
                  <c:v>229.86887246375005</c:v>
                </c:pt>
                <c:pt idx="22">
                  <c:v>258.86009778955781</c:v>
                </c:pt>
                <c:pt idx="23">
                  <c:v>282.46813870796547</c:v>
                </c:pt>
                <c:pt idx="24">
                  <c:v>313.53963396584169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F52-974F-99A6-1CF962482D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28083039"/>
        <c:axId val="1561498672"/>
      </c:lineChart>
      <c:catAx>
        <c:axId val="20280830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S"/>
          </a:p>
        </c:txPr>
        <c:crossAx val="1561498672"/>
        <c:crosses val="autoZero"/>
        <c:auto val="1"/>
        <c:lblAlgn val="ctr"/>
        <c:lblOffset val="100"/>
        <c:noMultiLvlLbl val="0"/>
      </c:catAx>
      <c:valAx>
        <c:axId val="1561498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S"/>
          </a:p>
        </c:txPr>
        <c:crossAx val="20280830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/>
              <a:t>Ávöxtun sjóða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IS"/>
        </a:p>
      </c:txPr>
    </c:title>
    <c:autoTitleDeleted val="0"/>
    <c:plotArea>
      <c:layout/>
      <c:stockChart>
        <c:ser>
          <c:idx val="0"/>
          <c:order val="0"/>
          <c:tx>
            <c:strRef>
              <c:f>'Eignir '!$T$2</c:f>
              <c:strCache>
                <c:ptCount val="1"/>
                <c:pt idx="0">
                  <c:v>upper q ávöxt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'Eignir '!$N$3:$N$27</c:f>
              <c:numCache>
                <c:formatCode>General</c:formatCode>
                <c:ptCount val="25"/>
                <c:pt idx="0">
                  <c:v>1997</c:v>
                </c:pt>
                <c:pt idx="1">
                  <c:v>1998</c:v>
                </c:pt>
                <c:pt idx="2">
                  <c:v>1999</c:v>
                </c:pt>
                <c:pt idx="3">
                  <c:v>2000</c:v>
                </c:pt>
                <c:pt idx="4">
                  <c:v>2001</c:v>
                </c:pt>
                <c:pt idx="5">
                  <c:v>2002</c:v>
                </c:pt>
                <c:pt idx="6">
                  <c:v>2003</c:v>
                </c:pt>
                <c:pt idx="7">
                  <c:v>2004</c:v>
                </c:pt>
                <c:pt idx="8">
                  <c:v>2005</c:v>
                </c:pt>
                <c:pt idx="9">
                  <c:v>2006</c:v>
                </c:pt>
                <c:pt idx="10">
                  <c:v>2007</c:v>
                </c:pt>
                <c:pt idx="11">
                  <c:v>2008</c:v>
                </c:pt>
                <c:pt idx="12">
                  <c:v>2009</c:v>
                </c:pt>
                <c:pt idx="13">
                  <c:v>2010</c:v>
                </c:pt>
                <c:pt idx="14">
                  <c:v>2011</c:v>
                </c:pt>
                <c:pt idx="15">
                  <c:v>2012</c:v>
                </c:pt>
                <c:pt idx="16">
                  <c:v>2013</c:v>
                </c:pt>
                <c:pt idx="17">
                  <c:v>2014</c:v>
                </c:pt>
                <c:pt idx="18">
                  <c:v>2015</c:v>
                </c:pt>
                <c:pt idx="19">
                  <c:v>2016</c:v>
                </c:pt>
                <c:pt idx="20">
                  <c:v>2017</c:v>
                </c:pt>
                <c:pt idx="21">
                  <c:v>2018</c:v>
                </c:pt>
                <c:pt idx="22">
                  <c:v>2019</c:v>
                </c:pt>
                <c:pt idx="23">
                  <c:v>2020</c:v>
                </c:pt>
                <c:pt idx="24">
                  <c:v>2021</c:v>
                </c:pt>
              </c:numCache>
            </c:numRef>
          </c:cat>
          <c:val>
            <c:numRef>
              <c:f>'Eignir '!$T$3:$T$27</c:f>
              <c:numCache>
                <c:formatCode>0.0%</c:formatCode>
                <c:ptCount val="25"/>
                <c:pt idx="0">
                  <c:v>0.08</c:v>
                </c:pt>
                <c:pt idx="1">
                  <c:v>0.08</c:v>
                </c:pt>
                <c:pt idx="2">
                  <c:v>0.1275</c:v>
                </c:pt>
                <c:pt idx="3">
                  <c:v>2.75E-2</c:v>
                </c:pt>
                <c:pt idx="4">
                  <c:v>0.01</c:v>
                </c:pt>
                <c:pt idx="5">
                  <c:v>0.03</c:v>
                </c:pt>
                <c:pt idx="6">
                  <c:v>0.13</c:v>
                </c:pt>
                <c:pt idx="7">
                  <c:v>0.12</c:v>
                </c:pt>
                <c:pt idx="8">
                  <c:v>0.14000000000000001</c:v>
                </c:pt>
                <c:pt idx="9">
                  <c:v>0.11075</c:v>
                </c:pt>
                <c:pt idx="10">
                  <c:v>2.64E-2</c:v>
                </c:pt>
                <c:pt idx="11">
                  <c:v>-0.10755000000000001</c:v>
                </c:pt>
                <c:pt idx="12">
                  <c:v>3.3799999999999997E-2</c:v>
                </c:pt>
                <c:pt idx="13">
                  <c:v>4.3749999999999997E-2</c:v>
                </c:pt>
                <c:pt idx="14">
                  <c:v>3.3000000000000002E-2</c:v>
                </c:pt>
                <c:pt idx="15">
                  <c:v>7.9749999999999988E-2</c:v>
                </c:pt>
                <c:pt idx="16">
                  <c:v>7.2000000000000008E-2</c:v>
                </c:pt>
                <c:pt idx="17">
                  <c:v>7.8E-2</c:v>
                </c:pt>
                <c:pt idx="18">
                  <c:v>0.10375</c:v>
                </c:pt>
                <c:pt idx="19">
                  <c:v>7.6500000000000005E-3</c:v>
                </c:pt>
                <c:pt idx="20">
                  <c:v>6.7500000000000004E-2</c:v>
                </c:pt>
                <c:pt idx="21">
                  <c:v>3.7000000000000005E-2</c:v>
                </c:pt>
                <c:pt idx="22">
                  <c:v>0.11854999999999999</c:v>
                </c:pt>
                <c:pt idx="23">
                  <c:v>0.10250000000000001</c:v>
                </c:pt>
                <c:pt idx="24">
                  <c:v>0.12585000000000002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E4-CE4C-BDAB-1896EE6304FD}"/>
            </c:ext>
          </c:extLst>
        </c:ser>
        <c:ser>
          <c:idx val="1"/>
          <c:order val="1"/>
          <c:tx>
            <c:strRef>
              <c:f>'Eignir '!$U$2</c:f>
              <c:strCache>
                <c:ptCount val="1"/>
                <c:pt idx="0">
                  <c:v>lower q áv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'Eignir '!$N$3:$N$27</c:f>
              <c:numCache>
                <c:formatCode>General</c:formatCode>
                <c:ptCount val="25"/>
                <c:pt idx="0">
                  <c:v>1997</c:v>
                </c:pt>
                <c:pt idx="1">
                  <c:v>1998</c:v>
                </c:pt>
                <c:pt idx="2">
                  <c:v>1999</c:v>
                </c:pt>
                <c:pt idx="3">
                  <c:v>2000</c:v>
                </c:pt>
                <c:pt idx="4">
                  <c:v>2001</c:v>
                </c:pt>
                <c:pt idx="5">
                  <c:v>2002</c:v>
                </c:pt>
                <c:pt idx="6">
                  <c:v>2003</c:v>
                </c:pt>
                <c:pt idx="7">
                  <c:v>2004</c:v>
                </c:pt>
                <c:pt idx="8">
                  <c:v>2005</c:v>
                </c:pt>
                <c:pt idx="9">
                  <c:v>2006</c:v>
                </c:pt>
                <c:pt idx="10">
                  <c:v>2007</c:v>
                </c:pt>
                <c:pt idx="11">
                  <c:v>2008</c:v>
                </c:pt>
                <c:pt idx="12">
                  <c:v>2009</c:v>
                </c:pt>
                <c:pt idx="13">
                  <c:v>2010</c:v>
                </c:pt>
                <c:pt idx="14">
                  <c:v>2011</c:v>
                </c:pt>
                <c:pt idx="15">
                  <c:v>2012</c:v>
                </c:pt>
                <c:pt idx="16">
                  <c:v>2013</c:v>
                </c:pt>
                <c:pt idx="17">
                  <c:v>2014</c:v>
                </c:pt>
                <c:pt idx="18">
                  <c:v>2015</c:v>
                </c:pt>
                <c:pt idx="19">
                  <c:v>2016</c:v>
                </c:pt>
                <c:pt idx="20">
                  <c:v>2017</c:v>
                </c:pt>
                <c:pt idx="21">
                  <c:v>2018</c:v>
                </c:pt>
                <c:pt idx="22">
                  <c:v>2019</c:v>
                </c:pt>
                <c:pt idx="23">
                  <c:v>2020</c:v>
                </c:pt>
                <c:pt idx="24">
                  <c:v>2021</c:v>
                </c:pt>
              </c:numCache>
            </c:numRef>
          </c:cat>
          <c:val>
            <c:numRef>
              <c:f>'Eignir '!$U$3:$U$27</c:f>
              <c:numCache>
                <c:formatCode>0.0%</c:formatCode>
                <c:ptCount val="25"/>
                <c:pt idx="0">
                  <c:v>5.7499999999999996E-2</c:v>
                </c:pt>
                <c:pt idx="1">
                  <c:v>0.05</c:v>
                </c:pt>
                <c:pt idx="2">
                  <c:v>0.06</c:v>
                </c:pt>
                <c:pt idx="3">
                  <c:v>-0.04</c:v>
                </c:pt>
                <c:pt idx="4">
                  <c:v>-0.05</c:v>
                </c:pt>
                <c:pt idx="5">
                  <c:v>-0.04</c:v>
                </c:pt>
                <c:pt idx="6">
                  <c:v>8.7499999999999994E-2</c:v>
                </c:pt>
                <c:pt idx="7">
                  <c:v>0.06</c:v>
                </c:pt>
                <c:pt idx="8">
                  <c:v>0.06</c:v>
                </c:pt>
                <c:pt idx="9">
                  <c:v>6.25E-2</c:v>
                </c:pt>
                <c:pt idx="10">
                  <c:v>-5.4000000000000003E-3</c:v>
                </c:pt>
                <c:pt idx="11">
                  <c:v>-0.26715</c:v>
                </c:pt>
                <c:pt idx="12">
                  <c:v>-1.38E-2</c:v>
                </c:pt>
                <c:pt idx="13">
                  <c:v>1.6649999999999998E-2</c:v>
                </c:pt>
                <c:pt idx="14">
                  <c:v>1.0000000000000002E-2</c:v>
                </c:pt>
                <c:pt idx="15">
                  <c:v>3.5500000000000004E-2</c:v>
                </c:pt>
                <c:pt idx="16">
                  <c:v>4.5999999999999999E-2</c:v>
                </c:pt>
                <c:pt idx="17">
                  <c:v>4.9000000000000002E-2</c:v>
                </c:pt>
                <c:pt idx="18">
                  <c:v>6.6500000000000004E-2</c:v>
                </c:pt>
                <c:pt idx="19">
                  <c:v>-1.3000000000000001E-2</c:v>
                </c:pt>
                <c:pt idx="20">
                  <c:v>4.4249999999999998E-2</c:v>
                </c:pt>
                <c:pt idx="21">
                  <c:v>1.35E-2</c:v>
                </c:pt>
                <c:pt idx="22">
                  <c:v>0.09</c:v>
                </c:pt>
                <c:pt idx="23">
                  <c:v>7.8649999999999998E-2</c:v>
                </c:pt>
                <c:pt idx="24">
                  <c:v>8.030000000000001E-2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0E4-CE4C-BDAB-1896EE6304FD}"/>
            </c:ext>
          </c:extLst>
        </c:ser>
        <c:ser>
          <c:idx val="2"/>
          <c:order val="2"/>
          <c:tx>
            <c:strRef>
              <c:f>'Eignir '!$V$2</c:f>
              <c:strCache>
                <c:ptCount val="1"/>
                <c:pt idx="0">
                  <c:v>mid ávöxtun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6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numRef>
              <c:f>'Eignir '!$N$3:$N$27</c:f>
              <c:numCache>
                <c:formatCode>General</c:formatCode>
                <c:ptCount val="25"/>
                <c:pt idx="0">
                  <c:v>1997</c:v>
                </c:pt>
                <c:pt idx="1">
                  <c:v>1998</c:v>
                </c:pt>
                <c:pt idx="2">
                  <c:v>1999</c:v>
                </c:pt>
                <c:pt idx="3">
                  <c:v>2000</c:v>
                </c:pt>
                <c:pt idx="4">
                  <c:v>2001</c:v>
                </c:pt>
                <c:pt idx="5">
                  <c:v>2002</c:v>
                </c:pt>
                <c:pt idx="6">
                  <c:v>2003</c:v>
                </c:pt>
                <c:pt idx="7">
                  <c:v>2004</c:v>
                </c:pt>
                <c:pt idx="8">
                  <c:v>2005</c:v>
                </c:pt>
                <c:pt idx="9">
                  <c:v>2006</c:v>
                </c:pt>
                <c:pt idx="10">
                  <c:v>2007</c:v>
                </c:pt>
                <c:pt idx="11">
                  <c:v>2008</c:v>
                </c:pt>
                <c:pt idx="12">
                  <c:v>2009</c:v>
                </c:pt>
                <c:pt idx="13">
                  <c:v>2010</c:v>
                </c:pt>
                <c:pt idx="14">
                  <c:v>2011</c:v>
                </c:pt>
                <c:pt idx="15">
                  <c:v>2012</c:v>
                </c:pt>
                <c:pt idx="16">
                  <c:v>2013</c:v>
                </c:pt>
                <c:pt idx="17">
                  <c:v>2014</c:v>
                </c:pt>
                <c:pt idx="18">
                  <c:v>2015</c:v>
                </c:pt>
                <c:pt idx="19">
                  <c:v>2016</c:v>
                </c:pt>
                <c:pt idx="20">
                  <c:v>2017</c:v>
                </c:pt>
                <c:pt idx="21">
                  <c:v>2018</c:v>
                </c:pt>
                <c:pt idx="22">
                  <c:v>2019</c:v>
                </c:pt>
                <c:pt idx="23">
                  <c:v>2020</c:v>
                </c:pt>
                <c:pt idx="24">
                  <c:v>2021</c:v>
                </c:pt>
              </c:numCache>
            </c:numRef>
          </c:cat>
          <c:val>
            <c:numRef>
              <c:f>'Eignir '!$V$3:$V$27</c:f>
              <c:numCache>
                <c:formatCode>0.0%</c:formatCode>
                <c:ptCount val="25"/>
                <c:pt idx="0">
                  <c:v>0.06</c:v>
                </c:pt>
                <c:pt idx="1">
                  <c:v>7.0000000000000007E-2</c:v>
                </c:pt>
                <c:pt idx="2">
                  <c:v>0.08</c:v>
                </c:pt>
                <c:pt idx="3">
                  <c:v>-5.0000000000000001E-3</c:v>
                </c:pt>
                <c:pt idx="4">
                  <c:v>-0.02</c:v>
                </c:pt>
                <c:pt idx="5">
                  <c:v>-0.02</c:v>
                </c:pt>
                <c:pt idx="6">
                  <c:v>0.1</c:v>
                </c:pt>
                <c:pt idx="7">
                  <c:v>0.09</c:v>
                </c:pt>
                <c:pt idx="8">
                  <c:v>0.1</c:v>
                </c:pt>
                <c:pt idx="9">
                  <c:v>8.6500000000000007E-2</c:v>
                </c:pt>
                <c:pt idx="10">
                  <c:v>1.0500000000000001E-2</c:v>
                </c:pt>
                <c:pt idx="11">
                  <c:v>-0.20620000000000002</c:v>
                </c:pt>
                <c:pt idx="12">
                  <c:v>9.4000000000000004E-3</c:v>
                </c:pt>
                <c:pt idx="13">
                  <c:v>3.2500000000000001E-2</c:v>
                </c:pt>
                <c:pt idx="14">
                  <c:v>2.3E-2</c:v>
                </c:pt>
                <c:pt idx="15">
                  <c:v>5.9499999999999997E-2</c:v>
                </c:pt>
                <c:pt idx="16">
                  <c:v>5.7000000000000002E-2</c:v>
                </c:pt>
                <c:pt idx="17">
                  <c:v>6.2000000000000006E-2</c:v>
                </c:pt>
                <c:pt idx="18">
                  <c:v>8.299999999999999E-2</c:v>
                </c:pt>
                <c:pt idx="19">
                  <c:v>-5.0000000000000001E-4</c:v>
                </c:pt>
                <c:pt idx="20">
                  <c:v>5.2999999999999999E-2</c:v>
                </c:pt>
                <c:pt idx="21">
                  <c:v>2.2000000000000002E-2</c:v>
                </c:pt>
                <c:pt idx="22">
                  <c:v>0.10189999999999999</c:v>
                </c:pt>
                <c:pt idx="23">
                  <c:v>8.8900000000000007E-2</c:v>
                </c:pt>
                <c:pt idx="24">
                  <c:v>0.11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0E4-CE4C-BDAB-1896EE6304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lt1"/>
              </a:solidFill>
              <a:round/>
            </a:ln>
            <a:effectLst/>
          </c:spPr>
        </c:hiLowLines>
        <c:axId val="929066847"/>
        <c:axId val="418767391"/>
      </c:stockChart>
      <c:catAx>
        <c:axId val="9290668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S"/>
          </a:p>
        </c:txPr>
        <c:crossAx val="418767391"/>
        <c:crosses val="autoZero"/>
        <c:auto val="1"/>
        <c:lblAlgn val="ctr"/>
        <c:lblOffset val="100"/>
        <c:noMultiLvlLbl val="0"/>
      </c:catAx>
      <c:valAx>
        <c:axId val="418767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S"/>
          </a:p>
        </c:txPr>
        <c:crossAx val="9290668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I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I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copy!$P$2</c:f>
              <c:strCache>
                <c:ptCount val="1"/>
                <c:pt idx="0">
                  <c:v>Vigtað meðaltak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copy!$N$3:$N$27</c:f>
              <c:numCache>
                <c:formatCode>General</c:formatCode>
                <c:ptCount val="25"/>
                <c:pt idx="0">
                  <c:v>1997</c:v>
                </c:pt>
                <c:pt idx="1">
                  <c:v>1998</c:v>
                </c:pt>
                <c:pt idx="2">
                  <c:v>1999</c:v>
                </c:pt>
                <c:pt idx="3">
                  <c:v>2000</c:v>
                </c:pt>
                <c:pt idx="4">
                  <c:v>2001</c:v>
                </c:pt>
                <c:pt idx="5">
                  <c:v>2002</c:v>
                </c:pt>
                <c:pt idx="6">
                  <c:v>2003</c:v>
                </c:pt>
                <c:pt idx="7">
                  <c:v>2004</c:v>
                </c:pt>
                <c:pt idx="8">
                  <c:v>2005</c:v>
                </c:pt>
                <c:pt idx="9">
                  <c:v>2006</c:v>
                </c:pt>
                <c:pt idx="10">
                  <c:v>2007</c:v>
                </c:pt>
                <c:pt idx="11">
                  <c:v>2008</c:v>
                </c:pt>
                <c:pt idx="12">
                  <c:v>2009</c:v>
                </c:pt>
                <c:pt idx="13">
                  <c:v>2010</c:v>
                </c:pt>
                <c:pt idx="14">
                  <c:v>2011</c:v>
                </c:pt>
                <c:pt idx="15">
                  <c:v>2012</c:v>
                </c:pt>
                <c:pt idx="16">
                  <c:v>2013</c:v>
                </c:pt>
                <c:pt idx="17">
                  <c:v>2014</c:v>
                </c:pt>
                <c:pt idx="18">
                  <c:v>2015</c:v>
                </c:pt>
                <c:pt idx="19">
                  <c:v>2016</c:v>
                </c:pt>
                <c:pt idx="20">
                  <c:v>2017</c:v>
                </c:pt>
                <c:pt idx="21">
                  <c:v>2018</c:v>
                </c:pt>
                <c:pt idx="22">
                  <c:v>2019</c:v>
                </c:pt>
                <c:pt idx="23">
                  <c:v>2020</c:v>
                </c:pt>
                <c:pt idx="24">
                  <c:v>2021</c:v>
                </c:pt>
              </c:numCache>
            </c:numRef>
          </c:cat>
          <c:val>
            <c:numRef>
              <c:f>copy!$P$3:$P$27</c:f>
              <c:numCache>
                <c:formatCode>General</c:formatCode>
                <c:ptCount val="25"/>
                <c:pt idx="0">
                  <c:v>100</c:v>
                </c:pt>
                <c:pt idx="1">
                  <c:v>106.95001927823813</c:v>
                </c:pt>
                <c:pt idx="2">
                  <c:v>119.85237726478729</c:v>
                </c:pt>
                <c:pt idx="3">
                  <c:v>120.01272718520909</c:v>
                </c:pt>
                <c:pt idx="4">
                  <c:v>116.56384907269828</c:v>
                </c:pt>
                <c:pt idx="5">
                  <c:v>115.32866869210416</c:v>
                </c:pt>
                <c:pt idx="6">
                  <c:v>133.83281067322866</c:v>
                </c:pt>
                <c:pt idx="7">
                  <c:v>152.58839074372759</c:v>
                </c:pt>
                <c:pt idx="8">
                  <c:v>180.36986964390127</c:v>
                </c:pt>
                <c:pt idx="9">
                  <c:v>206.34771607465271</c:v>
                </c:pt>
                <c:pt idx="10">
                  <c:v>207.65019104512325</c:v>
                </c:pt>
                <c:pt idx="11">
                  <c:v>149.92570824031699</c:v>
                </c:pt>
                <c:pt idx="12">
                  <c:v>151.03990086149054</c:v>
                </c:pt>
                <c:pt idx="13">
                  <c:v>155.27867466786884</c:v>
                </c:pt>
                <c:pt idx="14">
                  <c:v>159.7275971906316</c:v>
                </c:pt>
                <c:pt idx="15">
                  <c:v>175.37034858972871</c:v>
                </c:pt>
                <c:pt idx="16">
                  <c:v>188.55924206529971</c:v>
                </c:pt>
                <c:pt idx="17">
                  <c:v>207.73332826322718</c:v>
                </c:pt>
                <c:pt idx="18">
                  <c:v>228.47278470522431</c:v>
                </c:pt>
                <c:pt idx="19">
                  <c:v>228.19948844158495</c:v>
                </c:pt>
                <c:pt idx="20">
                  <c:v>246.24805946650574</c:v>
                </c:pt>
                <c:pt idx="21">
                  <c:v>254.38319269738213</c:v>
                </c:pt>
                <c:pt idx="22">
                  <c:v>295.43756181170642</c:v>
                </c:pt>
                <c:pt idx="23">
                  <c:v>335.78371722621171</c:v>
                </c:pt>
                <c:pt idx="24">
                  <c:v>384.81335018606484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8F-6C42-9766-0E315D2CA921}"/>
            </c:ext>
          </c:extLst>
        </c:ser>
        <c:ser>
          <c:idx val="1"/>
          <c:order val="1"/>
          <c:tx>
            <c:strRef>
              <c:f>copy!$Q$2</c:f>
              <c:strCache>
                <c:ptCount val="1"/>
                <c:pt idx="0">
                  <c:v>upper quart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copy!$N$3:$N$27</c:f>
              <c:numCache>
                <c:formatCode>General</c:formatCode>
                <c:ptCount val="25"/>
                <c:pt idx="0">
                  <c:v>1997</c:v>
                </c:pt>
                <c:pt idx="1">
                  <c:v>1998</c:v>
                </c:pt>
                <c:pt idx="2">
                  <c:v>1999</c:v>
                </c:pt>
                <c:pt idx="3">
                  <c:v>2000</c:v>
                </c:pt>
                <c:pt idx="4">
                  <c:v>2001</c:v>
                </c:pt>
                <c:pt idx="5">
                  <c:v>2002</c:v>
                </c:pt>
                <c:pt idx="6">
                  <c:v>2003</c:v>
                </c:pt>
                <c:pt idx="7">
                  <c:v>2004</c:v>
                </c:pt>
                <c:pt idx="8">
                  <c:v>2005</c:v>
                </c:pt>
                <c:pt idx="9">
                  <c:v>2006</c:v>
                </c:pt>
                <c:pt idx="10">
                  <c:v>2007</c:v>
                </c:pt>
                <c:pt idx="11">
                  <c:v>2008</c:v>
                </c:pt>
                <c:pt idx="12">
                  <c:v>2009</c:v>
                </c:pt>
                <c:pt idx="13">
                  <c:v>2010</c:v>
                </c:pt>
                <c:pt idx="14">
                  <c:v>2011</c:v>
                </c:pt>
                <c:pt idx="15">
                  <c:v>2012</c:v>
                </c:pt>
                <c:pt idx="16">
                  <c:v>2013</c:v>
                </c:pt>
                <c:pt idx="17">
                  <c:v>2014</c:v>
                </c:pt>
                <c:pt idx="18">
                  <c:v>2015</c:v>
                </c:pt>
                <c:pt idx="19">
                  <c:v>2016</c:v>
                </c:pt>
                <c:pt idx="20">
                  <c:v>2017</c:v>
                </c:pt>
                <c:pt idx="21">
                  <c:v>2018</c:v>
                </c:pt>
                <c:pt idx="22">
                  <c:v>2019</c:v>
                </c:pt>
                <c:pt idx="23">
                  <c:v>2020</c:v>
                </c:pt>
                <c:pt idx="24">
                  <c:v>2021</c:v>
                </c:pt>
              </c:numCache>
            </c:numRef>
          </c:cat>
          <c:val>
            <c:numRef>
              <c:f>copy!$Q$3:$Q$27</c:f>
              <c:numCache>
                <c:formatCode>_-* #,##0.00_-;\-* #,##0.00_-;_-* "-"_-;_-@_-</c:formatCode>
                <c:ptCount val="25"/>
                <c:pt idx="0">
                  <c:v>100</c:v>
                </c:pt>
                <c:pt idx="1">
                  <c:v>108</c:v>
                </c:pt>
                <c:pt idx="2">
                  <c:v>120.1525</c:v>
                </c:pt>
                <c:pt idx="3">
                  <c:v>120.163875</c:v>
                </c:pt>
                <c:pt idx="4">
                  <c:v>119.90281500000002</c:v>
                </c:pt>
                <c:pt idx="5">
                  <c:v>121.21959024</c:v>
                </c:pt>
                <c:pt idx="6">
                  <c:v>133.54660440000004</c:v>
                </c:pt>
                <c:pt idx="7">
                  <c:v>147.83938784208001</c:v>
                </c:pt>
                <c:pt idx="8">
                  <c:v>165.27713475366727</c:v>
                </c:pt>
                <c:pt idx="9">
                  <c:v>196.5768222122783</c:v>
                </c:pt>
                <c:pt idx="10">
                  <c:v>205.38891904231272</c:v>
                </c:pt>
                <c:pt idx="11">
                  <c:v>158.79891212672376</c:v>
                </c:pt>
                <c:pt idx="12">
                  <c:v>163.16101508159991</c:v>
                </c:pt>
                <c:pt idx="13">
                  <c:v>166.5873963983135</c:v>
                </c:pt>
                <c:pt idx="14">
                  <c:v>169.58596953348314</c:v>
                </c:pt>
                <c:pt idx="15">
                  <c:v>180.52554986248393</c:v>
                </c:pt>
                <c:pt idx="16">
                  <c:v>188.97568527637861</c:v>
                </c:pt>
                <c:pt idx="17">
                  <c:v>205.04386665219204</c:v>
                </c:pt>
                <c:pt idx="18">
                  <c:v>223.00086245684696</c:v>
                </c:pt>
                <c:pt idx="19">
                  <c:v>228.19948844158495</c:v>
                </c:pt>
                <c:pt idx="20">
                  <c:v>243.02932637209756</c:v>
                </c:pt>
                <c:pt idx="21">
                  <c:v>251.29911387784568</c:v>
                </c:pt>
                <c:pt idx="22">
                  <c:v>271.30687598604163</c:v>
                </c:pt>
                <c:pt idx="23">
                  <c:v>295.65196748258404</c:v>
                </c:pt>
                <c:pt idx="24">
                  <c:v>340.55291925175374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78F-6C42-9766-0E315D2CA921}"/>
            </c:ext>
          </c:extLst>
        </c:ser>
        <c:ser>
          <c:idx val="2"/>
          <c:order val="2"/>
          <c:tx>
            <c:strRef>
              <c:f>copy!$R$2</c:f>
              <c:strCache>
                <c:ptCount val="1"/>
                <c:pt idx="0">
                  <c:v>lower quart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copy!$N$3:$N$27</c:f>
              <c:numCache>
                <c:formatCode>General</c:formatCode>
                <c:ptCount val="25"/>
                <c:pt idx="0">
                  <c:v>1997</c:v>
                </c:pt>
                <c:pt idx="1">
                  <c:v>1998</c:v>
                </c:pt>
                <c:pt idx="2">
                  <c:v>1999</c:v>
                </c:pt>
                <c:pt idx="3">
                  <c:v>2000</c:v>
                </c:pt>
                <c:pt idx="4">
                  <c:v>2001</c:v>
                </c:pt>
                <c:pt idx="5">
                  <c:v>2002</c:v>
                </c:pt>
                <c:pt idx="6">
                  <c:v>2003</c:v>
                </c:pt>
                <c:pt idx="7">
                  <c:v>2004</c:v>
                </c:pt>
                <c:pt idx="8">
                  <c:v>2005</c:v>
                </c:pt>
                <c:pt idx="9">
                  <c:v>2006</c:v>
                </c:pt>
                <c:pt idx="10">
                  <c:v>2007</c:v>
                </c:pt>
                <c:pt idx="11">
                  <c:v>2008</c:v>
                </c:pt>
                <c:pt idx="12">
                  <c:v>2009</c:v>
                </c:pt>
                <c:pt idx="13">
                  <c:v>2010</c:v>
                </c:pt>
                <c:pt idx="14">
                  <c:v>2011</c:v>
                </c:pt>
                <c:pt idx="15">
                  <c:v>2012</c:v>
                </c:pt>
                <c:pt idx="16">
                  <c:v>2013</c:v>
                </c:pt>
                <c:pt idx="17">
                  <c:v>2014</c:v>
                </c:pt>
                <c:pt idx="18">
                  <c:v>2015</c:v>
                </c:pt>
                <c:pt idx="19">
                  <c:v>2016</c:v>
                </c:pt>
                <c:pt idx="20">
                  <c:v>2017</c:v>
                </c:pt>
                <c:pt idx="21">
                  <c:v>2018</c:v>
                </c:pt>
                <c:pt idx="22">
                  <c:v>2019</c:v>
                </c:pt>
                <c:pt idx="23">
                  <c:v>2020</c:v>
                </c:pt>
                <c:pt idx="24">
                  <c:v>2021</c:v>
                </c:pt>
              </c:numCache>
            </c:numRef>
          </c:cat>
          <c:val>
            <c:numRef>
              <c:f>copy!$R$3:$R$27</c:f>
              <c:numCache>
                <c:formatCode>_-* #,##0.00_-;\-* #,##0.00_-;_-* "-"_-;_-@_-</c:formatCode>
                <c:ptCount val="25"/>
                <c:pt idx="0">
                  <c:v>100</c:v>
                </c:pt>
                <c:pt idx="1">
                  <c:v>106</c:v>
                </c:pt>
                <c:pt idx="2">
                  <c:v>113.42</c:v>
                </c:pt>
                <c:pt idx="3">
                  <c:v>111.80005284362433</c:v>
                </c:pt>
                <c:pt idx="4">
                  <c:v>107.82923200000002</c:v>
                </c:pt>
                <c:pt idx="5">
                  <c:v>104.8185231892591</c:v>
                </c:pt>
                <c:pt idx="6">
                  <c:v>115.27088135595633</c:v>
                </c:pt>
                <c:pt idx="7">
                  <c:v>124.59035160187202</c:v>
                </c:pt>
                <c:pt idx="8">
                  <c:v>133.91482719352152</c:v>
                </c:pt>
                <c:pt idx="9">
                  <c:v>147.80393190230856</c:v>
                </c:pt>
                <c:pt idx="10">
                  <c:v>151.86175840697268</c:v>
                </c:pt>
                <c:pt idx="11">
                  <c:v>125.34037802907883</c:v>
                </c:pt>
                <c:pt idx="12">
                  <c:v>126.17360227714411</c:v>
                </c:pt>
                <c:pt idx="13">
                  <c:v>131.76014392175551</c:v>
                </c:pt>
                <c:pt idx="14">
                  <c:v>133.93004057472103</c:v>
                </c:pt>
                <c:pt idx="15">
                  <c:v>138.35444280646971</c:v>
                </c:pt>
                <c:pt idx="16">
                  <c:v>149.9287500077252</c:v>
                </c:pt>
                <c:pt idx="17">
                  <c:v>161.89476057240353</c:v>
                </c:pt>
                <c:pt idx="18">
                  <c:v>175.06432948465076</c:v>
                </c:pt>
                <c:pt idx="19">
                  <c:v>174.49555851225074</c:v>
                </c:pt>
                <c:pt idx="20">
                  <c:v>186.14728210918099</c:v>
                </c:pt>
                <c:pt idx="21">
                  <c:v>183.98596248890141</c:v>
                </c:pt>
                <c:pt idx="22">
                  <c:v>200.89997585694681</c:v>
                </c:pt>
                <c:pt idx="23">
                  <c:v>216.91721443964892</c:v>
                </c:pt>
                <c:pt idx="24">
                  <c:v>236.76009014095874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78F-6C42-9766-0E315D2CA921}"/>
            </c:ext>
          </c:extLst>
        </c:ser>
        <c:ser>
          <c:idx val="3"/>
          <c:order val="3"/>
          <c:tx>
            <c:strRef>
              <c:f>copy!$S$2</c:f>
              <c:strCache>
                <c:ptCount val="1"/>
                <c:pt idx="0">
                  <c:v>mid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copy!$N$3:$N$27</c:f>
              <c:numCache>
                <c:formatCode>General</c:formatCode>
                <c:ptCount val="25"/>
                <c:pt idx="0">
                  <c:v>1997</c:v>
                </c:pt>
                <c:pt idx="1">
                  <c:v>1998</c:v>
                </c:pt>
                <c:pt idx="2">
                  <c:v>1999</c:v>
                </c:pt>
                <c:pt idx="3">
                  <c:v>2000</c:v>
                </c:pt>
                <c:pt idx="4">
                  <c:v>2001</c:v>
                </c:pt>
                <c:pt idx="5">
                  <c:v>2002</c:v>
                </c:pt>
                <c:pt idx="6">
                  <c:v>2003</c:v>
                </c:pt>
                <c:pt idx="7">
                  <c:v>2004</c:v>
                </c:pt>
                <c:pt idx="8">
                  <c:v>2005</c:v>
                </c:pt>
                <c:pt idx="9">
                  <c:v>2006</c:v>
                </c:pt>
                <c:pt idx="10">
                  <c:v>2007</c:v>
                </c:pt>
                <c:pt idx="11">
                  <c:v>2008</c:v>
                </c:pt>
                <c:pt idx="12">
                  <c:v>2009</c:v>
                </c:pt>
                <c:pt idx="13">
                  <c:v>2010</c:v>
                </c:pt>
                <c:pt idx="14">
                  <c:v>2011</c:v>
                </c:pt>
                <c:pt idx="15">
                  <c:v>2012</c:v>
                </c:pt>
                <c:pt idx="16">
                  <c:v>2013</c:v>
                </c:pt>
                <c:pt idx="17">
                  <c:v>2014</c:v>
                </c:pt>
                <c:pt idx="18">
                  <c:v>2015</c:v>
                </c:pt>
                <c:pt idx="19">
                  <c:v>2016</c:v>
                </c:pt>
                <c:pt idx="20">
                  <c:v>2017</c:v>
                </c:pt>
                <c:pt idx="21">
                  <c:v>2018</c:v>
                </c:pt>
                <c:pt idx="22">
                  <c:v>2019</c:v>
                </c:pt>
                <c:pt idx="23">
                  <c:v>2020</c:v>
                </c:pt>
                <c:pt idx="24">
                  <c:v>2021</c:v>
                </c:pt>
              </c:numCache>
            </c:numRef>
          </c:cat>
          <c:val>
            <c:numRef>
              <c:f>copy!$S$3:$S$27</c:f>
              <c:numCache>
                <c:formatCode>_-* #,##0.00_-;\-* #,##0.00_-;_-* "-"_-;_-@_-</c:formatCode>
                <c:ptCount val="25"/>
                <c:pt idx="0">
                  <c:v>100</c:v>
                </c:pt>
                <c:pt idx="1">
                  <c:v>107</c:v>
                </c:pt>
                <c:pt idx="2">
                  <c:v>116.63500000000002</c:v>
                </c:pt>
                <c:pt idx="3">
                  <c:v>117.64915000000002</c:v>
                </c:pt>
                <c:pt idx="4">
                  <c:v>113.34905040876623</c:v>
                </c:pt>
                <c:pt idx="5">
                  <c:v>111.99430655999998</c:v>
                </c:pt>
                <c:pt idx="6">
                  <c:v>125.36712871200002</c:v>
                </c:pt>
                <c:pt idx="7">
                  <c:v>139.87841510250001</c:v>
                </c:pt>
                <c:pt idx="8">
                  <c:v>153.05068942551361</c:v>
                </c:pt>
                <c:pt idx="9">
                  <c:v>171.28070015881707</c:v>
                </c:pt>
                <c:pt idx="10">
                  <c:v>174.93423311804446</c:v>
                </c:pt>
                <c:pt idx="11">
                  <c:v>145.17043265813277</c:v>
                </c:pt>
                <c:pt idx="12">
                  <c:v>145.00243708658999</c:v>
                </c:pt>
                <c:pt idx="13">
                  <c:v>148.64519973231953</c:v>
                </c:pt>
                <c:pt idx="14">
                  <c:v>151.47112929071335</c:v>
                </c:pt>
                <c:pt idx="15">
                  <c:v>161.06051393006487</c:v>
                </c:pt>
                <c:pt idx="16">
                  <c:v>171.14253338056901</c:v>
                </c:pt>
                <c:pt idx="17">
                  <c:v>185.46606088510737</c:v>
                </c:pt>
                <c:pt idx="18">
                  <c:v>200.82361467659973</c:v>
                </c:pt>
                <c:pt idx="19">
                  <c:v>207.20871647622775</c:v>
                </c:pt>
                <c:pt idx="20">
                  <c:v>218.51653498584605</c:v>
                </c:pt>
                <c:pt idx="21">
                  <c:v>234.30585926234522</c:v>
                </c:pt>
                <c:pt idx="22">
                  <c:v>259.22534110725985</c:v>
                </c:pt>
                <c:pt idx="23">
                  <c:v>282.90510250132445</c:v>
                </c:pt>
                <c:pt idx="24">
                  <c:v>314.6081869631048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78F-6C42-9766-0E315D2CA9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28083039"/>
        <c:axId val="1561498672"/>
      </c:lineChart>
      <c:catAx>
        <c:axId val="20280830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S"/>
          </a:p>
        </c:txPr>
        <c:crossAx val="1561498672"/>
        <c:crosses val="autoZero"/>
        <c:auto val="1"/>
        <c:lblAlgn val="ctr"/>
        <c:lblOffset val="100"/>
        <c:noMultiLvlLbl val="0"/>
      </c:catAx>
      <c:valAx>
        <c:axId val="1561498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S"/>
          </a:p>
        </c:txPr>
        <c:crossAx val="20280830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'Eignir  new vísitala'!$P$2</c:f>
              <c:strCache>
                <c:ptCount val="1"/>
                <c:pt idx="0">
                  <c:v>Vigtað meðaltak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'Eignir  new vísitala'!$N$3:$N$27</c:f>
              <c:numCache>
                <c:formatCode>General</c:formatCode>
                <c:ptCount val="25"/>
                <c:pt idx="0">
                  <c:v>1997</c:v>
                </c:pt>
                <c:pt idx="1">
                  <c:v>1998</c:v>
                </c:pt>
                <c:pt idx="2">
                  <c:v>1999</c:v>
                </c:pt>
                <c:pt idx="3">
                  <c:v>2000</c:v>
                </c:pt>
                <c:pt idx="4">
                  <c:v>2001</c:v>
                </c:pt>
                <c:pt idx="5">
                  <c:v>2002</c:v>
                </c:pt>
                <c:pt idx="6">
                  <c:v>2003</c:v>
                </c:pt>
                <c:pt idx="7">
                  <c:v>2004</c:v>
                </c:pt>
                <c:pt idx="8">
                  <c:v>2005</c:v>
                </c:pt>
                <c:pt idx="9">
                  <c:v>2006</c:v>
                </c:pt>
                <c:pt idx="10">
                  <c:v>2007</c:v>
                </c:pt>
                <c:pt idx="11">
                  <c:v>2008</c:v>
                </c:pt>
                <c:pt idx="12">
                  <c:v>2009</c:v>
                </c:pt>
                <c:pt idx="13">
                  <c:v>2010</c:v>
                </c:pt>
                <c:pt idx="14">
                  <c:v>2011</c:v>
                </c:pt>
                <c:pt idx="15">
                  <c:v>2012</c:v>
                </c:pt>
                <c:pt idx="16">
                  <c:v>2013</c:v>
                </c:pt>
                <c:pt idx="17">
                  <c:v>2014</c:v>
                </c:pt>
                <c:pt idx="18">
                  <c:v>2015</c:v>
                </c:pt>
                <c:pt idx="19">
                  <c:v>2016</c:v>
                </c:pt>
                <c:pt idx="20">
                  <c:v>2017</c:v>
                </c:pt>
                <c:pt idx="21">
                  <c:v>2018</c:v>
                </c:pt>
                <c:pt idx="22">
                  <c:v>2019</c:v>
                </c:pt>
                <c:pt idx="23">
                  <c:v>2020</c:v>
                </c:pt>
                <c:pt idx="24">
                  <c:v>2021</c:v>
                </c:pt>
              </c:numCache>
            </c:numRef>
          </c:cat>
          <c:val>
            <c:numRef>
              <c:f>'Eignir  new vísitala'!$P$3:$P$27</c:f>
              <c:numCache>
                <c:formatCode>General</c:formatCode>
                <c:ptCount val="25"/>
                <c:pt idx="0">
                  <c:v>100</c:v>
                </c:pt>
                <c:pt idx="1">
                  <c:v>107.11186565673697</c:v>
                </c:pt>
                <c:pt idx="2">
                  <c:v>120.02032965757705</c:v>
                </c:pt>
                <c:pt idx="3">
                  <c:v>120.3074548584991</c:v>
                </c:pt>
                <c:pt idx="4">
                  <c:v>117.02905320637328</c:v>
                </c:pt>
                <c:pt idx="5">
                  <c:v>115.4242366788973</c:v>
                </c:pt>
                <c:pt idx="6">
                  <c:v>133.19193086756502</c:v>
                </c:pt>
                <c:pt idx="7">
                  <c:v>151.41869599209861</c:v>
                </c:pt>
                <c:pt idx="8">
                  <c:v>178.42564385767122</c:v>
                </c:pt>
                <c:pt idx="9">
                  <c:v>203.57786186085158</c:v>
                </c:pt>
                <c:pt idx="10">
                  <c:v>205.00759198272704</c:v>
                </c:pt>
                <c:pt idx="11">
                  <c:v>149.30167756069062</c:v>
                </c:pt>
                <c:pt idx="12">
                  <c:v>150.51853876051084</c:v>
                </c:pt>
                <c:pt idx="13">
                  <c:v>154.91665471463926</c:v>
                </c:pt>
                <c:pt idx="14">
                  <c:v>159.33570375387797</c:v>
                </c:pt>
                <c:pt idx="15">
                  <c:v>174.5576659960002</c:v>
                </c:pt>
                <c:pt idx="16">
                  <c:v>187.28241366519237</c:v>
                </c:pt>
                <c:pt idx="17">
                  <c:v>205.80440874766308</c:v>
                </c:pt>
                <c:pt idx="18">
                  <c:v>226.43644916345775</c:v>
                </c:pt>
                <c:pt idx="19">
                  <c:v>225.71206190614538</c:v>
                </c:pt>
                <c:pt idx="20">
                  <c:v>242.64823525681354</c:v>
                </c:pt>
                <c:pt idx="21">
                  <c:v>249.64057795317868</c:v>
                </c:pt>
                <c:pt idx="22">
                  <c:v>289.67114949928572</c:v>
                </c:pt>
                <c:pt idx="23">
                  <c:v>327.63113240491583</c:v>
                </c:pt>
                <c:pt idx="24">
                  <c:v>373.49220369496425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9F-1C48-ABAE-172104D34663}"/>
            </c:ext>
          </c:extLst>
        </c:ser>
        <c:ser>
          <c:idx val="1"/>
          <c:order val="1"/>
          <c:tx>
            <c:strRef>
              <c:f>'Eignir  new vísitala'!$Q$2</c:f>
              <c:strCache>
                <c:ptCount val="1"/>
                <c:pt idx="0">
                  <c:v>upper quart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'Eignir  new vísitala'!$N$3:$N$27</c:f>
              <c:numCache>
                <c:formatCode>General</c:formatCode>
                <c:ptCount val="25"/>
                <c:pt idx="0">
                  <c:v>1997</c:v>
                </c:pt>
                <c:pt idx="1">
                  <c:v>1998</c:v>
                </c:pt>
                <c:pt idx="2">
                  <c:v>1999</c:v>
                </c:pt>
                <c:pt idx="3">
                  <c:v>2000</c:v>
                </c:pt>
                <c:pt idx="4">
                  <c:v>2001</c:v>
                </c:pt>
                <c:pt idx="5">
                  <c:v>2002</c:v>
                </c:pt>
                <c:pt idx="6">
                  <c:v>2003</c:v>
                </c:pt>
                <c:pt idx="7">
                  <c:v>2004</c:v>
                </c:pt>
                <c:pt idx="8">
                  <c:v>2005</c:v>
                </c:pt>
                <c:pt idx="9">
                  <c:v>2006</c:v>
                </c:pt>
                <c:pt idx="10">
                  <c:v>2007</c:v>
                </c:pt>
                <c:pt idx="11">
                  <c:v>2008</c:v>
                </c:pt>
                <c:pt idx="12">
                  <c:v>2009</c:v>
                </c:pt>
                <c:pt idx="13">
                  <c:v>2010</c:v>
                </c:pt>
                <c:pt idx="14">
                  <c:v>2011</c:v>
                </c:pt>
                <c:pt idx="15">
                  <c:v>2012</c:v>
                </c:pt>
                <c:pt idx="16">
                  <c:v>2013</c:v>
                </c:pt>
                <c:pt idx="17">
                  <c:v>2014</c:v>
                </c:pt>
                <c:pt idx="18">
                  <c:v>2015</c:v>
                </c:pt>
                <c:pt idx="19">
                  <c:v>2016</c:v>
                </c:pt>
                <c:pt idx="20">
                  <c:v>2017</c:v>
                </c:pt>
                <c:pt idx="21">
                  <c:v>2018</c:v>
                </c:pt>
                <c:pt idx="22">
                  <c:v>2019</c:v>
                </c:pt>
                <c:pt idx="23">
                  <c:v>2020</c:v>
                </c:pt>
                <c:pt idx="24">
                  <c:v>2021</c:v>
                </c:pt>
              </c:numCache>
            </c:numRef>
          </c:cat>
          <c:val>
            <c:numRef>
              <c:f>'Eignir  new vísitala'!$Q$3:$Q$27</c:f>
              <c:numCache>
                <c:formatCode>_-* #,##0.00_-;\-* #,##0.00_-;_-* "-"_-;_-@_-</c:formatCode>
                <c:ptCount val="25"/>
                <c:pt idx="0">
                  <c:v>100</c:v>
                </c:pt>
                <c:pt idx="1">
                  <c:v>108</c:v>
                </c:pt>
                <c:pt idx="2">
                  <c:v>120.90999999999998</c:v>
                </c:pt>
                <c:pt idx="3">
                  <c:v>120.11017500000001</c:v>
                </c:pt>
                <c:pt idx="4">
                  <c:v>119.34997200000001</c:v>
                </c:pt>
                <c:pt idx="5">
                  <c:v>121.12854048</c:v>
                </c:pt>
                <c:pt idx="6">
                  <c:v>133.18680283200001</c:v>
                </c:pt>
                <c:pt idx="7">
                  <c:v>146.96377096698004</c:v>
                </c:pt>
                <c:pt idx="8">
                  <c:v>164.09532811700163</c:v>
                </c:pt>
                <c:pt idx="9">
                  <c:v>190.03520725028659</c:v>
                </c:pt>
                <c:pt idx="10">
                  <c:v>198.10252259234389</c:v>
                </c:pt>
                <c:pt idx="11">
                  <c:v>156.72354427777955</c:v>
                </c:pt>
                <c:pt idx="12">
                  <c:v>158.15865975851881</c:v>
                </c:pt>
                <c:pt idx="13">
                  <c:v>164.43008780383184</c:v>
                </c:pt>
                <c:pt idx="14">
                  <c:v>167.78958714823381</c:v>
                </c:pt>
                <c:pt idx="15">
                  <c:v>176.91653113596095</c:v>
                </c:pt>
                <c:pt idx="16">
                  <c:v>184.66426155437162</c:v>
                </c:pt>
                <c:pt idx="17">
                  <c:v>198.91740932047125</c:v>
                </c:pt>
                <c:pt idx="18">
                  <c:v>215.43734099696033</c:v>
                </c:pt>
                <c:pt idx="19">
                  <c:v>223.85307985147301</c:v>
                </c:pt>
                <c:pt idx="20">
                  <c:v>237.32639158892334</c:v>
                </c:pt>
                <c:pt idx="21">
                  <c:v>248.56923413369816</c:v>
                </c:pt>
                <c:pt idx="22">
                  <c:v>270.09247902587356</c:v>
                </c:pt>
                <c:pt idx="23">
                  <c:v>294.70280783781016</c:v>
                </c:pt>
                <c:pt idx="24">
                  <c:v>337.11451854015456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29F-1C48-ABAE-172104D34663}"/>
            </c:ext>
          </c:extLst>
        </c:ser>
        <c:ser>
          <c:idx val="2"/>
          <c:order val="2"/>
          <c:tx>
            <c:strRef>
              <c:f>'Eignir  new vísitala'!$R$2</c:f>
              <c:strCache>
                <c:ptCount val="1"/>
                <c:pt idx="0">
                  <c:v>lower quart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'Eignir  new vísitala'!$N$3:$N$27</c:f>
              <c:numCache>
                <c:formatCode>General</c:formatCode>
                <c:ptCount val="25"/>
                <c:pt idx="0">
                  <c:v>1997</c:v>
                </c:pt>
                <c:pt idx="1">
                  <c:v>1998</c:v>
                </c:pt>
                <c:pt idx="2">
                  <c:v>1999</c:v>
                </c:pt>
                <c:pt idx="3">
                  <c:v>2000</c:v>
                </c:pt>
                <c:pt idx="4">
                  <c:v>2001</c:v>
                </c:pt>
                <c:pt idx="5">
                  <c:v>2002</c:v>
                </c:pt>
                <c:pt idx="6">
                  <c:v>2003</c:v>
                </c:pt>
                <c:pt idx="7">
                  <c:v>2004</c:v>
                </c:pt>
                <c:pt idx="8">
                  <c:v>2005</c:v>
                </c:pt>
                <c:pt idx="9">
                  <c:v>2006</c:v>
                </c:pt>
                <c:pt idx="10">
                  <c:v>2007</c:v>
                </c:pt>
                <c:pt idx="11">
                  <c:v>2008</c:v>
                </c:pt>
                <c:pt idx="12">
                  <c:v>2009</c:v>
                </c:pt>
                <c:pt idx="13">
                  <c:v>2010</c:v>
                </c:pt>
                <c:pt idx="14">
                  <c:v>2011</c:v>
                </c:pt>
                <c:pt idx="15">
                  <c:v>2012</c:v>
                </c:pt>
                <c:pt idx="16">
                  <c:v>2013</c:v>
                </c:pt>
                <c:pt idx="17">
                  <c:v>2014</c:v>
                </c:pt>
                <c:pt idx="18">
                  <c:v>2015</c:v>
                </c:pt>
                <c:pt idx="19">
                  <c:v>2016</c:v>
                </c:pt>
                <c:pt idx="20">
                  <c:v>2017</c:v>
                </c:pt>
                <c:pt idx="21">
                  <c:v>2018</c:v>
                </c:pt>
                <c:pt idx="22">
                  <c:v>2019</c:v>
                </c:pt>
                <c:pt idx="23">
                  <c:v>2020</c:v>
                </c:pt>
                <c:pt idx="24">
                  <c:v>2021</c:v>
                </c:pt>
              </c:numCache>
            </c:numRef>
          </c:cat>
          <c:val>
            <c:numRef>
              <c:f>'Eignir  new vísitala'!$R$3:$R$27</c:f>
              <c:numCache>
                <c:formatCode>_-* #,##0.00_-;\-* #,##0.00_-;_-* "-"_-;_-@_-</c:formatCode>
                <c:ptCount val="25"/>
                <c:pt idx="0">
                  <c:v>100</c:v>
                </c:pt>
                <c:pt idx="1">
                  <c:v>105</c:v>
                </c:pt>
                <c:pt idx="2">
                  <c:v>112.38686473489345</c:v>
                </c:pt>
                <c:pt idx="3">
                  <c:v>111.94012470846761</c:v>
                </c:pt>
                <c:pt idx="4">
                  <c:v>107.47404000000002</c:v>
                </c:pt>
                <c:pt idx="5">
                  <c:v>104.35566312965781</c:v>
                </c:pt>
                <c:pt idx="6">
                  <c:v>114.57773987394168</c:v>
                </c:pt>
                <c:pt idx="7">
                  <c:v>124.19781000062403</c:v>
                </c:pt>
                <c:pt idx="8">
                  <c:v>133.27878626600801</c:v>
                </c:pt>
                <c:pt idx="9">
                  <c:v>147.51786968326084</c:v>
                </c:pt>
                <c:pt idx="10">
                  <c:v>151.68778450001457</c:v>
                </c:pt>
                <c:pt idx="11">
                  <c:v>123.99728807747967</c:v>
                </c:pt>
                <c:pt idx="12">
                  <c:v>124.95335028181388</c:v>
                </c:pt>
                <c:pt idx="13">
                  <c:v>129.27446445741617</c:v>
                </c:pt>
                <c:pt idx="14">
                  <c:v>132.96765898531527</c:v>
                </c:pt>
                <c:pt idx="15">
                  <c:v>136.53219311404001</c:v>
                </c:pt>
                <c:pt idx="16">
                  <c:v>147.0644394412349</c:v>
                </c:pt>
                <c:pt idx="17">
                  <c:v>156.96525758251701</c:v>
                </c:pt>
                <c:pt idx="18">
                  <c:v>169.50310407056574</c:v>
                </c:pt>
                <c:pt idx="19">
                  <c:v>168.83091677062342</c:v>
                </c:pt>
                <c:pt idx="20">
                  <c:v>178.56336510387146</c:v>
                </c:pt>
                <c:pt idx="21">
                  <c:v>185.13625525782157</c:v>
                </c:pt>
                <c:pt idx="22">
                  <c:v>202.9818781068646</c:v>
                </c:pt>
                <c:pt idx="23">
                  <c:v>220.29301590195661</c:v>
                </c:pt>
                <c:pt idx="24">
                  <c:v>240.30972797317685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29F-1C48-ABAE-172104D34663}"/>
            </c:ext>
          </c:extLst>
        </c:ser>
        <c:ser>
          <c:idx val="3"/>
          <c:order val="3"/>
          <c:tx>
            <c:strRef>
              <c:f>'Eignir  new vísitala'!$S$2</c:f>
              <c:strCache>
                <c:ptCount val="1"/>
                <c:pt idx="0">
                  <c:v>miðgildi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'Eignir  new vísitala'!$N$3:$N$27</c:f>
              <c:numCache>
                <c:formatCode>General</c:formatCode>
                <c:ptCount val="25"/>
                <c:pt idx="0">
                  <c:v>1997</c:v>
                </c:pt>
                <c:pt idx="1">
                  <c:v>1998</c:v>
                </c:pt>
                <c:pt idx="2">
                  <c:v>1999</c:v>
                </c:pt>
                <c:pt idx="3">
                  <c:v>2000</c:v>
                </c:pt>
                <c:pt idx="4">
                  <c:v>2001</c:v>
                </c:pt>
                <c:pt idx="5">
                  <c:v>2002</c:v>
                </c:pt>
                <c:pt idx="6">
                  <c:v>2003</c:v>
                </c:pt>
                <c:pt idx="7">
                  <c:v>2004</c:v>
                </c:pt>
                <c:pt idx="8">
                  <c:v>2005</c:v>
                </c:pt>
                <c:pt idx="9">
                  <c:v>2006</c:v>
                </c:pt>
                <c:pt idx="10">
                  <c:v>2007</c:v>
                </c:pt>
                <c:pt idx="11">
                  <c:v>2008</c:v>
                </c:pt>
                <c:pt idx="12">
                  <c:v>2009</c:v>
                </c:pt>
                <c:pt idx="13">
                  <c:v>2010</c:v>
                </c:pt>
                <c:pt idx="14">
                  <c:v>2011</c:v>
                </c:pt>
                <c:pt idx="15">
                  <c:v>2012</c:v>
                </c:pt>
                <c:pt idx="16">
                  <c:v>2013</c:v>
                </c:pt>
                <c:pt idx="17">
                  <c:v>2014</c:v>
                </c:pt>
                <c:pt idx="18">
                  <c:v>2015</c:v>
                </c:pt>
                <c:pt idx="19">
                  <c:v>2016</c:v>
                </c:pt>
                <c:pt idx="20">
                  <c:v>2017</c:v>
                </c:pt>
                <c:pt idx="21">
                  <c:v>2018</c:v>
                </c:pt>
                <c:pt idx="22">
                  <c:v>2019</c:v>
                </c:pt>
                <c:pt idx="23">
                  <c:v>2020</c:v>
                </c:pt>
                <c:pt idx="24">
                  <c:v>2021</c:v>
                </c:pt>
              </c:numCache>
            </c:numRef>
          </c:cat>
          <c:val>
            <c:numRef>
              <c:f>'Eignir  new vísitala'!$S$3:$S$27</c:f>
              <c:numCache>
                <c:formatCode>_-* #,##0.00_-;\-* #,##0.00_-;_-* "-"_-;_-@_-</c:formatCode>
                <c:ptCount val="25"/>
                <c:pt idx="0">
                  <c:v>100</c:v>
                </c:pt>
                <c:pt idx="1">
                  <c:v>107</c:v>
                </c:pt>
                <c:pt idx="2">
                  <c:v>116.63000000000001</c:v>
                </c:pt>
                <c:pt idx="3">
                  <c:v>117.64915000000002</c:v>
                </c:pt>
                <c:pt idx="4">
                  <c:v>113.17245800000001</c:v>
                </c:pt>
                <c:pt idx="5">
                  <c:v>113.11978689000001</c:v>
                </c:pt>
                <c:pt idx="6">
                  <c:v>126.30853380000001</c:v>
                </c:pt>
                <c:pt idx="7">
                  <c:v>139.31306322570003</c:v>
                </c:pt>
                <c:pt idx="8">
                  <c:v>153.05068942551361</c:v>
                </c:pt>
                <c:pt idx="9">
                  <c:v>171.28070015881707</c:v>
                </c:pt>
                <c:pt idx="10">
                  <c:v>174.93423311804446</c:v>
                </c:pt>
                <c:pt idx="11">
                  <c:v>145.17043265813277</c:v>
                </c:pt>
                <c:pt idx="12">
                  <c:v>144.2984552403056</c:v>
                </c:pt>
                <c:pt idx="13">
                  <c:v>147.84448485348716</c:v>
                </c:pt>
                <c:pt idx="14">
                  <c:v>150.65353006570339</c:v>
                </c:pt>
                <c:pt idx="15">
                  <c:v>157.86536185058006</c:v>
                </c:pt>
                <c:pt idx="16">
                  <c:v>169.53347893209215</c:v>
                </c:pt>
                <c:pt idx="17">
                  <c:v>184.45242507811628</c:v>
                </c:pt>
                <c:pt idx="18">
                  <c:v>198.14135361532189</c:v>
                </c:pt>
                <c:pt idx="19">
                  <c:v>207.20871647622775</c:v>
                </c:pt>
                <c:pt idx="20">
                  <c:v>217.52868545561176</c:v>
                </c:pt>
                <c:pt idx="21">
                  <c:v>228.58603603039589</c:v>
                </c:pt>
                <c:pt idx="22">
                  <c:v>251.84816308132503</c:v>
                </c:pt>
                <c:pt idx="23">
                  <c:v>274.95008685779243</c:v>
                </c:pt>
                <c:pt idx="24">
                  <c:v>307.24812771344517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29F-1C48-ABAE-172104D346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28083039"/>
        <c:axId val="1561498672"/>
      </c:lineChart>
      <c:catAx>
        <c:axId val="20280830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S"/>
          </a:p>
        </c:txPr>
        <c:crossAx val="1561498672"/>
        <c:crosses val="autoZero"/>
        <c:auto val="1"/>
        <c:lblAlgn val="ctr"/>
        <c:lblOffset val="100"/>
        <c:noMultiLvlLbl val="0"/>
      </c:catAx>
      <c:valAx>
        <c:axId val="1561498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S"/>
          </a:p>
        </c:txPr>
        <c:crossAx val="20280830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/>
              <a:t>Ávöxtun sjóða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IS"/>
        </a:p>
      </c:txPr>
    </c:title>
    <c:autoTitleDeleted val="0"/>
    <c:plotArea>
      <c:layout/>
      <c:stockChart>
        <c:ser>
          <c:idx val="0"/>
          <c:order val="0"/>
          <c:tx>
            <c:strRef>
              <c:f>'Eignir  new vísitala'!$T$2</c:f>
              <c:strCache>
                <c:ptCount val="1"/>
                <c:pt idx="0">
                  <c:v>upper q ávöxt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'Eignir  new vísitala'!$N$3:$N$27</c:f>
              <c:numCache>
                <c:formatCode>General</c:formatCode>
                <c:ptCount val="25"/>
                <c:pt idx="0">
                  <c:v>1997</c:v>
                </c:pt>
                <c:pt idx="1">
                  <c:v>1998</c:v>
                </c:pt>
                <c:pt idx="2">
                  <c:v>1999</c:v>
                </c:pt>
                <c:pt idx="3">
                  <c:v>2000</c:v>
                </c:pt>
                <c:pt idx="4">
                  <c:v>2001</c:v>
                </c:pt>
                <c:pt idx="5">
                  <c:v>2002</c:v>
                </c:pt>
                <c:pt idx="6">
                  <c:v>2003</c:v>
                </c:pt>
                <c:pt idx="7">
                  <c:v>2004</c:v>
                </c:pt>
                <c:pt idx="8">
                  <c:v>2005</c:v>
                </c:pt>
                <c:pt idx="9">
                  <c:v>2006</c:v>
                </c:pt>
                <c:pt idx="10">
                  <c:v>2007</c:v>
                </c:pt>
                <c:pt idx="11">
                  <c:v>2008</c:v>
                </c:pt>
                <c:pt idx="12">
                  <c:v>2009</c:v>
                </c:pt>
                <c:pt idx="13">
                  <c:v>2010</c:v>
                </c:pt>
                <c:pt idx="14">
                  <c:v>2011</c:v>
                </c:pt>
                <c:pt idx="15">
                  <c:v>2012</c:v>
                </c:pt>
                <c:pt idx="16">
                  <c:v>2013</c:v>
                </c:pt>
                <c:pt idx="17">
                  <c:v>2014</c:v>
                </c:pt>
                <c:pt idx="18">
                  <c:v>2015</c:v>
                </c:pt>
                <c:pt idx="19">
                  <c:v>2016</c:v>
                </c:pt>
                <c:pt idx="20">
                  <c:v>2017</c:v>
                </c:pt>
                <c:pt idx="21">
                  <c:v>2018</c:v>
                </c:pt>
                <c:pt idx="22">
                  <c:v>2019</c:v>
                </c:pt>
                <c:pt idx="23">
                  <c:v>2020</c:v>
                </c:pt>
                <c:pt idx="24">
                  <c:v>2021</c:v>
                </c:pt>
              </c:numCache>
            </c:numRef>
          </c:cat>
          <c:val>
            <c:numRef>
              <c:f>'Eignir  new vísitala'!$T$3:$T$27</c:f>
              <c:numCache>
                <c:formatCode>0.0%</c:formatCode>
                <c:ptCount val="25"/>
                <c:pt idx="0">
                  <c:v>0.08</c:v>
                </c:pt>
                <c:pt idx="1">
                  <c:v>0.08</c:v>
                </c:pt>
                <c:pt idx="2">
                  <c:v>0.1275</c:v>
                </c:pt>
                <c:pt idx="3">
                  <c:v>2.75E-2</c:v>
                </c:pt>
                <c:pt idx="4">
                  <c:v>0.01</c:v>
                </c:pt>
                <c:pt idx="5">
                  <c:v>0.03</c:v>
                </c:pt>
                <c:pt idx="6">
                  <c:v>0.13</c:v>
                </c:pt>
                <c:pt idx="7">
                  <c:v>0.12</c:v>
                </c:pt>
                <c:pt idx="8">
                  <c:v>0.14000000000000001</c:v>
                </c:pt>
                <c:pt idx="9">
                  <c:v>0.11075</c:v>
                </c:pt>
                <c:pt idx="10">
                  <c:v>2.64E-2</c:v>
                </c:pt>
                <c:pt idx="11">
                  <c:v>-0.10755000000000001</c:v>
                </c:pt>
                <c:pt idx="12">
                  <c:v>3.3799999999999997E-2</c:v>
                </c:pt>
                <c:pt idx="13">
                  <c:v>4.3749999999999997E-2</c:v>
                </c:pt>
                <c:pt idx="14">
                  <c:v>3.3000000000000002E-2</c:v>
                </c:pt>
                <c:pt idx="15">
                  <c:v>7.9749999999999988E-2</c:v>
                </c:pt>
                <c:pt idx="16">
                  <c:v>7.2000000000000008E-2</c:v>
                </c:pt>
                <c:pt idx="17">
                  <c:v>7.8E-2</c:v>
                </c:pt>
                <c:pt idx="18">
                  <c:v>0.10375</c:v>
                </c:pt>
                <c:pt idx="19">
                  <c:v>7.6500000000000005E-3</c:v>
                </c:pt>
                <c:pt idx="20">
                  <c:v>6.7500000000000004E-2</c:v>
                </c:pt>
                <c:pt idx="21">
                  <c:v>3.7000000000000005E-2</c:v>
                </c:pt>
                <c:pt idx="22">
                  <c:v>0.11854999999999999</c:v>
                </c:pt>
                <c:pt idx="23">
                  <c:v>0.10250000000000001</c:v>
                </c:pt>
                <c:pt idx="24">
                  <c:v>0.12585000000000002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5E-544F-84FB-CD5E490FCE23}"/>
            </c:ext>
          </c:extLst>
        </c:ser>
        <c:ser>
          <c:idx val="1"/>
          <c:order val="1"/>
          <c:tx>
            <c:strRef>
              <c:f>'Eignir  new vísitala'!$U$2</c:f>
              <c:strCache>
                <c:ptCount val="1"/>
                <c:pt idx="0">
                  <c:v>lower q áv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'Eignir  new vísitala'!$N$3:$N$27</c:f>
              <c:numCache>
                <c:formatCode>General</c:formatCode>
                <c:ptCount val="25"/>
                <c:pt idx="0">
                  <c:v>1997</c:v>
                </c:pt>
                <c:pt idx="1">
                  <c:v>1998</c:v>
                </c:pt>
                <c:pt idx="2">
                  <c:v>1999</c:v>
                </c:pt>
                <c:pt idx="3">
                  <c:v>2000</c:v>
                </c:pt>
                <c:pt idx="4">
                  <c:v>2001</c:v>
                </c:pt>
                <c:pt idx="5">
                  <c:v>2002</c:v>
                </c:pt>
                <c:pt idx="6">
                  <c:v>2003</c:v>
                </c:pt>
                <c:pt idx="7">
                  <c:v>2004</c:v>
                </c:pt>
                <c:pt idx="8">
                  <c:v>2005</c:v>
                </c:pt>
                <c:pt idx="9">
                  <c:v>2006</c:v>
                </c:pt>
                <c:pt idx="10">
                  <c:v>2007</c:v>
                </c:pt>
                <c:pt idx="11">
                  <c:v>2008</c:v>
                </c:pt>
                <c:pt idx="12">
                  <c:v>2009</c:v>
                </c:pt>
                <c:pt idx="13">
                  <c:v>2010</c:v>
                </c:pt>
                <c:pt idx="14">
                  <c:v>2011</c:v>
                </c:pt>
                <c:pt idx="15">
                  <c:v>2012</c:v>
                </c:pt>
                <c:pt idx="16">
                  <c:v>2013</c:v>
                </c:pt>
                <c:pt idx="17">
                  <c:v>2014</c:v>
                </c:pt>
                <c:pt idx="18">
                  <c:v>2015</c:v>
                </c:pt>
                <c:pt idx="19">
                  <c:v>2016</c:v>
                </c:pt>
                <c:pt idx="20">
                  <c:v>2017</c:v>
                </c:pt>
                <c:pt idx="21">
                  <c:v>2018</c:v>
                </c:pt>
                <c:pt idx="22">
                  <c:v>2019</c:v>
                </c:pt>
                <c:pt idx="23">
                  <c:v>2020</c:v>
                </c:pt>
                <c:pt idx="24">
                  <c:v>2021</c:v>
                </c:pt>
              </c:numCache>
            </c:numRef>
          </c:cat>
          <c:val>
            <c:numRef>
              <c:f>'Eignir  new vísitala'!$U$3:$U$27</c:f>
              <c:numCache>
                <c:formatCode>0.0%</c:formatCode>
                <c:ptCount val="25"/>
                <c:pt idx="0">
                  <c:v>5.7499999999999996E-2</c:v>
                </c:pt>
                <c:pt idx="1">
                  <c:v>0.05</c:v>
                </c:pt>
                <c:pt idx="2">
                  <c:v>0.06</c:v>
                </c:pt>
                <c:pt idx="3">
                  <c:v>-0.04</c:v>
                </c:pt>
                <c:pt idx="4">
                  <c:v>-0.05</c:v>
                </c:pt>
                <c:pt idx="5">
                  <c:v>-0.04</c:v>
                </c:pt>
                <c:pt idx="6">
                  <c:v>8.7499999999999994E-2</c:v>
                </c:pt>
                <c:pt idx="7">
                  <c:v>0.06</c:v>
                </c:pt>
                <c:pt idx="8">
                  <c:v>0.06</c:v>
                </c:pt>
                <c:pt idx="9">
                  <c:v>6.25E-2</c:v>
                </c:pt>
                <c:pt idx="10">
                  <c:v>-5.4000000000000003E-3</c:v>
                </c:pt>
                <c:pt idx="11">
                  <c:v>-0.26715</c:v>
                </c:pt>
                <c:pt idx="12">
                  <c:v>-1.38E-2</c:v>
                </c:pt>
                <c:pt idx="13">
                  <c:v>1.6649999999999998E-2</c:v>
                </c:pt>
                <c:pt idx="14">
                  <c:v>1.0000000000000002E-2</c:v>
                </c:pt>
                <c:pt idx="15">
                  <c:v>3.5500000000000004E-2</c:v>
                </c:pt>
                <c:pt idx="16">
                  <c:v>4.5999999999999999E-2</c:v>
                </c:pt>
                <c:pt idx="17">
                  <c:v>4.9000000000000002E-2</c:v>
                </c:pt>
                <c:pt idx="18">
                  <c:v>6.6500000000000004E-2</c:v>
                </c:pt>
                <c:pt idx="19">
                  <c:v>-1.3000000000000001E-2</c:v>
                </c:pt>
                <c:pt idx="20">
                  <c:v>4.4249999999999998E-2</c:v>
                </c:pt>
                <c:pt idx="21">
                  <c:v>1.35E-2</c:v>
                </c:pt>
                <c:pt idx="22">
                  <c:v>0.09</c:v>
                </c:pt>
                <c:pt idx="23">
                  <c:v>7.8649999999999998E-2</c:v>
                </c:pt>
                <c:pt idx="24">
                  <c:v>8.030000000000001E-2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5E-544F-84FB-CD5E490FCE23}"/>
            </c:ext>
          </c:extLst>
        </c:ser>
        <c:ser>
          <c:idx val="2"/>
          <c:order val="2"/>
          <c:tx>
            <c:strRef>
              <c:f>'Eignir  new vísitala'!$V$2</c:f>
              <c:strCache>
                <c:ptCount val="1"/>
                <c:pt idx="0">
                  <c:v>mid ávöxtun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6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numRef>
              <c:f>'Eignir  new vísitala'!$N$3:$N$27</c:f>
              <c:numCache>
                <c:formatCode>General</c:formatCode>
                <c:ptCount val="25"/>
                <c:pt idx="0">
                  <c:v>1997</c:v>
                </c:pt>
                <c:pt idx="1">
                  <c:v>1998</c:v>
                </c:pt>
                <c:pt idx="2">
                  <c:v>1999</c:v>
                </c:pt>
                <c:pt idx="3">
                  <c:v>2000</c:v>
                </c:pt>
                <c:pt idx="4">
                  <c:v>2001</c:v>
                </c:pt>
                <c:pt idx="5">
                  <c:v>2002</c:v>
                </c:pt>
                <c:pt idx="6">
                  <c:v>2003</c:v>
                </c:pt>
                <c:pt idx="7">
                  <c:v>2004</c:v>
                </c:pt>
                <c:pt idx="8">
                  <c:v>2005</c:v>
                </c:pt>
                <c:pt idx="9">
                  <c:v>2006</c:v>
                </c:pt>
                <c:pt idx="10">
                  <c:v>2007</c:v>
                </c:pt>
                <c:pt idx="11">
                  <c:v>2008</c:v>
                </c:pt>
                <c:pt idx="12">
                  <c:v>2009</c:v>
                </c:pt>
                <c:pt idx="13">
                  <c:v>2010</c:v>
                </c:pt>
                <c:pt idx="14">
                  <c:v>2011</c:v>
                </c:pt>
                <c:pt idx="15">
                  <c:v>2012</c:v>
                </c:pt>
                <c:pt idx="16">
                  <c:v>2013</c:v>
                </c:pt>
                <c:pt idx="17">
                  <c:v>2014</c:v>
                </c:pt>
                <c:pt idx="18">
                  <c:v>2015</c:v>
                </c:pt>
                <c:pt idx="19">
                  <c:v>2016</c:v>
                </c:pt>
                <c:pt idx="20">
                  <c:v>2017</c:v>
                </c:pt>
                <c:pt idx="21">
                  <c:v>2018</c:v>
                </c:pt>
                <c:pt idx="22">
                  <c:v>2019</c:v>
                </c:pt>
                <c:pt idx="23">
                  <c:v>2020</c:v>
                </c:pt>
                <c:pt idx="24">
                  <c:v>2021</c:v>
                </c:pt>
              </c:numCache>
            </c:numRef>
          </c:cat>
          <c:val>
            <c:numRef>
              <c:f>'Eignir  new vísitala'!$V$3:$V$27</c:f>
              <c:numCache>
                <c:formatCode>0.0%</c:formatCode>
                <c:ptCount val="25"/>
                <c:pt idx="0">
                  <c:v>0.06</c:v>
                </c:pt>
                <c:pt idx="1">
                  <c:v>7.0000000000000007E-2</c:v>
                </c:pt>
                <c:pt idx="2">
                  <c:v>0.08</c:v>
                </c:pt>
                <c:pt idx="3">
                  <c:v>-5.0000000000000001E-3</c:v>
                </c:pt>
                <c:pt idx="4">
                  <c:v>-0.02</c:v>
                </c:pt>
                <c:pt idx="5">
                  <c:v>-0.02</c:v>
                </c:pt>
                <c:pt idx="6">
                  <c:v>0.1</c:v>
                </c:pt>
                <c:pt idx="7">
                  <c:v>0.09</c:v>
                </c:pt>
                <c:pt idx="8">
                  <c:v>0.1</c:v>
                </c:pt>
                <c:pt idx="9">
                  <c:v>8.6500000000000007E-2</c:v>
                </c:pt>
                <c:pt idx="10">
                  <c:v>1.0500000000000001E-2</c:v>
                </c:pt>
                <c:pt idx="11">
                  <c:v>-0.20620000000000002</c:v>
                </c:pt>
                <c:pt idx="12">
                  <c:v>9.4000000000000004E-3</c:v>
                </c:pt>
                <c:pt idx="13">
                  <c:v>3.2500000000000001E-2</c:v>
                </c:pt>
                <c:pt idx="14">
                  <c:v>2.3E-2</c:v>
                </c:pt>
                <c:pt idx="15">
                  <c:v>5.9499999999999997E-2</c:v>
                </c:pt>
                <c:pt idx="16">
                  <c:v>5.7000000000000002E-2</c:v>
                </c:pt>
                <c:pt idx="17">
                  <c:v>6.2000000000000006E-2</c:v>
                </c:pt>
                <c:pt idx="18">
                  <c:v>8.299999999999999E-2</c:v>
                </c:pt>
                <c:pt idx="19">
                  <c:v>-5.0000000000000001E-4</c:v>
                </c:pt>
                <c:pt idx="20">
                  <c:v>5.2999999999999999E-2</c:v>
                </c:pt>
                <c:pt idx="21">
                  <c:v>2.2000000000000002E-2</c:v>
                </c:pt>
                <c:pt idx="22">
                  <c:v>0.10189999999999999</c:v>
                </c:pt>
                <c:pt idx="23">
                  <c:v>8.8900000000000007E-2</c:v>
                </c:pt>
                <c:pt idx="24">
                  <c:v>0.11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55E-544F-84FB-CD5E490FCE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lt1"/>
              </a:solidFill>
              <a:round/>
            </a:ln>
            <a:effectLst/>
          </c:spPr>
        </c:hiLowLines>
        <c:axId val="929066847"/>
        <c:axId val="418767391"/>
      </c:stockChart>
      <c:catAx>
        <c:axId val="9290668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S"/>
          </a:p>
        </c:txPr>
        <c:crossAx val="418767391"/>
        <c:crosses val="autoZero"/>
        <c:auto val="1"/>
        <c:lblAlgn val="ctr"/>
        <c:lblOffset val="100"/>
        <c:noMultiLvlLbl val="0"/>
      </c:catAx>
      <c:valAx>
        <c:axId val="418767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S"/>
          </a:p>
        </c:txPr>
        <c:crossAx val="9290668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I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I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679450</xdr:colOff>
      <xdr:row>3</xdr:row>
      <xdr:rowOff>114300</xdr:rowOff>
    </xdr:from>
    <xdr:to>
      <xdr:col>15</xdr:col>
      <xdr:colOff>330200</xdr:colOff>
      <xdr:row>24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3BEB5B0-F801-A045-BD9A-454FAD1C31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12700</xdr:colOff>
      <xdr:row>5</xdr:row>
      <xdr:rowOff>12700</xdr:rowOff>
    </xdr:from>
    <xdr:to>
      <xdr:col>19</xdr:col>
      <xdr:colOff>571500</xdr:colOff>
      <xdr:row>25</xdr:row>
      <xdr:rowOff>152400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81D619D-941E-31D5-AF1B-7652563F87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31</xdr:row>
      <xdr:rowOff>63500</xdr:rowOff>
    </xdr:from>
    <xdr:to>
      <xdr:col>18</xdr:col>
      <xdr:colOff>698500</xdr:colOff>
      <xdr:row>54</xdr:row>
      <xdr:rowOff>63500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A956EBAD-9F6F-29B9-AF38-0CA1296CA7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190500</xdr:colOff>
      <xdr:row>63</xdr:row>
      <xdr:rowOff>107950</xdr:rowOff>
    </xdr:from>
    <xdr:to>
      <xdr:col>11</xdr:col>
      <xdr:colOff>520700</xdr:colOff>
      <xdr:row>84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EC6DB52-9F19-5B76-D2E8-E01937BAA0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728134</xdr:colOff>
      <xdr:row>4</xdr:row>
      <xdr:rowOff>152400</xdr:rowOff>
    </xdr:from>
    <xdr:to>
      <xdr:col>41</xdr:col>
      <xdr:colOff>33866</xdr:colOff>
      <xdr:row>32</xdr:row>
      <xdr:rowOff>67733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231C5C2-751A-0D5C-67AC-1F26D040F8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33865</xdr:colOff>
      <xdr:row>33</xdr:row>
      <xdr:rowOff>152399</xdr:rowOff>
    </xdr:from>
    <xdr:to>
      <xdr:col>30</xdr:col>
      <xdr:colOff>-1</xdr:colOff>
      <xdr:row>70</xdr:row>
      <xdr:rowOff>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4116308-4763-A086-642D-EB517CB79F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745068</xdr:colOff>
      <xdr:row>3</xdr:row>
      <xdr:rowOff>169333</xdr:rowOff>
    </xdr:from>
    <xdr:to>
      <xdr:col>36</xdr:col>
      <xdr:colOff>50800</xdr:colOff>
      <xdr:row>31</xdr:row>
      <xdr:rowOff>84666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C5D7B7-BC5D-3F44-936C-AFD2783C22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728134</xdr:colOff>
      <xdr:row>4</xdr:row>
      <xdr:rowOff>152400</xdr:rowOff>
    </xdr:from>
    <xdr:to>
      <xdr:col>41</xdr:col>
      <xdr:colOff>33866</xdr:colOff>
      <xdr:row>32</xdr:row>
      <xdr:rowOff>67733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72A493B-6FE0-B64C-9BA4-F540584DF2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33865</xdr:colOff>
      <xdr:row>33</xdr:row>
      <xdr:rowOff>152399</xdr:rowOff>
    </xdr:from>
    <xdr:to>
      <xdr:col>30</xdr:col>
      <xdr:colOff>-1</xdr:colOff>
      <xdr:row>70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7B3D546-6057-5F43-81DA-239FEEE062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DAEA43-AFC1-AD4D-A488-D54C2CD4F3EA}" name="Table1" displayName="Table1" ref="A1:I940" totalsRowCount="1">
  <autoFilter ref="A1:I939" xr:uid="{D7DAEA43-AFC1-AD4D-A488-D54C2CD4F3EA}"/>
  <sortState xmlns:xlrd2="http://schemas.microsoft.com/office/spreadsheetml/2017/richdata2" ref="A2:I939">
    <sortCondition ref="A1:A939"/>
  </sortState>
  <tableColumns count="9">
    <tableColumn id="1" xr3:uid="{B9F60901-2904-4E49-8F32-1F2FAC1A8DD3}" name="Column1" totalsRowLabel="Total"/>
    <tableColumn id="2" xr3:uid="{B047E01D-14EB-6749-8AB5-C1984987981C}" name="Year"/>
    <tableColumn id="3" xr3:uid="{0B112DBC-DF77-EC46-A321-E647244F13A3}" name="Ávöxtun" dataDxfId="66" totalsRowDxfId="19" dataCellStyle="Per cent"/>
    <tableColumn id="4" xr3:uid="{F1577F6E-9069-2A49-9E77-7CFF53AC8B0D}" name="Eignir" totalsRowFunction="sum" totalsRowDxfId="18" dataCellStyle="Comma [0]"/>
    <tableColumn id="9" xr3:uid="{CA850FD2-9D76-D246-B389-42C2E1A945AD}" name="Column2" dataDxfId="62" totalsRowDxfId="17" dataCellStyle="Per cent">
      <calculatedColumnFormula>Table1[[#This Row],[Ávöxtun]]*Table1[[#This Row],[Eignir]]/SUMIFS(Table1[Eignir],Table1[Year],Table1[[#This Row],[Year]])</calculatedColumnFormula>
    </tableColumn>
    <tableColumn id="6" xr3:uid="{2A6B8EB4-D00E-F540-8695-E46849820E49}" name="Column3" dataDxfId="63" totalsRowDxfId="16" dataCellStyle="Comma [0]">
      <calculatedColumnFormula array="1">IF(B2=1997, 100, IF(COUNTIF(A$2:A2,A1:A2)=1, "NEW", ""))</calculatedColumnFormula>
    </tableColumn>
    <tableColumn id="7" xr3:uid="{C7B85916-CA1A-9144-9F1F-59DBFE4BB581}" name="Column4" dataDxfId="65" totalsRowDxfId="15" dataCellStyle="Comma [0]">
      <calculatedColumnFormula array="1">IFERROR(_xlfn.IFS(ISNUMBER(Table1[[#This Row],[Column3]]),Table1[[#This Row],[Column3]],Table1[[#This Row],[Column3]]="NEW",Table1[[#This Row],[Column3]]),"")</calculatedColumnFormula>
    </tableColumn>
    <tableColumn id="5" xr3:uid="{CA1089F6-2699-7C4B-B41F-83B01B45529A}" name="Vísitalan án Eignavigtun" totalsRowFunction="sum" dataDxfId="64" totalsRowDxfId="14" dataCellStyle="Comma [0]">
      <calculatedColumnFormula array="1">_xlfn.IFS(Table1[[#This Row],[Column4]]="NEW",AVERAGEIFS(Table1[Column4],Table1[Year],Table1[[#This Row],[Year]]),ISNUMBER(Table1[[#This Row],[Column4]]),Table1[[#This Row],[Column4]],Table1[[#This Row],[Column4]]="",H1*(1+Table1[[#This Row],[Ávöxtun]]))</calculatedColumnFormula>
    </tableColumn>
    <tableColumn id="8" xr3:uid="{4CE89250-AEAB-2349-ADF5-7432E3E7DA8E}" name="Vigtuð vísitala" dataDxfId="61" totalsRowDxfId="13">
      <calculatedColumnFormula array="1">_xlfn.IFS(Table1[[#This Row],[Column4]]="NEW",_xlfn.XLOOKUP(Table1[[#This Row],[Year]],$N$2:$N$27,$P$2:$P$27),ISNUMBER(Table1[[#This Row],[Column4]]),Table1[[#This Row],[Column4]],Table1[[#This Row],[Column4]]="",I1*(1+Table1[[#This Row],[Ávöxtun]]))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890871C-600B-884E-BCD1-B67A7725234F}" name="Table13" displayName="Table13" ref="A1:I894" totalsRowCount="1">
  <autoFilter ref="A1:I893" xr:uid="{D7DAEA43-AFC1-AD4D-A488-D54C2CD4F3EA}"/>
  <sortState xmlns:xlrd2="http://schemas.microsoft.com/office/spreadsheetml/2017/richdata2" ref="A2:I893">
    <sortCondition ref="A1:A893"/>
  </sortState>
  <tableColumns count="9">
    <tableColumn id="1" xr3:uid="{928DDA19-76A0-0046-AD8F-630F60FDA6E0}" name="Column1" totalsRowLabel="Total"/>
    <tableColumn id="2" xr3:uid="{CF278299-501D-6A47-83F6-B194D86E891D}" name="Year"/>
    <tableColumn id="3" xr3:uid="{1A665DE4-8E95-5741-B6EF-CC63C9EFC52E}" name="Ávöxtun" dataDxfId="59" totalsRowDxfId="60" dataCellStyle="Per cent"/>
    <tableColumn id="4" xr3:uid="{8F04BE9C-B52E-D44D-81B8-A3841B710475}" name="Eignir" totalsRowFunction="sum" totalsRowDxfId="58" dataCellStyle="Comma [0]"/>
    <tableColumn id="9" xr3:uid="{5C5687A8-4450-3B46-B0F6-6DE9E4B255B6}" name="Column2" dataDxfId="56" totalsRowDxfId="57" dataCellStyle="Per cent">
      <calculatedColumnFormula>Table13[[#This Row],[Ávöxtun]]*Table13[[#This Row],[Eignir]]/SUMIFS(Table13[Eignir],Table13[Year],Table13[[#This Row],[Year]])</calculatedColumnFormula>
    </tableColumn>
    <tableColumn id="6" xr3:uid="{0C883D4F-07C0-1B47-87B6-954FFF16465C}" name="Column3" dataDxfId="54" totalsRowDxfId="55" dataCellStyle="Comma [0]">
      <calculatedColumnFormula array="1">IF(B2=1997, 100, IF(COUNTIF(A$2:A2,A1:A2)=1, "NEW", ""))</calculatedColumnFormula>
    </tableColumn>
    <tableColumn id="7" xr3:uid="{FB2B3D5A-A986-F547-BB66-43DEA6B01F46}" name="Column4" dataDxfId="52" totalsRowDxfId="53" dataCellStyle="Comma [0]">
      <calculatedColumnFormula array="1">IFERROR(_xlfn.IFS(ISNUMBER(Table13[[#This Row],[Column3]]),Table13[[#This Row],[Column3]],Table13[[#This Row],[Column3]]="NEW",Table13[[#This Row],[Column3]]),"")</calculatedColumnFormula>
    </tableColumn>
    <tableColumn id="5" xr3:uid="{5C964548-7CFF-364E-84AA-B9188D4CE2FA}" name="Vísitalan án Eignavigtun" totalsRowFunction="sum" dataDxfId="50" totalsRowDxfId="51" dataCellStyle="Comma [0]">
      <calculatedColumnFormula array="1">_xlfn.IFS(Table13[[#This Row],[Column4]]="NEW",AVERAGEIFS(Table13[Column4],Table13[Year],Table13[[#This Row],[Year]]),ISNUMBER(Table13[[#This Row],[Column4]]),Table13[[#This Row],[Column4]],Table13[[#This Row],[Column4]]="",H1*(1+Table13[[#This Row],[Ávöxtun]]))</calculatedColumnFormula>
    </tableColumn>
    <tableColumn id="8" xr3:uid="{330DE194-8002-E247-B6BD-51C2BD042A79}" name="Vigtuð vísitala" dataDxfId="48" totalsRowDxfId="49">
      <calculatedColumnFormula array="1">_xlfn.IFS(Table13[[#This Row],[Column4]]="NEW",_xlfn.XLOOKUP(Table13[[#This Row],[Year]],$N$2:$N$27,$P$2:$P$27),ISNUMBER(Table13[[#This Row],[Column4]]),Table13[[#This Row],[Column4]],Table13[[#This Row],[Column4]]="",I1*(1+Table13[[#This Row],[Ávöxtun]]))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94F8A0B-17CC-594F-AD12-AAB491539EB9}" name="Table14" displayName="Table14" ref="A1:I940" totalsRowCount="1">
  <autoFilter ref="A1:I939" xr:uid="{D7DAEA43-AFC1-AD4D-A488-D54C2CD4F3EA}"/>
  <sortState xmlns:xlrd2="http://schemas.microsoft.com/office/spreadsheetml/2017/richdata2" ref="A2:I939">
    <sortCondition ref="A1:A939"/>
  </sortState>
  <tableColumns count="9">
    <tableColumn id="1" xr3:uid="{60DF1CA1-491A-674F-8707-6A4343B819D5}" name="Column1" totalsRowLabel="Total"/>
    <tableColumn id="2" xr3:uid="{29DEDD99-CC59-654A-ACBD-FA2561AD4FA2}" name="Year"/>
    <tableColumn id="3" xr3:uid="{38E446C6-FE84-0041-9F53-9BC53359E427}" name="Ávöxtun" dataDxfId="47" totalsRowDxfId="41" dataCellStyle="Per cent"/>
    <tableColumn id="4" xr3:uid="{5D457973-8BFC-3344-830E-124A9EFE964B}" name="Eignir" totalsRowFunction="sum" totalsRowDxfId="40" dataCellStyle="Comma [0]"/>
    <tableColumn id="9" xr3:uid="{A3683000-8D99-9848-947D-B9447E513B32}" name="Column2" dataDxfId="46" totalsRowDxfId="39" dataCellStyle="Per cent">
      <calculatedColumnFormula>Table14[[#This Row],[Ávöxtun]]*Table14[[#This Row],[Eignir]]/SUMIFS(Table14[Eignir],Table14[Year],Table14[[#This Row],[Year]])</calculatedColumnFormula>
    </tableColumn>
    <tableColumn id="6" xr3:uid="{3DFCB07E-DAAC-1C41-BAFF-5B50E856B2C1}" name="Column3" dataDxfId="45" totalsRowDxfId="38" dataCellStyle="Comma [0]">
      <calculatedColumnFormula array="1">IF(B2=1997, 100, IF(COUNTIF(A$2:A2,A1:A2)=1, "NEW", ""))</calculatedColumnFormula>
    </tableColumn>
    <tableColumn id="7" xr3:uid="{C2C9D740-6648-2440-A5CE-EB38FBD5FD23}" name="Column4" dataDxfId="44" totalsRowDxfId="37" dataCellStyle="Comma [0]">
      <calculatedColumnFormula array="1">IFERROR(_xlfn.IFS(ISNUMBER(Table14[[#This Row],[Column3]]),Table14[[#This Row],[Column3]],Table14[[#This Row],[Column3]]="NEW",Table14[[#This Row],[Column3]]),"")</calculatedColumnFormula>
    </tableColumn>
    <tableColumn id="5" xr3:uid="{7517C088-24D0-C642-9A3D-4B06C6887F0E}" name="Vísitalan án Eignavigtun" totalsRowFunction="sum" dataDxfId="43" totalsRowDxfId="36" dataCellStyle="Comma [0]">
      <calculatedColumnFormula array="1">_xlfn.IFS(Table14[[#This Row],[Column4]]="NEW",AVERAGEIFS(Table14[Column4],Table14[Year],Table14[[#This Row],[Year]]),ISNUMBER(Table14[[#This Row],[Column4]]),Table14[[#This Row],[Column4]],Table14[[#This Row],[Column4]]="",H1*(1+Table14[[#This Row],[Ávöxtun]]))</calculatedColumnFormula>
    </tableColumn>
    <tableColumn id="8" xr3:uid="{575D7366-2375-4549-AA41-E2B2386F6EF3}" name="Vigtuð vísitala" dataDxfId="42" totalsRowDxfId="35">
      <calculatedColumnFormula array="1">_xlfn.IFS(Table14[[#This Row],[Column4]]="NEW",_xlfn.XLOOKUP(Table14[[#This Row],[Year]],$M$2:$M$27,$O$2:$O$27),ISNUMBER(Table14[[#This Row],[Column4]]),Table14[[#This Row],[Column4]],Table14[[#This Row],[Column4]]="",I1*(1+Table14[[#This Row],[Ávöxtun]]))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20B5C88-371E-8640-A8CB-B210CADDAD40}" name="Table15" displayName="Table15" ref="A1:I940" totalsRowCount="1">
  <autoFilter ref="A1:I939" xr:uid="{D7DAEA43-AFC1-AD4D-A488-D54C2CD4F3EA}"/>
  <sortState xmlns:xlrd2="http://schemas.microsoft.com/office/spreadsheetml/2017/richdata2" ref="A2:I939">
    <sortCondition ref="A1:A939"/>
  </sortState>
  <tableColumns count="9">
    <tableColumn id="1" xr3:uid="{8E4D3717-F992-DE40-BB28-F66E9B3800FC}" name="Column1" totalsRowLabel="Total"/>
    <tableColumn id="2" xr3:uid="{E8AA3227-F252-184A-8F82-1CED735FE111}" name="Year"/>
    <tableColumn id="3" xr3:uid="{BFD9C2F8-8D9B-5F43-83F8-3DF02584E289}" name="Ávöxtun" dataDxfId="12" totalsRowDxfId="6" dataCellStyle="Per cent"/>
    <tableColumn id="4" xr3:uid="{ADB40A57-2AD1-C94E-BBF4-651FE1527E42}" name="Eignir" totalsRowFunction="sum" totalsRowDxfId="5" dataCellStyle="Comma [0]"/>
    <tableColumn id="9" xr3:uid="{C24FDE1E-568A-E14A-97E9-95ED87806C59}" name="Column2" dataDxfId="11" totalsRowDxfId="4" dataCellStyle="Per cent">
      <calculatedColumnFormula>Table15[[#This Row],[Ávöxtun]]*Table15[[#This Row],[Eignir]]/SUMIFS(Table15[Eignir],Table15[Year],Table15[[#This Row],[Year]])</calculatedColumnFormula>
    </tableColumn>
    <tableColumn id="6" xr3:uid="{03B5220F-D12A-A94F-9426-99F2056CEDD9}" name="Column3" dataDxfId="10" totalsRowDxfId="3" dataCellStyle="Comma [0]">
      <calculatedColumnFormula array="1">IF(B2=1997, 100, IF(COUNTIF(A$2:A2,A1:A2)=1, "NEW", ""))</calculatedColumnFormula>
    </tableColumn>
    <tableColumn id="7" xr3:uid="{BE70C04F-9C9D-7342-84C6-05EA14B965B8}" name="Column4" dataDxfId="9" totalsRowDxfId="2" dataCellStyle="Comma [0]">
      <calculatedColumnFormula array="1">IFERROR(_xlfn.IFS(ISNUMBER(Table15[[#This Row],[Column3]]),Table15[[#This Row],[Column3]],Table15[[#This Row],[Column3]]="NEW",Table15[[#This Row],[Column3]]),"")</calculatedColumnFormula>
    </tableColumn>
    <tableColumn id="5" xr3:uid="{6BA98E7A-EB68-AB4A-9C2B-E39A1B09DBB3}" name="Vísitalan án Eignavigtun" totalsRowFunction="sum" dataDxfId="8" totalsRowDxfId="1" dataCellStyle="Comma [0]">
      <calculatedColumnFormula array="1">_xlfn.IFS(Table15[[#This Row],[Column4]]="NEW",AVERAGEIFS(Table15[Column4],Table15[Year],Table15[[#This Row],[Year]]),ISNUMBER(Table15[[#This Row],[Column4]]),Table15[[#This Row],[Column4]],Table15[[#This Row],[Column4]]="",H1*(1+Table15[[#This Row],[Ávöxtun]]))</calculatedColumnFormula>
    </tableColumn>
    <tableColumn id="8" xr3:uid="{28202EA6-81D9-EB4C-A260-F8A42E10F7CC}" name="Vigtuð vísitala" dataDxfId="7" totalsRowDxfId="0">
      <calculatedColumnFormula array="1">_xlfn.IFS(Table15[[#This Row],[Column4]]="NEW",_xlfn.XLOOKUP(Table15[[#This Row],[Year]]-1,$N$2:$N$27,$P$2:$P$27)*(1+Table15[[#This Row],[Ávöxtun]]),ISNUMBER(Table15[[#This Row],[Column4]]),Table15[[#This Row],[Column4]],Table15[[#This Row],[Column4]]="",I1*(1+Table15[[#This Row],[Ávöxtun]]))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DF123-9E1F-9E41-A8FB-821E6008D9BE}">
  <dimension ref="E3:F29"/>
  <sheetViews>
    <sheetView workbookViewId="0">
      <selection activeCell="E4" sqref="E4"/>
    </sheetView>
  </sheetViews>
  <sheetFormatPr baseColWidth="10" defaultRowHeight="16"/>
  <cols>
    <col min="5" max="5" width="28.1640625" bestFit="1" customWidth="1"/>
  </cols>
  <sheetData>
    <row r="3" spans="5:6">
      <c r="E3" t="s">
        <v>0</v>
      </c>
      <c r="F3" t="s">
        <v>1</v>
      </c>
    </row>
    <row r="5" spans="5:6">
      <c r="E5" s="1">
        <v>26260508</v>
      </c>
      <c r="F5">
        <v>1997</v>
      </c>
    </row>
    <row r="6" spans="5:6">
      <c r="E6" s="1">
        <v>36748088</v>
      </c>
      <c r="F6">
        <v>1998</v>
      </c>
    </row>
    <row r="7" spans="5:6">
      <c r="E7" s="1">
        <v>54817829</v>
      </c>
      <c r="F7">
        <v>1999</v>
      </c>
    </row>
    <row r="8" spans="5:6">
      <c r="E8" s="1">
        <v>76299867</v>
      </c>
      <c r="F8">
        <v>2000</v>
      </c>
    </row>
    <row r="9" spans="5:6">
      <c r="E9" s="1">
        <v>118718257</v>
      </c>
      <c r="F9">
        <v>2001</v>
      </c>
    </row>
    <row r="10" spans="5:6">
      <c r="E10" s="1">
        <v>66982266</v>
      </c>
      <c r="F10">
        <v>2002</v>
      </c>
    </row>
    <row r="11" spans="5:6">
      <c r="E11" s="1">
        <v>73565655</v>
      </c>
      <c r="F11">
        <v>2003</v>
      </c>
    </row>
    <row r="12" spans="5:6">
      <c r="E12" s="1">
        <v>72354700</v>
      </c>
      <c r="F12">
        <v>2004</v>
      </c>
    </row>
    <row r="13" spans="5:6">
      <c r="E13" s="1">
        <v>87006382</v>
      </c>
      <c r="F13">
        <v>2005</v>
      </c>
    </row>
    <row r="14" spans="5:6">
      <c r="E14" s="1">
        <v>96062439</v>
      </c>
      <c r="F14">
        <v>2006</v>
      </c>
    </row>
    <row r="15" spans="5:6">
      <c r="E15" s="1">
        <v>145757886</v>
      </c>
      <c r="F15">
        <v>2007</v>
      </c>
    </row>
    <row r="16" spans="5:6">
      <c r="E16" s="1">
        <v>113452115</v>
      </c>
      <c r="F16">
        <v>2008</v>
      </c>
    </row>
    <row r="17" spans="5:6">
      <c r="E17" s="1">
        <v>107313470</v>
      </c>
      <c r="F17">
        <v>2009</v>
      </c>
    </row>
    <row r="18" spans="5:6">
      <c r="E18" s="1">
        <v>110348926</v>
      </c>
      <c r="F18">
        <v>2010</v>
      </c>
    </row>
    <row r="19" spans="5:6">
      <c r="E19" s="1">
        <v>116971023</v>
      </c>
      <c r="F19">
        <v>2011</v>
      </c>
    </row>
    <row r="20" spans="5:6">
      <c r="E20" s="1">
        <v>124326671</v>
      </c>
      <c r="F20">
        <v>2012</v>
      </c>
    </row>
    <row r="21" spans="5:6">
      <c r="E21" s="1">
        <v>132946616</v>
      </c>
      <c r="F21">
        <v>2013</v>
      </c>
    </row>
    <row r="22" spans="5:6">
      <c r="E22" s="1">
        <v>142764294</v>
      </c>
      <c r="F22">
        <v>2014</v>
      </c>
    </row>
    <row r="23" spans="5:6">
      <c r="E23" s="1">
        <v>162559750</v>
      </c>
      <c r="F23">
        <v>2015</v>
      </c>
    </row>
    <row r="24" spans="5:6">
      <c r="E24" s="1">
        <v>302860891</v>
      </c>
      <c r="F24">
        <v>2016</v>
      </c>
    </row>
    <row r="25" spans="5:6">
      <c r="E25" s="1">
        <v>272742201</v>
      </c>
      <c r="F25">
        <v>2017</v>
      </c>
    </row>
    <row r="26" spans="5:6">
      <c r="E26" s="1">
        <v>244545261</v>
      </c>
      <c r="F26">
        <v>2018</v>
      </c>
    </row>
    <row r="27" spans="5:6">
      <c r="E27" s="1">
        <v>302294666</v>
      </c>
      <c r="F27">
        <v>2019</v>
      </c>
    </row>
    <row r="28" spans="5:6">
      <c r="E28" s="1">
        <v>311556853</v>
      </c>
      <c r="F28">
        <v>2020</v>
      </c>
    </row>
    <row r="29" spans="5:6">
      <c r="E29" s="1">
        <v>338632323</v>
      </c>
      <c r="F29">
        <v>2021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C9784-2221-DA41-8952-FC99FB7207C1}">
  <dimension ref="A2:K86"/>
  <sheetViews>
    <sheetView topLeftCell="A8" workbookViewId="0">
      <selection activeCell="F58" sqref="F58"/>
    </sheetView>
  </sheetViews>
  <sheetFormatPr baseColWidth="10" defaultRowHeight="16"/>
  <cols>
    <col min="4" max="4" width="14.83203125" customWidth="1"/>
    <col min="5" max="5" width="14" bestFit="1" customWidth="1"/>
    <col min="6" max="6" width="23" bestFit="1" customWidth="1"/>
    <col min="10" max="10" width="11.5" bestFit="1" customWidth="1"/>
  </cols>
  <sheetData>
    <row r="2" spans="1:11">
      <c r="C2" t="s">
        <v>4</v>
      </c>
      <c r="D2" t="s">
        <v>3</v>
      </c>
      <c r="E2" t="s">
        <v>2</v>
      </c>
      <c r="F2" t="s">
        <v>43</v>
      </c>
    </row>
    <row r="3" spans="1:11">
      <c r="A3" s="8">
        <f>B3-D3</f>
        <v>3.7999999942258E-2</v>
      </c>
      <c r="B3">
        <v>593979.03799999994</v>
      </c>
      <c r="C3">
        <v>1997</v>
      </c>
      <c r="D3" s="1">
        <f>J3</f>
        <v>593979</v>
      </c>
      <c r="E3">
        <f t="shared" ref="E3:E27" si="0">I3</f>
        <v>55</v>
      </c>
      <c r="F3" s="1">
        <f>D3*'VIS01004 (2)'!C5</f>
        <v>1679775.2315325248</v>
      </c>
      <c r="H3">
        <v>1997</v>
      </c>
      <c r="I3">
        <v>55</v>
      </c>
      <c r="J3" s="1">
        <v>593979</v>
      </c>
      <c r="K3" s="8"/>
    </row>
    <row r="4" spans="1:11">
      <c r="A4" s="8"/>
      <c r="C4">
        <v>1998</v>
      </c>
      <c r="D4" s="1">
        <f t="shared" ref="D4:D27" si="1">J4</f>
        <v>651021</v>
      </c>
      <c r="E4">
        <f t="shared" si="0"/>
        <v>56</v>
      </c>
      <c r="F4" s="1">
        <f>D4*'VIS01004 (2)'!C6</f>
        <v>1818039.0473598258</v>
      </c>
      <c r="H4">
        <v>1998</v>
      </c>
      <c r="I4">
        <v>56</v>
      </c>
      <c r="J4" s="1">
        <v>651021</v>
      </c>
      <c r="K4" s="8"/>
    </row>
    <row r="5" spans="1:11">
      <c r="A5" s="8"/>
      <c r="C5">
        <v>1999</v>
      </c>
      <c r="D5" s="1">
        <f t="shared" si="1"/>
        <v>760427</v>
      </c>
      <c r="E5">
        <f t="shared" si="0"/>
        <v>60</v>
      </c>
      <c r="F5" s="1">
        <f>D5*'VIS01004 (2)'!C7</f>
        <v>2010819.8505154639</v>
      </c>
      <c r="H5">
        <v>1999</v>
      </c>
      <c r="I5">
        <v>60</v>
      </c>
      <c r="J5" s="1">
        <v>760427</v>
      </c>
      <c r="K5" s="8"/>
    </row>
    <row r="6" spans="1:11">
      <c r="A6" s="8"/>
      <c r="C6">
        <v>2000</v>
      </c>
      <c r="D6" s="1">
        <f t="shared" si="1"/>
        <v>1105611</v>
      </c>
      <c r="E6">
        <f t="shared" si="0"/>
        <v>70</v>
      </c>
      <c r="F6" s="1">
        <f>D6*'VIS01004 (2)'!C8</f>
        <v>2806424.7550717471</v>
      </c>
      <c r="H6">
        <v>2000</v>
      </c>
      <c r="I6">
        <v>70</v>
      </c>
      <c r="J6" s="1">
        <v>1105611</v>
      </c>
      <c r="K6" s="8"/>
    </row>
    <row r="7" spans="1:11">
      <c r="A7" s="8">
        <f t="shared" ref="A7" si="2">B7-D7</f>
        <v>0.36899999994784594</v>
      </c>
      <c r="B7" s="1">
        <v>1787962.3689999999</v>
      </c>
      <c r="C7">
        <v>2001</v>
      </c>
      <c r="D7" s="1">
        <f t="shared" si="1"/>
        <v>1787962</v>
      </c>
      <c r="E7">
        <f t="shared" si="0"/>
        <v>85</v>
      </c>
      <c r="F7" s="1">
        <f>D7*'VIS01004 (2)'!C9</f>
        <v>4178699.3439635537</v>
      </c>
      <c r="H7">
        <v>2001</v>
      </c>
      <c r="I7">
        <v>85</v>
      </c>
      <c r="J7" s="1">
        <v>1787962</v>
      </c>
      <c r="K7" s="8"/>
    </row>
    <row r="8" spans="1:11">
      <c r="A8" s="8"/>
      <c r="C8">
        <v>2002</v>
      </c>
      <c r="D8" s="1">
        <f t="shared" si="1"/>
        <v>1069692</v>
      </c>
      <c r="E8">
        <f t="shared" si="0"/>
        <v>60</v>
      </c>
      <c r="F8" s="1">
        <f>D8*'VIS01004 (2)'!C10</f>
        <v>2450879.8392139347</v>
      </c>
      <c r="H8">
        <v>2002</v>
      </c>
      <c r="I8">
        <v>60</v>
      </c>
      <c r="J8" s="1">
        <v>1069692</v>
      </c>
      <c r="K8" s="8"/>
    </row>
    <row r="9" spans="1:11">
      <c r="A9" s="8"/>
      <c r="C9">
        <v>2003</v>
      </c>
      <c r="D9" s="1">
        <f t="shared" si="1"/>
        <v>1179816</v>
      </c>
      <c r="E9">
        <f t="shared" si="0"/>
        <v>59</v>
      </c>
      <c r="F9" s="1">
        <f>D9*'VIS01004 (2)'!C11</f>
        <v>2631502.6434782608</v>
      </c>
      <c r="H9">
        <v>2003</v>
      </c>
      <c r="I9">
        <v>59</v>
      </c>
      <c r="J9" s="1">
        <v>1179816</v>
      </c>
      <c r="K9" s="8"/>
    </row>
    <row r="10" spans="1:11">
      <c r="A10" s="8"/>
      <c r="C10">
        <v>2004</v>
      </c>
      <c r="D10" s="1">
        <f t="shared" si="1"/>
        <v>1306019</v>
      </c>
      <c r="E10">
        <f t="shared" si="0"/>
        <v>54</v>
      </c>
      <c r="F10" s="1">
        <f>D10*'VIS01004 (2)'!C12</f>
        <v>2803296.0125523014</v>
      </c>
      <c r="H10">
        <v>2004</v>
      </c>
      <c r="I10">
        <v>54</v>
      </c>
      <c r="J10" s="1">
        <v>1306019</v>
      </c>
      <c r="K10" s="8"/>
    </row>
    <row r="11" spans="1:11">
      <c r="A11" s="8"/>
      <c r="C11">
        <v>2005</v>
      </c>
      <c r="D11" s="1">
        <f t="shared" si="1"/>
        <v>1413770</v>
      </c>
      <c r="E11">
        <f t="shared" si="0"/>
        <v>52</v>
      </c>
      <c r="F11" s="1">
        <f>D11*'VIS01004 (2)'!C13</f>
        <v>2913877.0992366415</v>
      </c>
      <c r="H11">
        <v>2005</v>
      </c>
      <c r="I11">
        <v>52</v>
      </c>
      <c r="J11" s="1">
        <v>1413770</v>
      </c>
      <c r="K11" s="8"/>
    </row>
    <row r="12" spans="1:11">
      <c r="A12" s="8"/>
      <c r="C12">
        <v>2006</v>
      </c>
      <c r="D12" s="1">
        <f t="shared" si="1"/>
        <v>1520446</v>
      </c>
      <c r="E12">
        <f t="shared" si="0"/>
        <v>48</v>
      </c>
      <c r="F12" s="1">
        <f>D12*'VIS01004 (2)'!C14</f>
        <v>2930085.6423741551</v>
      </c>
      <c r="H12">
        <v>2006</v>
      </c>
      <c r="I12">
        <v>48</v>
      </c>
      <c r="J12" s="1">
        <v>1520446</v>
      </c>
      <c r="K12" s="8"/>
    </row>
    <row r="13" spans="1:11">
      <c r="A13" s="8"/>
      <c r="C13">
        <v>2007</v>
      </c>
      <c r="D13" s="1">
        <f t="shared" si="1"/>
        <v>1617769</v>
      </c>
      <c r="E13">
        <f t="shared" si="0"/>
        <v>43</v>
      </c>
      <c r="F13" s="1">
        <f>D13*'VIS01004 (2)'!C15</f>
        <v>2945051.4442867278</v>
      </c>
      <c r="H13">
        <v>2007</v>
      </c>
      <c r="I13">
        <v>43</v>
      </c>
      <c r="J13" s="1">
        <v>1617769</v>
      </c>
      <c r="K13" s="8"/>
    </row>
    <row r="14" spans="1:11">
      <c r="A14" s="8"/>
      <c r="C14">
        <v>2008</v>
      </c>
      <c r="D14" s="1">
        <f t="shared" si="1"/>
        <v>1720242</v>
      </c>
      <c r="E14">
        <f t="shared" si="0"/>
        <v>42</v>
      </c>
      <c r="F14" s="1">
        <f>D14*'VIS01004 (2)'!C16</f>
        <v>2691320.9698078684</v>
      </c>
      <c r="H14">
        <v>2008</v>
      </c>
      <c r="I14">
        <v>42</v>
      </c>
      <c r="J14" s="1">
        <v>1720242</v>
      </c>
      <c r="K14" s="8"/>
    </row>
    <row r="15" spans="1:11">
      <c r="A15" s="8"/>
      <c r="C15">
        <v>2009</v>
      </c>
      <c r="D15" s="1">
        <f t="shared" si="1"/>
        <v>1882747</v>
      </c>
      <c r="E15">
        <f t="shared" si="0"/>
        <v>40</v>
      </c>
      <c r="F15" s="1">
        <f>D15*'VIS01004 (2)'!C17</f>
        <v>2711536.2464907356</v>
      </c>
      <c r="H15">
        <v>2009</v>
      </c>
      <c r="I15">
        <v>40</v>
      </c>
      <c r="J15" s="1">
        <v>1882747</v>
      </c>
      <c r="K15" s="8"/>
    </row>
    <row r="16" spans="1:11">
      <c r="A16" s="8"/>
      <c r="C16">
        <v>2010</v>
      </c>
      <c r="D16" s="1">
        <f t="shared" si="1"/>
        <v>2033991</v>
      </c>
      <c r="E16">
        <f t="shared" si="0"/>
        <v>36</v>
      </c>
      <c r="F16" s="1">
        <f>D16*'VIS01004 (2)'!C18</f>
        <v>2854821.8413132695</v>
      </c>
      <c r="H16">
        <v>2010</v>
      </c>
      <c r="I16">
        <v>36</v>
      </c>
      <c r="J16" s="1">
        <v>2033991</v>
      </c>
      <c r="K16" s="8"/>
    </row>
    <row r="17" spans="1:11">
      <c r="A17" s="8"/>
      <c r="C17">
        <v>2011</v>
      </c>
      <c r="D17" s="1">
        <f t="shared" si="1"/>
        <v>2632935</v>
      </c>
      <c r="E17">
        <f t="shared" si="0"/>
        <v>36</v>
      </c>
      <c r="F17" s="1">
        <f>D17*'VIS01004 (2)'!C19</f>
        <v>3511949.1809672383</v>
      </c>
      <c r="H17">
        <v>2011</v>
      </c>
      <c r="I17">
        <v>36</v>
      </c>
      <c r="J17" s="1">
        <v>2632935</v>
      </c>
      <c r="K17" s="8"/>
    </row>
    <row r="18" spans="1:11">
      <c r="A18" s="8"/>
      <c r="C18">
        <v>2012</v>
      </c>
      <c r="D18" s="1">
        <f t="shared" si="1"/>
        <v>2538522</v>
      </c>
      <c r="E18">
        <f t="shared" si="0"/>
        <v>35</v>
      </c>
      <c r="F18" s="1">
        <f>D18*'VIS01004 (2)'!C20</f>
        <v>3239457.1791044776</v>
      </c>
      <c r="H18">
        <v>2012</v>
      </c>
      <c r="I18">
        <v>35</v>
      </c>
      <c r="J18" s="1">
        <v>2538522</v>
      </c>
      <c r="K18" s="8"/>
    </row>
    <row r="19" spans="1:11">
      <c r="A19" s="8"/>
      <c r="C19">
        <v>2013</v>
      </c>
      <c r="D19" s="1">
        <f t="shared" si="1"/>
        <v>2707234</v>
      </c>
      <c r="E19">
        <f t="shared" si="0"/>
        <v>31</v>
      </c>
      <c r="F19" s="1">
        <f>D19*'VIS01004 (2)'!C21</f>
        <v>3332879.8704103674</v>
      </c>
      <c r="H19">
        <v>2013</v>
      </c>
      <c r="I19">
        <v>31</v>
      </c>
      <c r="J19" s="1">
        <v>2707234</v>
      </c>
      <c r="K19" s="8"/>
    </row>
    <row r="20" spans="1:11">
      <c r="A20" s="8"/>
      <c r="C20">
        <v>2014</v>
      </c>
      <c r="D20" s="1">
        <f t="shared" si="1"/>
        <v>2918879</v>
      </c>
      <c r="E20">
        <f t="shared" si="0"/>
        <v>31</v>
      </c>
      <c r="F20" s="1">
        <f>D20*'VIS01004 (2)'!C22</f>
        <v>3556733.7933491687</v>
      </c>
      <c r="H20">
        <v>2014</v>
      </c>
      <c r="I20">
        <v>31</v>
      </c>
      <c r="J20" s="1">
        <v>2918879</v>
      </c>
      <c r="K20" s="8"/>
    </row>
    <row r="21" spans="1:11">
      <c r="A21" s="8"/>
      <c r="B21" t="s">
        <v>44</v>
      </c>
      <c r="C21">
        <v>2015</v>
      </c>
      <c r="D21" s="1">
        <f t="shared" si="1"/>
        <v>3506095</v>
      </c>
      <c r="E21">
        <f t="shared" si="0"/>
        <v>30</v>
      </c>
      <c r="F21" s="1">
        <f>D21*'VIS01004 (2)'!C23</f>
        <v>4188697.5663716816</v>
      </c>
      <c r="H21">
        <v>2015</v>
      </c>
      <c r="I21">
        <v>30</v>
      </c>
      <c r="J21" s="1">
        <v>3506095</v>
      </c>
      <c r="K21" s="8"/>
    </row>
    <row r="22" spans="1:11">
      <c r="A22" s="8">
        <f>B22+D22</f>
        <v>-0.44000000040978193</v>
      </c>
      <c r="B22" s="9">
        <v>-5634792.4400000004</v>
      </c>
      <c r="C22">
        <v>2016</v>
      </c>
      <c r="D22" s="1">
        <f t="shared" si="1"/>
        <v>5634792</v>
      </c>
      <c r="E22">
        <f t="shared" si="0"/>
        <v>29</v>
      </c>
      <c r="F22" s="1">
        <f>D22*'VIS01004 (2)'!C24</f>
        <v>6593632.0620437963</v>
      </c>
      <c r="H22">
        <v>2016</v>
      </c>
      <c r="I22">
        <v>29</v>
      </c>
      <c r="J22" s="1">
        <v>5634792</v>
      </c>
      <c r="K22" s="8"/>
    </row>
    <row r="23" spans="1:11">
      <c r="B23" s="10">
        <v>6179900.159</v>
      </c>
      <c r="C23">
        <v>2017</v>
      </c>
      <c r="D23" s="1">
        <f t="shared" si="1"/>
        <v>6179900</v>
      </c>
      <c r="E23">
        <f t="shared" si="0"/>
        <v>28</v>
      </c>
      <c r="F23" s="1">
        <f>D23*'VIS01004 (2)'!C25</f>
        <v>7108270.6278026914</v>
      </c>
      <c r="H23">
        <v>2017</v>
      </c>
      <c r="I23">
        <v>28</v>
      </c>
      <c r="J23" s="1">
        <v>6179900</v>
      </c>
      <c r="K23" s="8"/>
    </row>
    <row r="24" spans="1:11">
      <c r="B24" s="9">
        <v>6803110.4689999996</v>
      </c>
      <c r="C24">
        <v>2018</v>
      </c>
      <c r="D24" s="1">
        <f t="shared" si="1"/>
        <v>6803111</v>
      </c>
      <c r="E24">
        <f t="shared" si="0"/>
        <v>25</v>
      </c>
      <c r="F24" s="1">
        <f>D24*'VIS01004 (2)'!C26</f>
        <v>7578709.9739413681</v>
      </c>
      <c r="H24">
        <v>2018</v>
      </c>
      <c r="I24">
        <v>25</v>
      </c>
      <c r="J24" s="1">
        <v>6803111</v>
      </c>
      <c r="K24" s="8"/>
    </row>
    <row r="25" spans="1:11">
      <c r="C25">
        <v>2019</v>
      </c>
      <c r="D25" s="1">
        <f t="shared" si="1"/>
        <v>7092384</v>
      </c>
      <c r="E25">
        <f t="shared" si="0"/>
        <v>25</v>
      </c>
      <c r="F25" s="1">
        <f>D25*'VIS01004 (2)'!C27</f>
        <v>7695416.6497461917</v>
      </c>
      <c r="H25">
        <v>2019</v>
      </c>
      <c r="I25">
        <v>25</v>
      </c>
      <c r="J25" s="1">
        <v>7092384</v>
      </c>
      <c r="K25" s="8"/>
    </row>
    <row r="26" spans="1:11">
      <c r="C26">
        <v>2020</v>
      </c>
      <c r="D26" s="1">
        <f t="shared" si="1"/>
        <v>7669156</v>
      </c>
      <c r="E26">
        <f t="shared" si="0"/>
        <v>25</v>
      </c>
      <c r="F26" s="1">
        <f>D26*'VIS01004 (2)'!C28</f>
        <v>8040623.3966891477</v>
      </c>
      <c r="H26">
        <v>2020</v>
      </c>
      <c r="I26">
        <v>25</v>
      </c>
      <c r="J26" s="1">
        <v>7669156</v>
      </c>
      <c r="K26" s="8"/>
    </row>
    <row r="27" spans="1:11">
      <c r="C27">
        <v>2021</v>
      </c>
      <c r="D27" s="1">
        <f t="shared" si="1"/>
        <v>8214369</v>
      </c>
      <c r="E27">
        <f t="shared" si="0"/>
        <v>25</v>
      </c>
      <c r="F27" s="1">
        <f>D27*'VIS01004 (2)'!C29</f>
        <v>8214369</v>
      </c>
      <c r="H27">
        <v>2021</v>
      </c>
      <c r="I27">
        <v>25</v>
      </c>
      <c r="J27" s="1">
        <v>8214369</v>
      </c>
      <c r="K27" s="8"/>
    </row>
    <row r="30" spans="1:11">
      <c r="E30" s="8">
        <f>D27*1000</f>
        <v>8214369000</v>
      </c>
    </row>
    <row r="32" spans="1:11">
      <c r="C32" t="s">
        <v>1</v>
      </c>
      <c r="D32" t="s">
        <v>46</v>
      </c>
      <c r="E32" t="s">
        <v>45</v>
      </c>
      <c r="G32" t="s">
        <v>47</v>
      </c>
      <c r="H32" t="s">
        <v>48</v>
      </c>
    </row>
    <row r="33" spans="3:8">
      <c r="C33">
        <v>1997</v>
      </c>
      <c r="D33">
        <v>55</v>
      </c>
      <c r="E33" s="1">
        <v>335666</v>
      </c>
      <c r="F33" s="8">
        <f>E33*'VIS01004 (2)'!C5</f>
        <v>949264.92833517084</v>
      </c>
      <c r="G33" t="s">
        <v>49</v>
      </c>
      <c r="H33" t="s">
        <v>51</v>
      </c>
    </row>
    <row r="34" spans="3:8">
      <c r="C34">
        <v>1998</v>
      </c>
      <c r="D34">
        <v>56</v>
      </c>
      <c r="E34" s="1">
        <v>443512</v>
      </c>
      <c r="F34" s="8">
        <f>E34*'VIS01004 (2)'!C6</f>
        <v>1238550.1143168209</v>
      </c>
      <c r="G34" t="s">
        <v>49</v>
      </c>
      <c r="H34" t="s">
        <v>51</v>
      </c>
    </row>
    <row r="35" spans="3:8">
      <c r="C35">
        <v>1999</v>
      </c>
      <c r="D35">
        <v>60</v>
      </c>
      <c r="E35" s="1">
        <v>598527</v>
      </c>
      <c r="F35" s="8">
        <f>E35*'VIS01004 (2)'!C7</f>
        <v>1582702.8402061856</v>
      </c>
      <c r="G35" t="s">
        <v>49</v>
      </c>
      <c r="H35" t="s">
        <v>51</v>
      </c>
    </row>
    <row r="36" spans="3:8">
      <c r="C36">
        <v>2000</v>
      </c>
      <c r="D36">
        <v>70</v>
      </c>
      <c r="E36" s="1">
        <v>911446</v>
      </c>
      <c r="F36" s="8">
        <f>E36*'VIS01004 (2)'!C8</f>
        <v>2313566.5413161805</v>
      </c>
      <c r="G36" t="s">
        <v>49</v>
      </c>
      <c r="H36" t="s">
        <v>51</v>
      </c>
    </row>
    <row r="37" spans="3:8">
      <c r="C37">
        <v>2001</v>
      </c>
      <c r="D37">
        <v>85</v>
      </c>
      <c r="E37" s="1">
        <v>1399186</v>
      </c>
      <c r="F37" s="8">
        <f>E37*'VIS01004 (2)'!C9</f>
        <v>3270079.3530751709</v>
      </c>
      <c r="G37" t="s">
        <v>49</v>
      </c>
      <c r="H37" t="s">
        <v>51</v>
      </c>
    </row>
    <row r="38" spans="3:8">
      <c r="C38">
        <v>2002</v>
      </c>
      <c r="D38">
        <v>60</v>
      </c>
      <c r="E38" s="1">
        <v>943350</v>
      </c>
      <c r="F38" s="8">
        <f>E38*'VIS01004 (2)'!C10</f>
        <v>2161404.8682447523</v>
      </c>
      <c r="G38" t="s">
        <v>49</v>
      </c>
      <c r="H38" t="s">
        <v>51</v>
      </c>
    </row>
    <row r="39" spans="3:8">
      <c r="C39">
        <v>2003</v>
      </c>
      <c r="D39">
        <v>59</v>
      </c>
      <c r="E39" s="1">
        <v>1122923</v>
      </c>
      <c r="F39" s="8">
        <f>E39*'VIS01004 (2)'!C11</f>
        <v>2504606.517391304</v>
      </c>
      <c r="G39" t="s">
        <v>49</v>
      </c>
      <c r="H39" t="s">
        <v>51</v>
      </c>
    </row>
    <row r="40" spans="3:8">
      <c r="C40">
        <v>2004</v>
      </c>
      <c r="D40">
        <v>54</v>
      </c>
      <c r="E40" s="1">
        <v>1387098</v>
      </c>
      <c r="F40" s="8">
        <f>E40*'VIS01004 (2)'!C12</f>
        <v>2977327.5062761507</v>
      </c>
      <c r="G40" t="s">
        <v>49</v>
      </c>
      <c r="H40" t="s">
        <v>51</v>
      </c>
    </row>
    <row r="41" spans="3:8">
      <c r="C41">
        <v>2005</v>
      </c>
      <c r="D41">
        <v>52</v>
      </c>
      <c r="E41" s="1">
        <v>1604165</v>
      </c>
      <c r="F41" s="8">
        <f>E41*'VIS01004 (2)'!C13</f>
        <v>3306294.2748091603</v>
      </c>
      <c r="G41" t="s">
        <v>49</v>
      </c>
      <c r="H41" t="s">
        <v>51</v>
      </c>
    </row>
    <row r="42" spans="3:8">
      <c r="C42">
        <v>2006</v>
      </c>
      <c r="D42">
        <v>48</v>
      </c>
      <c r="E42" s="1">
        <v>1569844</v>
      </c>
      <c r="F42" s="8">
        <f>E42*'VIS01004 (2)'!C14</f>
        <v>3025281.6378662661</v>
      </c>
      <c r="G42" t="s">
        <v>49</v>
      </c>
      <c r="H42" t="s">
        <v>51</v>
      </c>
    </row>
    <row r="43" spans="3:8">
      <c r="C43">
        <v>2007</v>
      </c>
      <c r="D43">
        <v>43</v>
      </c>
      <c r="E43" s="1">
        <v>1699490</v>
      </c>
      <c r="F43" s="8">
        <f>E43*'VIS01004 (2)'!C15</f>
        <v>3093819.6238466995</v>
      </c>
      <c r="G43" t="s">
        <v>49</v>
      </c>
      <c r="H43" t="s">
        <v>51</v>
      </c>
    </row>
    <row r="44" spans="3:8">
      <c r="C44">
        <v>2008</v>
      </c>
      <c r="D44">
        <v>42</v>
      </c>
      <c r="E44" s="1">
        <v>1326313</v>
      </c>
      <c r="F44" s="8">
        <f>E44*'VIS01004 (2)'!C16</f>
        <v>2075018.5086916746</v>
      </c>
      <c r="G44" t="s">
        <v>49</v>
      </c>
      <c r="H44" t="s">
        <v>51</v>
      </c>
    </row>
    <row r="45" spans="3:8">
      <c r="C45">
        <v>2009</v>
      </c>
      <c r="D45">
        <v>40</v>
      </c>
      <c r="E45" s="1">
        <v>1532653</v>
      </c>
      <c r="F45" s="8">
        <f>E45*'VIS01004 (2)'!C17</f>
        <v>2207330.1207186976</v>
      </c>
      <c r="G45" t="s">
        <v>49</v>
      </c>
      <c r="H45" t="s">
        <v>51</v>
      </c>
    </row>
    <row r="46" spans="3:8">
      <c r="C46">
        <v>2010</v>
      </c>
      <c r="D46">
        <v>36</v>
      </c>
      <c r="E46" s="1">
        <v>1634576</v>
      </c>
      <c r="F46" s="8">
        <f>E46*'VIS01004 (2)'!C18</f>
        <v>2294220.2134062927</v>
      </c>
      <c r="G46" t="s">
        <v>49</v>
      </c>
      <c r="H46" t="s">
        <v>51</v>
      </c>
    </row>
    <row r="47" spans="3:8">
      <c r="C47">
        <v>2011</v>
      </c>
      <c r="D47">
        <v>36</v>
      </c>
      <c r="E47" s="1">
        <v>2026478</v>
      </c>
      <c r="F47" s="8">
        <f>E47*'VIS01004 (2)'!C19</f>
        <v>2703024.4773790948</v>
      </c>
      <c r="G47" t="s">
        <v>49</v>
      </c>
      <c r="H47" t="s">
        <v>51</v>
      </c>
    </row>
    <row r="48" spans="3:8">
      <c r="C48">
        <v>2012</v>
      </c>
      <c r="D48">
        <v>35</v>
      </c>
      <c r="E48" s="1">
        <v>2293375</v>
      </c>
      <c r="F48" s="8">
        <f>E48*'VIS01004 (2)'!C20</f>
        <v>2926620.3358208956</v>
      </c>
      <c r="G48" t="s">
        <v>49</v>
      </c>
      <c r="H48" t="s">
        <v>51</v>
      </c>
    </row>
    <row r="49" spans="3:8">
      <c r="C49">
        <v>2013</v>
      </c>
      <c r="D49">
        <v>31</v>
      </c>
      <c r="E49" s="1">
        <v>2643428</v>
      </c>
      <c r="F49" s="8">
        <f>E49*'VIS01004 (2)'!C21</f>
        <v>3254328.207343413</v>
      </c>
      <c r="G49" t="s">
        <v>49</v>
      </c>
      <c r="H49" t="s">
        <v>51</v>
      </c>
    </row>
    <row r="50" spans="3:8">
      <c r="C50">
        <v>2014</v>
      </c>
      <c r="D50">
        <v>31</v>
      </c>
      <c r="E50" s="1">
        <v>2681823</v>
      </c>
      <c r="F50" s="8">
        <f>E50*'VIS01004 (2)'!C22</f>
        <v>3267874.5819477434</v>
      </c>
      <c r="G50" t="s">
        <v>49</v>
      </c>
      <c r="H50" t="s">
        <v>51</v>
      </c>
    </row>
    <row r="51" spans="3:8">
      <c r="C51" s="11">
        <v>2015</v>
      </c>
      <c r="D51" s="11">
        <v>30</v>
      </c>
      <c r="E51" s="12">
        <v>3642899</v>
      </c>
      <c r="F51" s="8">
        <f>E51*'VIS01004 (2)'!C23</f>
        <v>4352135.9734513275</v>
      </c>
      <c r="G51" s="11" t="s">
        <v>49</v>
      </c>
      <c r="H51" s="11" t="s">
        <v>51</v>
      </c>
    </row>
    <row r="52" spans="3:8">
      <c r="C52">
        <v>2016</v>
      </c>
      <c r="D52">
        <v>29</v>
      </c>
      <c r="E52" s="1">
        <v>1478981</v>
      </c>
      <c r="F52" s="8">
        <f>E52*'VIS01004 (2)'!C24</f>
        <v>1730650.6683394162</v>
      </c>
      <c r="G52" t="s">
        <v>50</v>
      </c>
      <c r="H52" t="s">
        <v>49</v>
      </c>
    </row>
    <row r="53" spans="3:8">
      <c r="C53">
        <v>2017</v>
      </c>
      <c r="D53">
        <v>28</v>
      </c>
      <c r="E53" s="1">
        <v>1226207</v>
      </c>
      <c r="F53" s="8">
        <f>E53*'VIS01004 (2)'!C25</f>
        <v>1410412.9843049329</v>
      </c>
      <c r="G53" t="s">
        <v>50</v>
      </c>
      <c r="H53" t="s">
        <v>49</v>
      </c>
    </row>
    <row r="54" spans="3:8">
      <c r="C54">
        <v>2018</v>
      </c>
      <c r="D54">
        <v>25</v>
      </c>
      <c r="E54" s="1">
        <v>1477989</v>
      </c>
      <c r="F54" s="8">
        <f>E54*'VIS01004 (2)'!C26</f>
        <v>1646489.3745928339</v>
      </c>
      <c r="G54" t="s">
        <v>50</v>
      </c>
      <c r="H54" t="s">
        <v>49</v>
      </c>
    </row>
    <row r="55" spans="3:8">
      <c r="C55">
        <v>2019</v>
      </c>
      <c r="D55">
        <v>25</v>
      </c>
      <c r="E55" s="1">
        <v>1852907</v>
      </c>
      <c r="F55" s="8">
        <f>E55*'VIS01004 (2)'!C27</f>
        <v>2010451.1230964465</v>
      </c>
      <c r="G55" t="s">
        <v>50</v>
      </c>
      <c r="H55" t="s">
        <v>49</v>
      </c>
    </row>
    <row r="56" spans="3:8">
      <c r="C56">
        <v>2020</v>
      </c>
      <c r="D56">
        <v>25</v>
      </c>
      <c r="E56" s="1">
        <v>2104780</v>
      </c>
      <c r="F56" s="8">
        <f>E56*'VIS01004 (2)'!C28</f>
        <v>2206728.2648681789</v>
      </c>
      <c r="G56" t="s">
        <v>50</v>
      </c>
      <c r="H56" t="s">
        <v>49</v>
      </c>
    </row>
    <row r="57" spans="3:8">
      <c r="C57">
        <v>2021</v>
      </c>
      <c r="D57">
        <v>25</v>
      </c>
      <c r="E57" s="1">
        <v>2288036</v>
      </c>
      <c r="F57" s="8">
        <f>E57*'VIS01004 (2)'!C29</f>
        <v>2288036</v>
      </c>
      <c r="G57" t="s">
        <v>50</v>
      </c>
      <c r="H57" t="s">
        <v>49</v>
      </c>
    </row>
    <row r="61" spans="3:8">
      <c r="C61" t="s">
        <v>1</v>
      </c>
      <c r="D61" t="s">
        <v>52</v>
      </c>
    </row>
    <row r="62" spans="3:8">
      <c r="C62">
        <v>1997</v>
      </c>
      <c r="D62" s="8">
        <f>F33+F3</f>
        <v>2629040.1598676955</v>
      </c>
    </row>
    <row r="63" spans="3:8">
      <c r="C63">
        <v>1998</v>
      </c>
      <c r="D63" s="8">
        <f t="shared" ref="D63:D86" si="3">F34+F4</f>
        <v>3056589.1616766467</v>
      </c>
    </row>
    <row r="64" spans="3:8">
      <c r="C64">
        <v>1999</v>
      </c>
      <c r="D64" s="8">
        <f t="shared" si="3"/>
        <v>3593522.6907216497</v>
      </c>
    </row>
    <row r="65" spans="3:4">
      <c r="C65">
        <v>2000</v>
      </c>
      <c r="D65" s="8">
        <f t="shared" si="3"/>
        <v>5119991.2963879276</v>
      </c>
    </row>
    <row r="66" spans="3:4">
      <c r="C66">
        <v>2001</v>
      </c>
      <c r="D66" s="8">
        <f t="shared" si="3"/>
        <v>7448778.697038725</v>
      </c>
    </row>
    <row r="67" spans="3:4">
      <c r="C67">
        <v>2002</v>
      </c>
      <c r="D67" s="8">
        <f t="shared" si="3"/>
        <v>4612284.707458687</v>
      </c>
    </row>
    <row r="68" spans="3:4">
      <c r="C68">
        <v>2003</v>
      </c>
      <c r="D68" s="8">
        <f t="shared" si="3"/>
        <v>5136109.1608695649</v>
      </c>
    </row>
    <row r="69" spans="3:4">
      <c r="C69">
        <v>2004</v>
      </c>
      <c r="D69" s="8">
        <f t="shared" si="3"/>
        <v>5780623.5188284516</v>
      </c>
    </row>
    <row r="70" spans="3:4">
      <c r="C70">
        <v>2005</v>
      </c>
      <c r="D70" s="8">
        <f t="shared" si="3"/>
        <v>6220171.3740458023</v>
      </c>
    </row>
    <row r="71" spans="3:4">
      <c r="C71">
        <v>2006</v>
      </c>
      <c r="D71" s="8">
        <f t="shared" si="3"/>
        <v>5955367.2802404212</v>
      </c>
    </row>
    <row r="72" spans="3:4">
      <c r="C72">
        <v>2007</v>
      </c>
      <c r="D72" s="8">
        <f t="shared" si="3"/>
        <v>6038871.0681334268</v>
      </c>
    </row>
    <row r="73" spans="3:4">
      <c r="C73">
        <v>2008</v>
      </c>
      <c r="D73" s="8">
        <f t="shared" si="3"/>
        <v>4766339.4784995429</v>
      </c>
    </row>
    <row r="74" spans="3:4">
      <c r="C74">
        <v>2009</v>
      </c>
      <c r="D74" s="8">
        <f t="shared" si="3"/>
        <v>4918866.3672094326</v>
      </c>
    </row>
    <row r="75" spans="3:4">
      <c r="C75">
        <v>2010</v>
      </c>
      <c r="D75" s="8">
        <f t="shared" si="3"/>
        <v>5149042.0547195617</v>
      </c>
    </row>
    <row r="76" spans="3:4">
      <c r="C76">
        <v>2011</v>
      </c>
      <c r="D76" s="8">
        <f t="shared" si="3"/>
        <v>6214973.6583463326</v>
      </c>
    </row>
    <row r="77" spans="3:4">
      <c r="C77">
        <v>2012</v>
      </c>
      <c r="D77" s="8">
        <f t="shared" si="3"/>
        <v>6166077.5149253737</v>
      </c>
    </row>
    <row r="78" spans="3:4">
      <c r="C78">
        <v>2013</v>
      </c>
      <c r="D78" s="8">
        <f t="shared" si="3"/>
        <v>6587208.0777537804</v>
      </c>
    </row>
    <row r="79" spans="3:4">
      <c r="C79">
        <v>2014</v>
      </c>
      <c r="D79" s="8">
        <f t="shared" si="3"/>
        <v>6824608.3752969122</v>
      </c>
    </row>
    <row r="80" spans="3:4">
      <c r="C80" s="11">
        <v>2015</v>
      </c>
      <c r="D80" s="8">
        <f t="shared" si="3"/>
        <v>8540833.5398230087</v>
      </c>
    </row>
    <row r="81" spans="3:4">
      <c r="C81">
        <v>2016</v>
      </c>
      <c r="D81" s="8">
        <f t="shared" si="3"/>
        <v>8324282.7303832127</v>
      </c>
    </row>
    <row r="82" spans="3:4">
      <c r="C82">
        <v>2017</v>
      </c>
      <c r="D82" s="8">
        <f t="shared" si="3"/>
        <v>8518683.6121076234</v>
      </c>
    </row>
    <row r="83" spans="3:4">
      <c r="C83">
        <v>2018</v>
      </c>
      <c r="D83" s="8">
        <f t="shared" si="3"/>
        <v>9225199.3485342022</v>
      </c>
    </row>
    <row r="84" spans="3:4">
      <c r="C84">
        <v>2019</v>
      </c>
      <c r="D84" s="8">
        <f t="shared" si="3"/>
        <v>9705867.7728426382</v>
      </c>
    </row>
    <row r="85" spans="3:4">
      <c r="C85">
        <v>2020</v>
      </c>
      <c r="D85" s="8">
        <f t="shared" si="3"/>
        <v>10247351.661557326</v>
      </c>
    </row>
    <row r="86" spans="3:4">
      <c r="C86">
        <v>2021</v>
      </c>
      <c r="D86" s="8">
        <f t="shared" si="3"/>
        <v>10502405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05809-6E0F-014A-872A-960F794110E8}">
  <dimension ref="A1:E965"/>
  <sheetViews>
    <sheetView workbookViewId="0">
      <selection activeCell="H7" sqref="H7"/>
    </sheetView>
  </sheetViews>
  <sheetFormatPr baseColWidth="10" defaultRowHeight="16"/>
  <cols>
    <col min="1" max="1" width="47.33203125" bestFit="1" customWidth="1"/>
    <col min="3" max="3" width="27.83203125" style="14" bestFit="1" customWidth="1"/>
  </cols>
  <sheetData>
    <row r="1" spans="1:5">
      <c r="A1" t="s">
        <v>53</v>
      </c>
      <c r="B1">
        <v>2019</v>
      </c>
      <c r="C1" s="14">
        <v>3.05</v>
      </c>
      <c r="D1" s="15">
        <f>IF(B1&lt;2006,C1*100,C1)</f>
        <v>3.05</v>
      </c>
      <c r="E1">
        <v>100</v>
      </c>
    </row>
    <row r="2" spans="1:5">
      <c r="A2" t="s">
        <v>53</v>
      </c>
      <c r="B2">
        <v>2020</v>
      </c>
      <c r="C2" s="14">
        <v>14.85</v>
      </c>
      <c r="D2" s="15">
        <f t="shared" ref="D2:D65" si="0">IF(B2&lt;2006,C2*100,C2)</f>
        <v>14.85</v>
      </c>
      <c r="E2">
        <f>IF(COUNTIF($A$1:$A1, A2) = 0, 100, E1*(1+D2*0.01))</f>
        <v>114.85000000000001</v>
      </c>
    </row>
    <row r="3" spans="1:5">
      <c r="A3" t="s">
        <v>53</v>
      </c>
      <c r="B3">
        <v>2021</v>
      </c>
      <c r="C3" s="14">
        <v>-6.85</v>
      </c>
      <c r="D3" s="15">
        <f t="shared" si="0"/>
        <v>-6.85</v>
      </c>
      <c r="E3">
        <f>IF(COUNTIF($A$1:$A2, A3) = 0, 100, E2*(1+D3*0.01))</f>
        <v>106.982775</v>
      </c>
    </row>
    <row r="4" spans="1:5">
      <c r="A4" t="s">
        <v>54</v>
      </c>
      <c r="B4">
        <v>2003</v>
      </c>
      <c r="C4" s="14">
        <v>0.11</v>
      </c>
      <c r="D4" s="15">
        <f t="shared" si="0"/>
        <v>11</v>
      </c>
      <c r="E4">
        <f>IF(COUNTIF($A$1:$A3, A4) = 0, 100, E3*(1+D4*0.01))</f>
        <v>100</v>
      </c>
    </row>
    <row r="5" spans="1:5">
      <c r="A5" t="s">
        <v>54</v>
      </c>
      <c r="B5">
        <v>2004</v>
      </c>
      <c r="C5" s="14">
        <v>7.0000000000000007E-2</v>
      </c>
      <c r="D5" s="15">
        <f t="shared" si="0"/>
        <v>7.0000000000000009</v>
      </c>
      <c r="E5">
        <f>IF(COUNTIF($A$1:$A4, A5) = 0, 100, E4*(1+D5*0.01))</f>
        <v>107</v>
      </c>
    </row>
    <row r="6" spans="1:5">
      <c r="A6" t="s">
        <v>54</v>
      </c>
      <c r="B6">
        <v>2005</v>
      </c>
      <c r="C6" s="14">
        <v>0.08</v>
      </c>
      <c r="D6" s="15">
        <f t="shared" si="0"/>
        <v>8</v>
      </c>
      <c r="E6">
        <f>IF(COUNTIF($A$1:$A5, A6) = 0, 100, E5*(1+D6*0.01))</f>
        <v>115.56</v>
      </c>
    </row>
    <row r="7" spans="1:5">
      <c r="A7" t="s">
        <v>54</v>
      </c>
      <c r="B7">
        <v>2006</v>
      </c>
      <c r="C7" s="14">
        <v>9.14</v>
      </c>
      <c r="D7" s="15">
        <f t="shared" si="0"/>
        <v>9.14</v>
      </c>
      <c r="E7">
        <f>IF(COUNTIF($A$1:$A6, A7) = 0, 100, E6*(1+D7*0.01))</f>
        <v>126.12218399999999</v>
      </c>
    </row>
    <row r="8" spans="1:5">
      <c r="A8" t="s">
        <v>54</v>
      </c>
      <c r="B8">
        <v>2007</v>
      </c>
      <c r="C8" s="14">
        <v>0.12</v>
      </c>
      <c r="D8" s="15">
        <f t="shared" si="0"/>
        <v>0.12</v>
      </c>
      <c r="E8">
        <f>IF(COUNTIF($A$1:$A7, A8) = 0, 100, E7*(1+D8*0.01))</f>
        <v>126.2735306208</v>
      </c>
    </row>
    <row r="9" spans="1:5">
      <c r="A9" t="s">
        <v>54</v>
      </c>
      <c r="B9">
        <v>2008</v>
      </c>
      <c r="C9" s="14">
        <v>-21.53</v>
      </c>
      <c r="D9" s="15">
        <f t="shared" si="0"/>
        <v>-21.53</v>
      </c>
      <c r="E9">
        <f>IF(COUNTIF($A$1:$A8, A9) = 0, 100, E8*(1+D9*0.01))</f>
        <v>99.086839478141755</v>
      </c>
    </row>
    <row r="10" spans="1:5">
      <c r="A10" t="s">
        <v>54</v>
      </c>
      <c r="B10">
        <v>2009</v>
      </c>
      <c r="C10" s="14">
        <v>-1.1599999999999999</v>
      </c>
      <c r="D10" s="15">
        <f t="shared" si="0"/>
        <v>-1.1599999999999999</v>
      </c>
      <c r="E10">
        <f>IF(COUNTIF($A$1:$A9, A10) = 0, 100, E9*(1+D10*0.01))</f>
        <v>97.937432140195298</v>
      </c>
    </row>
    <row r="11" spans="1:5">
      <c r="A11" t="s">
        <v>54</v>
      </c>
      <c r="B11">
        <v>2010</v>
      </c>
      <c r="C11" s="14">
        <v>3.6</v>
      </c>
      <c r="D11" s="15">
        <f t="shared" si="0"/>
        <v>3.6</v>
      </c>
      <c r="E11">
        <f>IF(COUNTIF($A$1:$A10, A11) = 0, 100, E10*(1+D11*0.01))</f>
        <v>101.46317969724234</v>
      </c>
    </row>
    <row r="12" spans="1:5">
      <c r="A12" t="s">
        <v>54</v>
      </c>
      <c r="B12">
        <v>2011</v>
      </c>
      <c r="C12" s="14">
        <v>2.84</v>
      </c>
      <c r="D12" s="15">
        <f t="shared" si="0"/>
        <v>2.84</v>
      </c>
      <c r="E12">
        <f>IF(COUNTIF($A$1:$A11, A12) = 0, 100, E11*(1+D12*0.01))</f>
        <v>104.34473400064402</v>
      </c>
    </row>
    <row r="13" spans="1:5">
      <c r="A13" t="s">
        <v>54</v>
      </c>
      <c r="B13">
        <v>2012</v>
      </c>
      <c r="C13" s="14">
        <v>6.24</v>
      </c>
      <c r="D13" s="15">
        <f t="shared" si="0"/>
        <v>6.24</v>
      </c>
      <c r="E13">
        <f>IF(COUNTIF($A$1:$A12, A13) = 0, 100, E12*(1+D13*0.01))</f>
        <v>110.85584540228422</v>
      </c>
    </row>
    <row r="14" spans="1:5">
      <c r="A14" t="s">
        <v>54</v>
      </c>
      <c r="B14">
        <v>2013</v>
      </c>
      <c r="C14" s="14">
        <v>2.09</v>
      </c>
      <c r="D14" s="15">
        <f t="shared" si="0"/>
        <v>2.09</v>
      </c>
      <c r="E14">
        <f>IF(COUNTIF($A$1:$A13, A14) = 0, 100, E13*(1+D14*0.01))</f>
        <v>113.17273257119194</v>
      </c>
    </row>
    <row r="15" spans="1:5">
      <c r="A15" t="s">
        <v>54</v>
      </c>
      <c r="B15">
        <v>2014</v>
      </c>
      <c r="C15" s="14">
        <v>4.46</v>
      </c>
      <c r="D15" s="15">
        <f t="shared" si="0"/>
        <v>4.46</v>
      </c>
      <c r="E15">
        <f>IF(COUNTIF($A$1:$A14, A15) = 0, 100, E14*(1+D15*0.01))</f>
        <v>118.22023644386709</v>
      </c>
    </row>
    <row r="16" spans="1:5">
      <c r="A16" t="s">
        <v>54</v>
      </c>
      <c r="B16">
        <v>2015</v>
      </c>
      <c r="C16" s="14">
        <v>4.5599999999999996</v>
      </c>
      <c r="D16" s="15">
        <f t="shared" si="0"/>
        <v>4.5599999999999996</v>
      </c>
      <c r="E16">
        <f>IF(COUNTIF($A$1:$A15, A16) = 0, 100, E15*(1+D16*0.01))</f>
        <v>123.61107922570744</v>
      </c>
    </row>
    <row r="17" spans="1:5">
      <c r="A17" t="s">
        <v>54</v>
      </c>
      <c r="B17">
        <v>2016</v>
      </c>
      <c r="C17" s="14">
        <v>0.96</v>
      </c>
      <c r="D17" s="15">
        <f t="shared" si="0"/>
        <v>0.96</v>
      </c>
      <c r="E17">
        <f>IF(COUNTIF($A$1:$A16, A17) = 0, 100, E16*(1+D17*0.01))</f>
        <v>124.79774558627425</v>
      </c>
    </row>
    <row r="18" spans="1:5">
      <c r="A18" t="s">
        <v>54</v>
      </c>
      <c r="B18">
        <v>2017</v>
      </c>
      <c r="C18" s="14">
        <v>5.5</v>
      </c>
      <c r="D18" s="15">
        <f t="shared" si="0"/>
        <v>5.5</v>
      </c>
      <c r="E18">
        <f>IF(COUNTIF($A$1:$A17, A18) = 0, 100, E17*(1+D18*0.01))</f>
        <v>131.66162159351933</v>
      </c>
    </row>
    <row r="19" spans="1:5">
      <c r="A19" t="s">
        <v>54</v>
      </c>
      <c r="B19">
        <v>2018</v>
      </c>
      <c r="C19" s="14">
        <v>2</v>
      </c>
      <c r="D19" s="15">
        <f t="shared" si="0"/>
        <v>2</v>
      </c>
      <c r="E19">
        <f>IF(COUNTIF($A$1:$A18, A19) = 0, 100, E18*(1+D19*0.01))</f>
        <v>134.29485402538972</v>
      </c>
    </row>
    <row r="20" spans="1:5">
      <c r="A20" t="s">
        <v>54</v>
      </c>
      <c r="B20">
        <v>2019</v>
      </c>
      <c r="C20" s="14">
        <v>6.76</v>
      </c>
      <c r="D20" s="15">
        <f t="shared" si="0"/>
        <v>6.76</v>
      </c>
      <c r="E20">
        <f>IF(COUNTIF($A$1:$A19, A20) = 0, 100, E19*(1+D20*0.01))</f>
        <v>143.3731861575061</v>
      </c>
    </row>
    <row r="21" spans="1:5">
      <c r="A21" t="s">
        <v>54</v>
      </c>
      <c r="B21">
        <v>2020</v>
      </c>
      <c r="C21" s="14">
        <v>4.93</v>
      </c>
      <c r="D21" s="15">
        <f t="shared" si="0"/>
        <v>4.93</v>
      </c>
      <c r="E21">
        <f>IF(COUNTIF($A$1:$A20, A21) = 0, 100, E20*(1+D21*0.01))</f>
        <v>150.44148423507113</v>
      </c>
    </row>
    <row r="22" spans="1:5">
      <c r="A22" t="s">
        <v>54</v>
      </c>
      <c r="B22">
        <v>2021</v>
      </c>
      <c r="C22" s="14">
        <v>4.8899999999999997</v>
      </c>
      <c r="D22" s="15">
        <f t="shared" si="0"/>
        <v>4.8899999999999997</v>
      </c>
      <c r="E22">
        <f>IF(COUNTIF($A$1:$A21, A22) = 0, 100, E21*(1+D22*0.01))</f>
        <v>157.79807281416609</v>
      </c>
    </row>
    <row r="23" spans="1:5">
      <c r="A23" t="s">
        <v>55</v>
      </c>
      <c r="B23">
        <v>1997</v>
      </c>
      <c r="C23" s="14">
        <v>0.06</v>
      </c>
      <c r="D23" s="15">
        <f t="shared" si="0"/>
        <v>6</v>
      </c>
      <c r="E23">
        <f>IF(COUNTIF($A$1:$A22, A23) = 0, 100, E22*(1+D23*0.01))</f>
        <v>100</v>
      </c>
    </row>
    <row r="24" spans="1:5">
      <c r="A24" t="s">
        <v>55</v>
      </c>
      <c r="B24">
        <v>1999</v>
      </c>
      <c r="C24" s="14">
        <v>0.08</v>
      </c>
      <c r="D24" s="15">
        <f t="shared" si="0"/>
        <v>8</v>
      </c>
      <c r="E24">
        <f>IF(COUNTIF($A$1:$A23, A24) = 0, 100, E23*(1+D24*0.01))</f>
        <v>108</v>
      </c>
    </row>
    <row r="25" spans="1:5">
      <c r="A25" t="s">
        <v>55</v>
      </c>
      <c r="B25">
        <v>2000</v>
      </c>
      <c r="C25" s="14">
        <v>-0.03</v>
      </c>
      <c r="D25" s="15">
        <f t="shared" si="0"/>
        <v>-3</v>
      </c>
      <c r="E25">
        <f>IF(COUNTIF($A$1:$A24, A25) = 0, 100, E24*(1+D25*0.01))</f>
        <v>104.75999999999999</v>
      </c>
    </row>
    <row r="26" spans="1:5">
      <c r="A26" t="s">
        <v>55</v>
      </c>
      <c r="B26">
        <v>2001</v>
      </c>
      <c r="C26" s="14">
        <v>0</v>
      </c>
      <c r="D26" s="15">
        <f t="shared" si="0"/>
        <v>0</v>
      </c>
      <c r="E26">
        <f>IF(COUNTIF($A$1:$A25, A26) = 0, 100, E25*(1+D26*0.01))</f>
        <v>104.75999999999999</v>
      </c>
    </row>
    <row r="27" spans="1:5">
      <c r="A27" t="s">
        <v>55</v>
      </c>
      <c r="B27">
        <v>2002</v>
      </c>
      <c r="C27" s="14">
        <v>-0.04</v>
      </c>
      <c r="D27" s="15">
        <f t="shared" si="0"/>
        <v>-4</v>
      </c>
      <c r="E27">
        <f>IF(COUNTIF($A$1:$A26, A27) = 0, 100, E26*(1+D27*0.01))</f>
        <v>100.56959999999999</v>
      </c>
    </row>
    <row r="28" spans="1:5">
      <c r="A28" t="s">
        <v>56</v>
      </c>
      <c r="B28">
        <v>2019</v>
      </c>
      <c r="C28" s="14">
        <v>9.81</v>
      </c>
      <c r="D28" s="15">
        <f t="shared" si="0"/>
        <v>9.81</v>
      </c>
      <c r="E28">
        <f>IF(COUNTIF($A$1:$A27, A28) = 0, 100, E27*(1+D28*0.01))</f>
        <v>100</v>
      </c>
    </row>
    <row r="29" spans="1:5">
      <c r="A29" t="s">
        <v>56</v>
      </c>
      <c r="B29">
        <v>2020</v>
      </c>
      <c r="C29" s="14">
        <v>8.09</v>
      </c>
      <c r="D29" s="15">
        <f t="shared" si="0"/>
        <v>8.09</v>
      </c>
      <c r="E29">
        <f>IF(COUNTIF($A$1:$A28, A29) = 0, 100, E28*(1+D29*0.01))</f>
        <v>108.09</v>
      </c>
    </row>
    <row r="30" spans="1:5">
      <c r="A30" t="s">
        <v>56</v>
      </c>
      <c r="B30">
        <v>2021</v>
      </c>
      <c r="C30" s="14">
        <v>7.63</v>
      </c>
      <c r="D30" s="15">
        <f t="shared" si="0"/>
        <v>7.63</v>
      </c>
      <c r="E30">
        <f>IF(COUNTIF($A$1:$A29, A30) = 0, 100, E29*(1+D30*0.01))</f>
        <v>116.33726700000001</v>
      </c>
    </row>
    <row r="31" spans="1:5">
      <c r="A31" t="s">
        <v>57</v>
      </c>
      <c r="B31">
        <v>2019</v>
      </c>
      <c r="C31" s="14">
        <v>3</v>
      </c>
      <c r="D31" s="15">
        <f t="shared" si="0"/>
        <v>3</v>
      </c>
      <c r="E31">
        <f>IF(COUNTIF($A$1:$A30, A31) = 0, 100, E30*(1+D31*0.01))</f>
        <v>100</v>
      </c>
    </row>
    <row r="32" spans="1:5">
      <c r="A32" t="s">
        <v>57</v>
      </c>
      <c r="B32">
        <v>2020</v>
      </c>
      <c r="C32" s="14">
        <v>3</v>
      </c>
      <c r="D32" s="15">
        <f t="shared" si="0"/>
        <v>3</v>
      </c>
      <c r="E32">
        <f>IF(COUNTIF($A$1:$A31, A32) = 0, 100, E31*(1+D32*0.01))</f>
        <v>103</v>
      </c>
    </row>
    <row r="33" spans="1:5">
      <c r="A33" t="s">
        <v>57</v>
      </c>
      <c r="B33">
        <v>2021</v>
      </c>
      <c r="C33" s="14">
        <v>2.8</v>
      </c>
      <c r="D33" s="15">
        <f t="shared" si="0"/>
        <v>2.8</v>
      </c>
      <c r="E33">
        <f>IF(COUNTIF($A$1:$A32, A33) = 0, 100, E32*(1+D33*0.01))</f>
        <v>105.884</v>
      </c>
    </row>
    <row r="34" spans="1:5">
      <c r="A34" t="s">
        <v>58</v>
      </c>
      <c r="B34">
        <v>2016</v>
      </c>
      <c r="C34" s="14">
        <v>0.87</v>
      </c>
      <c r="D34" s="15">
        <f t="shared" si="0"/>
        <v>0.87</v>
      </c>
      <c r="E34">
        <f>IF(COUNTIF($A$1:$A33, A34) = 0, 100, E33*(1+D34*0.01))</f>
        <v>100</v>
      </c>
    </row>
    <row r="35" spans="1:5">
      <c r="A35" t="s">
        <v>58</v>
      </c>
      <c r="B35">
        <v>2017</v>
      </c>
      <c r="C35" s="14">
        <v>3.42</v>
      </c>
      <c r="D35" s="15">
        <f t="shared" si="0"/>
        <v>3.42</v>
      </c>
      <c r="E35">
        <f>IF(COUNTIF($A$1:$A34, A35) = 0, 100, E34*(1+D35*0.01))</f>
        <v>103.42</v>
      </c>
    </row>
    <row r="36" spans="1:5">
      <c r="A36" t="s">
        <v>58</v>
      </c>
      <c r="B36">
        <v>2018</v>
      </c>
      <c r="C36" s="14">
        <v>0.6</v>
      </c>
      <c r="D36" s="15">
        <f t="shared" si="0"/>
        <v>0.6</v>
      </c>
      <c r="E36">
        <f>IF(COUNTIF($A$1:$A35, A36) = 0, 100, E35*(1+D36*0.01))</f>
        <v>104.04052</v>
      </c>
    </row>
    <row r="37" spans="1:5">
      <c r="A37" t="s">
        <v>58</v>
      </c>
      <c r="B37">
        <v>2019</v>
      </c>
      <c r="C37" s="14">
        <v>8.3699999999999992</v>
      </c>
      <c r="D37" s="15">
        <f t="shared" si="0"/>
        <v>8.3699999999999992</v>
      </c>
      <c r="E37">
        <f>IF(COUNTIF($A$1:$A36, A37) = 0, 100, E36*(1+D37*0.01))</f>
        <v>112.74871152399999</v>
      </c>
    </row>
    <row r="38" spans="1:5">
      <c r="A38" t="s">
        <v>58</v>
      </c>
      <c r="B38">
        <v>2020</v>
      </c>
      <c r="C38" s="14">
        <v>6.39</v>
      </c>
      <c r="D38" s="15">
        <f t="shared" si="0"/>
        <v>6.39</v>
      </c>
      <c r="E38">
        <f>IF(COUNTIF($A$1:$A37, A38) = 0, 100, E37*(1+D38*0.01))</f>
        <v>119.95335419038359</v>
      </c>
    </row>
    <row r="39" spans="1:5">
      <c r="A39" t="s">
        <v>58</v>
      </c>
      <c r="B39">
        <v>2021</v>
      </c>
      <c r="C39" s="14">
        <v>5.9</v>
      </c>
      <c r="D39" s="15">
        <f t="shared" si="0"/>
        <v>5.9</v>
      </c>
      <c r="E39">
        <f>IF(COUNTIF($A$1:$A38, A39) = 0, 100, E38*(1+D39*0.01))</f>
        <v>127.03060208761622</v>
      </c>
    </row>
    <row r="40" spans="1:5">
      <c r="A40" t="s">
        <v>59</v>
      </c>
      <c r="B40">
        <v>2017</v>
      </c>
      <c r="C40" s="14">
        <v>5.5</v>
      </c>
      <c r="D40" s="15">
        <f t="shared" si="0"/>
        <v>5.5</v>
      </c>
      <c r="E40">
        <f>IF(COUNTIF($A$1:$A39, A40) = 0, 100, E39*(1+D40*0.01))</f>
        <v>100</v>
      </c>
    </row>
    <row r="41" spans="1:5">
      <c r="A41" t="s">
        <v>59</v>
      </c>
      <c r="B41">
        <v>2018</v>
      </c>
      <c r="C41" s="14">
        <v>2.4700000000000002</v>
      </c>
      <c r="D41" s="15">
        <f t="shared" si="0"/>
        <v>2.4700000000000002</v>
      </c>
      <c r="E41">
        <f>IF(COUNTIF($A$1:$A40, A41) = 0, 100, E40*(1+D41*0.01))</f>
        <v>102.47</v>
      </c>
    </row>
    <row r="42" spans="1:5">
      <c r="A42" t="s">
        <v>59</v>
      </c>
      <c r="B42">
        <v>2019</v>
      </c>
      <c r="C42" s="14">
        <v>7.53</v>
      </c>
      <c r="D42" s="15">
        <f t="shared" si="0"/>
        <v>7.53</v>
      </c>
      <c r="E42">
        <f>IF(COUNTIF($A$1:$A41, A42) = 0, 100, E41*(1+D42*0.01))</f>
        <v>110.18599099999999</v>
      </c>
    </row>
    <row r="43" spans="1:5">
      <c r="A43" t="s">
        <v>59</v>
      </c>
      <c r="B43">
        <v>2020</v>
      </c>
      <c r="C43" s="14">
        <v>6.93</v>
      </c>
      <c r="D43" s="15">
        <f t="shared" si="0"/>
        <v>6.93</v>
      </c>
      <c r="E43">
        <f>IF(COUNTIF($A$1:$A42, A43) = 0, 100, E42*(1+D43*0.01))</f>
        <v>117.82188017629997</v>
      </c>
    </row>
    <row r="44" spans="1:5">
      <c r="A44" t="s">
        <v>59</v>
      </c>
      <c r="B44">
        <v>2021</v>
      </c>
      <c r="C44" s="14">
        <v>8.3000000000000007</v>
      </c>
      <c r="D44" s="15">
        <f t="shared" si="0"/>
        <v>8.3000000000000007</v>
      </c>
      <c r="E44">
        <f>IF(COUNTIF($A$1:$A43, A44) = 0, 100, E43*(1+D44*0.01))</f>
        <v>127.60109623093287</v>
      </c>
    </row>
    <row r="45" spans="1:5">
      <c r="A45" t="s">
        <v>60</v>
      </c>
      <c r="B45">
        <v>1997</v>
      </c>
      <c r="C45" s="14">
        <v>0.05</v>
      </c>
      <c r="D45" s="15">
        <f t="shared" si="0"/>
        <v>5</v>
      </c>
      <c r="E45">
        <f>IF(COUNTIF($A$1:$A44, A45) = 0, 100, E44*(1+D45*0.01))</f>
        <v>100</v>
      </c>
    </row>
    <row r="46" spans="1:5">
      <c r="A46" t="s">
        <v>61</v>
      </c>
      <c r="B46">
        <v>1997</v>
      </c>
      <c r="C46" s="14">
        <v>7.0000000000000007E-2</v>
      </c>
      <c r="D46" s="15">
        <f t="shared" si="0"/>
        <v>7.0000000000000009</v>
      </c>
      <c r="E46">
        <f>IF(COUNTIF($A$1:$A45, A46) = 0, 100, E45*(1+D46*0.01))</f>
        <v>100</v>
      </c>
    </row>
    <row r="47" spans="1:5">
      <c r="A47" t="s">
        <v>61</v>
      </c>
      <c r="B47">
        <v>1998</v>
      </c>
      <c r="C47" s="14">
        <v>7.0000000000000007E-2</v>
      </c>
      <c r="D47" s="15">
        <f t="shared" si="0"/>
        <v>7.0000000000000009</v>
      </c>
      <c r="E47">
        <f>IF(COUNTIF($A$1:$A46, A47) = 0, 100, E46*(1+D47*0.01))</f>
        <v>107</v>
      </c>
    </row>
    <row r="48" spans="1:5">
      <c r="A48" t="s">
        <v>61</v>
      </c>
      <c r="B48">
        <v>1999</v>
      </c>
      <c r="C48" s="14">
        <v>0.08</v>
      </c>
      <c r="D48" s="15">
        <f t="shared" si="0"/>
        <v>8</v>
      </c>
      <c r="E48">
        <f>IF(COUNTIF($A$1:$A47, A48) = 0, 100, E47*(1+D48*0.01))</f>
        <v>115.56</v>
      </c>
    </row>
    <row r="49" spans="1:5">
      <c r="A49" t="s">
        <v>61</v>
      </c>
      <c r="B49">
        <v>2000</v>
      </c>
      <c r="C49" s="14">
        <v>-0.02</v>
      </c>
      <c r="D49" s="15">
        <f t="shared" si="0"/>
        <v>-2</v>
      </c>
      <c r="E49">
        <f>IF(COUNTIF($A$1:$A48, A49) = 0, 100, E48*(1+D49*0.01))</f>
        <v>113.2488</v>
      </c>
    </row>
    <row r="50" spans="1:5">
      <c r="A50" t="s">
        <v>61</v>
      </c>
      <c r="B50">
        <v>2001</v>
      </c>
      <c r="C50" s="14">
        <v>-0.08</v>
      </c>
      <c r="D50" s="15">
        <f t="shared" si="0"/>
        <v>-8</v>
      </c>
      <c r="E50">
        <f>IF(COUNTIF($A$1:$A49, A50) = 0, 100, E49*(1+D50*0.01))</f>
        <v>104.18889600000001</v>
      </c>
    </row>
    <row r="51" spans="1:5">
      <c r="A51" t="s">
        <v>61</v>
      </c>
      <c r="B51">
        <v>2002</v>
      </c>
      <c r="C51" s="14">
        <v>0.03</v>
      </c>
      <c r="D51" s="15">
        <f t="shared" si="0"/>
        <v>3</v>
      </c>
      <c r="E51">
        <f>IF(COUNTIF($A$1:$A50, A51) = 0, 100, E50*(1+D51*0.01))</f>
        <v>107.31456288000001</v>
      </c>
    </row>
    <row r="52" spans="1:5">
      <c r="A52" t="s">
        <v>61</v>
      </c>
      <c r="B52">
        <v>2003</v>
      </c>
      <c r="C52" s="14">
        <v>7.0000000000000007E-2</v>
      </c>
      <c r="D52" s="15">
        <f t="shared" si="0"/>
        <v>7.0000000000000009</v>
      </c>
      <c r="E52">
        <f>IF(COUNTIF($A$1:$A51, A52) = 0, 100, E51*(1+D52*0.01))</f>
        <v>114.82658228160003</v>
      </c>
    </row>
    <row r="53" spans="1:5">
      <c r="A53" t="s">
        <v>61</v>
      </c>
      <c r="B53">
        <v>2004</v>
      </c>
      <c r="C53" s="14">
        <v>0.06</v>
      </c>
      <c r="D53" s="15">
        <f t="shared" si="0"/>
        <v>6</v>
      </c>
      <c r="E53">
        <f>IF(COUNTIF($A$1:$A52, A53) = 0, 100, E52*(1+D53*0.01))</f>
        <v>121.71617721849603</v>
      </c>
    </row>
    <row r="54" spans="1:5">
      <c r="A54" t="s">
        <v>61</v>
      </c>
      <c r="B54">
        <v>2005</v>
      </c>
      <c r="C54" s="14">
        <v>0.08</v>
      </c>
      <c r="D54" s="15">
        <f t="shared" si="0"/>
        <v>8</v>
      </c>
      <c r="E54">
        <f>IF(COUNTIF($A$1:$A53, A54) = 0, 100, E53*(1+D54*0.01))</f>
        <v>131.45347139597573</v>
      </c>
    </row>
    <row r="55" spans="1:5">
      <c r="A55" t="s">
        <v>61</v>
      </c>
      <c r="B55">
        <v>2006</v>
      </c>
      <c r="C55" s="14">
        <v>6.04</v>
      </c>
      <c r="D55" s="15">
        <f t="shared" si="0"/>
        <v>6.04</v>
      </c>
      <c r="E55">
        <f>IF(COUNTIF($A$1:$A54, A55) = 0, 100, E54*(1+D55*0.01))</f>
        <v>139.39326106829267</v>
      </c>
    </row>
    <row r="56" spans="1:5">
      <c r="A56" t="s">
        <v>61</v>
      </c>
      <c r="B56">
        <v>2007</v>
      </c>
      <c r="C56" s="14">
        <v>9.8000000000000007</v>
      </c>
      <c r="D56" s="15">
        <f t="shared" si="0"/>
        <v>9.8000000000000007</v>
      </c>
      <c r="E56">
        <f>IF(COUNTIF($A$1:$A55, A56) = 0, 100, E55*(1+D56*0.01))</f>
        <v>153.05380065298536</v>
      </c>
    </row>
    <row r="57" spans="1:5">
      <c r="A57" t="s">
        <v>61</v>
      </c>
      <c r="B57">
        <v>2008</v>
      </c>
      <c r="C57" s="14">
        <v>-10.31</v>
      </c>
      <c r="D57" s="15">
        <f t="shared" si="0"/>
        <v>-10.31</v>
      </c>
      <c r="E57">
        <f>IF(COUNTIF($A$1:$A56, A57) = 0, 100, E56*(1+D57*0.01))</f>
        <v>137.27395380566259</v>
      </c>
    </row>
    <row r="58" spans="1:5">
      <c r="A58" t="s">
        <v>61</v>
      </c>
      <c r="B58">
        <v>2009</v>
      </c>
      <c r="C58" s="14">
        <v>5.18</v>
      </c>
      <c r="D58" s="15">
        <f t="shared" si="0"/>
        <v>5.18</v>
      </c>
      <c r="E58">
        <f>IF(COUNTIF($A$1:$A57, A58) = 0, 100, E57*(1+D58*0.01))</f>
        <v>144.38474461279591</v>
      </c>
    </row>
    <row r="59" spans="1:5">
      <c r="A59" t="s">
        <v>62</v>
      </c>
      <c r="B59">
        <v>1997</v>
      </c>
      <c r="C59" s="14">
        <v>0.06</v>
      </c>
      <c r="D59" s="15">
        <f t="shared" si="0"/>
        <v>6</v>
      </c>
      <c r="E59">
        <f>IF(COUNTIF($A$1:$A58, A59) = 0, 100, E58*(1+D59*0.01))</f>
        <v>100</v>
      </c>
    </row>
    <row r="60" spans="1:5">
      <c r="A60" t="s">
        <v>62</v>
      </c>
      <c r="B60">
        <v>1998</v>
      </c>
      <c r="C60" s="14">
        <v>0.1</v>
      </c>
      <c r="D60" s="15">
        <f t="shared" si="0"/>
        <v>10</v>
      </c>
      <c r="E60">
        <f>IF(COUNTIF($A$1:$A59, A60) = 0, 100, E59*(1+D60*0.01))</f>
        <v>110.00000000000001</v>
      </c>
    </row>
    <row r="61" spans="1:5">
      <c r="A61" t="s">
        <v>62</v>
      </c>
      <c r="B61">
        <v>1999</v>
      </c>
      <c r="C61" s="14">
        <v>0.06</v>
      </c>
      <c r="D61" s="15">
        <f t="shared" si="0"/>
        <v>6</v>
      </c>
      <c r="E61">
        <f>IF(COUNTIF($A$1:$A60, A61) = 0, 100, E60*(1+D61*0.01))</f>
        <v>116.60000000000002</v>
      </c>
    </row>
    <row r="62" spans="1:5">
      <c r="A62" t="s">
        <v>62</v>
      </c>
      <c r="B62">
        <v>2000</v>
      </c>
      <c r="C62" s="14">
        <v>-0.03</v>
      </c>
      <c r="D62" s="15">
        <f t="shared" si="0"/>
        <v>-3</v>
      </c>
      <c r="E62">
        <f>IF(COUNTIF($A$1:$A61, A62) = 0, 100, E61*(1+D62*0.01))</f>
        <v>113.10200000000002</v>
      </c>
    </row>
    <row r="63" spans="1:5">
      <c r="A63" t="s">
        <v>62</v>
      </c>
      <c r="B63">
        <v>2001</v>
      </c>
      <c r="C63" s="14">
        <v>-0.01</v>
      </c>
      <c r="D63" s="15">
        <f t="shared" si="0"/>
        <v>-1</v>
      </c>
      <c r="E63">
        <f>IF(COUNTIF($A$1:$A62, A63) = 0, 100, E62*(1+D63*0.01))</f>
        <v>111.97098000000001</v>
      </c>
    </row>
    <row r="64" spans="1:5">
      <c r="A64" t="s">
        <v>62</v>
      </c>
      <c r="B64">
        <v>2002</v>
      </c>
      <c r="C64" s="14">
        <v>-0.03</v>
      </c>
      <c r="D64" s="15">
        <f t="shared" si="0"/>
        <v>-3</v>
      </c>
      <c r="E64">
        <f>IF(COUNTIF($A$1:$A63, A64) = 0, 100, E63*(1+D64*0.01))</f>
        <v>108.61185060000001</v>
      </c>
    </row>
    <row r="65" spans="1:5">
      <c r="A65" t="s">
        <v>62</v>
      </c>
      <c r="B65">
        <v>2003</v>
      </c>
      <c r="C65" s="14">
        <v>0.09</v>
      </c>
      <c r="D65" s="15">
        <f t="shared" si="0"/>
        <v>9</v>
      </c>
      <c r="E65">
        <f>IF(COUNTIF($A$1:$A64, A65) = 0, 100, E64*(1+D65*0.01))</f>
        <v>118.38691715400002</v>
      </c>
    </row>
    <row r="66" spans="1:5">
      <c r="A66" t="s">
        <v>62</v>
      </c>
      <c r="B66">
        <v>2004</v>
      </c>
      <c r="C66" s="14">
        <v>0.09</v>
      </c>
      <c r="D66" s="15">
        <f t="shared" ref="D66:D129" si="1">IF(B66&lt;2006,C66*100,C66)</f>
        <v>9</v>
      </c>
      <c r="E66">
        <f>IF(COUNTIF($A$1:$A65, A66) = 0, 100, E65*(1+D66*0.01))</f>
        <v>129.04173969786004</v>
      </c>
    </row>
    <row r="67" spans="1:5">
      <c r="A67" t="s">
        <v>62</v>
      </c>
      <c r="B67">
        <v>2005</v>
      </c>
      <c r="C67" s="14">
        <v>0.01</v>
      </c>
      <c r="D67" s="15">
        <f t="shared" si="1"/>
        <v>1</v>
      </c>
      <c r="E67">
        <f>IF(COUNTIF($A$1:$A66, A67) = 0, 100, E66*(1+D67*0.01))</f>
        <v>130.33215709483864</v>
      </c>
    </row>
    <row r="68" spans="1:5">
      <c r="A68" t="s">
        <v>63</v>
      </c>
      <c r="B68">
        <v>2006</v>
      </c>
      <c r="C68" s="14">
        <v>1.25</v>
      </c>
      <c r="D68" s="15">
        <f t="shared" si="1"/>
        <v>1.25</v>
      </c>
      <c r="E68">
        <f>IF(COUNTIF($A$1:$A67, A68) = 0, 100, E67*(1+D68*0.01))</f>
        <v>100</v>
      </c>
    </row>
    <row r="69" spans="1:5">
      <c r="A69" t="s">
        <v>63</v>
      </c>
      <c r="B69">
        <v>2007</v>
      </c>
      <c r="C69" s="14">
        <v>-0.51</v>
      </c>
      <c r="D69" s="15">
        <f t="shared" si="1"/>
        <v>-0.51</v>
      </c>
      <c r="E69">
        <f>IF(COUNTIF($A$1:$A68, A69) = 0, 100, E68*(1+D69*0.01))</f>
        <v>99.49</v>
      </c>
    </row>
    <row r="70" spans="1:5">
      <c r="A70" t="s">
        <v>63</v>
      </c>
      <c r="B70">
        <v>2008</v>
      </c>
      <c r="C70" s="14">
        <v>-11.28</v>
      </c>
      <c r="D70" s="15">
        <f t="shared" si="1"/>
        <v>-11.28</v>
      </c>
      <c r="E70">
        <f>IF(COUNTIF($A$1:$A69, A70) = 0, 100, E69*(1+D70*0.01))</f>
        <v>88.267527999999999</v>
      </c>
    </row>
    <row r="71" spans="1:5">
      <c r="A71" t="s">
        <v>63</v>
      </c>
      <c r="B71">
        <v>2009</v>
      </c>
      <c r="C71" s="14">
        <v>-8</v>
      </c>
      <c r="D71" s="15">
        <f t="shared" si="1"/>
        <v>-8</v>
      </c>
      <c r="E71">
        <f>IF(COUNTIF($A$1:$A70, A71) = 0, 100, E70*(1+D71*0.01))</f>
        <v>81.206125760000006</v>
      </c>
    </row>
    <row r="72" spans="1:5">
      <c r="A72" t="s">
        <v>64</v>
      </c>
      <c r="B72">
        <v>1997</v>
      </c>
      <c r="C72" s="14">
        <v>0.06</v>
      </c>
      <c r="D72" s="15">
        <f t="shared" si="1"/>
        <v>6</v>
      </c>
      <c r="E72">
        <f>IF(COUNTIF($A$1:$A71, A72) = 0, 100, E71*(1+D72*0.01))</f>
        <v>100</v>
      </c>
    </row>
    <row r="73" spans="1:5">
      <c r="A73" t="s">
        <v>64</v>
      </c>
      <c r="B73">
        <v>1998</v>
      </c>
      <c r="C73" s="14">
        <v>0.08</v>
      </c>
      <c r="D73" s="15">
        <f t="shared" si="1"/>
        <v>8</v>
      </c>
      <c r="E73">
        <f>IF(COUNTIF($A$1:$A72, A73) = 0, 100, E72*(1+D73*0.01))</f>
        <v>108</v>
      </c>
    </row>
    <row r="74" spans="1:5">
      <c r="A74" t="s">
        <v>64</v>
      </c>
      <c r="B74">
        <v>1999</v>
      </c>
      <c r="C74" s="14">
        <v>0.08</v>
      </c>
      <c r="D74" s="15">
        <f t="shared" si="1"/>
        <v>8</v>
      </c>
      <c r="E74">
        <f>IF(COUNTIF($A$1:$A73, A74) = 0, 100, E73*(1+D74*0.01))</f>
        <v>116.64000000000001</v>
      </c>
    </row>
    <row r="75" spans="1:5">
      <c r="A75" t="s">
        <v>64</v>
      </c>
      <c r="B75">
        <v>2000</v>
      </c>
      <c r="C75" s="14">
        <v>-0.05</v>
      </c>
      <c r="D75" s="15">
        <f t="shared" si="1"/>
        <v>-5</v>
      </c>
      <c r="E75">
        <f>IF(COUNTIF($A$1:$A74, A75) = 0, 100, E74*(1+D75*0.01))</f>
        <v>110.80800000000001</v>
      </c>
    </row>
    <row r="76" spans="1:5">
      <c r="A76" t="s">
        <v>64</v>
      </c>
      <c r="B76">
        <v>2001</v>
      </c>
      <c r="C76" s="14">
        <v>0.02</v>
      </c>
      <c r="D76" s="15">
        <f t="shared" si="1"/>
        <v>2</v>
      </c>
      <c r="E76">
        <f>IF(COUNTIF($A$1:$A75, A76) = 0, 100, E75*(1+D76*0.01))</f>
        <v>113.02416000000001</v>
      </c>
    </row>
    <row r="77" spans="1:5">
      <c r="A77" t="s">
        <v>64</v>
      </c>
      <c r="B77">
        <v>2002</v>
      </c>
      <c r="C77" s="14">
        <v>-0.02</v>
      </c>
      <c r="D77" s="15">
        <f t="shared" si="1"/>
        <v>-2</v>
      </c>
      <c r="E77">
        <f>IF(COUNTIF($A$1:$A76, A77) = 0, 100, E76*(1+D77*0.01))</f>
        <v>110.76367680000001</v>
      </c>
    </row>
    <row r="78" spans="1:5">
      <c r="A78" t="s">
        <v>64</v>
      </c>
      <c r="B78">
        <v>2003</v>
      </c>
      <c r="C78" s="14">
        <v>0.08</v>
      </c>
      <c r="D78" s="15">
        <f t="shared" si="1"/>
        <v>8</v>
      </c>
      <c r="E78">
        <f>IF(COUNTIF($A$1:$A77, A78) = 0, 100, E77*(1+D78*0.01))</f>
        <v>119.62477094400002</v>
      </c>
    </row>
    <row r="79" spans="1:5">
      <c r="A79" t="s">
        <v>64</v>
      </c>
      <c r="B79">
        <v>2004</v>
      </c>
      <c r="C79" s="14">
        <v>0.06</v>
      </c>
      <c r="D79" s="15">
        <f t="shared" si="1"/>
        <v>6</v>
      </c>
      <c r="E79">
        <f>IF(COUNTIF($A$1:$A78, A79) = 0, 100, E78*(1+D79*0.01))</f>
        <v>126.80225720064003</v>
      </c>
    </row>
    <row r="80" spans="1:5">
      <c r="A80" t="s">
        <v>64</v>
      </c>
      <c r="B80">
        <v>2005</v>
      </c>
      <c r="C80" s="14">
        <v>0.1</v>
      </c>
      <c r="D80" s="15">
        <f t="shared" si="1"/>
        <v>10</v>
      </c>
      <c r="E80">
        <f>IF(COUNTIF($A$1:$A79, A80) = 0, 100, E79*(1+D80*0.01))</f>
        <v>139.48248292070403</v>
      </c>
    </row>
    <row r="81" spans="1:5">
      <c r="A81" t="s">
        <v>64</v>
      </c>
      <c r="B81">
        <v>2006</v>
      </c>
      <c r="C81" s="14">
        <v>10.82</v>
      </c>
      <c r="D81" s="15">
        <f t="shared" si="1"/>
        <v>10.82</v>
      </c>
      <c r="E81">
        <f>IF(COUNTIF($A$1:$A80, A81) = 0, 100, E80*(1+D81*0.01))</f>
        <v>154.57448757272422</v>
      </c>
    </row>
    <row r="82" spans="1:5">
      <c r="A82" t="s">
        <v>64</v>
      </c>
      <c r="B82">
        <v>2007</v>
      </c>
      <c r="C82" s="14">
        <v>-1.38</v>
      </c>
      <c r="D82" s="15">
        <f t="shared" si="1"/>
        <v>-1.38</v>
      </c>
      <c r="E82">
        <f>IF(COUNTIF($A$1:$A81, A82) = 0, 100, E81*(1+D82*0.01))</f>
        <v>152.44135964422063</v>
      </c>
    </row>
    <row r="83" spans="1:5">
      <c r="A83" t="s">
        <v>64</v>
      </c>
      <c r="B83">
        <v>2008</v>
      </c>
      <c r="C83" s="14">
        <v>-30.6</v>
      </c>
      <c r="D83" s="15">
        <f t="shared" si="1"/>
        <v>-30.6</v>
      </c>
      <c r="E83">
        <f>IF(COUNTIF($A$1:$A82, A83) = 0, 100, E82*(1+D83*0.01))</f>
        <v>105.79430359308911</v>
      </c>
    </row>
    <row r="84" spans="1:5">
      <c r="A84" t="s">
        <v>64</v>
      </c>
      <c r="B84">
        <v>2009</v>
      </c>
      <c r="C84" s="14">
        <v>1.1000000000000001</v>
      </c>
      <c r="D84" s="15">
        <f t="shared" si="1"/>
        <v>1.1000000000000001</v>
      </c>
      <c r="E84">
        <f>IF(COUNTIF($A$1:$A83, A84) = 0, 100, E83*(1+D84*0.01))</f>
        <v>106.95804093261309</v>
      </c>
    </row>
    <row r="85" spans="1:5">
      <c r="A85" t="s">
        <v>64</v>
      </c>
      <c r="B85">
        <v>2010</v>
      </c>
      <c r="C85" s="14">
        <v>-1.26</v>
      </c>
      <c r="D85" s="15">
        <f t="shared" si="1"/>
        <v>-1.26</v>
      </c>
      <c r="E85">
        <f>IF(COUNTIF($A$1:$A84, A85) = 0, 100, E84*(1+D85*0.01))</f>
        <v>105.61036961686217</v>
      </c>
    </row>
    <row r="86" spans="1:5">
      <c r="A86" t="s">
        <v>64</v>
      </c>
      <c r="B86">
        <v>2011</v>
      </c>
      <c r="C86" s="14">
        <v>-2.8</v>
      </c>
      <c r="D86" s="15">
        <f t="shared" si="1"/>
        <v>-2.8</v>
      </c>
      <c r="E86">
        <f>IF(COUNTIF($A$1:$A85, A86) = 0, 100, E85*(1+D86*0.01))</f>
        <v>102.65327926759002</v>
      </c>
    </row>
    <row r="87" spans="1:5">
      <c r="A87" t="s">
        <v>64</v>
      </c>
      <c r="B87">
        <v>2012</v>
      </c>
      <c r="C87" s="14">
        <v>8.1999999999999993</v>
      </c>
      <c r="D87" s="15">
        <f t="shared" si="1"/>
        <v>8.1999999999999993</v>
      </c>
      <c r="E87">
        <f>IF(COUNTIF($A$1:$A86, A87) = 0, 100, E86*(1+D87*0.01))</f>
        <v>111.07084816753242</v>
      </c>
    </row>
    <row r="88" spans="1:5">
      <c r="A88" t="s">
        <v>65</v>
      </c>
      <c r="B88">
        <v>1997</v>
      </c>
      <c r="C88" s="14">
        <v>0.06</v>
      </c>
      <c r="D88" s="15">
        <f t="shared" si="1"/>
        <v>6</v>
      </c>
      <c r="E88">
        <f>IF(COUNTIF($A$1:$A87, A88) = 0, 100, E87*(1+D88*0.01))</f>
        <v>100</v>
      </c>
    </row>
    <row r="89" spans="1:5">
      <c r="A89" t="s">
        <v>65</v>
      </c>
      <c r="B89">
        <v>1998</v>
      </c>
      <c r="C89" s="14">
        <v>0.06</v>
      </c>
      <c r="D89" s="15">
        <f t="shared" si="1"/>
        <v>6</v>
      </c>
      <c r="E89">
        <f>IF(COUNTIF($A$1:$A88, A89) = 0, 100, E88*(1+D89*0.01))</f>
        <v>106</v>
      </c>
    </row>
    <row r="90" spans="1:5">
      <c r="A90" t="s">
        <v>65</v>
      </c>
      <c r="B90">
        <v>1999</v>
      </c>
      <c r="C90" s="14">
        <v>7.0000000000000007E-2</v>
      </c>
      <c r="D90" s="15">
        <f t="shared" si="1"/>
        <v>7.0000000000000009</v>
      </c>
      <c r="E90">
        <f>IF(COUNTIF($A$1:$A89, A90) = 0, 100, E89*(1+D90*0.01))</f>
        <v>113.42</v>
      </c>
    </row>
    <row r="91" spans="1:5">
      <c r="A91" t="s">
        <v>65</v>
      </c>
      <c r="B91">
        <v>2000</v>
      </c>
      <c r="C91" s="14">
        <v>0.03</v>
      </c>
      <c r="D91" s="15">
        <f t="shared" si="1"/>
        <v>3</v>
      </c>
      <c r="E91">
        <f>IF(COUNTIF($A$1:$A90, A91) = 0, 100, E90*(1+D91*0.01))</f>
        <v>116.82260000000001</v>
      </c>
    </row>
    <row r="92" spans="1:5">
      <c r="A92" t="s">
        <v>65</v>
      </c>
      <c r="B92">
        <v>2001</v>
      </c>
      <c r="C92" s="14">
        <v>0.04</v>
      </c>
      <c r="D92" s="15">
        <f t="shared" si="1"/>
        <v>4</v>
      </c>
      <c r="E92">
        <f>IF(COUNTIF($A$1:$A91, A92) = 0, 100, E91*(1+D92*0.01))</f>
        <v>121.49550400000001</v>
      </c>
    </row>
    <row r="93" spans="1:5">
      <c r="A93" t="s">
        <v>65</v>
      </c>
      <c r="B93">
        <v>2002</v>
      </c>
      <c r="C93" s="14">
        <v>0.06</v>
      </c>
      <c r="D93" s="15">
        <f t="shared" si="1"/>
        <v>6</v>
      </c>
      <c r="E93">
        <f>IF(COUNTIF($A$1:$A92, A93) = 0, 100, E92*(1+D93*0.01))</f>
        <v>128.78523424000002</v>
      </c>
    </row>
    <row r="94" spans="1:5">
      <c r="A94" t="s">
        <v>65</v>
      </c>
      <c r="B94">
        <v>2003</v>
      </c>
      <c r="C94" s="14">
        <v>0.09</v>
      </c>
      <c r="D94" s="15">
        <f t="shared" si="1"/>
        <v>9</v>
      </c>
      <c r="E94">
        <f>IF(COUNTIF($A$1:$A93, A94) = 0, 100, E93*(1+D94*0.01))</f>
        <v>140.37590532160004</v>
      </c>
    </row>
    <row r="95" spans="1:5">
      <c r="A95" t="s">
        <v>65</v>
      </c>
      <c r="B95">
        <v>2004</v>
      </c>
      <c r="C95" s="14">
        <v>0.08</v>
      </c>
      <c r="D95" s="15">
        <f t="shared" si="1"/>
        <v>8</v>
      </c>
      <c r="E95">
        <f>IF(COUNTIF($A$1:$A94, A95) = 0, 100, E94*(1+D95*0.01))</f>
        <v>151.60597774732807</v>
      </c>
    </row>
    <row r="96" spans="1:5">
      <c r="A96" t="s">
        <v>65</v>
      </c>
      <c r="B96">
        <v>2005</v>
      </c>
      <c r="C96" s="14">
        <v>0.06</v>
      </c>
      <c r="D96" s="15">
        <f t="shared" si="1"/>
        <v>6</v>
      </c>
      <c r="E96">
        <f>IF(COUNTIF($A$1:$A95, A96) = 0, 100, E95*(1+D96*0.01))</f>
        <v>160.70233641216777</v>
      </c>
    </row>
    <row r="97" spans="1:5">
      <c r="A97" t="s">
        <v>65</v>
      </c>
      <c r="B97">
        <v>2006</v>
      </c>
      <c r="C97" s="14">
        <v>5.13</v>
      </c>
      <c r="D97" s="15">
        <f t="shared" si="1"/>
        <v>5.13</v>
      </c>
      <c r="E97">
        <f>IF(COUNTIF($A$1:$A96, A97) = 0, 100, E96*(1+D97*0.01))</f>
        <v>168.94636627011195</v>
      </c>
    </row>
    <row r="98" spans="1:5">
      <c r="A98" t="s">
        <v>66</v>
      </c>
      <c r="B98">
        <v>1997</v>
      </c>
      <c r="C98" s="14">
        <v>0.06</v>
      </c>
      <c r="D98" s="15">
        <f t="shared" si="1"/>
        <v>6</v>
      </c>
      <c r="E98">
        <f>IF(COUNTIF($A$1:$A97, A98) = 0, 100, E97*(1+D98*0.01))</f>
        <v>100</v>
      </c>
    </row>
    <row r="99" spans="1:5">
      <c r="A99" t="s">
        <v>66</v>
      </c>
      <c r="B99">
        <v>1998</v>
      </c>
      <c r="C99" s="14">
        <v>7.0000000000000007E-2</v>
      </c>
      <c r="D99" s="15">
        <f t="shared" si="1"/>
        <v>7.0000000000000009</v>
      </c>
      <c r="E99">
        <f>IF(COUNTIF($A$1:$A98, A99) = 0, 100, E98*(1+D99*0.01))</f>
        <v>107</v>
      </c>
    </row>
    <row r="100" spans="1:5">
      <c r="A100" t="s">
        <v>66</v>
      </c>
      <c r="B100">
        <v>1999</v>
      </c>
      <c r="C100" s="14">
        <v>0.08</v>
      </c>
      <c r="D100" s="15">
        <f t="shared" si="1"/>
        <v>8</v>
      </c>
      <c r="E100">
        <f>IF(COUNTIF($A$1:$A99, A100) = 0, 100, E99*(1+D100*0.01))</f>
        <v>115.56</v>
      </c>
    </row>
    <row r="101" spans="1:5">
      <c r="A101" t="s">
        <v>66</v>
      </c>
      <c r="B101">
        <v>2000</v>
      </c>
      <c r="C101" s="14">
        <v>0.03</v>
      </c>
      <c r="D101" s="15">
        <f t="shared" si="1"/>
        <v>3</v>
      </c>
      <c r="E101">
        <f>IF(COUNTIF($A$1:$A100, A101) = 0, 100, E100*(1+D101*0.01))</f>
        <v>119.02680000000001</v>
      </c>
    </row>
    <row r="102" spans="1:5">
      <c r="A102" t="s">
        <v>66</v>
      </c>
      <c r="B102">
        <v>2001</v>
      </c>
      <c r="C102" s="14">
        <v>0.02</v>
      </c>
      <c r="D102" s="15">
        <f t="shared" si="1"/>
        <v>2</v>
      </c>
      <c r="E102">
        <f>IF(COUNTIF($A$1:$A101, A102) = 0, 100, E101*(1+D102*0.01))</f>
        <v>121.40733600000002</v>
      </c>
    </row>
    <row r="103" spans="1:5">
      <c r="A103" t="s">
        <v>66</v>
      </c>
      <c r="B103">
        <v>2002</v>
      </c>
      <c r="C103" s="14">
        <v>-0.04</v>
      </c>
      <c r="D103" s="15">
        <f t="shared" si="1"/>
        <v>-4</v>
      </c>
      <c r="E103">
        <f>IF(COUNTIF($A$1:$A102, A103) = 0, 100, E102*(1+D103*0.01))</f>
        <v>116.55104256000001</v>
      </c>
    </row>
    <row r="104" spans="1:5">
      <c r="A104" t="s">
        <v>66</v>
      </c>
      <c r="B104">
        <v>2003</v>
      </c>
      <c r="C104" s="14">
        <v>0.1</v>
      </c>
      <c r="D104" s="15">
        <f t="shared" si="1"/>
        <v>10</v>
      </c>
      <c r="E104">
        <f>IF(COUNTIF($A$1:$A103, A104) = 0, 100, E103*(1+D104*0.01))</f>
        <v>128.20614681600003</v>
      </c>
    </row>
    <row r="105" spans="1:5">
      <c r="A105" t="s">
        <v>66</v>
      </c>
      <c r="B105">
        <v>2004</v>
      </c>
      <c r="C105" s="14">
        <v>0.06</v>
      </c>
      <c r="D105" s="15">
        <f t="shared" si="1"/>
        <v>6</v>
      </c>
      <c r="E105">
        <f>IF(COUNTIF($A$1:$A104, A105) = 0, 100, E104*(1+D105*0.01))</f>
        <v>135.89851562496003</v>
      </c>
    </row>
    <row r="106" spans="1:5">
      <c r="A106" t="s">
        <v>66</v>
      </c>
      <c r="B106">
        <v>2005</v>
      </c>
      <c r="C106" s="14">
        <v>7.0000000000000007E-2</v>
      </c>
      <c r="D106" s="15">
        <f t="shared" si="1"/>
        <v>7.0000000000000009</v>
      </c>
      <c r="E106">
        <f>IF(COUNTIF($A$1:$A105, A106) = 0, 100, E105*(1+D106*0.01))</f>
        <v>145.41141171870723</v>
      </c>
    </row>
    <row r="107" spans="1:5">
      <c r="A107" t="s">
        <v>66</v>
      </c>
      <c r="B107">
        <v>2006</v>
      </c>
      <c r="C107" s="14">
        <v>8.77</v>
      </c>
      <c r="D107" s="15">
        <f t="shared" si="1"/>
        <v>8.77</v>
      </c>
      <c r="E107">
        <f>IF(COUNTIF($A$1:$A106, A107) = 0, 100, E106*(1+D107*0.01))</f>
        <v>158.16399252643782</v>
      </c>
    </row>
    <row r="108" spans="1:5">
      <c r="A108" t="s">
        <v>66</v>
      </c>
      <c r="B108">
        <v>2007</v>
      </c>
      <c r="C108" s="14">
        <v>1.57</v>
      </c>
      <c r="D108" s="15">
        <f t="shared" si="1"/>
        <v>1.57</v>
      </c>
      <c r="E108">
        <f>IF(COUNTIF($A$1:$A107, A108) = 0, 100, E107*(1+D108*0.01))</f>
        <v>160.64716720910292</v>
      </c>
    </row>
    <row r="109" spans="1:5">
      <c r="A109" t="s">
        <v>66</v>
      </c>
      <c r="B109">
        <v>2008</v>
      </c>
      <c r="C109" s="14">
        <v>-26.02</v>
      </c>
      <c r="D109" s="15">
        <f t="shared" si="1"/>
        <v>-26.02</v>
      </c>
      <c r="E109">
        <f>IF(COUNTIF($A$1:$A108, A109) = 0, 100, E108*(1+D109*0.01))</f>
        <v>118.84677430129435</v>
      </c>
    </row>
    <row r="110" spans="1:5">
      <c r="A110" t="s">
        <v>66</v>
      </c>
      <c r="B110">
        <v>2009</v>
      </c>
      <c r="C110" s="14">
        <v>0.96</v>
      </c>
      <c r="D110" s="15">
        <f t="shared" si="1"/>
        <v>0.96</v>
      </c>
      <c r="E110">
        <f>IF(COUNTIF($A$1:$A109, A110) = 0, 100, E109*(1+D110*0.01))</f>
        <v>119.98770333458678</v>
      </c>
    </row>
    <row r="111" spans="1:5">
      <c r="A111" t="s">
        <v>66</v>
      </c>
      <c r="B111">
        <v>2010</v>
      </c>
      <c r="C111" s="14">
        <v>4.68</v>
      </c>
      <c r="D111" s="15">
        <f t="shared" si="1"/>
        <v>4.68</v>
      </c>
      <c r="E111">
        <f>IF(COUNTIF($A$1:$A110, A111) = 0, 100, E110*(1+D111*0.01))</f>
        <v>125.60312785064544</v>
      </c>
    </row>
    <row r="112" spans="1:5">
      <c r="A112" t="s">
        <v>66</v>
      </c>
      <c r="B112">
        <v>2011</v>
      </c>
      <c r="C112" s="14">
        <v>2.4</v>
      </c>
      <c r="D112" s="15">
        <f t="shared" si="1"/>
        <v>2.4</v>
      </c>
      <c r="E112">
        <f>IF(COUNTIF($A$1:$A111, A112) = 0, 100, E111*(1+D112*0.01))</f>
        <v>128.61760291906094</v>
      </c>
    </row>
    <row r="113" spans="1:5">
      <c r="A113" t="s">
        <v>66</v>
      </c>
      <c r="B113">
        <v>2012</v>
      </c>
      <c r="C113" s="14">
        <v>5.4</v>
      </c>
      <c r="D113" s="15">
        <f t="shared" si="1"/>
        <v>5.4</v>
      </c>
      <c r="E113">
        <f>IF(COUNTIF($A$1:$A112, A113) = 0, 100, E112*(1+D113*0.01))</f>
        <v>135.56295347669024</v>
      </c>
    </row>
    <row r="114" spans="1:5">
      <c r="A114" t="s">
        <v>66</v>
      </c>
      <c r="B114">
        <v>2013</v>
      </c>
      <c r="C114" s="14">
        <v>9.6</v>
      </c>
      <c r="D114" s="15">
        <f t="shared" si="1"/>
        <v>9.6</v>
      </c>
      <c r="E114">
        <f>IF(COUNTIF($A$1:$A113, A114) = 0, 100, E113*(1+D114*0.01))</f>
        <v>148.57699701045252</v>
      </c>
    </row>
    <row r="115" spans="1:5">
      <c r="A115" t="s">
        <v>66</v>
      </c>
      <c r="B115">
        <v>2014</v>
      </c>
      <c r="C115" s="14">
        <v>5.3</v>
      </c>
      <c r="D115" s="15">
        <f t="shared" si="1"/>
        <v>5.3</v>
      </c>
      <c r="E115">
        <f>IF(COUNTIF($A$1:$A114, A115) = 0, 100, E114*(1+D115*0.01))</f>
        <v>156.45157785200649</v>
      </c>
    </row>
    <row r="116" spans="1:5">
      <c r="A116" t="s">
        <v>66</v>
      </c>
      <c r="B116">
        <v>2015</v>
      </c>
      <c r="C116" s="14">
        <v>12.5</v>
      </c>
      <c r="D116" s="15">
        <f t="shared" si="1"/>
        <v>12.5</v>
      </c>
      <c r="E116">
        <f>IF(COUNTIF($A$1:$A115, A116) = 0, 100, E115*(1+D116*0.01))</f>
        <v>176.00802508350731</v>
      </c>
    </row>
    <row r="117" spans="1:5">
      <c r="A117" t="s">
        <v>66</v>
      </c>
      <c r="B117">
        <v>2016</v>
      </c>
      <c r="C117" s="14">
        <v>-1.85</v>
      </c>
      <c r="D117" s="15">
        <f t="shared" si="1"/>
        <v>-1.85</v>
      </c>
      <c r="E117">
        <f>IF(COUNTIF($A$1:$A116, A117) = 0, 100, E116*(1+D117*0.01))</f>
        <v>172.75187661946242</v>
      </c>
    </row>
    <row r="118" spans="1:5">
      <c r="A118" t="s">
        <v>66</v>
      </c>
      <c r="B118">
        <v>2017</v>
      </c>
      <c r="C118" s="14">
        <v>4.2</v>
      </c>
      <c r="D118" s="15">
        <f t="shared" si="1"/>
        <v>4.2</v>
      </c>
      <c r="E118">
        <f>IF(COUNTIF($A$1:$A117, A118) = 0, 100, E117*(1+D118*0.01))</f>
        <v>180.00745543747985</v>
      </c>
    </row>
    <row r="119" spans="1:5">
      <c r="A119" t="s">
        <v>66</v>
      </c>
      <c r="B119">
        <v>2018</v>
      </c>
      <c r="C119" s="14">
        <v>1.7</v>
      </c>
      <c r="D119" s="15">
        <f t="shared" si="1"/>
        <v>1.7</v>
      </c>
      <c r="E119">
        <f>IF(COUNTIF($A$1:$A118, A119) = 0, 100, E118*(1+D119*0.01))</f>
        <v>183.067582179917</v>
      </c>
    </row>
    <row r="120" spans="1:5">
      <c r="A120" t="s">
        <v>66</v>
      </c>
      <c r="B120">
        <v>2019</v>
      </c>
      <c r="C120" s="14">
        <v>9.74</v>
      </c>
      <c r="D120" s="15">
        <f t="shared" si="1"/>
        <v>9.74</v>
      </c>
      <c r="E120">
        <f>IF(COUNTIF($A$1:$A119, A120) = 0, 100, E119*(1+D120*0.01))</f>
        <v>200.8983646842409</v>
      </c>
    </row>
    <row r="121" spans="1:5">
      <c r="A121" t="s">
        <v>66</v>
      </c>
      <c r="B121">
        <v>2020</v>
      </c>
      <c r="C121" s="14">
        <v>8.74</v>
      </c>
      <c r="D121" s="15">
        <f t="shared" si="1"/>
        <v>8.74</v>
      </c>
      <c r="E121">
        <f>IF(COUNTIF($A$1:$A120, A121) = 0, 100, E120*(1+D121*0.01))</f>
        <v>218.45688175764354</v>
      </c>
    </row>
    <row r="122" spans="1:5">
      <c r="A122" t="s">
        <v>66</v>
      </c>
      <c r="B122">
        <v>2021</v>
      </c>
      <c r="C122" s="14">
        <v>11.28</v>
      </c>
      <c r="D122" s="15">
        <f t="shared" si="1"/>
        <v>11.28</v>
      </c>
      <c r="E122">
        <f>IF(COUNTIF($A$1:$A121, A122) = 0, 100, E121*(1+D122*0.01))</f>
        <v>243.09881801990574</v>
      </c>
    </row>
    <row r="123" spans="1:5">
      <c r="A123" t="s">
        <v>67</v>
      </c>
      <c r="B123">
        <v>1997</v>
      </c>
      <c r="C123" s="14">
        <v>0.05</v>
      </c>
      <c r="D123" s="15">
        <f t="shared" si="1"/>
        <v>5</v>
      </c>
      <c r="E123">
        <f>IF(COUNTIF($A$1:$A122, A123) = 0, 100, E122*(1+D123*0.01))</f>
        <v>100</v>
      </c>
    </row>
    <row r="124" spans="1:5">
      <c r="A124" t="s">
        <v>67</v>
      </c>
      <c r="B124">
        <v>1998</v>
      </c>
      <c r="C124" s="14">
        <v>0.06</v>
      </c>
      <c r="D124" s="15">
        <f t="shared" si="1"/>
        <v>6</v>
      </c>
      <c r="E124">
        <f>IF(COUNTIF($A$1:$A123, A124) = 0, 100, E123*(1+D124*0.01))</f>
        <v>106</v>
      </c>
    </row>
    <row r="125" spans="1:5">
      <c r="A125" t="s">
        <v>67</v>
      </c>
      <c r="B125">
        <v>1999</v>
      </c>
      <c r="C125" s="14">
        <v>0.06</v>
      </c>
      <c r="D125" s="15">
        <f t="shared" si="1"/>
        <v>6</v>
      </c>
      <c r="E125">
        <f>IF(COUNTIF($A$1:$A124, A125) = 0, 100, E124*(1+D125*0.01))</f>
        <v>112.36</v>
      </c>
    </row>
    <row r="126" spans="1:5">
      <c r="A126" t="s">
        <v>67</v>
      </c>
      <c r="B126">
        <v>2000</v>
      </c>
      <c r="C126" s="14">
        <v>0</v>
      </c>
      <c r="D126" s="15">
        <f t="shared" si="1"/>
        <v>0</v>
      </c>
      <c r="E126">
        <f>IF(COUNTIF($A$1:$A125, A126) = 0, 100, E125*(1+D126*0.01))</f>
        <v>112.36</v>
      </c>
    </row>
    <row r="127" spans="1:5">
      <c r="A127" t="s">
        <v>67</v>
      </c>
      <c r="B127">
        <v>2001</v>
      </c>
      <c r="C127" s="14">
        <v>-0.02</v>
      </c>
      <c r="D127" s="15">
        <f t="shared" si="1"/>
        <v>-2</v>
      </c>
      <c r="E127">
        <f>IF(COUNTIF($A$1:$A126, A127) = 0, 100, E126*(1+D127*0.01))</f>
        <v>110.11279999999999</v>
      </c>
    </row>
    <row r="128" spans="1:5">
      <c r="A128" t="s">
        <v>67</v>
      </c>
      <c r="B128">
        <v>2002</v>
      </c>
      <c r="C128" s="14">
        <v>-0.04</v>
      </c>
      <c r="D128" s="15">
        <f t="shared" si="1"/>
        <v>-4</v>
      </c>
      <c r="E128">
        <f>IF(COUNTIF($A$1:$A127, A128) = 0, 100, E127*(1+D128*0.01))</f>
        <v>105.708288</v>
      </c>
    </row>
    <row r="129" spans="1:5">
      <c r="A129" t="s">
        <v>67</v>
      </c>
      <c r="B129">
        <v>2003</v>
      </c>
      <c r="C129" s="14">
        <v>0.08</v>
      </c>
      <c r="D129" s="15">
        <f t="shared" si="1"/>
        <v>8</v>
      </c>
      <c r="E129">
        <f>IF(COUNTIF($A$1:$A128, A129) = 0, 100, E128*(1+D129*0.01))</f>
        <v>114.16495104000001</v>
      </c>
    </row>
    <row r="130" spans="1:5">
      <c r="A130" t="s">
        <v>67</v>
      </c>
      <c r="B130">
        <v>2004</v>
      </c>
      <c r="C130" s="14">
        <v>0.06</v>
      </c>
      <c r="D130" s="15">
        <f t="shared" ref="D130:D193" si="2">IF(B130&lt;2006,C130*100,C130)</f>
        <v>6</v>
      </c>
      <c r="E130">
        <f>IF(COUNTIF($A$1:$A129, A130) = 0, 100, E129*(1+D130*0.01))</f>
        <v>121.01484810240001</v>
      </c>
    </row>
    <row r="131" spans="1:5">
      <c r="A131" t="s">
        <v>67</v>
      </c>
      <c r="B131">
        <v>2005</v>
      </c>
      <c r="C131" s="14">
        <v>0.08</v>
      </c>
      <c r="D131" s="15">
        <f t="shared" si="2"/>
        <v>8</v>
      </c>
      <c r="E131">
        <f>IF(COUNTIF($A$1:$A130, A131) = 0, 100, E130*(1+D131*0.01))</f>
        <v>130.69603595059201</v>
      </c>
    </row>
    <row r="132" spans="1:5">
      <c r="A132" t="s">
        <v>67</v>
      </c>
      <c r="B132">
        <v>2006</v>
      </c>
      <c r="C132" s="14">
        <v>9.69</v>
      </c>
      <c r="D132" s="15">
        <f t="shared" si="2"/>
        <v>9.69</v>
      </c>
      <c r="E132">
        <f>IF(COUNTIF($A$1:$A131, A132) = 0, 100, E131*(1+D132*0.01))</f>
        <v>143.36048183420436</v>
      </c>
    </row>
    <row r="133" spans="1:5">
      <c r="A133" t="s">
        <v>67</v>
      </c>
      <c r="B133">
        <v>2007</v>
      </c>
      <c r="C133" s="14">
        <v>5.93</v>
      </c>
      <c r="D133" s="15">
        <f t="shared" si="2"/>
        <v>5.93</v>
      </c>
      <c r="E133">
        <f>IF(COUNTIF($A$1:$A132, A133) = 0, 100, E132*(1+D133*0.01))</f>
        <v>151.86175840697268</v>
      </c>
    </row>
    <row r="134" spans="1:5">
      <c r="A134" t="s">
        <v>67</v>
      </c>
      <c r="B134">
        <v>2008</v>
      </c>
      <c r="C134" s="14">
        <v>-3.33</v>
      </c>
      <c r="D134" s="15">
        <f t="shared" si="2"/>
        <v>-3.33</v>
      </c>
      <c r="E134">
        <f>IF(COUNTIF($A$1:$A133, A134) = 0, 100, E133*(1+D134*0.01))</f>
        <v>146.8047618520205</v>
      </c>
    </row>
    <row r="135" spans="1:5">
      <c r="A135" t="s">
        <v>67</v>
      </c>
      <c r="B135">
        <v>2009</v>
      </c>
      <c r="C135" s="14">
        <v>2.36</v>
      </c>
      <c r="D135" s="15">
        <f t="shared" si="2"/>
        <v>2.36</v>
      </c>
      <c r="E135">
        <f>IF(COUNTIF($A$1:$A134, A135) = 0, 100, E134*(1+D135*0.01))</f>
        <v>150.26935423172819</v>
      </c>
    </row>
    <row r="136" spans="1:5">
      <c r="A136" t="s">
        <v>67</v>
      </c>
      <c r="B136">
        <v>2010</v>
      </c>
      <c r="C136" s="14">
        <v>3.3</v>
      </c>
      <c r="D136" s="15">
        <f t="shared" si="2"/>
        <v>3.3</v>
      </c>
      <c r="E136">
        <f>IF(COUNTIF($A$1:$A135, A136) = 0, 100, E135*(1+D136*0.01))</f>
        <v>155.2282429213752</v>
      </c>
    </row>
    <row r="137" spans="1:5">
      <c r="A137" t="s">
        <v>67</v>
      </c>
      <c r="B137">
        <v>2011</v>
      </c>
      <c r="C137" s="14">
        <v>4.2</v>
      </c>
      <c r="D137" s="15">
        <f t="shared" si="2"/>
        <v>4.2</v>
      </c>
      <c r="E137">
        <f>IF(COUNTIF($A$1:$A136, A137) = 0, 100, E136*(1+D137*0.01))</f>
        <v>161.74782912407295</v>
      </c>
    </row>
    <row r="138" spans="1:5">
      <c r="A138" t="s">
        <v>67</v>
      </c>
      <c r="B138">
        <v>2012</v>
      </c>
      <c r="C138" s="14">
        <v>6.5</v>
      </c>
      <c r="D138" s="15">
        <f t="shared" si="2"/>
        <v>6.5</v>
      </c>
      <c r="E138">
        <f>IF(COUNTIF($A$1:$A137, A138) = 0, 100, E137*(1+D138*0.01))</f>
        <v>172.26143801713769</v>
      </c>
    </row>
    <row r="139" spans="1:5">
      <c r="A139" t="s">
        <v>67</v>
      </c>
      <c r="B139">
        <v>2013</v>
      </c>
      <c r="C139" s="14">
        <v>7.2</v>
      </c>
      <c r="D139" s="15">
        <f t="shared" si="2"/>
        <v>7.2</v>
      </c>
      <c r="E139">
        <f>IF(COUNTIF($A$1:$A138, A139) = 0, 100, E138*(1+D139*0.01))</f>
        <v>184.66426155437162</v>
      </c>
    </row>
    <row r="140" spans="1:5">
      <c r="A140" t="s">
        <v>67</v>
      </c>
      <c r="B140">
        <v>2014</v>
      </c>
      <c r="C140" s="14">
        <v>5.4</v>
      </c>
      <c r="D140" s="15">
        <f t="shared" si="2"/>
        <v>5.4</v>
      </c>
      <c r="E140">
        <f>IF(COUNTIF($A$1:$A139, A140) = 0, 100, E139*(1+D140*0.01))</f>
        <v>194.63613167830769</v>
      </c>
    </row>
    <row r="141" spans="1:5">
      <c r="A141" t="s">
        <v>67</v>
      </c>
      <c r="B141">
        <v>2015</v>
      </c>
      <c r="C141" s="14">
        <v>9.9</v>
      </c>
      <c r="D141" s="15">
        <f t="shared" si="2"/>
        <v>9.9</v>
      </c>
      <c r="E141">
        <f>IF(COUNTIF($A$1:$A140, A141) = 0, 100, E140*(1+D141*0.01))</f>
        <v>213.90510871446014</v>
      </c>
    </row>
    <row r="142" spans="1:5">
      <c r="A142" t="s">
        <v>67</v>
      </c>
      <c r="B142">
        <v>2016</v>
      </c>
      <c r="C142" s="14">
        <v>-1.5</v>
      </c>
      <c r="D142" s="15">
        <f t="shared" si="2"/>
        <v>-1.5</v>
      </c>
      <c r="E142">
        <f>IF(COUNTIF($A$1:$A141, A142) = 0, 100, E141*(1+D142*0.01))</f>
        <v>210.69653208374325</v>
      </c>
    </row>
    <row r="143" spans="1:5">
      <c r="A143" t="s">
        <v>68</v>
      </c>
      <c r="B143">
        <v>1997</v>
      </c>
      <c r="C143" s="14">
        <v>7.0000000000000007E-2</v>
      </c>
      <c r="D143" s="15">
        <f t="shared" si="2"/>
        <v>7.0000000000000009</v>
      </c>
      <c r="E143">
        <f>IF(COUNTIF($A$1:$A142, A143) = 0, 100, E142*(1+D143*0.01))</f>
        <v>100</v>
      </c>
    </row>
    <row r="144" spans="1:5">
      <c r="A144" t="s">
        <v>68</v>
      </c>
      <c r="B144">
        <v>1998</v>
      </c>
      <c r="C144" s="14">
        <v>0.11</v>
      </c>
      <c r="D144" s="15">
        <f t="shared" si="2"/>
        <v>11</v>
      </c>
      <c r="E144">
        <f>IF(COUNTIF($A$1:$A143, A144) = 0, 100, E143*(1+D144*0.01))</f>
        <v>111.00000000000001</v>
      </c>
    </row>
    <row r="145" spans="1:5">
      <c r="A145" t="s">
        <v>68</v>
      </c>
      <c r="B145">
        <v>1999</v>
      </c>
      <c r="C145" s="14">
        <v>0.08</v>
      </c>
      <c r="D145" s="15">
        <f t="shared" si="2"/>
        <v>8</v>
      </c>
      <c r="E145">
        <f>IF(COUNTIF($A$1:$A144, A145) = 0, 100, E144*(1+D145*0.01))</f>
        <v>119.88000000000002</v>
      </c>
    </row>
    <row r="146" spans="1:5">
      <c r="A146" t="s">
        <v>68</v>
      </c>
      <c r="B146">
        <v>2000</v>
      </c>
      <c r="C146" s="14">
        <v>-0.06</v>
      </c>
      <c r="D146" s="15">
        <f t="shared" si="2"/>
        <v>-6</v>
      </c>
      <c r="E146">
        <f>IF(COUNTIF($A$1:$A145, A146) = 0, 100, E145*(1+D146*0.01))</f>
        <v>112.68720000000002</v>
      </c>
    </row>
    <row r="147" spans="1:5">
      <c r="A147" t="s">
        <v>68</v>
      </c>
      <c r="B147">
        <v>2001</v>
      </c>
      <c r="C147" s="14">
        <v>-7.0000000000000007E-2</v>
      </c>
      <c r="D147" s="15">
        <f t="shared" si="2"/>
        <v>-7.0000000000000009</v>
      </c>
      <c r="E147">
        <f>IF(COUNTIF($A$1:$A146, A147) = 0, 100, E146*(1+D147*0.01))</f>
        <v>104.79909600000001</v>
      </c>
    </row>
    <row r="148" spans="1:5">
      <c r="A148" t="s">
        <v>68</v>
      </c>
      <c r="B148">
        <v>2002</v>
      </c>
      <c r="C148" s="14">
        <v>-0.03</v>
      </c>
      <c r="D148" s="15">
        <f t="shared" si="2"/>
        <v>-3</v>
      </c>
      <c r="E148">
        <f>IF(COUNTIF($A$1:$A147, A148) = 0, 100, E147*(1+D148*0.01))</f>
        <v>101.65512312</v>
      </c>
    </row>
    <row r="149" spans="1:5">
      <c r="A149" t="s">
        <v>68</v>
      </c>
      <c r="B149">
        <v>2003</v>
      </c>
      <c r="C149" s="14">
        <v>7.0000000000000007E-2</v>
      </c>
      <c r="D149" s="15">
        <f t="shared" si="2"/>
        <v>7.0000000000000009</v>
      </c>
      <c r="E149">
        <f>IF(COUNTIF($A$1:$A148, A149) = 0, 100, E148*(1+D149*0.01))</f>
        <v>108.77098173840001</v>
      </c>
    </row>
    <row r="150" spans="1:5">
      <c r="A150" t="s">
        <v>69</v>
      </c>
      <c r="B150">
        <v>1997</v>
      </c>
      <c r="C150" s="14">
        <v>0.03</v>
      </c>
      <c r="D150" s="15">
        <f t="shared" si="2"/>
        <v>3</v>
      </c>
      <c r="E150">
        <f>IF(COUNTIF($A$1:$A149, A150) = 0, 100, E149*(1+D150*0.01))</f>
        <v>100</v>
      </c>
    </row>
    <row r="151" spans="1:5">
      <c r="A151" t="s">
        <v>69</v>
      </c>
      <c r="B151">
        <v>1998</v>
      </c>
      <c r="C151" s="14">
        <v>0.04</v>
      </c>
      <c r="D151" s="15">
        <f t="shared" si="2"/>
        <v>4</v>
      </c>
      <c r="E151">
        <f>IF(COUNTIF($A$1:$A150, A151) = 0, 100, E150*(1+D151*0.01))</f>
        <v>104</v>
      </c>
    </row>
    <row r="152" spans="1:5">
      <c r="A152" t="s">
        <v>69</v>
      </c>
      <c r="B152">
        <v>2000</v>
      </c>
      <c r="C152" s="14">
        <v>0.02</v>
      </c>
      <c r="D152" s="15">
        <f t="shared" si="2"/>
        <v>2</v>
      </c>
      <c r="E152">
        <f>IF(COUNTIF($A$1:$A151, A152) = 0, 100, E151*(1+D152*0.01))</f>
        <v>106.08</v>
      </c>
    </row>
    <row r="153" spans="1:5">
      <c r="A153" t="s">
        <v>69</v>
      </c>
      <c r="B153">
        <v>2001</v>
      </c>
      <c r="C153" s="14">
        <v>0</v>
      </c>
      <c r="D153" s="15">
        <f t="shared" si="2"/>
        <v>0</v>
      </c>
      <c r="E153">
        <f>IF(COUNTIF($A$1:$A152, A153) = 0, 100, E152*(1+D153*0.01))</f>
        <v>106.08</v>
      </c>
    </row>
    <row r="154" spans="1:5">
      <c r="A154" t="s">
        <v>69</v>
      </c>
      <c r="B154">
        <v>2002</v>
      </c>
      <c r="C154" s="14">
        <v>0.02</v>
      </c>
      <c r="D154" s="15">
        <f t="shared" si="2"/>
        <v>2</v>
      </c>
      <c r="E154">
        <f>IF(COUNTIF($A$1:$A153, A154) = 0, 100, E153*(1+D154*0.01))</f>
        <v>108.2016</v>
      </c>
    </row>
    <row r="155" spans="1:5">
      <c r="A155" t="s">
        <v>69</v>
      </c>
      <c r="B155">
        <v>2003</v>
      </c>
      <c r="C155" s="14">
        <v>0.01</v>
      </c>
      <c r="D155" s="15">
        <f t="shared" si="2"/>
        <v>1</v>
      </c>
      <c r="E155">
        <f>IF(COUNTIF($A$1:$A154, A155) = 0, 100, E154*(1+D155*0.01))</f>
        <v>109.28361599999999</v>
      </c>
    </row>
    <row r="156" spans="1:5">
      <c r="A156" t="s">
        <v>69</v>
      </c>
      <c r="B156">
        <v>2004</v>
      </c>
      <c r="C156" s="14">
        <v>0.01</v>
      </c>
      <c r="D156" s="15">
        <f t="shared" si="2"/>
        <v>1</v>
      </c>
      <c r="E156">
        <f>IF(COUNTIF($A$1:$A155, A156) = 0, 100, E155*(1+D156*0.01))</f>
        <v>110.37645216</v>
      </c>
    </row>
    <row r="157" spans="1:5">
      <c r="A157" t="s">
        <v>69</v>
      </c>
      <c r="B157">
        <v>2005</v>
      </c>
      <c r="C157" s="14">
        <v>0</v>
      </c>
      <c r="D157" s="15">
        <f t="shared" si="2"/>
        <v>0</v>
      </c>
      <c r="E157">
        <f>IF(COUNTIF($A$1:$A156, A157) = 0, 100, E156*(1+D157*0.01))</f>
        <v>110.37645216</v>
      </c>
    </row>
    <row r="158" spans="1:5">
      <c r="A158" t="s">
        <v>69</v>
      </c>
      <c r="B158">
        <v>2006</v>
      </c>
      <c r="C158" s="14">
        <v>-4.74</v>
      </c>
      <c r="D158" s="15">
        <f t="shared" si="2"/>
        <v>-4.74</v>
      </c>
      <c r="E158">
        <f>IF(COUNTIF($A$1:$A157, A158) = 0, 100, E157*(1+D158*0.01))</f>
        <v>105.144608327616</v>
      </c>
    </row>
    <row r="159" spans="1:5">
      <c r="A159" t="s">
        <v>69</v>
      </c>
      <c r="B159">
        <v>2007</v>
      </c>
      <c r="C159" s="14">
        <v>-3.46</v>
      </c>
      <c r="D159" s="15">
        <f t="shared" si="2"/>
        <v>-3.46</v>
      </c>
      <c r="E159">
        <f>IF(COUNTIF($A$1:$A158, A159) = 0, 100, E158*(1+D159*0.01))</f>
        <v>101.50660487948049</v>
      </c>
    </row>
    <row r="160" spans="1:5">
      <c r="A160" t="s">
        <v>69</v>
      </c>
      <c r="B160">
        <v>2008</v>
      </c>
      <c r="C160" s="14">
        <v>-8.9</v>
      </c>
      <c r="D160" s="15">
        <f t="shared" si="2"/>
        <v>-8.9</v>
      </c>
      <c r="E160">
        <f>IF(COUNTIF($A$1:$A159, A160) = 0, 100, E159*(1+D160*0.01))</f>
        <v>92.472517045206729</v>
      </c>
    </row>
    <row r="161" spans="1:5">
      <c r="A161" t="s">
        <v>69</v>
      </c>
      <c r="B161">
        <v>2009</v>
      </c>
      <c r="C161" s="14">
        <v>-7.1</v>
      </c>
      <c r="D161" s="15">
        <f t="shared" si="2"/>
        <v>-7.1</v>
      </c>
      <c r="E161">
        <f>IF(COUNTIF($A$1:$A160, A161) = 0, 100, E160*(1+D161*0.01))</f>
        <v>85.90696833499706</v>
      </c>
    </row>
    <row r="162" spans="1:5">
      <c r="A162" t="s">
        <v>69</v>
      </c>
      <c r="B162">
        <v>2010</v>
      </c>
      <c r="C162" s="14">
        <v>-35.869999999999997</v>
      </c>
      <c r="D162" s="15">
        <f t="shared" si="2"/>
        <v>-35.869999999999997</v>
      </c>
      <c r="E162">
        <f>IF(COUNTIF($A$1:$A161, A162) = 0, 100, E161*(1+D162*0.01))</f>
        <v>55.092138793233616</v>
      </c>
    </row>
    <row r="163" spans="1:5">
      <c r="A163" t="s">
        <v>69</v>
      </c>
      <c r="B163">
        <v>2011</v>
      </c>
      <c r="C163" s="14">
        <v>-33.200000000000003</v>
      </c>
      <c r="D163" s="15">
        <f t="shared" si="2"/>
        <v>-33.200000000000003</v>
      </c>
      <c r="E163">
        <f>IF(COUNTIF($A$1:$A162, A163) = 0, 100, E162*(1+D163*0.01))</f>
        <v>36.801548713880052</v>
      </c>
    </row>
    <row r="164" spans="1:5">
      <c r="A164" t="s">
        <v>69</v>
      </c>
      <c r="B164">
        <v>2012</v>
      </c>
      <c r="C164" s="14">
        <v>-47.5</v>
      </c>
      <c r="D164" s="15">
        <f t="shared" si="2"/>
        <v>-47.5</v>
      </c>
      <c r="E164">
        <f>IF(COUNTIF($A$1:$A163, A164) = 0, 100, E163*(1+D164*0.01))</f>
        <v>19.320813074787026</v>
      </c>
    </row>
    <row r="165" spans="1:5">
      <c r="A165" t="s">
        <v>69</v>
      </c>
      <c r="B165">
        <v>2013</v>
      </c>
      <c r="C165" s="14">
        <v>-81.599999999999994</v>
      </c>
      <c r="D165" s="15">
        <f t="shared" si="2"/>
        <v>-81.599999999999994</v>
      </c>
      <c r="E165">
        <f>IF(COUNTIF($A$1:$A164, A165) = 0, 100, E164*(1+D165*0.01))</f>
        <v>3.5550296057608137</v>
      </c>
    </row>
    <row r="166" spans="1:5">
      <c r="A166" t="s">
        <v>69</v>
      </c>
      <c r="B166">
        <v>2014</v>
      </c>
      <c r="C166" s="14">
        <v>-148.30000000000001</v>
      </c>
      <c r="D166" s="15">
        <f t="shared" si="2"/>
        <v>-148.30000000000001</v>
      </c>
      <c r="E166">
        <f>IF(COUNTIF($A$1:$A165, A166) = 0, 100, E165*(1+D166*0.01))</f>
        <v>-1.7170792995824733</v>
      </c>
    </row>
    <row r="167" spans="1:5">
      <c r="A167" t="s">
        <v>69</v>
      </c>
      <c r="B167">
        <v>2015</v>
      </c>
      <c r="C167" s="14">
        <v>-34.9</v>
      </c>
      <c r="D167" s="15">
        <f t="shared" si="2"/>
        <v>-34.9</v>
      </c>
      <c r="E167">
        <f>IF(COUNTIF($A$1:$A166, A167) = 0, 100, E166*(1+D167*0.01))</f>
        <v>-1.1178186240281902</v>
      </c>
    </row>
    <row r="168" spans="1:5">
      <c r="A168" t="s">
        <v>69</v>
      </c>
      <c r="B168">
        <v>2016</v>
      </c>
      <c r="C168" s="14">
        <v>-33.200000000000003</v>
      </c>
      <c r="D168" s="15">
        <f t="shared" si="2"/>
        <v>-33.200000000000003</v>
      </c>
      <c r="E168">
        <f>IF(COUNTIF($A$1:$A167, A168) = 0, 100, E167*(1+D168*0.01))</f>
        <v>-0.74670284085083094</v>
      </c>
    </row>
    <row r="169" spans="1:5">
      <c r="A169" t="s">
        <v>69</v>
      </c>
      <c r="B169">
        <v>2017</v>
      </c>
      <c r="C169" s="14">
        <v>-36.5</v>
      </c>
      <c r="D169" s="15">
        <f t="shared" si="2"/>
        <v>-36.5</v>
      </c>
      <c r="E169">
        <f>IF(COUNTIF($A$1:$A168, A169) = 0, 100, E168*(1+D169*0.01))</f>
        <v>-0.47415630394027763</v>
      </c>
    </row>
    <row r="170" spans="1:5">
      <c r="A170" t="s">
        <v>70</v>
      </c>
      <c r="B170">
        <v>2006</v>
      </c>
      <c r="C170" s="14">
        <v>9.68</v>
      </c>
      <c r="D170" s="15">
        <f t="shared" si="2"/>
        <v>9.68</v>
      </c>
      <c r="E170">
        <f>IF(COUNTIF($A$1:$A169, A170) = 0, 100, E169*(1+D170*0.01))</f>
        <v>100</v>
      </c>
    </row>
    <row r="171" spans="1:5">
      <c r="A171" t="s">
        <v>70</v>
      </c>
      <c r="B171">
        <v>2007</v>
      </c>
      <c r="C171" s="14">
        <v>1.24</v>
      </c>
      <c r="D171" s="15">
        <f t="shared" si="2"/>
        <v>1.24</v>
      </c>
      <c r="E171">
        <f>IF(COUNTIF($A$1:$A170, A171) = 0, 100, E170*(1+D171*0.01))</f>
        <v>101.24</v>
      </c>
    </row>
    <row r="172" spans="1:5">
      <c r="A172" t="s">
        <v>70</v>
      </c>
      <c r="B172">
        <v>2008</v>
      </c>
      <c r="C172" s="14">
        <v>-16.47</v>
      </c>
      <c r="D172" s="15">
        <f t="shared" si="2"/>
        <v>-16.47</v>
      </c>
      <c r="E172">
        <f>IF(COUNTIF($A$1:$A171, A172) = 0, 100, E171*(1+D172*0.01))</f>
        <v>84.565771999999996</v>
      </c>
    </row>
    <row r="173" spans="1:5">
      <c r="A173" t="s">
        <v>70</v>
      </c>
      <c r="B173">
        <v>2009</v>
      </c>
      <c r="C173" s="14">
        <v>-0.65</v>
      </c>
      <c r="D173" s="15">
        <f t="shared" si="2"/>
        <v>-0.65</v>
      </c>
      <c r="E173">
        <f>IF(COUNTIF($A$1:$A172, A173) = 0, 100, E172*(1+D173*0.01))</f>
        <v>84.016094482</v>
      </c>
    </row>
    <row r="174" spans="1:5">
      <c r="A174" t="s">
        <v>70</v>
      </c>
      <c r="B174">
        <v>2010</v>
      </c>
      <c r="C174" s="14">
        <v>5.3</v>
      </c>
      <c r="D174" s="15">
        <f t="shared" si="2"/>
        <v>5.3</v>
      </c>
      <c r="E174">
        <f>IF(COUNTIF($A$1:$A173, A174) = 0, 100, E173*(1+D174*0.01))</f>
        <v>88.468947489545997</v>
      </c>
    </row>
    <row r="175" spans="1:5">
      <c r="A175" t="s">
        <v>70</v>
      </c>
      <c r="B175">
        <v>2011</v>
      </c>
      <c r="C175" s="14">
        <v>1.8</v>
      </c>
      <c r="D175" s="15">
        <f t="shared" si="2"/>
        <v>1.8</v>
      </c>
      <c r="E175">
        <f>IF(COUNTIF($A$1:$A174, A175) = 0, 100, E174*(1+D175*0.01))</f>
        <v>90.061388544357825</v>
      </c>
    </row>
    <row r="176" spans="1:5">
      <c r="A176" t="s">
        <v>70</v>
      </c>
      <c r="B176">
        <v>2012</v>
      </c>
      <c r="C176" s="14">
        <v>5.35</v>
      </c>
      <c r="D176" s="15">
        <f t="shared" si="2"/>
        <v>5.35</v>
      </c>
      <c r="E176">
        <f>IF(COUNTIF($A$1:$A175, A176) = 0, 100, E175*(1+D176*0.01))</f>
        <v>94.879672831480974</v>
      </c>
    </row>
    <row r="177" spans="1:5">
      <c r="A177" t="s">
        <v>70</v>
      </c>
      <c r="B177">
        <v>2013</v>
      </c>
      <c r="C177" s="14">
        <v>5.6</v>
      </c>
      <c r="D177" s="15">
        <f t="shared" si="2"/>
        <v>5.6</v>
      </c>
      <c r="E177">
        <f>IF(COUNTIF($A$1:$A176, A177) = 0, 100, E176*(1+D177*0.01))</f>
        <v>100.19293451004391</v>
      </c>
    </row>
    <row r="178" spans="1:5">
      <c r="A178" t="s">
        <v>70</v>
      </c>
      <c r="B178">
        <v>2014</v>
      </c>
      <c r="C178" s="14">
        <v>5.65</v>
      </c>
      <c r="D178" s="15">
        <f t="shared" si="2"/>
        <v>5.65</v>
      </c>
      <c r="E178">
        <f>IF(COUNTIF($A$1:$A177, A178) = 0, 100, E177*(1+D178*0.01))</f>
        <v>105.8538353098614</v>
      </c>
    </row>
    <row r="179" spans="1:5">
      <c r="A179" t="s">
        <v>70</v>
      </c>
      <c r="B179">
        <v>2015</v>
      </c>
      <c r="C179" s="14">
        <v>8.3000000000000007</v>
      </c>
      <c r="D179" s="15">
        <f t="shared" si="2"/>
        <v>8.3000000000000007</v>
      </c>
      <c r="E179">
        <f>IF(COUNTIF($A$1:$A178, A179) = 0, 100, E178*(1+D179*0.01))</f>
        <v>114.63970364057988</v>
      </c>
    </row>
    <row r="180" spans="1:5">
      <c r="A180" t="s">
        <v>70</v>
      </c>
      <c r="B180">
        <v>2016</v>
      </c>
      <c r="C180" s="14">
        <v>-0.32</v>
      </c>
      <c r="D180" s="15">
        <f t="shared" si="2"/>
        <v>-0.32</v>
      </c>
      <c r="E180">
        <f>IF(COUNTIF($A$1:$A179, A180) = 0, 100, E179*(1+D180*0.01))</f>
        <v>114.27285658893003</v>
      </c>
    </row>
    <row r="181" spans="1:5">
      <c r="A181" t="s">
        <v>70</v>
      </c>
      <c r="B181">
        <v>2017</v>
      </c>
      <c r="C181" s="14">
        <v>5.55</v>
      </c>
      <c r="D181" s="15">
        <f t="shared" si="2"/>
        <v>5.55</v>
      </c>
      <c r="E181">
        <f>IF(COUNTIF($A$1:$A180, A181) = 0, 100, E180*(1+D181*0.01))</f>
        <v>120.61500012961565</v>
      </c>
    </row>
    <row r="182" spans="1:5">
      <c r="A182" t="s">
        <v>70</v>
      </c>
      <c r="B182">
        <v>2018</v>
      </c>
      <c r="C182" s="14">
        <v>0</v>
      </c>
      <c r="D182" s="15">
        <f t="shared" si="2"/>
        <v>0</v>
      </c>
      <c r="E182">
        <f>IF(COUNTIF($A$1:$A181, A182) = 0, 100, E181*(1+D182*0.01))</f>
        <v>120.61500012961565</v>
      </c>
    </row>
    <row r="183" spans="1:5">
      <c r="A183" t="s">
        <v>70</v>
      </c>
      <c r="B183">
        <v>2019</v>
      </c>
      <c r="C183" s="14">
        <v>7.83</v>
      </c>
      <c r="D183" s="15">
        <f t="shared" si="2"/>
        <v>7.83</v>
      </c>
      <c r="E183">
        <f>IF(COUNTIF($A$1:$A182, A183) = 0, 100, E182*(1+D183*0.01))</f>
        <v>130.05915463976456</v>
      </c>
    </row>
    <row r="184" spans="1:5">
      <c r="A184" t="s">
        <v>70</v>
      </c>
      <c r="B184">
        <v>2020</v>
      </c>
      <c r="C184" s="14">
        <v>6.49</v>
      </c>
      <c r="D184" s="15">
        <f t="shared" si="2"/>
        <v>6.49</v>
      </c>
      <c r="E184">
        <f>IF(COUNTIF($A$1:$A183, A184) = 0, 100, E183*(1+D184*0.01))</f>
        <v>138.49999377588526</v>
      </c>
    </row>
    <row r="185" spans="1:5">
      <c r="A185" t="s">
        <v>70</v>
      </c>
      <c r="B185">
        <v>2021</v>
      </c>
      <c r="C185" s="14">
        <v>6.24</v>
      </c>
      <c r="D185" s="15">
        <f t="shared" si="2"/>
        <v>6.24</v>
      </c>
      <c r="E185">
        <f>IF(COUNTIF($A$1:$A184, A185) = 0, 100, E184*(1+D185*0.01))</f>
        <v>147.1423933875005</v>
      </c>
    </row>
    <row r="186" spans="1:5">
      <c r="A186" t="s">
        <v>71</v>
      </c>
      <c r="B186">
        <v>1997</v>
      </c>
      <c r="C186" s="14">
        <v>0.08</v>
      </c>
      <c r="D186" s="15">
        <f t="shared" si="2"/>
        <v>8</v>
      </c>
      <c r="E186">
        <f>IF(COUNTIF($A$1:$A185, A186) = 0, 100, E185*(1+D186*0.01))</f>
        <v>100</v>
      </c>
    </row>
    <row r="187" spans="1:5">
      <c r="A187" t="s">
        <v>71</v>
      </c>
      <c r="B187">
        <v>1998</v>
      </c>
      <c r="C187" s="14">
        <v>0.1</v>
      </c>
      <c r="D187" s="15">
        <f t="shared" si="2"/>
        <v>10</v>
      </c>
      <c r="E187">
        <f>IF(COUNTIF($A$1:$A186, A187) = 0, 100, E186*(1+D187*0.01))</f>
        <v>110.00000000000001</v>
      </c>
    </row>
    <row r="188" spans="1:5">
      <c r="A188" t="s">
        <v>71</v>
      </c>
      <c r="B188">
        <v>1999</v>
      </c>
      <c r="C188" s="14">
        <v>0.1</v>
      </c>
      <c r="D188" s="15">
        <f t="shared" si="2"/>
        <v>10</v>
      </c>
      <c r="E188">
        <f>IF(COUNTIF($A$1:$A187, A188) = 0, 100, E187*(1+D188*0.01))</f>
        <v>121.00000000000003</v>
      </c>
    </row>
    <row r="189" spans="1:5">
      <c r="A189" t="s">
        <v>71</v>
      </c>
      <c r="B189">
        <v>2000</v>
      </c>
      <c r="C189" s="14">
        <v>-0.01</v>
      </c>
      <c r="D189" s="15">
        <f t="shared" si="2"/>
        <v>-1</v>
      </c>
      <c r="E189">
        <f>IF(COUNTIF($A$1:$A188, A189) = 0, 100, E188*(1+D189*0.01))</f>
        <v>119.79000000000002</v>
      </c>
    </row>
    <row r="190" spans="1:5">
      <c r="A190" t="s">
        <v>71</v>
      </c>
      <c r="B190">
        <v>2001</v>
      </c>
      <c r="C190" s="14">
        <v>-0.03</v>
      </c>
      <c r="D190" s="15">
        <f t="shared" si="2"/>
        <v>-3</v>
      </c>
      <c r="E190">
        <f>IF(COUNTIF($A$1:$A189, A190) = 0, 100, E189*(1+D190*0.01))</f>
        <v>116.19630000000002</v>
      </c>
    </row>
    <row r="191" spans="1:5">
      <c r="A191" t="s">
        <v>71</v>
      </c>
      <c r="B191">
        <v>2002</v>
      </c>
      <c r="C191" s="14">
        <v>-0.03</v>
      </c>
      <c r="D191" s="15">
        <f t="shared" si="2"/>
        <v>-3</v>
      </c>
      <c r="E191">
        <f>IF(COUNTIF($A$1:$A190, A191) = 0, 100, E190*(1+D191*0.01))</f>
        <v>112.71041100000002</v>
      </c>
    </row>
    <row r="192" spans="1:5">
      <c r="A192" t="s">
        <v>71</v>
      </c>
      <c r="B192">
        <v>2003</v>
      </c>
      <c r="C192" s="14">
        <v>0.13</v>
      </c>
      <c r="D192" s="15">
        <f t="shared" si="2"/>
        <v>13</v>
      </c>
      <c r="E192">
        <f>IF(COUNTIF($A$1:$A191, A192) = 0, 100, E191*(1+D192*0.01))</f>
        <v>127.36276443000001</v>
      </c>
    </row>
    <row r="193" spans="1:5">
      <c r="A193" t="s">
        <v>71</v>
      </c>
      <c r="B193">
        <v>2004</v>
      </c>
      <c r="C193" s="14">
        <v>0.09</v>
      </c>
      <c r="D193" s="15">
        <f t="shared" si="2"/>
        <v>9</v>
      </c>
      <c r="E193">
        <f>IF(COUNTIF($A$1:$A192, A193) = 0, 100, E192*(1+D193*0.01))</f>
        <v>138.82541322870003</v>
      </c>
    </row>
    <row r="194" spans="1:5">
      <c r="A194" t="s">
        <v>71</v>
      </c>
      <c r="B194">
        <v>2005</v>
      </c>
      <c r="C194" s="14">
        <v>0.08</v>
      </c>
      <c r="D194" s="15">
        <f t="shared" ref="D194:D257" si="3">IF(B194&lt;2006,C194*100,C194)</f>
        <v>8</v>
      </c>
      <c r="E194">
        <f>IF(COUNTIF($A$1:$A193, A194) = 0, 100, E193*(1+D194*0.01))</f>
        <v>149.93144628699605</v>
      </c>
    </row>
    <row r="195" spans="1:5">
      <c r="A195" t="s">
        <v>71</v>
      </c>
      <c r="B195">
        <v>2006</v>
      </c>
      <c r="C195" s="14">
        <v>6.58</v>
      </c>
      <c r="D195" s="15">
        <f t="shared" si="3"/>
        <v>6.58</v>
      </c>
      <c r="E195">
        <f>IF(COUNTIF($A$1:$A194, A195) = 0, 100, E194*(1+D195*0.01))</f>
        <v>159.7969354526804</v>
      </c>
    </row>
    <row r="196" spans="1:5">
      <c r="A196" t="s">
        <v>71</v>
      </c>
      <c r="B196">
        <v>2007</v>
      </c>
      <c r="C196" s="14">
        <v>-0.34</v>
      </c>
      <c r="D196" s="15">
        <f t="shared" si="3"/>
        <v>-0.34</v>
      </c>
      <c r="E196">
        <f>IF(COUNTIF($A$1:$A195, A196) = 0, 100, E195*(1+D196*0.01))</f>
        <v>159.2536258721413</v>
      </c>
    </row>
    <row r="197" spans="1:5">
      <c r="A197" t="s">
        <v>71</v>
      </c>
      <c r="B197">
        <v>2008</v>
      </c>
      <c r="C197" s="14">
        <v>-11.28</v>
      </c>
      <c r="D197" s="15">
        <f t="shared" si="3"/>
        <v>-11.28</v>
      </c>
      <c r="E197">
        <f>IF(COUNTIF($A$1:$A196, A197) = 0, 100, E196*(1+D197*0.01))</f>
        <v>141.28981687376375</v>
      </c>
    </row>
    <row r="198" spans="1:5">
      <c r="A198" t="s">
        <v>71</v>
      </c>
      <c r="B198">
        <v>2009</v>
      </c>
      <c r="C198" s="14">
        <v>3.2</v>
      </c>
      <c r="D198" s="15">
        <f t="shared" si="3"/>
        <v>3.2</v>
      </c>
      <c r="E198">
        <f>IF(COUNTIF($A$1:$A197, A198) = 0, 100, E197*(1+D198*0.01))</f>
        <v>145.81109101372419</v>
      </c>
    </row>
    <row r="199" spans="1:5">
      <c r="A199" t="s">
        <v>71</v>
      </c>
      <c r="B199">
        <v>2010</v>
      </c>
      <c r="C199" s="14">
        <v>6.12</v>
      </c>
      <c r="D199" s="15">
        <f t="shared" si="3"/>
        <v>6.12</v>
      </c>
      <c r="E199">
        <f>IF(COUNTIF($A$1:$A198, A199) = 0, 100, E198*(1+D199*0.01))</f>
        <v>154.7347297837641</v>
      </c>
    </row>
    <row r="200" spans="1:5">
      <c r="A200" t="s">
        <v>71</v>
      </c>
      <c r="B200">
        <v>2011</v>
      </c>
      <c r="C200" s="14">
        <v>6.24</v>
      </c>
      <c r="D200" s="15">
        <f t="shared" si="3"/>
        <v>6.24</v>
      </c>
      <c r="E200">
        <f>IF(COUNTIF($A$1:$A199, A200) = 0, 100, E199*(1+D200*0.01))</f>
        <v>164.39017692227097</v>
      </c>
    </row>
    <row r="201" spans="1:5">
      <c r="A201" t="s">
        <v>71</v>
      </c>
      <c r="B201">
        <v>2012</v>
      </c>
      <c r="C201" s="14">
        <v>4.9800000000000004</v>
      </c>
      <c r="D201" s="15">
        <f t="shared" si="3"/>
        <v>4.9800000000000004</v>
      </c>
      <c r="E201">
        <f>IF(COUNTIF($A$1:$A200, A201) = 0, 100, E200*(1+D201*0.01))</f>
        <v>172.57680773300007</v>
      </c>
    </row>
    <row r="202" spans="1:5">
      <c r="A202" t="s">
        <v>71</v>
      </c>
      <c r="B202">
        <v>2013</v>
      </c>
      <c r="C202" s="14">
        <v>4.08</v>
      </c>
      <c r="D202" s="15">
        <f t="shared" si="3"/>
        <v>4.08</v>
      </c>
      <c r="E202">
        <f>IF(COUNTIF($A$1:$A201, A202) = 0, 100, E201*(1+D202*0.01))</f>
        <v>179.61794148850646</v>
      </c>
    </row>
    <row r="203" spans="1:5">
      <c r="A203" t="s">
        <v>71</v>
      </c>
      <c r="B203">
        <v>2014</v>
      </c>
      <c r="C203" s="14">
        <v>3.36</v>
      </c>
      <c r="D203" s="15">
        <f t="shared" si="3"/>
        <v>3.36</v>
      </c>
      <c r="E203">
        <f>IF(COUNTIF($A$1:$A202, A203) = 0, 100, E202*(1+D203*0.01))</f>
        <v>185.65310432252028</v>
      </c>
    </row>
    <row r="204" spans="1:5">
      <c r="A204" t="s">
        <v>71</v>
      </c>
      <c r="B204">
        <v>2015</v>
      </c>
      <c r="C204" s="14">
        <v>10.34</v>
      </c>
      <c r="D204" s="15">
        <f t="shared" si="3"/>
        <v>10.34</v>
      </c>
      <c r="E204">
        <f>IF(COUNTIF($A$1:$A203, A204) = 0, 100, E203*(1+D204*0.01))</f>
        <v>204.84963530946885</v>
      </c>
    </row>
    <row r="205" spans="1:5">
      <c r="A205" t="s">
        <v>71</v>
      </c>
      <c r="B205">
        <v>2016</v>
      </c>
      <c r="C205" s="14">
        <v>-1.02</v>
      </c>
      <c r="D205" s="15">
        <f t="shared" si="3"/>
        <v>-1.02</v>
      </c>
      <c r="E205">
        <f>IF(COUNTIF($A$1:$A204, A205) = 0, 100, E204*(1+D205*0.01))</f>
        <v>202.76016902931227</v>
      </c>
    </row>
    <row r="206" spans="1:5">
      <c r="A206" t="s">
        <v>71</v>
      </c>
      <c r="B206">
        <v>2017</v>
      </c>
      <c r="C206" s="14">
        <v>3.6</v>
      </c>
      <c r="D206" s="15">
        <f t="shared" si="3"/>
        <v>3.6</v>
      </c>
      <c r="E206">
        <f>IF(COUNTIF($A$1:$A205, A206) = 0, 100, E205*(1+D206*0.01))</f>
        <v>210.05953511436752</v>
      </c>
    </row>
    <row r="207" spans="1:5">
      <c r="A207" t="s">
        <v>71</v>
      </c>
      <c r="B207">
        <v>2018</v>
      </c>
      <c r="C207" s="14">
        <v>1.78</v>
      </c>
      <c r="D207" s="15">
        <f t="shared" si="3"/>
        <v>1.78</v>
      </c>
      <c r="E207">
        <f>IF(COUNTIF($A$1:$A206, A207) = 0, 100, E206*(1+D207*0.01))</f>
        <v>213.79859483940328</v>
      </c>
    </row>
    <row r="208" spans="1:5">
      <c r="A208" t="s">
        <v>71</v>
      </c>
      <c r="B208">
        <v>2019</v>
      </c>
      <c r="C208" s="14">
        <v>7.67</v>
      </c>
      <c r="D208" s="15">
        <f t="shared" si="3"/>
        <v>7.67</v>
      </c>
      <c r="E208">
        <f>IF(COUNTIF($A$1:$A207, A208) = 0, 100, E207*(1+D208*0.01))</f>
        <v>230.1969470635855</v>
      </c>
    </row>
    <row r="209" spans="1:5">
      <c r="A209" t="s">
        <v>71</v>
      </c>
      <c r="B209">
        <v>2020</v>
      </c>
      <c r="C209" s="14">
        <v>6.65</v>
      </c>
      <c r="D209" s="15">
        <f t="shared" si="3"/>
        <v>6.65</v>
      </c>
      <c r="E209">
        <f>IF(COUNTIF($A$1:$A208, A209) = 0, 100, E208*(1+D209*0.01))</f>
        <v>245.50504404331394</v>
      </c>
    </row>
    <row r="210" spans="1:5">
      <c r="A210" t="s">
        <v>71</v>
      </c>
      <c r="B210">
        <v>2021</v>
      </c>
      <c r="C210" s="14">
        <v>7.55</v>
      </c>
      <c r="D210" s="15">
        <f t="shared" si="3"/>
        <v>7.55</v>
      </c>
      <c r="E210">
        <f>IF(COUNTIF($A$1:$A209, A210) = 0, 100, E209*(1+D210*0.01))</f>
        <v>264.04067486858412</v>
      </c>
    </row>
    <row r="211" spans="1:5">
      <c r="A211" t="s">
        <v>72</v>
      </c>
      <c r="B211">
        <v>2005</v>
      </c>
      <c r="C211" s="14">
        <v>0.1</v>
      </c>
      <c r="D211" s="15">
        <f t="shared" si="3"/>
        <v>10</v>
      </c>
      <c r="E211">
        <f>IF(COUNTIF($A$1:$A210, A211) = 0, 100, E210*(1+D211*0.01))</f>
        <v>100</v>
      </c>
    </row>
    <row r="212" spans="1:5">
      <c r="A212" t="s">
        <v>72</v>
      </c>
      <c r="B212">
        <v>2006</v>
      </c>
      <c r="C212" s="14">
        <v>6.61</v>
      </c>
      <c r="D212" s="15">
        <f t="shared" si="3"/>
        <v>6.61</v>
      </c>
      <c r="E212">
        <f>IF(COUNTIF($A$1:$A211, A212) = 0, 100, E211*(1+D212*0.01))</f>
        <v>106.61</v>
      </c>
    </row>
    <row r="213" spans="1:5">
      <c r="A213" t="s">
        <v>72</v>
      </c>
      <c r="B213">
        <v>2007</v>
      </c>
      <c r="C213" s="14">
        <v>1.08</v>
      </c>
      <c r="D213" s="15">
        <f t="shared" si="3"/>
        <v>1.08</v>
      </c>
      <c r="E213">
        <f>IF(COUNTIF($A$1:$A212, A213) = 0, 100, E212*(1+D213*0.01))</f>
        <v>107.761388</v>
      </c>
    </row>
    <row r="214" spans="1:5">
      <c r="A214" t="s">
        <v>72</v>
      </c>
      <c r="B214">
        <v>2008</v>
      </c>
      <c r="C214" s="14">
        <v>-6.68</v>
      </c>
      <c r="D214" s="15">
        <f t="shared" si="3"/>
        <v>-6.68</v>
      </c>
      <c r="E214">
        <f>IF(COUNTIF($A$1:$A213, A214) = 0, 100, E213*(1+D214*0.01))</f>
        <v>100.5629272816</v>
      </c>
    </row>
    <row r="215" spans="1:5">
      <c r="A215" t="s">
        <v>72</v>
      </c>
      <c r="B215">
        <v>2009</v>
      </c>
      <c r="C215" s="14">
        <v>3.07</v>
      </c>
      <c r="D215" s="15">
        <f t="shared" si="3"/>
        <v>3.07</v>
      </c>
      <c r="E215">
        <f>IF(COUNTIF($A$1:$A214, A215) = 0, 100, E214*(1+D215*0.01))</f>
        <v>103.65020914914511</v>
      </c>
    </row>
    <row r="216" spans="1:5">
      <c r="A216" t="s">
        <v>72</v>
      </c>
      <c r="B216">
        <v>2010</v>
      </c>
      <c r="C216" s="14">
        <v>4.5199999999999996</v>
      </c>
      <c r="D216" s="15">
        <f t="shared" si="3"/>
        <v>4.5199999999999996</v>
      </c>
      <c r="E216">
        <f>IF(COUNTIF($A$1:$A215, A216) = 0, 100, E215*(1+D216*0.01))</f>
        <v>108.33519860268646</v>
      </c>
    </row>
    <row r="217" spans="1:5">
      <c r="A217" t="s">
        <v>72</v>
      </c>
      <c r="B217">
        <v>2011</v>
      </c>
      <c r="C217" s="14">
        <v>0.6</v>
      </c>
      <c r="D217" s="15">
        <f t="shared" si="3"/>
        <v>0.6</v>
      </c>
      <c r="E217">
        <f>IF(COUNTIF($A$1:$A216, A217) = 0, 100, E216*(1+D217*0.01))</f>
        <v>108.98520979430258</v>
      </c>
    </row>
    <row r="218" spans="1:5">
      <c r="A218" t="s">
        <v>72</v>
      </c>
      <c r="B218">
        <v>2012</v>
      </c>
      <c r="C218" s="14">
        <v>5.98</v>
      </c>
      <c r="D218" s="15">
        <f t="shared" si="3"/>
        <v>5.98</v>
      </c>
      <c r="E218">
        <f>IF(COUNTIF($A$1:$A217, A218) = 0, 100, E217*(1+D218*0.01))</f>
        <v>115.50252534000188</v>
      </c>
    </row>
    <row r="219" spans="1:5">
      <c r="A219" t="s">
        <v>72</v>
      </c>
      <c r="B219">
        <v>2013</v>
      </c>
      <c r="C219" s="14">
        <v>3.68</v>
      </c>
      <c r="D219" s="15">
        <f t="shared" si="3"/>
        <v>3.68</v>
      </c>
      <c r="E219">
        <f>IF(COUNTIF($A$1:$A218, A219) = 0, 100, E218*(1+D219*0.01))</f>
        <v>119.75301827251394</v>
      </c>
    </row>
    <row r="220" spans="1:5">
      <c r="A220" t="s">
        <v>72</v>
      </c>
      <c r="B220">
        <v>2014</v>
      </c>
      <c r="C220" s="14">
        <v>8.8000000000000007</v>
      </c>
      <c r="D220" s="15">
        <f t="shared" si="3"/>
        <v>8.8000000000000007</v>
      </c>
      <c r="E220">
        <f>IF(COUNTIF($A$1:$A219, A220) = 0, 100, E219*(1+D220*0.01))</f>
        <v>130.29128388049517</v>
      </c>
    </row>
    <row r="221" spans="1:5">
      <c r="A221" t="s">
        <v>72</v>
      </c>
      <c r="B221">
        <v>2015</v>
      </c>
      <c r="C221" s="14">
        <v>6.72</v>
      </c>
      <c r="D221" s="15">
        <f t="shared" si="3"/>
        <v>6.72</v>
      </c>
      <c r="E221">
        <f>IF(COUNTIF($A$1:$A220, A221) = 0, 100, E220*(1+D221*0.01))</f>
        <v>139.04685815726444</v>
      </c>
    </row>
    <row r="222" spans="1:5">
      <c r="A222" t="s">
        <v>72</v>
      </c>
      <c r="B222">
        <v>2016</v>
      </c>
      <c r="C222" s="14">
        <v>0.6</v>
      </c>
      <c r="D222" s="15">
        <f t="shared" si="3"/>
        <v>0.6</v>
      </c>
      <c r="E222">
        <f>IF(COUNTIF($A$1:$A221, A222) = 0, 100, E221*(1+D222*0.01))</f>
        <v>139.88113930620801</v>
      </c>
    </row>
    <row r="223" spans="1:5">
      <c r="A223" t="s">
        <v>72</v>
      </c>
      <c r="B223">
        <v>2017</v>
      </c>
      <c r="C223" s="14">
        <v>4.83</v>
      </c>
      <c r="D223" s="15">
        <f t="shared" si="3"/>
        <v>4.83</v>
      </c>
      <c r="E223">
        <f>IF(COUNTIF($A$1:$A222, A223) = 0, 100, E222*(1+D223*0.01))</f>
        <v>146.63739833469785</v>
      </c>
    </row>
    <row r="224" spans="1:5">
      <c r="A224" t="s">
        <v>72</v>
      </c>
      <c r="B224">
        <v>2018</v>
      </c>
      <c r="C224" s="14">
        <v>1.8</v>
      </c>
      <c r="D224" s="15">
        <f t="shared" si="3"/>
        <v>1.8</v>
      </c>
      <c r="E224">
        <f>IF(COUNTIF($A$1:$A223, A224) = 0, 100, E223*(1+D224*0.01))</f>
        <v>149.27687150472241</v>
      </c>
    </row>
    <row r="225" spans="1:5">
      <c r="A225" t="s">
        <v>72</v>
      </c>
      <c r="B225">
        <v>2019</v>
      </c>
      <c r="C225" s="14">
        <v>7.93</v>
      </c>
      <c r="D225" s="15">
        <f t="shared" si="3"/>
        <v>7.93</v>
      </c>
      <c r="E225">
        <f>IF(COUNTIF($A$1:$A224, A225) = 0, 100, E224*(1+D225*0.01))</f>
        <v>161.11452741504689</v>
      </c>
    </row>
    <row r="226" spans="1:5">
      <c r="A226" t="s">
        <v>72</v>
      </c>
      <c r="B226">
        <v>2020</v>
      </c>
      <c r="C226" s="14">
        <v>6.85</v>
      </c>
      <c r="D226" s="15">
        <f t="shared" si="3"/>
        <v>6.85</v>
      </c>
      <c r="E226">
        <f>IF(COUNTIF($A$1:$A225, A226) = 0, 100, E225*(1+D226*0.01))</f>
        <v>172.1508725429776</v>
      </c>
    </row>
    <row r="227" spans="1:5">
      <c r="A227" t="s">
        <v>72</v>
      </c>
      <c r="B227">
        <v>2021</v>
      </c>
      <c r="C227" s="14">
        <v>7.6</v>
      </c>
      <c r="D227" s="15">
        <f t="shared" si="3"/>
        <v>7.6</v>
      </c>
      <c r="E227">
        <f>IF(COUNTIF($A$1:$A226, A227) = 0, 100, E226*(1+D227*0.01))</f>
        <v>185.23433885624391</v>
      </c>
    </row>
    <row r="228" spans="1:5">
      <c r="A228" t="s">
        <v>73</v>
      </c>
      <c r="B228">
        <v>2007</v>
      </c>
      <c r="C228" s="14">
        <v>3.1</v>
      </c>
      <c r="D228" s="15">
        <f t="shared" si="3"/>
        <v>3.1</v>
      </c>
      <c r="E228">
        <f>IF(COUNTIF($A$1:$A227, A228) = 0, 100, E227*(1+D228*0.01))</f>
        <v>100</v>
      </c>
    </row>
    <row r="229" spans="1:5">
      <c r="A229" t="s">
        <v>73</v>
      </c>
      <c r="B229">
        <v>2008</v>
      </c>
      <c r="C229" s="14">
        <v>-27.72</v>
      </c>
      <c r="D229" s="15">
        <f t="shared" si="3"/>
        <v>-27.72</v>
      </c>
      <c r="E229">
        <f>IF(COUNTIF($A$1:$A228, A229) = 0, 100, E228*(1+D229*0.01))</f>
        <v>72.28</v>
      </c>
    </row>
    <row r="230" spans="1:5">
      <c r="A230" t="s">
        <v>73</v>
      </c>
      <c r="B230">
        <v>2009</v>
      </c>
      <c r="C230" s="14">
        <v>-0.81</v>
      </c>
      <c r="D230" s="15">
        <f t="shared" si="3"/>
        <v>-0.81</v>
      </c>
      <c r="E230">
        <f>IF(COUNTIF($A$1:$A229, A230) = 0, 100, E229*(1+D230*0.01))</f>
        <v>71.694531999999995</v>
      </c>
    </row>
    <row r="231" spans="1:5">
      <c r="A231" t="s">
        <v>73</v>
      </c>
      <c r="B231">
        <v>2010</v>
      </c>
      <c r="C231" s="14">
        <v>4</v>
      </c>
      <c r="D231" s="15">
        <f t="shared" si="3"/>
        <v>4</v>
      </c>
      <c r="E231">
        <f>IF(COUNTIF($A$1:$A230, A231) = 0, 100, E230*(1+D231*0.01))</f>
        <v>74.562313279999998</v>
      </c>
    </row>
    <row r="232" spans="1:5">
      <c r="A232" t="s">
        <v>73</v>
      </c>
      <c r="B232">
        <v>2011</v>
      </c>
      <c r="C232" s="14">
        <v>4</v>
      </c>
      <c r="D232" s="15">
        <f t="shared" si="3"/>
        <v>4</v>
      </c>
      <c r="E232">
        <f>IF(COUNTIF($A$1:$A231, A232) = 0, 100, E231*(1+D232*0.01))</f>
        <v>77.544805811200007</v>
      </c>
    </row>
    <row r="233" spans="1:5">
      <c r="A233" t="s">
        <v>74</v>
      </c>
      <c r="B233">
        <v>2019</v>
      </c>
      <c r="C233" s="14">
        <v>7.37</v>
      </c>
      <c r="D233" s="15">
        <f t="shared" si="3"/>
        <v>7.37</v>
      </c>
      <c r="E233">
        <f>IF(COUNTIF($A$1:$A232, A233) = 0, 100, E232*(1+D233*0.01))</f>
        <v>100</v>
      </c>
    </row>
    <row r="234" spans="1:5">
      <c r="A234" t="s">
        <v>74</v>
      </c>
      <c r="B234">
        <v>2020</v>
      </c>
      <c r="C234" s="14">
        <v>6.63</v>
      </c>
      <c r="D234" s="15">
        <f t="shared" si="3"/>
        <v>6.63</v>
      </c>
      <c r="E234">
        <f>IF(COUNTIF($A$1:$A233, A234) = 0, 100, E233*(1+D234*0.01))</f>
        <v>106.63</v>
      </c>
    </row>
    <row r="235" spans="1:5">
      <c r="A235" t="s">
        <v>74</v>
      </c>
      <c r="B235">
        <v>2021</v>
      </c>
      <c r="C235" s="14">
        <v>8.39</v>
      </c>
      <c r="D235" s="15">
        <f t="shared" si="3"/>
        <v>8.39</v>
      </c>
      <c r="E235">
        <f>IF(COUNTIF($A$1:$A234, A235) = 0, 100, E234*(1+D235*0.01))</f>
        <v>115.576257</v>
      </c>
    </row>
    <row r="236" spans="1:5">
      <c r="A236" t="s">
        <v>75</v>
      </c>
      <c r="B236">
        <v>2019</v>
      </c>
      <c r="C236" s="14">
        <v>4.59</v>
      </c>
      <c r="D236" s="15">
        <f t="shared" si="3"/>
        <v>4.59</v>
      </c>
      <c r="E236">
        <f>IF(COUNTIF($A$1:$A235, A236) = 0, 100, E235*(1+D236*0.01))</f>
        <v>100</v>
      </c>
    </row>
    <row r="237" spans="1:5">
      <c r="A237" t="s">
        <v>75</v>
      </c>
      <c r="B237">
        <v>2020</v>
      </c>
      <c r="C237" s="14">
        <v>6.91</v>
      </c>
      <c r="D237" s="15">
        <f t="shared" si="3"/>
        <v>6.91</v>
      </c>
      <c r="E237">
        <f>IF(COUNTIF($A$1:$A236, A237) = 0, 100, E236*(1+D237*0.01))</f>
        <v>106.91</v>
      </c>
    </row>
    <row r="238" spans="1:5">
      <c r="A238" t="s">
        <v>75</v>
      </c>
      <c r="B238">
        <v>2021</v>
      </c>
      <c r="C238" s="14">
        <v>1.95</v>
      </c>
      <c r="D238" s="15">
        <f t="shared" si="3"/>
        <v>1.95</v>
      </c>
      <c r="E238">
        <f>IF(COUNTIF($A$1:$A237, A238) = 0, 100, E237*(1+D238*0.01))</f>
        <v>108.99474500000001</v>
      </c>
    </row>
    <row r="239" spans="1:5">
      <c r="A239" t="s">
        <v>76</v>
      </c>
      <c r="B239">
        <v>1998</v>
      </c>
      <c r="C239" s="14">
        <v>7.0000000000000007E-2</v>
      </c>
      <c r="D239" s="15">
        <f t="shared" si="3"/>
        <v>7.0000000000000009</v>
      </c>
      <c r="E239">
        <f>IF(COUNTIF($A$1:$A238, A239) = 0, 100, E238*(1+D239*0.01))</f>
        <v>100</v>
      </c>
    </row>
    <row r="240" spans="1:5">
      <c r="A240" t="s">
        <v>76</v>
      </c>
      <c r="B240">
        <v>1999</v>
      </c>
      <c r="C240" s="14">
        <v>0.14000000000000001</v>
      </c>
      <c r="D240" s="15">
        <f t="shared" si="3"/>
        <v>14.000000000000002</v>
      </c>
      <c r="E240">
        <f>IF(COUNTIF($A$1:$A239, A240) = 0, 100, E239*(1+D240*0.01))</f>
        <v>114.00000000000001</v>
      </c>
    </row>
    <row r="241" spans="1:5">
      <c r="A241" t="s">
        <v>76</v>
      </c>
      <c r="B241">
        <v>2000</v>
      </c>
      <c r="C241" s="14">
        <v>-0.02</v>
      </c>
      <c r="D241" s="15">
        <f t="shared" si="3"/>
        <v>-2</v>
      </c>
      <c r="E241">
        <f>IF(COUNTIF($A$1:$A240, A241) = 0, 100, E240*(1+D241*0.01))</f>
        <v>111.72000000000001</v>
      </c>
    </row>
    <row r="242" spans="1:5">
      <c r="A242" t="s">
        <v>76</v>
      </c>
      <c r="B242">
        <v>2001</v>
      </c>
      <c r="C242" s="14">
        <v>-0.06</v>
      </c>
      <c r="D242" s="15">
        <f t="shared" si="3"/>
        <v>-6</v>
      </c>
      <c r="E242">
        <f>IF(COUNTIF($A$1:$A241, A242) = 0, 100, E241*(1+D242*0.01))</f>
        <v>105.0168</v>
      </c>
    </row>
    <row r="243" spans="1:5">
      <c r="A243" t="s">
        <v>76</v>
      </c>
      <c r="B243">
        <v>2002</v>
      </c>
      <c r="C243" s="14">
        <v>-0.05</v>
      </c>
      <c r="D243" s="15">
        <f t="shared" si="3"/>
        <v>-5</v>
      </c>
      <c r="E243">
        <f>IF(COUNTIF($A$1:$A242, A243) = 0, 100, E242*(1+D243*0.01))</f>
        <v>99.765959999999993</v>
      </c>
    </row>
    <row r="244" spans="1:5">
      <c r="A244" t="s">
        <v>76</v>
      </c>
      <c r="B244">
        <v>2003</v>
      </c>
      <c r="C244" s="14">
        <v>0.11</v>
      </c>
      <c r="D244" s="15">
        <f t="shared" si="3"/>
        <v>11</v>
      </c>
      <c r="E244">
        <f>IF(COUNTIF($A$1:$A243, A244) = 0, 100, E243*(1+D244*0.01))</f>
        <v>110.7402156</v>
      </c>
    </row>
    <row r="245" spans="1:5">
      <c r="A245" t="s">
        <v>76</v>
      </c>
      <c r="B245">
        <v>2004</v>
      </c>
      <c r="C245" s="14">
        <v>7.0000000000000007E-2</v>
      </c>
      <c r="D245" s="15">
        <f t="shared" si="3"/>
        <v>7.0000000000000009</v>
      </c>
      <c r="E245">
        <f>IF(COUNTIF($A$1:$A244, A245) = 0, 100, E244*(1+D245*0.01))</f>
        <v>118.492030692</v>
      </c>
    </row>
    <row r="246" spans="1:5">
      <c r="A246" t="s">
        <v>76</v>
      </c>
      <c r="B246">
        <v>2005</v>
      </c>
      <c r="C246" s="14">
        <v>0.06</v>
      </c>
      <c r="D246" s="15">
        <f t="shared" si="3"/>
        <v>6</v>
      </c>
      <c r="E246">
        <f>IF(COUNTIF($A$1:$A245, A246) = 0, 100, E245*(1+D246*0.01))</f>
        <v>125.60155253352001</v>
      </c>
    </row>
    <row r="247" spans="1:5">
      <c r="A247" t="s">
        <v>77</v>
      </c>
      <c r="B247">
        <v>1997</v>
      </c>
      <c r="C247" s="14">
        <v>0.08</v>
      </c>
      <c r="D247" s="15">
        <f t="shared" si="3"/>
        <v>8</v>
      </c>
      <c r="E247">
        <f>IF(COUNTIF($A$1:$A246, A247) = 0, 100, E246*(1+D247*0.01))</f>
        <v>100</v>
      </c>
    </row>
    <row r="248" spans="1:5">
      <c r="A248" t="s">
        <v>77</v>
      </c>
      <c r="B248">
        <v>1998</v>
      </c>
      <c r="C248" s="14">
        <v>0.08</v>
      </c>
      <c r="D248" s="15">
        <f t="shared" si="3"/>
        <v>8</v>
      </c>
      <c r="E248">
        <f>IF(COUNTIF($A$1:$A247, A248) = 0, 100, E247*(1+D248*0.01))</f>
        <v>108</v>
      </c>
    </row>
    <row r="249" spans="1:5">
      <c r="A249" t="s">
        <v>77</v>
      </c>
      <c r="B249">
        <v>1999</v>
      </c>
      <c r="C249" s="14">
        <v>0.16</v>
      </c>
      <c r="D249" s="15">
        <f t="shared" si="3"/>
        <v>16</v>
      </c>
      <c r="E249">
        <f>IF(COUNTIF($A$1:$A248, A249) = 0, 100, E248*(1+D249*0.01))</f>
        <v>125.27999999999999</v>
      </c>
    </row>
    <row r="250" spans="1:5">
      <c r="A250" t="s">
        <v>77</v>
      </c>
      <c r="B250">
        <v>2000</v>
      </c>
      <c r="C250" s="14">
        <v>-0.04</v>
      </c>
      <c r="D250" s="15">
        <f t="shared" si="3"/>
        <v>-4</v>
      </c>
      <c r="E250">
        <f>IF(COUNTIF($A$1:$A249, A250) = 0, 100, E249*(1+D250*0.01))</f>
        <v>120.26879999999998</v>
      </c>
    </row>
    <row r="251" spans="1:5">
      <c r="A251" t="s">
        <v>77</v>
      </c>
      <c r="B251">
        <v>2001</v>
      </c>
      <c r="C251" s="14">
        <v>-0.03</v>
      </c>
      <c r="D251" s="15">
        <f t="shared" si="3"/>
        <v>-3</v>
      </c>
      <c r="E251">
        <f>IF(COUNTIF($A$1:$A250, A251) = 0, 100, E250*(1+D251*0.01))</f>
        <v>116.66073599999999</v>
      </c>
    </row>
    <row r="252" spans="1:5">
      <c r="A252" t="s">
        <v>77</v>
      </c>
      <c r="B252">
        <v>2002</v>
      </c>
      <c r="C252" s="14">
        <v>-0.04</v>
      </c>
      <c r="D252" s="15">
        <f t="shared" si="3"/>
        <v>-4</v>
      </c>
      <c r="E252">
        <f>IF(COUNTIF($A$1:$A251, A252) = 0, 100, E251*(1+D252*0.01))</f>
        <v>111.99430655999998</v>
      </c>
    </row>
    <row r="253" spans="1:5">
      <c r="A253" t="s">
        <v>77</v>
      </c>
      <c r="B253">
        <v>2003</v>
      </c>
      <c r="C253" s="14">
        <v>0.13</v>
      </c>
      <c r="D253" s="15">
        <f t="shared" si="3"/>
        <v>13</v>
      </c>
      <c r="E253">
        <f>IF(COUNTIF($A$1:$A252, A253) = 0, 100, E252*(1+D253*0.01))</f>
        <v>126.55356641279997</v>
      </c>
    </row>
    <row r="254" spans="1:5">
      <c r="A254" t="s">
        <v>77</v>
      </c>
      <c r="B254">
        <v>2004</v>
      </c>
      <c r="C254" s="14">
        <v>0.12</v>
      </c>
      <c r="D254" s="15">
        <f t="shared" si="3"/>
        <v>12</v>
      </c>
      <c r="E254">
        <f>IF(COUNTIF($A$1:$A253, A254) = 0, 100, E253*(1+D254*0.01))</f>
        <v>141.73999438233596</v>
      </c>
    </row>
    <row r="255" spans="1:5">
      <c r="A255" t="s">
        <v>77</v>
      </c>
      <c r="B255">
        <v>2005</v>
      </c>
      <c r="C255" s="14">
        <v>0.12</v>
      </c>
      <c r="D255" s="15">
        <f t="shared" si="3"/>
        <v>12</v>
      </c>
      <c r="E255">
        <f>IF(COUNTIF($A$1:$A254, A255) = 0, 100, E254*(1+D255*0.01))</f>
        <v>158.74879370821628</v>
      </c>
    </row>
    <row r="256" spans="1:5">
      <c r="A256" t="s">
        <v>78</v>
      </c>
      <c r="B256">
        <v>1997</v>
      </c>
      <c r="C256" s="14">
        <v>7.0000000000000007E-2</v>
      </c>
      <c r="D256" s="15">
        <f t="shared" si="3"/>
        <v>7.0000000000000009</v>
      </c>
      <c r="E256">
        <f>IF(COUNTIF($A$1:$A255, A256) = 0, 100, E255*(1+D256*0.01))</f>
        <v>100</v>
      </c>
    </row>
    <row r="257" spans="1:5">
      <c r="A257" t="s">
        <v>78</v>
      </c>
      <c r="B257">
        <v>1998</v>
      </c>
      <c r="C257" s="14">
        <v>0.08</v>
      </c>
      <c r="D257" s="15">
        <f t="shared" si="3"/>
        <v>8</v>
      </c>
      <c r="E257">
        <f>IF(COUNTIF($A$1:$A256, A257) = 0, 100, E256*(1+D257*0.01))</f>
        <v>108</v>
      </c>
    </row>
    <row r="258" spans="1:5">
      <c r="A258" t="s">
        <v>78</v>
      </c>
      <c r="B258">
        <v>1999</v>
      </c>
      <c r="C258" s="14">
        <v>7.0000000000000007E-2</v>
      </c>
      <c r="D258" s="15">
        <f t="shared" ref="D258:D321" si="4">IF(B258&lt;2006,C258*100,C258)</f>
        <v>7.0000000000000009</v>
      </c>
      <c r="E258">
        <f>IF(COUNTIF($A$1:$A257, A258) = 0, 100, E257*(1+D258*0.01))</f>
        <v>115.56</v>
      </c>
    </row>
    <row r="259" spans="1:5">
      <c r="A259" t="s">
        <v>78</v>
      </c>
      <c r="B259">
        <v>2000</v>
      </c>
      <c r="C259" s="14">
        <v>7.0000000000000007E-2</v>
      </c>
      <c r="D259" s="15">
        <f t="shared" si="4"/>
        <v>7.0000000000000009</v>
      </c>
      <c r="E259">
        <f>IF(COUNTIF($A$1:$A258, A259) = 0, 100, E258*(1+D259*0.01))</f>
        <v>123.64920000000001</v>
      </c>
    </row>
    <row r="260" spans="1:5">
      <c r="A260" t="s">
        <v>78</v>
      </c>
      <c r="B260">
        <v>2001</v>
      </c>
      <c r="C260" s="14">
        <v>0.06</v>
      </c>
      <c r="D260" s="15">
        <f t="shared" si="4"/>
        <v>6</v>
      </c>
      <c r="E260">
        <f>IF(COUNTIF($A$1:$A259, A260) = 0, 100, E259*(1+D260*0.01))</f>
        <v>131.06815200000003</v>
      </c>
    </row>
    <row r="261" spans="1:5">
      <c r="A261" t="s">
        <v>78</v>
      </c>
      <c r="B261">
        <v>2002</v>
      </c>
      <c r="C261" s="14">
        <v>7.0000000000000007E-2</v>
      </c>
      <c r="D261" s="15">
        <f t="shared" si="4"/>
        <v>7.0000000000000009</v>
      </c>
      <c r="E261">
        <f>IF(COUNTIF($A$1:$A260, A261) = 0, 100, E260*(1+D261*0.01))</f>
        <v>140.24292264000005</v>
      </c>
    </row>
    <row r="262" spans="1:5">
      <c r="A262" t="s">
        <v>78</v>
      </c>
      <c r="B262">
        <v>2003</v>
      </c>
      <c r="C262" s="14">
        <v>0.08</v>
      </c>
      <c r="D262" s="15">
        <f t="shared" si="4"/>
        <v>8</v>
      </c>
      <c r="E262">
        <f>IF(COUNTIF($A$1:$A261, A262) = 0, 100, E261*(1+D262*0.01))</f>
        <v>151.46235645120007</v>
      </c>
    </row>
    <row r="263" spans="1:5">
      <c r="A263" t="s">
        <v>78</v>
      </c>
      <c r="B263">
        <v>2004</v>
      </c>
      <c r="C263" s="14">
        <v>0.06</v>
      </c>
      <c r="D263" s="15">
        <f t="shared" si="4"/>
        <v>6</v>
      </c>
      <c r="E263">
        <f>IF(COUNTIF($A$1:$A262, A263) = 0, 100, E262*(1+D263*0.01))</f>
        <v>160.55009783827208</v>
      </c>
    </row>
    <row r="264" spans="1:5">
      <c r="A264" t="s">
        <v>78</v>
      </c>
      <c r="B264">
        <v>2005</v>
      </c>
      <c r="C264" s="14">
        <v>0.05</v>
      </c>
      <c r="D264" s="15">
        <f t="shared" si="4"/>
        <v>5</v>
      </c>
      <c r="E264">
        <f>IF(COUNTIF($A$1:$A263, A264) = 0, 100, E263*(1+D264*0.01))</f>
        <v>168.5776027301857</v>
      </c>
    </row>
    <row r="265" spans="1:5">
      <c r="A265" t="s">
        <v>78</v>
      </c>
      <c r="B265">
        <v>2006</v>
      </c>
      <c r="C265" s="14">
        <v>5.1100000000000003</v>
      </c>
      <c r="D265" s="15">
        <f t="shared" si="4"/>
        <v>5.1100000000000003</v>
      </c>
      <c r="E265">
        <f>IF(COUNTIF($A$1:$A264, A265) = 0, 100, E264*(1+D265*0.01))</f>
        <v>177.19191822969819</v>
      </c>
    </row>
    <row r="266" spans="1:5">
      <c r="A266" t="s">
        <v>78</v>
      </c>
      <c r="B266">
        <v>2007</v>
      </c>
      <c r="C266" s="14">
        <v>3.97</v>
      </c>
      <c r="D266" s="15">
        <f t="shared" si="4"/>
        <v>3.97</v>
      </c>
      <c r="E266">
        <f>IF(COUNTIF($A$1:$A265, A266) = 0, 100, E265*(1+D266*0.01))</f>
        <v>184.22643738341722</v>
      </c>
    </row>
    <row r="267" spans="1:5">
      <c r="A267" t="s">
        <v>78</v>
      </c>
      <c r="B267">
        <v>2008</v>
      </c>
      <c r="C267" s="14">
        <v>-21.2</v>
      </c>
      <c r="D267" s="15">
        <f t="shared" si="4"/>
        <v>-21.2</v>
      </c>
      <c r="E267">
        <f>IF(COUNTIF($A$1:$A266, A267) = 0, 100, E266*(1+D267*0.01))</f>
        <v>145.17043265813277</v>
      </c>
    </row>
    <row r="268" spans="1:5">
      <c r="A268" t="s">
        <v>78</v>
      </c>
      <c r="B268">
        <v>2009</v>
      </c>
      <c r="C268" s="14">
        <v>-12.81</v>
      </c>
      <c r="D268" s="15">
        <f t="shared" si="4"/>
        <v>-12.81</v>
      </c>
      <c r="E268">
        <f>IF(COUNTIF($A$1:$A267, A268) = 0, 100, E267*(1+D268*0.01))</f>
        <v>126.57410023462596</v>
      </c>
    </row>
    <row r="269" spans="1:5">
      <c r="A269" t="s">
        <v>79</v>
      </c>
      <c r="B269">
        <v>1997</v>
      </c>
      <c r="C269" s="14">
        <v>7.0000000000000007E-2</v>
      </c>
      <c r="D269" s="15">
        <f t="shared" si="4"/>
        <v>7.0000000000000009</v>
      </c>
      <c r="E269">
        <f>IF(COUNTIF($A$1:$A268, A269) = 0, 100, E268*(1+D269*0.01))</f>
        <v>100</v>
      </c>
    </row>
    <row r="270" spans="1:5">
      <c r="A270" t="s">
        <v>79</v>
      </c>
      <c r="B270">
        <v>1999</v>
      </c>
      <c r="C270" s="14">
        <v>0.1</v>
      </c>
      <c r="D270" s="15">
        <f t="shared" si="4"/>
        <v>10</v>
      </c>
      <c r="E270">
        <f>IF(COUNTIF($A$1:$A269, A270) = 0, 100, E269*(1+D270*0.01))</f>
        <v>110.00000000000001</v>
      </c>
    </row>
    <row r="271" spans="1:5">
      <c r="A271" t="s">
        <v>79</v>
      </c>
      <c r="B271">
        <v>2000</v>
      </c>
      <c r="C271" s="14">
        <v>-7.0000000000000007E-2</v>
      </c>
      <c r="D271" s="15">
        <f t="shared" si="4"/>
        <v>-7.0000000000000009</v>
      </c>
      <c r="E271">
        <f>IF(COUNTIF($A$1:$A270, A271) = 0, 100, E270*(1+D271*0.01))</f>
        <v>102.30000000000001</v>
      </c>
    </row>
    <row r="272" spans="1:5">
      <c r="A272" t="s">
        <v>79</v>
      </c>
      <c r="B272">
        <v>2001</v>
      </c>
      <c r="C272" s="14">
        <v>-0.06</v>
      </c>
      <c r="D272" s="15">
        <f t="shared" si="4"/>
        <v>-6</v>
      </c>
      <c r="E272">
        <f>IF(COUNTIF($A$1:$A271, A272) = 0, 100, E271*(1+D272*0.01))</f>
        <v>96.162000000000006</v>
      </c>
    </row>
    <row r="273" spans="1:5">
      <c r="A273" t="s">
        <v>80</v>
      </c>
      <c r="B273">
        <v>1997</v>
      </c>
      <c r="C273" s="14">
        <v>0.13</v>
      </c>
      <c r="D273" s="15">
        <f t="shared" si="4"/>
        <v>13</v>
      </c>
      <c r="E273">
        <f>IF(COUNTIF($A$1:$A272, A273) = 0, 100, E272*(1+D273*0.01))</f>
        <v>100</v>
      </c>
    </row>
    <row r="274" spans="1:5">
      <c r="A274" t="s">
        <v>80</v>
      </c>
      <c r="B274">
        <v>1998</v>
      </c>
      <c r="C274" s="14">
        <v>0.02</v>
      </c>
      <c r="D274" s="15">
        <f t="shared" si="4"/>
        <v>2</v>
      </c>
      <c r="E274">
        <f>IF(COUNTIF($A$1:$A273, A274) = 0, 100, E273*(1+D274*0.01))</f>
        <v>102</v>
      </c>
    </row>
    <row r="275" spans="1:5">
      <c r="A275" t="s">
        <v>80</v>
      </c>
      <c r="B275">
        <v>1999</v>
      </c>
      <c r="C275" s="14">
        <v>0.22</v>
      </c>
      <c r="D275" s="15">
        <f t="shared" si="4"/>
        <v>22</v>
      </c>
      <c r="E275">
        <f>IF(COUNTIF($A$1:$A274, A275) = 0, 100, E274*(1+D275*0.01))</f>
        <v>124.44</v>
      </c>
    </row>
    <row r="276" spans="1:5">
      <c r="A276" t="s">
        <v>80</v>
      </c>
      <c r="B276">
        <v>2000</v>
      </c>
      <c r="C276" s="14">
        <v>0.04</v>
      </c>
      <c r="D276" s="15">
        <f t="shared" si="4"/>
        <v>4</v>
      </c>
      <c r="E276">
        <f>IF(COUNTIF($A$1:$A275, A276) = 0, 100, E275*(1+D276*0.01))</f>
        <v>129.41759999999999</v>
      </c>
    </row>
    <row r="277" spans="1:5">
      <c r="A277" t="s">
        <v>80</v>
      </c>
      <c r="B277">
        <v>2001</v>
      </c>
      <c r="C277" s="14">
        <v>-0.11</v>
      </c>
      <c r="D277" s="15">
        <f t="shared" si="4"/>
        <v>-11</v>
      </c>
      <c r="E277">
        <f>IF(COUNTIF($A$1:$A276, A277) = 0, 100, E276*(1+D277*0.01))</f>
        <v>115.181664</v>
      </c>
    </row>
    <row r="278" spans="1:5">
      <c r="A278" t="s">
        <v>81</v>
      </c>
      <c r="B278">
        <v>1997</v>
      </c>
      <c r="C278" s="14">
        <v>0.06</v>
      </c>
      <c r="D278" s="15">
        <f t="shared" si="4"/>
        <v>6</v>
      </c>
      <c r="E278">
        <f>IF(COUNTIF($A$1:$A277, A278) = 0, 100, E277*(1+D278*0.01))</f>
        <v>100</v>
      </c>
    </row>
    <row r="279" spans="1:5">
      <c r="A279" t="s">
        <v>81</v>
      </c>
      <c r="B279">
        <v>1998</v>
      </c>
      <c r="C279" s="14">
        <v>0.06</v>
      </c>
      <c r="D279" s="15">
        <f t="shared" si="4"/>
        <v>6</v>
      </c>
      <c r="E279">
        <f>IF(COUNTIF($A$1:$A278, A279) = 0, 100, E278*(1+D279*0.01))</f>
        <v>106</v>
      </c>
    </row>
    <row r="280" spans="1:5">
      <c r="A280" t="s">
        <v>81</v>
      </c>
      <c r="B280">
        <v>1999</v>
      </c>
      <c r="C280" s="14">
        <v>0.05</v>
      </c>
      <c r="D280" s="15">
        <f t="shared" si="4"/>
        <v>5</v>
      </c>
      <c r="E280">
        <f>IF(COUNTIF($A$1:$A279, A280) = 0, 100, E279*(1+D280*0.01))</f>
        <v>111.30000000000001</v>
      </c>
    </row>
    <row r="281" spans="1:5">
      <c r="A281" t="s">
        <v>81</v>
      </c>
      <c r="B281">
        <v>2000</v>
      </c>
      <c r="C281" s="14">
        <v>0.06</v>
      </c>
      <c r="D281" s="15">
        <f t="shared" si="4"/>
        <v>6</v>
      </c>
      <c r="E281">
        <f>IF(COUNTIF($A$1:$A280, A281) = 0, 100, E280*(1+D281*0.01))</f>
        <v>117.97800000000002</v>
      </c>
    </row>
    <row r="282" spans="1:5">
      <c r="A282" t="s">
        <v>81</v>
      </c>
      <c r="B282">
        <v>2001</v>
      </c>
      <c r="C282" s="14">
        <v>0.04</v>
      </c>
      <c r="D282" s="15">
        <f t="shared" si="4"/>
        <v>4</v>
      </c>
      <c r="E282">
        <f>IF(COUNTIF($A$1:$A281, A282) = 0, 100, E281*(1+D282*0.01))</f>
        <v>122.69712000000003</v>
      </c>
    </row>
    <row r="283" spans="1:5">
      <c r="A283" t="s">
        <v>81</v>
      </c>
      <c r="B283">
        <v>2002</v>
      </c>
      <c r="C283" s="14">
        <v>-0.04</v>
      </c>
      <c r="D283" s="15">
        <f t="shared" si="4"/>
        <v>-4</v>
      </c>
      <c r="E283">
        <f>IF(COUNTIF($A$1:$A282, A283) = 0, 100, E282*(1+D283*0.01))</f>
        <v>117.78923520000002</v>
      </c>
    </row>
    <row r="284" spans="1:5">
      <c r="A284" t="s">
        <v>81</v>
      </c>
      <c r="B284">
        <v>2003</v>
      </c>
      <c r="C284" s="14">
        <v>0.13</v>
      </c>
      <c r="D284" s="15">
        <f t="shared" si="4"/>
        <v>13</v>
      </c>
      <c r="E284">
        <f>IF(COUNTIF($A$1:$A283, A284) = 0, 100, E283*(1+D284*0.01))</f>
        <v>133.101835776</v>
      </c>
    </row>
    <row r="285" spans="1:5">
      <c r="A285" t="s">
        <v>81</v>
      </c>
      <c r="B285">
        <v>2004</v>
      </c>
      <c r="C285" s="14">
        <v>0.09</v>
      </c>
      <c r="D285" s="15">
        <f t="shared" si="4"/>
        <v>9</v>
      </c>
      <c r="E285">
        <f>IF(COUNTIF($A$1:$A284, A285) = 0, 100, E284*(1+D285*0.01))</f>
        <v>145.08100099584001</v>
      </c>
    </row>
    <row r="286" spans="1:5">
      <c r="A286" t="s">
        <v>81</v>
      </c>
      <c r="B286">
        <v>2005</v>
      </c>
      <c r="C286" s="14">
        <v>0.1</v>
      </c>
      <c r="D286" s="15">
        <f t="shared" si="4"/>
        <v>10</v>
      </c>
      <c r="E286">
        <f>IF(COUNTIF($A$1:$A285, A286) = 0, 100, E285*(1+D286*0.01))</f>
        <v>159.58910109542404</v>
      </c>
    </row>
    <row r="287" spans="1:5">
      <c r="A287" t="s">
        <v>81</v>
      </c>
      <c r="B287">
        <v>2006</v>
      </c>
      <c r="C287" s="14">
        <v>8.07</v>
      </c>
      <c r="D287" s="15">
        <f t="shared" si="4"/>
        <v>8.07</v>
      </c>
      <c r="E287">
        <f>IF(COUNTIF($A$1:$A286, A287) = 0, 100, E286*(1+D287*0.01))</f>
        <v>172.46794155382477</v>
      </c>
    </row>
    <row r="288" spans="1:5">
      <c r="A288" t="s">
        <v>81</v>
      </c>
      <c r="B288">
        <v>2007</v>
      </c>
      <c r="C288" s="14">
        <v>1.43</v>
      </c>
      <c r="D288" s="15">
        <f t="shared" si="4"/>
        <v>1.43</v>
      </c>
      <c r="E288">
        <f>IF(COUNTIF($A$1:$A287, A288) = 0, 100, E287*(1+D288*0.01))</f>
        <v>174.93423311804446</v>
      </c>
    </row>
    <row r="289" spans="1:5">
      <c r="A289" t="s">
        <v>81</v>
      </c>
      <c r="B289">
        <v>2008</v>
      </c>
      <c r="C289" s="14">
        <v>-28.35</v>
      </c>
      <c r="D289" s="15">
        <f t="shared" si="4"/>
        <v>-28.35</v>
      </c>
      <c r="E289">
        <f>IF(COUNTIF($A$1:$A288, A289) = 0, 100, E288*(1+D289*0.01))</f>
        <v>125.34037802907883</v>
      </c>
    </row>
    <row r="290" spans="1:5">
      <c r="A290" t="s">
        <v>81</v>
      </c>
      <c r="B290">
        <v>2009</v>
      </c>
      <c r="C290" s="14">
        <v>4.1100000000000003</v>
      </c>
      <c r="D290" s="15">
        <f t="shared" si="4"/>
        <v>4.1100000000000003</v>
      </c>
      <c r="E290">
        <f>IF(COUNTIF($A$1:$A289, A290) = 0, 100, E289*(1+D290*0.01))</f>
        <v>130.49186756607398</v>
      </c>
    </row>
    <row r="291" spans="1:5">
      <c r="A291" t="s">
        <v>81</v>
      </c>
      <c r="B291">
        <v>2010</v>
      </c>
      <c r="C291" s="14">
        <v>4.92</v>
      </c>
      <c r="D291" s="15">
        <f t="shared" si="4"/>
        <v>4.92</v>
      </c>
      <c r="E291">
        <f>IF(COUNTIF($A$1:$A290, A291) = 0, 100, E290*(1+D291*0.01))</f>
        <v>136.9120674503248</v>
      </c>
    </row>
    <row r="292" spans="1:5">
      <c r="A292" t="s">
        <v>81</v>
      </c>
      <c r="B292">
        <v>2011</v>
      </c>
      <c r="C292" s="14">
        <v>2.2999999999999998</v>
      </c>
      <c r="D292" s="15">
        <f t="shared" si="4"/>
        <v>2.2999999999999998</v>
      </c>
      <c r="E292">
        <f>IF(COUNTIF($A$1:$A291, A292) = 0, 100, E291*(1+D292*0.01))</f>
        <v>140.06104500168226</v>
      </c>
    </row>
    <row r="293" spans="1:5">
      <c r="A293" t="s">
        <v>81</v>
      </c>
      <c r="B293">
        <v>2012</v>
      </c>
      <c r="C293" s="14">
        <v>3.1</v>
      </c>
      <c r="D293" s="15">
        <f t="shared" si="4"/>
        <v>3.1</v>
      </c>
      <c r="E293">
        <f>IF(COUNTIF($A$1:$A292, A293) = 0, 100, E292*(1+D293*0.01))</f>
        <v>144.40293739673439</v>
      </c>
    </row>
    <row r="294" spans="1:5">
      <c r="A294" t="s">
        <v>82</v>
      </c>
      <c r="B294">
        <v>1997</v>
      </c>
      <c r="C294" s="14">
        <v>7.0000000000000007E-2</v>
      </c>
      <c r="D294" s="15">
        <f t="shared" si="4"/>
        <v>7.0000000000000009</v>
      </c>
      <c r="E294">
        <f>IF(COUNTIF($A$1:$A293, A294) = 0, 100, E293*(1+D294*0.01))</f>
        <v>100</v>
      </c>
    </row>
    <row r="295" spans="1:5">
      <c r="A295" t="s">
        <v>82</v>
      </c>
      <c r="B295">
        <v>1998</v>
      </c>
      <c r="C295" s="14">
        <v>7.0000000000000007E-2</v>
      </c>
      <c r="D295" s="15">
        <f t="shared" si="4"/>
        <v>7.0000000000000009</v>
      </c>
      <c r="E295">
        <f>IF(COUNTIF($A$1:$A294, A295) = 0, 100, E294*(1+D295*0.01))</f>
        <v>107</v>
      </c>
    </row>
    <row r="296" spans="1:5">
      <c r="A296" t="s">
        <v>82</v>
      </c>
      <c r="B296">
        <v>1999</v>
      </c>
      <c r="C296" s="14">
        <v>0.08</v>
      </c>
      <c r="D296" s="15">
        <f t="shared" si="4"/>
        <v>8</v>
      </c>
      <c r="E296">
        <f>IF(COUNTIF($A$1:$A295, A296) = 0, 100, E295*(1+D296*0.01))</f>
        <v>115.56</v>
      </c>
    </row>
    <row r="297" spans="1:5">
      <c r="A297" t="s">
        <v>82</v>
      </c>
      <c r="B297">
        <v>2000</v>
      </c>
      <c r="C297" s="14">
        <v>-0.06</v>
      </c>
      <c r="D297" s="15">
        <f t="shared" si="4"/>
        <v>-6</v>
      </c>
      <c r="E297">
        <f>IF(COUNTIF($A$1:$A296, A297) = 0, 100, E296*(1+D297*0.01))</f>
        <v>108.62639999999999</v>
      </c>
    </row>
    <row r="298" spans="1:5">
      <c r="A298" t="s">
        <v>82</v>
      </c>
      <c r="B298">
        <v>2001</v>
      </c>
      <c r="C298" s="14">
        <v>-0.04</v>
      </c>
      <c r="D298" s="15">
        <f t="shared" si="4"/>
        <v>-4</v>
      </c>
      <c r="E298">
        <f>IF(COUNTIF($A$1:$A297, A298) = 0, 100, E297*(1+D298*0.01))</f>
        <v>104.28134399999999</v>
      </c>
    </row>
    <row r="299" spans="1:5">
      <c r="A299" t="s">
        <v>82</v>
      </c>
      <c r="B299">
        <v>2002</v>
      </c>
      <c r="C299" s="14">
        <v>-0.08</v>
      </c>
      <c r="D299" s="15">
        <f t="shared" si="4"/>
        <v>-8</v>
      </c>
      <c r="E299">
        <f>IF(COUNTIF($A$1:$A298, A299) = 0, 100, E298*(1+D299*0.01))</f>
        <v>95.938836479999992</v>
      </c>
    </row>
    <row r="300" spans="1:5">
      <c r="A300" t="s">
        <v>82</v>
      </c>
      <c r="B300">
        <v>2003</v>
      </c>
      <c r="C300" s="14">
        <v>0.09</v>
      </c>
      <c r="D300" s="15">
        <f t="shared" si="4"/>
        <v>9</v>
      </c>
      <c r="E300">
        <f>IF(COUNTIF($A$1:$A299, A300) = 0, 100, E299*(1+D300*0.01))</f>
        <v>104.5733317632</v>
      </c>
    </row>
    <row r="301" spans="1:5">
      <c r="A301" t="s">
        <v>82</v>
      </c>
      <c r="B301">
        <v>2004</v>
      </c>
      <c r="C301" s="14">
        <v>0.06</v>
      </c>
      <c r="D301" s="15">
        <f t="shared" si="4"/>
        <v>6</v>
      </c>
      <c r="E301">
        <f>IF(COUNTIF($A$1:$A300, A301) = 0, 100, E300*(1+D301*0.01))</f>
        <v>110.84773166899201</v>
      </c>
    </row>
    <row r="302" spans="1:5">
      <c r="A302" t="s">
        <v>82</v>
      </c>
      <c r="B302">
        <v>2005</v>
      </c>
      <c r="C302" s="14">
        <v>0.08</v>
      </c>
      <c r="D302" s="15">
        <f t="shared" si="4"/>
        <v>8</v>
      </c>
      <c r="E302">
        <f>IF(COUNTIF($A$1:$A301, A302) = 0, 100, E301*(1+D302*0.01))</f>
        <v>119.71555020251138</v>
      </c>
    </row>
    <row r="303" spans="1:5">
      <c r="A303" t="s">
        <v>83</v>
      </c>
      <c r="B303">
        <v>1997</v>
      </c>
      <c r="C303" s="14">
        <v>0.08</v>
      </c>
      <c r="D303" s="15">
        <f t="shared" si="4"/>
        <v>8</v>
      </c>
      <c r="E303">
        <f>IF(COUNTIF($A$1:$A302, A303) = 0, 100, E302*(1+D303*0.01))</f>
        <v>100</v>
      </c>
    </row>
    <row r="304" spans="1:5">
      <c r="A304" t="s">
        <v>83</v>
      </c>
      <c r="B304">
        <v>1998</v>
      </c>
      <c r="C304" s="14">
        <v>0.11</v>
      </c>
      <c r="D304" s="15">
        <f t="shared" si="4"/>
        <v>11</v>
      </c>
      <c r="E304">
        <f>IF(COUNTIF($A$1:$A303, A304) = 0, 100, E303*(1+D304*0.01))</f>
        <v>111.00000000000001</v>
      </c>
    </row>
    <row r="305" spans="1:5">
      <c r="A305" t="s">
        <v>83</v>
      </c>
      <c r="B305">
        <v>1999</v>
      </c>
      <c r="C305" s="14">
        <v>0.16</v>
      </c>
      <c r="D305" s="15">
        <f t="shared" si="4"/>
        <v>16</v>
      </c>
      <c r="E305">
        <f>IF(COUNTIF($A$1:$A304, A305) = 0, 100, E304*(1+D305*0.01))</f>
        <v>128.76000000000002</v>
      </c>
    </row>
    <row r="306" spans="1:5">
      <c r="A306" t="s">
        <v>83</v>
      </c>
      <c r="B306">
        <v>2000</v>
      </c>
      <c r="C306" s="14">
        <v>-0.05</v>
      </c>
      <c r="D306" s="15">
        <f t="shared" si="4"/>
        <v>-5</v>
      </c>
      <c r="E306">
        <f>IF(COUNTIF($A$1:$A305, A306) = 0, 100, E305*(1+D306*0.01))</f>
        <v>122.32200000000002</v>
      </c>
    </row>
    <row r="307" spans="1:5">
      <c r="A307" t="s">
        <v>83</v>
      </c>
      <c r="B307">
        <v>2001</v>
      </c>
      <c r="C307" s="14">
        <v>-0.01</v>
      </c>
      <c r="D307" s="15">
        <f t="shared" si="4"/>
        <v>-1</v>
      </c>
      <c r="E307">
        <f>IF(COUNTIF($A$1:$A306, A307) = 0, 100, E306*(1+D307*0.01))</f>
        <v>121.09878000000002</v>
      </c>
    </row>
    <row r="308" spans="1:5">
      <c r="A308" t="s">
        <v>83</v>
      </c>
      <c r="B308">
        <v>2002</v>
      </c>
      <c r="C308" s="14">
        <v>0.04</v>
      </c>
      <c r="D308" s="15">
        <f t="shared" si="4"/>
        <v>4</v>
      </c>
      <c r="E308">
        <f>IF(COUNTIF($A$1:$A307, A308) = 0, 100, E307*(1+D308*0.01))</f>
        <v>125.94273120000003</v>
      </c>
    </row>
    <row r="309" spans="1:5">
      <c r="A309" t="s">
        <v>83</v>
      </c>
      <c r="B309">
        <v>2003</v>
      </c>
      <c r="C309" s="14">
        <v>0.05</v>
      </c>
      <c r="D309" s="15">
        <f t="shared" si="4"/>
        <v>5</v>
      </c>
      <c r="E309">
        <f>IF(COUNTIF($A$1:$A308, A309) = 0, 100, E308*(1+D309*0.01))</f>
        <v>132.23986776000004</v>
      </c>
    </row>
    <row r="310" spans="1:5">
      <c r="A310" t="s">
        <v>83</v>
      </c>
      <c r="B310">
        <v>2004</v>
      </c>
      <c r="C310" s="14">
        <v>0.12</v>
      </c>
      <c r="D310" s="15">
        <f t="shared" si="4"/>
        <v>12</v>
      </c>
      <c r="E310">
        <f>IF(COUNTIF($A$1:$A309, A310) = 0, 100, E309*(1+D310*0.01))</f>
        <v>148.10865189120005</v>
      </c>
    </row>
    <row r="311" spans="1:5">
      <c r="A311" t="s">
        <v>83</v>
      </c>
      <c r="B311">
        <v>2005</v>
      </c>
      <c r="C311" s="14">
        <v>0.09</v>
      </c>
      <c r="D311" s="15">
        <f t="shared" si="4"/>
        <v>9</v>
      </c>
      <c r="E311">
        <f>IF(COUNTIF($A$1:$A310, A311) = 0, 100, E310*(1+D311*0.01))</f>
        <v>161.43843056140807</v>
      </c>
    </row>
    <row r="312" spans="1:5">
      <c r="A312" t="s">
        <v>83</v>
      </c>
      <c r="B312">
        <v>2006</v>
      </c>
      <c r="C312" s="14">
        <v>4.1399999999999997</v>
      </c>
      <c r="D312" s="15">
        <f t="shared" si="4"/>
        <v>4.1399999999999997</v>
      </c>
      <c r="E312">
        <f>IF(COUNTIF($A$1:$A311, A312) = 0, 100, E311*(1+D312*0.01))</f>
        <v>168.12198158665038</v>
      </c>
    </row>
    <row r="313" spans="1:5">
      <c r="A313" t="s">
        <v>83</v>
      </c>
      <c r="B313">
        <v>2007</v>
      </c>
      <c r="C313" s="14">
        <v>4.66</v>
      </c>
      <c r="D313" s="15">
        <f t="shared" si="4"/>
        <v>4.66</v>
      </c>
      <c r="E313">
        <f>IF(COUNTIF($A$1:$A312, A313) = 0, 100, E312*(1+D313*0.01))</f>
        <v>175.95646592858827</v>
      </c>
    </row>
    <row r="314" spans="1:5">
      <c r="A314" t="s">
        <v>83</v>
      </c>
      <c r="B314">
        <v>2008</v>
      </c>
      <c r="C314" s="14">
        <v>-25.5</v>
      </c>
      <c r="D314" s="15">
        <f t="shared" si="4"/>
        <v>-25.5</v>
      </c>
      <c r="E314">
        <f>IF(COUNTIF($A$1:$A313, A314) = 0, 100, E313*(1+D314*0.01))</f>
        <v>131.08756711679825</v>
      </c>
    </row>
    <row r="315" spans="1:5">
      <c r="A315" t="s">
        <v>83</v>
      </c>
      <c r="B315">
        <v>2009</v>
      </c>
      <c r="C315" s="14">
        <v>-0.5</v>
      </c>
      <c r="D315" s="15">
        <f t="shared" si="4"/>
        <v>-0.5</v>
      </c>
      <c r="E315">
        <f>IF(COUNTIF($A$1:$A314, A315) = 0, 100, E314*(1+D315*0.01))</f>
        <v>130.43212928121426</v>
      </c>
    </row>
    <row r="316" spans="1:5">
      <c r="A316" t="s">
        <v>84</v>
      </c>
      <c r="B316">
        <v>1997</v>
      </c>
      <c r="C316" s="14">
        <v>7.0000000000000007E-2</v>
      </c>
      <c r="D316" s="15">
        <f t="shared" si="4"/>
        <v>7.0000000000000009</v>
      </c>
      <c r="E316">
        <f>IF(COUNTIF($A$1:$A315, A316) = 0, 100, E315*(1+D316*0.01))</f>
        <v>100</v>
      </c>
    </row>
    <row r="317" spans="1:5">
      <c r="A317" t="s">
        <v>84</v>
      </c>
      <c r="B317">
        <v>1998</v>
      </c>
      <c r="C317" s="14">
        <v>0.08</v>
      </c>
      <c r="D317" s="15">
        <f t="shared" si="4"/>
        <v>8</v>
      </c>
      <c r="E317">
        <f>IF(COUNTIF($A$1:$A316, A317) = 0, 100, E316*(1+D317*0.01))</f>
        <v>108</v>
      </c>
    </row>
    <row r="318" spans="1:5">
      <c r="A318" t="s">
        <v>85</v>
      </c>
      <c r="B318">
        <v>1997</v>
      </c>
      <c r="C318" s="14">
        <v>0.05</v>
      </c>
      <c r="D318" s="15">
        <f t="shared" si="4"/>
        <v>5</v>
      </c>
      <c r="E318">
        <f>IF(COUNTIF($A$1:$A317, A318) = 0, 100, E317*(1+D318*0.01))</f>
        <v>100</v>
      </c>
    </row>
    <row r="319" spans="1:5">
      <c r="A319" t="s">
        <v>85</v>
      </c>
      <c r="B319">
        <v>1998</v>
      </c>
      <c r="C319" s="14">
        <v>0.03</v>
      </c>
      <c r="D319" s="15">
        <f t="shared" si="4"/>
        <v>3</v>
      </c>
      <c r="E319">
        <f>IF(COUNTIF($A$1:$A318, A319) = 0, 100, E318*(1+D319*0.01))</f>
        <v>103</v>
      </c>
    </row>
    <row r="320" spans="1:5">
      <c r="A320" t="s">
        <v>85</v>
      </c>
      <c r="B320">
        <v>1999</v>
      </c>
      <c r="C320" s="14">
        <v>0.04</v>
      </c>
      <c r="D320" s="15">
        <f t="shared" si="4"/>
        <v>4</v>
      </c>
      <c r="E320">
        <f>IF(COUNTIF($A$1:$A319, A320) = 0, 100, E319*(1+D320*0.01))</f>
        <v>107.12</v>
      </c>
    </row>
    <row r="321" spans="1:5">
      <c r="A321" t="s">
        <v>85</v>
      </c>
      <c r="B321">
        <v>2000</v>
      </c>
      <c r="C321" s="14">
        <v>0</v>
      </c>
      <c r="D321" s="15">
        <f t="shared" si="4"/>
        <v>0</v>
      </c>
      <c r="E321">
        <f>IF(COUNTIF($A$1:$A320, A321) = 0, 100, E320*(1+D321*0.01))</f>
        <v>107.12</v>
      </c>
    </row>
    <row r="322" spans="1:5">
      <c r="A322" t="s">
        <v>85</v>
      </c>
      <c r="B322">
        <v>2001</v>
      </c>
      <c r="C322" s="14">
        <v>0.03</v>
      </c>
      <c r="D322" s="15">
        <f t="shared" ref="D322:D385" si="5">IF(B322&lt;2006,C322*100,C322)</f>
        <v>3</v>
      </c>
      <c r="E322">
        <f>IF(COUNTIF($A$1:$A321, A322) = 0, 100, E321*(1+D322*0.01))</f>
        <v>110.3336</v>
      </c>
    </row>
    <row r="323" spans="1:5">
      <c r="A323" t="s">
        <v>85</v>
      </c>
      <c r="B323">
        <v>2002</v>
      </c>
      <c r="C323" s="14">
        <v>0.04</v>
      </c>
      <c r="D323" s="15">
        <f t="shared" si="5"/>
        <v>4</v>
      </c>
      <c r="E323">
        <f>IF(COUNTIF($A$1:$A322, A323) = 0, 100, E322*(1+D323*0.01))</f>
        <v>114.74694400000001</v>
      </c>
    </row>
    <row r="324" spans="1:5">
      <c r="A324" t="s">
        <v>85</v>
      </c>
      <c r="B324">
        <v>2003</v>
      </c>
      <c r="C324" s="14">
        <v>0.05</v>
      </c>
      <c r="D324" s="15">
        <f t="shared" si="5"/>
        <v>5</v>
      </c>
      <c r="E324">
        <f>IF(COUNTIF($A$1:$A323, A324) = 0, 100, E323*(1+D324*0.01))</f>
        <v>120.48429120000002</v>
      </c>
    </row>
    <row r="325" spans="1:5">
      <c r="A325" t="s">
        <v>85</v>
      </c>
      <c r="B325">
        <v>2004</v>
      </c>
      <c r="C325" s="14">
        <v>0.06</v>
      </c>
      <c r="D325" s="15">
        <f t="shared" si="5"/>
        <v>6</v>
      </c>
      <c r="E325">
        <f>IF(COUNTIF($A$1:$A324, A325) = 0, 100, E324*(1+D325*0.01))</f>
        <v>127.71334867200002</v>
      </c>
    </row>
    <row r="326" spans="1:5">
      <c r="A326" t="s">
        <v>85</v>
      </c>
      <c r="B326">
        <v>2005</v>
      </c>
      <c r="C326" s="14">
        <v>0</v>
      </c>
      <c r="D326" s="15">
        <f t="shared" si="5"/>
        <v>0</v>
      </c>
      <c r="E326">
        <f>IF(COUNTIF($A$1:$A325, A326) = 0, 100, E325*(1+D326*0.01))</f>
        <v>127.71334867200002</v>
      </c>
    </row>
    <row r="327" spans="1:5">
      <c r="A327" t="s">
        <v>85</v>
      </c>
      <c r="B327">
        <v>2006</v>
      </c>
      <c r="C327" s="14">
        <v>0.16</v>
      </c>
      <c r="D327" s="15">
        <f t="shared" si="5"/>
        <v>0.16</v>
      </c>
      <c r="E327">
        <f>IF(COUNTIF($A$1:$A326, A327) = 0, 100, E326*(1+D327*0.01))</f>
        <v>127.91769002987523</v>
      </c>
    </row>
    <row r="328" spans="1:5">
      <c r="A328" t="s">
        <v>85</v>
      </c>
      <c r="B328">
        <v>2007</v>
      </c>
      <c r="C328" s="14">
        <v>0.59</v>
      </c>
      <c r="D328" s="15">
        <f t="shared" si="5"/>
        <v>0.59</v>
      </c>
      <c r="E328">
        <f>IF(COUNTIF($A$1:$A327, A328) = 0, 100, E327*(1+D328*0.01))</f>
        <v>128.67240440105149</v>
      </c>
    </row>
    <row r="329" spans="1:5">
      <c r="A329" t="s">
        <v>85</v>
      </c>
      <c r="B329">
        <v>2008</v>
      </c>
      <c r="C329" s="14">
        <v>1.89</v>
      </c>
      <c r="D329" s="15">
        <f t="shared" si="5"/>
        <v>1.89</v>
      </c>
      <c r="E329">
        <f>IF(COUNTIF($A$1:$A328, A329) = 0, 100, E328*(1+D329*0.01))</f>
        <v>131.10431284423134</v>
      </c>
    </row>
    <row r="330" spans="1:5">
      <c r="A330" t="s">
        <v>85</v>
      </c>
      <c r="B330">
        <v>2009</v>
      </c>
      <c r="C330" s="14">
        <v>-1.36</v>
      </c>
      <c r="D330" s="15">
        <f t="shared" si="5"/>
        <v>-1.36</v>
      </c>
      <c r="E330">
        <f>IF(COUNTIF($A$1:$A329, A330) = 0, 100, E329*(1+D330*0.01))</f>
        <v>129.3212941895498</v>
      </c>
    </row>
    <row r="331" spans="1:5">
      <c r="A331" t="s">
        <v>85</v>
      </c>
      <c r="B331">
        <v>2010</v>
      </c>
      <c r="C331" s="14">
        <v>2.2999999999999998</v>
      </c>
      <c r="D331" s="15">
        <f t="shared" si="5"/>
        <v>2.2999999999999998</v>
      </c>
      <c r="E331">
        <f>IF(COUNTIF($A$1:$A330, A331) = 0, 100, E330*(1+D331*0.01))</f>
        <v>132.29568395590942</v>
      </c>
    </row>
    <row r="332" spans="1:5">
      <c r="A332" t="s">
        <v>85</v>
      </c>
      <c r="B332">
        <v>2011</v>
      </c>
      <c r="C332" s="14">
        <v>1.7</v>
      </c>
      <c r="D332" s="15">
        <f t="shared" si="5"/>
        <v>1.7</v>
      </c>
      <c r="E332">
        <f>IF(COUNTIF($A$1:$A331, A332) = 0, 100, E331*(1+D332*0.01))</f>
        <v>134.54471058315988</v>
      </c>
    </row>
    <row r="333" spans="1:5">
      <c r="A333" t="s">
        <v>85</v>
      </c>
      <c r="B333">
        <v>2012</v>
      </c>
      <c r="C333" s="14">
        <v>0.8</v>
      </c>
      <c r="D333" s="15">
        <f t="shared" si="5"/>
        <v>0.8</v>
      </c>
      <c r="E333">
        <f>IF(COUNTIF($A$1:$A332, A333) = 0, 100, E332*(1+D333*0.01))</f>
        <v>135.62106826782517</v>
      </c>
    </row>
    <row r="334" spans="1:5">
      <c r="A334" t="s">
        <v>86</v>
      </c>
      <c r="B334">
        <v>1997</v>
      </c>
      <c r="C334" s="14">
        <v>0.06</v>
      </c>
      <c r="D334" s="15">
        <f t="shared" si="5"/>
        <v>6</v>
      </c>
      <c r="E334">
        <f>IF(COUNTIF($A$1:$A333, A334) = 0, 100, E333*(1+D334*0.01))</f>
        <v>100</v>
      </c>
    </row>
    <row r="335" spans="1:5">
      <c r="A335" t="s">
        <v>86</v>
      </c>
      <c r="B335">
        <v>1998</v>
      </c>
      <c r="C335" s="14">
        <v>0.05</v>
      </c>
      <c r="D335" s="15">
        <f t="shared" si="5"/>
        <v>5</v>
      </c>
      <c r="E335">
        <f>IF(COUNTIF($A$1:$A334, A335) = 0, 100, E334*(1+D335*0.01))</f>
        <v>105</v>
      </c>
    </row>
    <row r="336" spans="1:5">
      <c r="A336" t="s">
        <v>86</v>
      </c>
      <c r="B336">
        <v>1999</v>
      </c>
      <c r="C336" s="14">
        <v>0.05</v>
      </c>
      <c r="D336" s="15">
        <f t="shared" si="5"/>
        <v>5</v>
      </c>
      <c r="E336">
        <f>IF(COUNTIF($A$1:$A335, A336) = 0, 100, E335*(1+D336*0.01))</f>
        <v>110.25</v>
      </c>
    </row>
    <row r="337" spans="1:5">
      <c r="A337" t="s">
        <v>86</v>
      </c>
      <c r="B337">
        <v>2000</v>
      </c>
      <c r="C337" s="14">
        <v>0.03</v>
      </c>
      <c r="D337" s="15">
        <f t="shared" si="5"/>
        <v>3</v>
      </c>
      <c r="E337">
        <f>IF(COUNTIF($A$1:$A336, A337) = 0, 100, E336*(1+D337*0.01))</f>
        <v>113.5575</v>
      </c>
    </row>
    <row r="338" spans="1:5">
      <c r="A338" t="s">
        <v>86</v>
      </c>
      <c r="B338">
        <v>2001</v>
      </c>
      <c r="C338" s="14">
        <v>0.04</v>
      </c>
      <c r="D338" s="15">
        <f t="shared" si="5"/>
        <v>4</v>
      </c>
      <c r="E338">
        <f>IF(COUNTIF($A$1:$A337, A338) = 0, 100, E337*(1+D338*0.01))</f>
        <v>118.0998</v>
      </c>
    </row>
    <row r="339" spans="1:5">
      <c r="A339" t="s">
        <v>86</v>
      </c>
      <c r="B339">
        <v>2002</v>
      </c>
      <c r="C339" s="14">
        <v>0.05</v>
      </c>
      <c r="D339" s="15">
        <f t="shared" si="5"/>
        <v>5</v>
      </c>
      <c r="E339">
        <f>IF(COUNTIF($A$1:$A338, A339) = 0, 100, E338*(1+D339*0.01))</f>
        <v>124.00479000000001</v>
      </c>
    </row>
    <row r="340" spans="1:5">
      <c r="A340" t="s">
        <v>86</v>
      </c>
      <c r="B340">
        <v>2003</v>
      </c>
      <c r="C340" s="14">
        <v>0.05</v>
      </c>
      <c r="D340" s="15">
        <f t="shared" si="5"/>
        <v>5</v>
      </c>
      <c r="E340">
        <f>IF(COUNTIF($A$1:$A339, A340) = 0, 100, E339*(1+D340*0.01))</f>
        <v>130.20502950000002</v>
      </c>
    </row>
    <row r="341" spans="1:5">
      <c r="A341" t="s">
        <v>86</v>
      </c>
      <c r="B341">
        <v>2004</v>
      </c>
      <c r="C341" s="14">
        <v>7.0000000000000007E-2</v>
      </c>
      <c r="D341" s="15">
        <f t="shared" si="5"/>
        <v>7.0000000000000009</v>
      </c>
      <c r="E341">
        <f>IF(COUNTIF($A$1:$A340, A341) = 0, 100, E340*(1+D341*0.01))</f>
        <v>139.31938156500004</v>
      </c>
    </row>
    <row r="342" spans="1:5">
      <c r="A342" t="s">
        <v>86</v>
      </c>
      <c r="B342">
        <v>2005</v>
      </c>
      <c r="C342" s="14">
        <v>0.03</v>
      </c>
      <c r="D342" s="15">
        <f t="shared" si="5"/>
        <v>3</v>
      </c>
      <c r="E342">
        <f>IF(COUNTIF($A$1:$A341, A342) = 0, 100, E341*(1+D342*0.01))</f>
        <v>143.49896301195005</v>
      </c>
    </row>
    <row r="343" spans="1:5">
      <c r="A343" t="s">
        <v>86</v>
      </c>
      <c r="B343">
        <v>2006</v>
      </c>
      <c r="C343" s="14">
        <v>3</v>
      </c>
      <c r="D343" s="15">
        <f t="shared" si="5"/>
        <v>3</v>
      </c>
      <c r="E343">
        <f>IF(COUNTIF($A$1:$A342, A343) = 0, 100, E342*(1+D343*0.01))</f>
        <v>147.80393190230856</v>
      </c>
    </row>
    <row r="344" spans="1:5">
      <c r="A344" t="s">
        <v>86</v>
      </c>
      <c r="B344">
        <v>2007</v>
      </c>
      <c r="C344" s="14">
        <v>2.5099999999999998</v>
      </c>
      <c r="D344" s="15">
        <f t="shared" si="5"/>
        <v>2.5099999999999998</v>
      </c>
      <c r="E344">
        <f>IF(COUNTIF($A$1:$A343, A344) = 0, 100, E343*(1+D344*0.01))</f>
        <v>151.51381059305649</v>
      </c>
    </row>
    <row r="345" spans="1:5">
      <c r="A345" t="s">
        <v>86</v>
      </c>
      <c r="B345">
        <v>2008</v>
      </c>
      <c r="C345" s="14">
        <v>-4.9000000000000004</v>
      </c>
      <c r="D345" s="15">
        <f t="shared" si="5"/>
        <v>-4.9000000000000004</v>
      </c>
      <c r="E345">
        <f>IF(COUNTIF($A$1:$A344, A345) = 0, 100, E344*(1+D345*0.01))</f>
        <v>144.08963387399672</v>
      </c>
    </row>
    <row r="346" spans="1:5">
      <c r="A346" t="s">
        <v>86</v>
      </c>
      <c r="B346">
        <v>2009</v>
      </c>
      <c r="C346" s="14">
        <v>0.94</v>
      </c>
      <c r="D346" s="15">
        <f t="shared" si="5"/>
        <v>0.94</v>
      </c>
      <c r="E346">
        <f>IF(COUNTIF($A$1:$A345, A346) = 0, 100, E345*(1+D346*0.01))</f>
        <v>145.44407643241229</v>
      </c>
    </row>
    <row r="347" spans="1:5">
      <c r="A347" t="s">
        <v>86</v>
      </c>
      <c r="B347">
        <v>2010</v>
      </c>
      <c r="C347" s="14">
        <v>3.24</v>
      </c>
      <c r="D347" s="15">
        <f t="shared" si="5"/>
        <v>3.24</v>
      </c>
      <c r="E347">
        <f>IF(COUNTIF($A$1:$A346, A347) = 0, 100, E346*(1+D347*0.01))</f>
        <v>150.15646450882244</v>
      </c>
    </row>
    <row r="348" spans="1:5">
      <c r="A348" t="s">
        <v>86</v>
      </c>
      <c r="B348">
        <v>2011</v>
      </c>
      <c r="C348" s="14">
        <v>1.1000000000000001</v>
      </c>
      <c r="D348" s="15">
        <f t="shared" si="5"/>
        <v>1.1000000000000001</v>
      </c>
      <c r="E348">
        <f>IF(COUNTIF($A$1:$A347, A348) = 0, 100, E347*(1+D348*0.01))</f>
        <v>151.80818561841946</v>
      </c>
    </row>
    <row r="349" spans="1:5">
      <c r="A349" t="s">
        <v>86</v>
      </c>
      <c r="B349">
        <v>2012</v>
      </c>
      <c r="C349" s="14">
        <v>0.6</v>
      </c>
      <c r="D349" s="15">
        <f t="shared" si="5"/>
        <v>0.6</v>
      </c>
      <c r="E349">
        <f>IF(COUNTIF($A$1:$A348, A349) = 0, 100, E348*(1+D349*0.01))</f>
        <v>152.71903473212998</v>
      </c>
    </row>
    <row r="350" spans="1:5">
      <c r="A350" t="s">
        <v>87</v>
      </c>
      <c r="B350">
        <v>1997</v>
      </c>
      <c r="C350" s="14">
        <v>0.08</v>
      </c>
      <c r="D350" s="15">
        <f t="shared" si="5"/>
        <v>8</v>
      </c>
      <c r="E350">
        <f>IF(COUNTIF($A$1:$A349, A350) = 0, 100, E349*(1+D350*0.01))</f>
        <v>100</v>
      </c>
    </row>
    <row r="351" spans="1:5">
      <c r="A351" t="s">
        <v>87</v>
      </c>
      <c r="B351">
        <v>1998</v>
      </c>
      <c r="C351" s="14">
        <v>0.08</v>
      </c>
      <c r="D351" s="15">
        <f t="shared" si="5"/>
        <v>8</v>
      </c>
      <c r="E351">
        <f>IF(COUNTIF($A$1:$A350, A351) = 0, 100, E350*(1+D351*0.01))</f>
        <v>108</v>
      </c>
    </row>
    <row r="352" spans="1:5">
      <c r="A352" t="s">
        <v>87</v>
      </c>
      <c r="B352">
        <v>1999</v>
      </c>
      <c r="C352" s="14">
        <v>0.01</v>
      </c>
      <c r="D352" s="15">
        <f t="shared" si="5"/>
        <v>1</v>
      </c>
      <c r="E352">
        <f>IF(COUNTIF($A$1:$A351, A352) = 0, 100, E351*(1+D352*0.01))</f>
        <v>109.08</v>
      </c>
    </row>
    <row r="353" spans="1:5">
      <c r="A353" t="s">
        <v>87</v>
      </c>
      <c r="B353">
        <v>2000</v>
      </c>
      <c r="C353" s="14">
        <v>-0.03</v>
      </c>
      <c r="D353" s="15">
        <f t="shared" si="5"/>
        <v>-3</v>
      </c>
      <c r="E353">
        <f>IF(COUNTIF($A$1:$A352, A353) = 0, 100, E352*(1+D353*0.01))</f>
        <v>105.80759999999999</v>
      </c>
    </row>
    <row r="354" spans="1:5">
      <c r="A354" t="s">
        <v>87</v>
      </c>
      <c r="B354">
        <v>2001</v>
      </c>
      <c r="C354" s="14">
        <v>0.06</v>
      </c>
      <c r="D354" s="15">
        <f t="shared" si="5"/>
        <v>6</v>
      </c>
      <c r="E354">
        <f>IF(COUNTIF($A$1:$A353, A354) = 0, 100, E353*(1+D354*0.01))</f>
        <v>112.15605599999999</v>
      </c>
    </row>
    <row r="355" spans="1:5">
      <c r="A355" t="s">
        <v>87</v>
      </c>
      <c r="B355">
        <v>2002</v>
      </c>
      <c r="C355" s="14">
        <v>0.08</v>
      </c>
      <c r="D355" s="15">
        <f t="shared" si="5"/>
        <v>8</v>
      </c>
      <c r="E355">
        <f>IF(COUNTIF($A$1:$A354, A355) = 0, 100, E354*(1+D355*0.01))</f>
        <v>121.12854048</v>
      </c>
    </row>
    <row r="356" spans="1:5">
      <c r="A356" t="s">
        <v>87</v>
      </c>
      <c r="B356">
        <v>2003</v>
      </c>
      <c r="C356" s="14">
        <v>0.02</v>
      </c>
      <c r="D356" s="15">
        <f t="shared" si="5"/>
        <v>2</v>
      </c>
      <c r="E356">
        <f>IF(COUNTIF($A$1:$A355, A356) = 0, 100, E355*(1+D356*0.01))</f>
        <v>123.5511112896</v>
      </c>
    </row>
    <row r="357" spans="1:5">
      <c r="A357" t="s">
        <v>87</v>
      </c>
      <c r="B357">
        <v>2004</v>
      </c>
      <c r="C357" s="14">
        <v>0.01</v>
      </c>
      <c r="D357" s="15">
        <f t="shared" si="5"/>
        <v>1</v>
      </c>
      <c r="E357">
        <f>IF(COUNTIF($A$1:$A356, A357) = 0, 100, E356*(1+D357*0.01))</f>
        <v>124.78662240249601</v>
      </c>
    </row>
    <row r="358" spans="1:5">
      <c r="A358" t="s">
        <v>87</v>
      </c>
      <c r="B358">
        <v>2005</v>
      </c>
      <c r="C358" s="14">
        <v>0.02</v>
      </c>
      <c r="D358" s="15">
        <f t="shared" si="5"/>
        <v>2</v>
      </c>
      <c r="E358">
        <f>IF(COUNTIF($A$1:$A357, A358) = 0, 100, E357*(1+D358*0.01))</f>
        <v>127.28235485054593</v>
      </c>
    </row>
    <row r="359" spans="1:5">
      <c r="A359" t="s">
        <v>88</v>
      </c>
      <c r="B359">
        <v>1997</v>
      </c>
      <c r="C359" s="14">
        <v>0.08</v>
      </c>
      <c r="D359" s="15">
        <f t="shared" si="5"/>
        <v>8</v>
      </c>
      <c r="E359">
        <f>IF(COUNTIF($A$1:$A358, A359) = 0, 100, E358*(1+D359*0.01))</f>
        <v>100</v>
      </c>
    </row>
    <row r="360" spans="1:5">
      <c r="A360" t="s">
        <v>88</v>
      </c>
      <c r="B360">
        <v>1998</v>
      </c>
      <c r="C360" s="14">
        <v>0.04</v>
      </c>
      <c r="D360" s="15">
        <f t="shared" si="5"/>
        <v>4</v>
      </c>
      <c r="E360">
        <f>IF(COUNTIF($A$1:$A359, A360) = 0, 100, E359*(1+D360*0.01))</f>
        <v>104</v>
      </c>
    </row>
    <row r="361" spans="1:5">
      <c r="A361" t="s">
        <v>88</v>
      </c>
      <c r="B361">
        <v>1999</v>
      </c>
      <c r="C361" s="14">
        <v>0.03</v>
      </c>
      <c r="D361" s="15">
        <f t="shared" si="5"/>
        <v>3</v>
      </c>
      <c r="E361">
        <f>IF(COUNTIF($A$1:$A360, A361) = 0, 100, E360*(1+D361*0.01))</f>
        <v>107.12</v>
      </c>
    </row>
    <row r="362" spans="1:5">
      <c r="A362" t="s">
        <v>88</v>
      </c>
      <c r="B362">
        <v>2000</v>
      </c>
      <c r="C362" s="14">
        <v>0.03</v>
      </c>
      <c r="D362" s="15">
        <f t="shared" si="5"/>
        <v>3</v>
      </c>
      <c r="E362">
        <f>IF(COUNTIF($A$1:$A361, A362) = 0, 100, E361*(1+D362*0.01))</f>
        <v>110.3336</v>
      </c>
    </row>
    <row r="363" spans="1:5">
      <c r="A363" t="s">
        <v>88</v>
      </c>
      <c r="B363">
        <v>2001</v>
      </c>
      <c r="C363" s="14">
        <v>-0.02</v>
      </c>
      <c r="D363" s="15">
        <f t="shared" si="5"/>
        <v>-2</v>
      </c>
      <c r="E363">
        <f>IF(COUNTIF($A$1:$A362, A363) = 0, 100, E362*(1+D363*0.01))</f>
        <v>108.12692800000001</v>
      </c>
    </row>
    <row r="364" spans="1:5">
      <c r="A364" t="s">
        <v>88</v>
      </c>
      <c r="B364">
        <v>2002</v>
      </c>
      <c r="C364" s="14">
        <v>0.02</v>
      </c>
      <c r="D364" s="15">
        <f t="shared" si="5"/>
        <v>2</v>
      </c>
      <c r="E364">
        <f>IF(COUNTIF($A$1:$A363, A364) = 0, 100, E363*(1+D364*0.01))</f>
        <v>110.28946656000001</v>
      </c>
    </row>
    <row r="365" spans="1:5">
      <c r="A365" t="s">
        <v>88</v>
      </c>
      <c r="B365">
        <v>2003</v>
      </c>
      <c r="C365" s="14">
        <v>-0.04</v>
      </c>
      <c r="D365" s="15">
        <f t="shared" si="5"/>
        <v>-4</v>
      </c>
      <c r="E365">
        <f>IF(COUNTIF($A$1:$A364, A365) = 0, 100, E364*(1+D365*0.01))</f>
        <v>105.8778878976</v>
      </c>
    </row>
    <row r="366" spans="1:5">
      <c r="A366" t="s">
        <v>88</v>
      </c>
      <c r="B366">
        <v>2004</v>
      </c>
      <c r="C366" s="14">
        <v>2.15</v>
      </c>
      <c r="D366" s="15">
        <f t="shared" si="5"/>
        <v>215</v>
      </c>
      <c r="E366">
        <f>IF(COUNTIF($A$1:$A365, A366) = 0, 100, E365*(1+D366*0.01))</f>
        <v>333.51534687743998</v>
      </c>
    </row>
    <row r="367" spans="1:5">
      <c r="A367" t="s">
        <v>88</v>
      </c>
      <c r="B367">
        <v>2006</v>
      </c>
      <c r="C367" s="14">
        <v>-1.45</v>
      </c>
      <c r="D367" s="15">
        <f t="shared" si="5"/>
        <v>-1.45</v>
      </c>
      <c r="E367">
        <f>IF(COUNTIF($A$1:$A366, A367) = 0, 100, E366*(1+D367*0.01))</f>
        <v>328.6793743477171</v>
      </c>
    </row>
    <row r="368" spans="1:5">
      <c r="A368" t="s">
        <v>88</v>
      </c>
      <c r="B368">
        <v>2007</v>
      </c>
      <c r="C368" s="14">
        <v>-1.47</v>
      </c>
      <c r="D368" s="15">
        <f t="shared" si="5"/>
        <v>-1.47</v>
      </c>
      <c r="E368">
        <f>IF(COUNTIF($A$1:$A367, A368) = 0, 100, E367*(1+D368*0.01))</f>
        <v>323.84778754480567</v>
      </c>
    </row>
    <row r="369" spans="1:5">
      <c r="A369" t="s">
        <v>88</v>
      </c>
      <c r="B369">
        <v>2008</v>
      </c>
      <c r="C369" s="14">
        <v>-3.9</v>
      </c>
      <c r="D369" s="15">
        <f t="shared" si="5"/>
        <v>-3.9</v>
      </c>
      <c r="E369">
        <f>IF(COUNTIF($A$1:$A368, A369) = 0, 100, E368*(1+D369*0.01))</f>
        <v>311.21772383055821</v>
      </c>
    </row>
    <row r="370" spans="1:5">
      <c r="A370" t="s">
        <v>88</v>
      </c>
      <c r="B370">
        <v>2009</v>
      </c>
      <c r="C370" s="14">
        <v>0</v>
      </c>
      <c r="D370" s="15">
        <f t="shared" si="5"/>
        <v>0</v>
      </c>
      <c r="E370">
        <f>IF(COUNTIF($A$1:$A369, A370) = 0, 100, E369*(1+D370*0.01))</f>
        <v>311.21772383055821</v>
      </c>
    </row>
    <row r="371" spans="1:5">
      <c r="A371" t="s">
        <v>88</v>
      </c>
      <c r="B371">
        <v>2010</v>
      </c>
      <c r="C371" s="14">
        <v>-1.61</v>
      </c>
      <c r="D371" s="15">
        <f t="shared" si="5"/>
        <v>-1.61</v>
      </c>
      <c r="E371">
        <f>IF(COUNTIF($A$1:$A370, A371) = 0, 100, E370*(1+D371*0.01))</f>
        <v>306.20711847688625</v>
      </c>
    </row>
    <row r="372" spans="1:5">
      <c r="A372" t="s">
        <v>88</v>
      </c>
      <c r="B372">
        <v>2011</v>
      </c>
      <c r="C372" s="14">
        <v>-5.3</v>
      </c>
      <c r="D372" s="15">
        <f t="shared" si="5"/>
        <v>-5.3</v>
      </c>
      <c r="E372">
        <f>IF(COUNTIF($A$1:$A371, A372) = 0, 100, E371*(1+D372*0.01))</f>
        <v>289.97814119761125</v>
      </c>
    </row>
    <row r="373" spans="1:5">
      <c r="A373" t="s">
        <v>88</v>
      </c>
      <c r="B373">
        <v>2012</v>
      </c>
      <c r="C373" s="14">
        <v>-6</v>
      </c>
      <c r="D373" s="15">
        <f t="shared" si="5"/>
        <v>-6</v>
      </c>
      <c r="E373">
        <f>IF(COUNTIF($A$1:$A372, A373) = 0, 100, E372*(1+D373*0.01))</f>
        <v>272.57945272575455</v>
      </c>
    </row>
    <row r="374" spans="1:5">
      <c r="A374" t="s">
        <v>89</v>
      </c>
      <c r="B374">
        <v>1997</v>
      </c>
      <c r="C374" s="14">
        <v>7.0000000000000007E-2</v>
      </c>
      <c r="D374" s="15">
        <f t="shared" si="5"/>
        <v>7.0000000000000009</v>
      </c>
      <c r="E374">
        <f>IF(COUNTIF($A$1:$A373, A374) = 0, 100, E373*(1+D374*0.01))</f>
        <v>100</v>
      </c>
    </row>
    <row r="375" spans="1:5">
      <c r="A375" t="s">
        <v>89</v>
      </c>
      <c r="B375">
        <v>1998</v>
      </c>
      <c r="C375" s="14">
        <v>0.06</v>
      </c>
      <c r="D375" s="15">
        <f t="shared" si="5"/>
        <v>6</v>
      </c>
      <c r="E375">
        <f>IF(COUNTIF($A$1:$A374, A375) = 0, 100, E374*(1+D375*0.01))</f>
        <v>106</v>
      </c>
    </row>
    <row r="376" spans="1:5">
      <c r="A376" t="s">
        <v>89</v>
      </c>
      <c r="B376">
        <v>1999</v>
      </c>
      <c r="C376" s="14">
        <v>0.08</v>
      </c>
      <c r="D376" s="15">
        <f t="shared" si="5"/>
        <v>8</v>
      </c>
      <c r="E376">
        <f>IF(COUNTIF($A$1:$A375, A376) = 0, 100, E375*(1+D376*0.01))</f>
        <v>114.48</v>
      </c>
    </row>
    <row r="377" spans="1:5">
      <c r="A377" t="s">
        <v>89</v>
      </c>
      <c r="B377">
        <v>2000</v>
      </c>
      <c r="C377" s="14">
        <v>0.04</v>
      </c>
      <c r="D377" s="15">
        <f t="shared" si="5"/>
        <v>4</v>
      </c>
      <c r="E377">
        <f>IF(COUNTIF($A$1:$A376, A377) = 0, 100, E376*(1+D377*0.01))</f>
        <v>119.0592</v>
      </c>
    </row>
    <row r="378" spans="1:5">
      <c r="A378" t="s">
        <v>90</v>
      </c>
      <c r="B378">
        <v>1998</v>
      </c>
      <c r="C378" s="14">
        <v>7.0000000000000007E-2</v>
      </c>
      <c r="D378" s="15">
        <f t="shared" si="5"/>
        <v>7.0000000000000009</v>
      </c>
      <c r="E378">
        <f>IF(COUNTIF($A$1:$A377, A378) = 0, 100, E377*(1+D378*0.01))</f>
        <v>100</v>
      </c>
    </row>
    <row r="379" spans="1:5">
      <c r="A379" t="s">
        <v>90</v>
      </c>
      <c r="B379">
        <v>1999</v>
      </c>
      <c r="C379" s="14">
        <v>0.09</v>
      </c>
      <c r="D379" s="15">
        <f t="shared" si="5"/>
        <v>9</v>
      </c>
      <c r="E379">
        <f>IF(COUNTIF($A$1:$A378, A379) = 0, 100, E378*(1+D379*0.01))</f>
        <v>109.00000000000001</v>
      </c>
    </row>
    <row r="380" spans="1:5">
      <c r="A380" t="s">
        <v>90</v>
      </c>
      <c r="B380">
        <v>2000</v>
      </c>
      <c r="C380" s="14">
        <v>-0.04</v>
      </c>
      <c r="D380" s="15">
        <f t="shared" si="5"/>
        <v>-4</v>
      </c>
      <c r="E380">
        <f>IF(COUNTIF($A$1:$A379, A380) = 0, 100, E379*(1+D380*0.01))</f>
        <v>104.64000000000001</v>
      </c>
    </row>
    <row r="381" spans="1:5">
      <c r="A381" t="s">
        <v>90</v>
      </c>
      <c r="B381">
        <v>2001</v>
      </c>
      <c r="C381" s="14">
        <v>0</v>
      </c>
      <c r="D381" s="15">
        <f t="shared" si="5"/>
        <v>0</v>
      </c>
      <c r="E381">
        <f>IF(COUNTIF($A$1:$A380, A381) = 0, 100, E380*(1+D381*0.01))</f>
        <v>104.64000000000001</v>
      </c>
    </row>
    <row r="382" spans="1:5">
      <c r="A382" t="s">
        <v>90</v>
      </c>
      <c r="B382">
        <v>2002</v>
      </c>
      <c r="C382" s="14">
        <v>-7.0000000000000007E-2</v>
      </c>
      <c r="D382" s="15">
        <f t="shared" si="5"/>
        <v>-7.0000000000000009</v>
      </c>
      <c r="E382">
        <f>IF(COUNTIF($A$1:$A381, A382) = 0, 100, E381*(1+D382*0.01))</f>
        <v>97.315200000000004</v>
      </c>
    </row>
    <row r="383" spans="1:5">
      <c r="A383" t="s">
        <v>91</v>
      </c>
      <c r="B383">
        <v>1997</v>
      </c>
      <c r="C383" s="14">
        <v>0.08</v>
      </c>
      <c r="D383" s="15">
        <f t="shared" si="5"/>
        <v>8</v>
      </c>
      <c r="E383">
        <f>IF(COUNTIF($A$1:$A382, A383) = 0, 100, E382*(1+D383*0.01))</f>
        <v>100</v>
      </c>
    </row>
    <row r="384" spans="1:5">
      <c r="A384" t="s">
        <v>91</v>
      </c>
      <c r="B384">
        <v>1998</v>
      </c>
      <c r="C384" s="14">
        <v>7.0000000000000007E-2</v>
      </c>
      <c r="D384" s="15">
        <f t="shared" si="5"/>
        <v>7.0000000000000009</v>
      </c>
      <c r="E384">
        <f>IF(COUNTIF($A$1:$A383, A384) = 0, 100, E383*(1+D384*0.01))</f>
        <v>107</v>
      </c>
    </row>
    <row r="385" spans="1:5">
      <c r="A385" t="s">
        <v>91</v>
      </c>
      <c r="B385">
        <v>1999</v>
      </c>
      <c r="C385" s="14">
        <v>7.0000000000000007E-2</v>
      </c>
      <c r="D385" s="15">
        <f t="shared" si="5"/>
        <v>7.0000000000000009</v>
      </c>
      <c r="E385">
        <f>IF(COUNTIF($A$1:$A384, A385) = 0, 100, E384*(1+D385*0.01))</f>
        <v>114.49000000000001</v>
      </c>
    </row>
    <row r="386" spans="1:5">
      <c r="A386" t="s">
        <v>91</v>
      </c>
      <c r="B386">
        <v>2000</v>
      </c>
      <c r="C386" s="14">
        <v>0.03</v>
      </c>
      <c r="D386" s="15">
        <f t="shared" ref="D386:D449" si="6">IF(B386&lt;2006,C386*100,C386)</f>
        <v>3</v>
      </c>
      <c r="E386">
        <f>IF(COUNTIF($A$1:$A385, A386) = 0, 100, E385*(1+D386*0.01))</f>
        <v>117.92470000000002</v>
      </c>
    </row>
    <row r="387" spans="1:5">
      <c r="A387" t="s">
        <v>92</v>
      </c>
      <c r="B387">
        <v>1997</v>
      </c>
      <c r="C387" s="14">
        <v>7.0000000000000007E-2</v>
      </c>
      <c r="D387" s="15">
        <f t="shared" si="6"/>
        <v>7.0000000000000009</v>
      </c>
      <c r="E387">
        <f>IF(COUNTIF($A$1:$A386, A387) = 0, 100, E386*(1+D387*0.01))</f>
        <v>100</v>
      </c>
    </row>
    <row r="388" spans="1:5">
      <c r="A388" t="s">
        <v>93</v>
      </c>
      <c r="B388">
        <v>1997</v>
      </c>
      <c r="C388" s="14">
        <v>0.13</v>
      </c>
      <c r="D388" s="15">
        <f t="shared" si="6"/>
        <v>13</v>
      </c>
      <c r="E388">
        <f>IF(COUNTIF($A$1:$A387, A388) = 0, 100, E387*(1+D388*0.01))</f>
        <v>100</v>
      </c>
    </row>
    <row r="389" spans="1:5">
      <c r="A389" t="s">
        <v>93</v>
      </c>
      <c r="B389">
        <v>1998</v>
      </c>
      <c r="C389" s="14">
        <v>0.02</v>
      </c>
      <c r="D389" s="15">
        <f t="shared" si="6"/>
        <v>2</v>
      </c>
      <c r="E389">
        <f>IF(COUNTIF($A$1:$A388, A389) = 0, 100, E388*(1+D389*0.01))</f>
        <v>102</v>
      </c>
    </row>
    <row r="390" spans="1:5">
      <c r="A390" t="s">
        <v>93</v>
      </c>
      <c r="B390">
        <v>1999</v>
      </c>
      <c r="C390" s="14">
        <v>0.08</v>
      </c>
      <c r="D390" s="15">
        <f t="shared" si="6"/>
        <v>8</v>
      </c>
      <c r="E390">
        <f>IF(COUNTIF($A$1:$A389, A390) = 0, 100, E389*(1+D390*0.01))</f>
        <v>110.16000000000001</v>
      </c>
    </row>
    <row r="391" spans="1:5">
      <c r="A391" t="s">
        <v>93</v>
      </c>
      <c r="B391">
        <v>2000</v>
      </c>
      <c r="C391" s="14">
        <v>-0.04</v>
      </c>
      <c r="D391" s="15">
        <f t="shared" si="6"/>
        <v>-4</v>
      </c>
      <c r="E391">
        <f>IF(COUNTIF($A$1:$A390, A391) = 0, 100, E390*(1+D391*0.01))</f>
        <v>105.75360000000001</v>
      </c>
    </row>
    <row r="392" spans="1:5">
      <c r="A392" t="s">
        <v>93</v>
      </c>
      <c r="B392">
        <v>2001</v>
      </c>
      <c r="C392" s="14">
        <v>-0.1</v>
      </c>
      <c r="D392" s="15">
        <f t="shared" si="6"/>
        <v>-10</v>
      </c>
      <c r="E392">
        <f>IF(COUNTIF($A$1:$A391, A392) = 0, 100, E391*(1+D392*0.01))</f>
        <v>95.178240000000002</v>
      </c>
    </row>
    <row r="393" spans="1:5">
      <c r="A393" t="s">
        <v>93</v>
      </c>
      <c r="B393">
        <v>2002</v>
      </c>
      <c r="C393" s="14">
        <v>-0.11</v>
      </c>
      <c r="D393" s="15">
        <f t="shared" si="6"/>
        <v>-11</v>
      </c>
      <c r="E393">
        <f>IF(COUNTIF($A$1:$A392, A393) = 0, 100, E392*(1+D393*0.01))</f>
        <v>84.708633599999999</v>
      </c>
    </row>
    <row r="394" spans="1:5">
      <c r="A394" t="s">
        <v>93</v>
      </c>
      <c r="B394">
        <v>2003</v>
      </c>
      <c r="C394" s="14">
        <v>0.1</v>
      </c>
      <c r="D394" s="15">
        <f t="shared" si="6"/>
        <v>10</v>
      </c>
      <c r="E394">
        <f>IF(COUNTIF($A$1:$A393, A394) = 0, 100, E393*(1+D394*0.01))</f>
        <v>93.179496960000009</v>
      </c>
    </row>
    <row r="395" spans="1:5">
      <c r="A395" t="s">
        <v>93</v>
      </c>
      <c r="B395">
        <v>2004</v>
      </c>
      <c r="C395" s="14">
        <v>0.08</v>
      </c>
      <c r="D395" s="15">
        <f t="shared" si="6"/>
        <v>8</v>
      </c>
      <c r="E395">
        <f>IF(COUNTIF($A$1:$A394, A395) = 0, 100, E394*(1+D395*0.01))</f>
        <v>100.63385671680001</v>
      </c>
    </row>
    <row r="396" spans="1:5">
      <c r="A396" t="s">
        <v>93</v>
      </c>
      <c r="B396">
        <v>2005</v>
      </c>
      <c r="C396" s="14">
        <v>0.09</v>
      </c>
      <c r="D396" s="15">
        <f t="shared" si="6"/>
        <v>9</v>
      </c>
      <c r="E396">
        <f>IF(COUNTIF($A$1:$A395, A396) = 0, 100, E395*(1+D396*0.01))</f>
        <v>109.69090382131202</v>
      </c>
    </row>
    <row r="397" spans="1:5">
      <c r="A397" t="s">
        <v>93</v>
      </c>
      <c r="B397">
        <v>2006</v>
      </c>
      <c r="C397" s="14">
        <v>10.07</v>
      </c>
      <c r="D397" s="15">
        <f t="shared" si="6"/>
        <v>10.07</v>
      </c>
      <c r="E397">
        <f>IF(COUNTIF($A$1:$A396, A397) = 0, 100, E396*(1+D397*0.01))</f>
        <v>120.73677783611814</v>
      </c>
    </row>
    <row r="398" spans="1:5">
      <c r="A398" t="s">
        <v>94</v>
      </c>
      <c r="B398">
        <v>1997</v>
      </c>
      <c r="C398" s="14">
        <v>0.06</v>
      </c>
      <c r="D398" s="15">
        <f t="shared" si="6"/>
        <v>6</v>
      </c>
      <c r="E398">
        <f>IF(COUNTIF($A$1:$A397, A398) = 0, 100, E397*(1+D398*0.01))</f>
        <v>100</v>
      </c>
    </row>
    <row r="399" spans="1:5">
      <c r="A399" t="s">
        <v>94</v>
      </c>
      <c r="B399">
        <v>1998</v>
      </c>
      <c r="C399" s="14">
        <v>7.0000000000000007E-2</v>
      </c>
      <c r="D399" s="15">
        <f t="shared" si="6"/>
        <v>7.0000000000000009</v>
      </c>
      <c r="E399">
        <f>IF(COUNTIF($A$1:$A398, A399) = 0, 100, E398*(1+D399*0.01))</f>
        <v>107</v>
      </c>
    </row>
    <row r="400" spans="1:5">
      <c r="A400" t="s">
        <v>94</v>
      </c>
      <c r="B400">
        <v>1999</v>
      </c>
      <c r="C400" s="14">
        <v>0.1</v>
      </c>
      <c r="D400" s="15">
        <f t="shared" si="6"/>
        <v>10</v>
      </c>
      <c r="E400">
        <f>IF(COUNTIF($A$1:$A399, A400) = 0, 100, E399*(1+D400*0.01))</f>
        <v>117.7</v>
      </c>
    </row>
    <row r="401" spans="1:5">
      <c r="A401" t="s">
        <v>94</v>
      </c>
      <c r="B401">
        <v>2000</v>
      </c>
      <c r="C401" s="14">
        <v>0.02</v>
      </c>
      <c r="D401" s="15">
        <f t="shared" si="6"/>
        <v>2</v>
      </c>
      <c r="E401">
        <f>IF(COUNTIF($A$1:$A400, A401) = 0, 100, E400*(1+D401*0.01))</f>
        <v>120.054</v>
      </c>
    </row>
    <row r="402" spans="1:5">
      <c r="A402" t="s">
        <v>94</v>
      </c>
      <c r="B402">
        <v>2001</v>
      </c>
      <c r="C402" s="14">
        <v>0.01</v>
      </c>
      <c r="D402" s="15">
        <f t="shared" si="6"/>
        <v>1</v>
      </c>
      <c r="E402">
        <f>IF(COUNTIF($A$1:$A401, A402) = 0, 100, E401*(1+D402*0.01))</f>
        <v>121.25454000000001</v>
      </c>
    </row>
    <row r="403" spans="1:5">
      <c r="A403" t="s">
        <v>94</v>
      </c>
      <c r="B403">
        <v>2002</v>
      </c>
      <c r="C403" s="14">
        <v>0.03</v>
      </c>
      <c r="D403" s="15">
        <f t="shared" si="6"/>
        <v>3</v>
      </c>
      <c r="E403">
        <f>IF(COUNTIF($A$1:$A402, A403) = 0, 100, E402*(1+D403*0.01))</f>
        <v>124.89217620000001</v>
      </c>
    </row>
    <row r="404" spans="1:5">
      <c r="A404" t="s">
        <v>94</v>
      </c>
      <c r="B404">
        <v>2003</v>
      </c>
      <c r="C404" s="14">
        <v>0.09</v>
      </c>
      <c r="D404" s="15">
        <f t="shared" si="6"/>
        <v>9</v>
      </c>
      <c r="E404">
        <f>IF(COUNTIF($A$1:$A403, A404) = 0, 100, E403*(1+D404*0.01))</f>
        <v>136.13247205800002</v>
      </c>
    </row>
    <row r="405" spans="1:5">
      <c r="A405" t="s">
        <v>94</v>
      </c>
      <c r="B405">
        <v>2004</v>
      </c>
      <c r="C405" s="14">
        <v>0.08</v>
      </c>
      <c r="D405" s="15">
        <f t="shared" si="6"/>
        <v>8</v>
      </c>
      <c r="E405">
        <f>IF(COUNTIF($A$1:$A404, A405) = 0, 100, E404*(1+D405*0.01))</f>
        <v>147.02306982264002</v>
      </c>
    </row>
    <row r="406" spans="1:5">
      <c r="A406" t="s">
        <v>94</v>
      </c>
      <c r="B406">
        <v>2005</v>
      </c>
      <c r="C406" s="14">
        <v>0.09</v>
      </c>
      <c r="D406" s="15">
        <f t="shared" si="6"/>
        <v>9</v>
      </c>
      <c r="E406">
        <f>IF(COUNTIF($A$1:$A405, A406) = 0, 100, E405*(1+D406*0.01))</f>
        <v>160.25514610667764</v>
      </c>
    </row>
    <row r="407" spans="1:5">
      <c r="A407" t="s">
        <v>94</v>
      </c>
      <c r="B407">
        <v>2006</v>
      </c>
      <c r="C407" s="14">
        <v>6.88</v>
      </c>
      <c r="D407" s="15">
        <f t="shared" si="6"/>
        <v>6.88</v>
      </c>
      <c r="E407">
        <f>IF(COUNTIF($A$1:$A406, A407) = 0, 100, E406*(1+D407*0.01))</f>
        <v>171.28070015881707</v>
      </c>
    </row>
    <row r="408" spans="1:5">
      <c r="A408" t="s">
        <v>95</v>
      </c>
      <c r="B408">
        <v>1997</v>
      </c>
      <c r="C408" s="14">
        <v>7.0000000000000007E-2</v>
      </c>
      <c r="D408" s="15">
        <f t="shared" si="6"/>
        <v>7.0000000000000009</v>
      </c>
      <c r="E408">
        <f>IF(COUNTIF($A$1:$A407, A408) = 0, 100, E407*(1+D408*0.01))</f>
        <v>100</v>
      </c>
    </row>
    <row r="409" spans="1:5">
      <c r="A409" t="s">
        <v>95</v>
      </c>
      <c r="B409">
        <v>1998</v>
      </c>
      <c r="C409" s="14">
        <v>0.09</v>
      </c>
      <c r="D409" s="15">
        <f t="shared" si="6"/>
        <v>9</v>
      </c>
      <c r="E409">
        <f>IF(COUNTIF($A$1:$A408, A409) = 0, 100, E408*(1+D409*0.01))</f>
        <v>109.00000000000001</v>
      </c>
    </row>
    <row r="410" spans="1:5">
      <c r="A410" t="s">
        <v>96</v>
      </c>
      <c r="B410">
        <v>1997</v>
      </c>
      <c r="C410" s="14">
        <v>0.06</v>
      </c>
      <c r="D410" s="15">
        <f t="shared" si="6"/>
        <v>6</v>
      </c>
      <c r="E410">
        <f>IF(COUNTIF($A$1:$A409, A410) = 0, 100, E409*(1+D410*0.01))</f>
        <v>100</v>
      </c>
    </row>
    <row r="411" spans="1:5">
      <c r="A411" t="s">
        <v>96</v>
      </c>
      <c r="B411">
        <v>1998</v>
      </c>
      <c r="C411" s="14">
        <v>0.09</v>
      </c>
      <c r="D411" s="15">
        <f t="shared" si="6"/>
        <v>9</v>
      </c>
      <c r="E411">
        <f>IF(COUNTIF($A$1:$A410, A411) = 0, 100, E410*(1+D411*0.01))</f>
        <v>109.00000000000001</v>
      </c>
    </row>
    <row r="412" spans="1:5">
      <c r="A412" t="s">
        <v>97</v>
      </c>
      <c r="B412">
        <v>1997</v>
      </c>
      <c r="C412" s="14">
        <v>0.06</v>
      </c>
      <c r="D412" s="15">
        <f t="shared" si="6"/>
        <v>6</v>
      </c>
      <c r="E412">
        <f>IF(COUNTIF($A$1:$A411, A412) = 0, 100, E411*(1+D412*0.01))</f>
        <v>100</v>
      </c>
    </row>
    <row r="413" spans="1:5">
      <c r="A413" t="s">
        <v>97</v>
      </c>
      <c r="B413">
        <v>1998</v>
      </c>
      <c r="C413" s="14">
        <v>0.06</v>
      </c>
      <c r="D413" s="15">
        <f t="shared" si="6"/>
        <v>6</v>
      </c>
      <c r="E413">
        <f>IF(COUNTIF($A$1:$A412, A413) = 0, 100, E412*(1+D413*0.01))</f>
        <v>106</v>
      </c>
    </row>
    <row r="414" spans="1:5">
      <c r="A414" t="s">
        <v>97</v>
      </c>
      <c r="B414">
        <v>1999</v>
      </c>
      <c r="C414" s="14">
        <v>0.09</v>
      </c>
      <c r="D414" s="15">
        <f t="shared" si="6"/>
        <v>9</v>
      </c>
      <c r="E414">
        <f>IF(COUNTIF($A$1:$A413, A414) = 0, 100, E413*(1+D414*0.01))</f>
        <v>115.54</v>
      </c>
    </row>
    <row r="415" spans="1:5">
      <c r="A415" t="s">
        <v>97</v>
      </c>
      <c r="B415">
        <v>2000</v>
      </c>
      <c r="C415" s="14">
        <v>0.03</v>
      </c>
      <c r="D415" s="15">
        <f t="shared" si="6"/>
        <v>3</v>
      </c>
      <c r="E415">
        <f>IF(COUNTIF($A$1:$A414, A415) = 0, 100, E414*(1+D415*0.01))</f>
        <v>119.00620000000001</v>
      </c>
    </row>
    <row r="416" spans="1:5">
      <c r="A416" t="s">
        <v>97</v>
      </c>
      <c r="B416">
        <v>2001</v>
      </c>
      <c r="C416" s="14">
        <v>0.03</v>
      </c>
      <c r="D416" s="15">
        <f t="shared" si="6"/>
        <v>3</v>
      </c>
      <c r="E416">
        <f>IF(COUNTIF($A$1:$A415, A416) = 0, 100, E415*(1+D416*0.01))</f>
        <v>122.57638600000001</v>
      </c>
    </row>
    <row r="417" spans="1:5">
      <c r="A417" t="s">
        <v>97</v>
      </c>
      <c r="B417">
        <v>2002</v>
      </c>
      <c r="C417" s="14">
        <v>0.03</v>
      </c>
      <c r="D417" s="15">
        <f t="shared" si="6"/>
        <v>3</v>
      </c>
      <c r="E417">
        <f>IF(COUNTIF($A$1:$A416, A417) = 0, 100, E416*(1+D417*0.01))</f>
        <v>126.25367758000002</v>
      </c>
    </row>
    <row r="418" spans="1:5">
      <c r="A418" t="s">
        <v>97</v>
      </c>
      <c r="B418">
        <v>2003</v>
      </c>
      <c r="C418" s="14">
        <v>0.12</v>
      </c>
      <c r="D418" s="15">
        <f t="shared" si="6"/>
        <v>12</v>
      </c>
      <c r="E418">
        <f>IF(COUNTIF($A$1:$A417, A418) = 0, 100, E417*(1+D418*0.01))</f>
        <v>141.40411888960003</v>
      </c>
    </row>
    <row r="419" spans="1:5">
      <c r="A419" t="s">
        <v>97</v>
      </c>
      <c r="B419">
        <v>2004</v>
      </c>
      <c r="C419" s="14">
        <v>0.09</v>
      </c>
      <c r="D419" s="15">
        <f t="shared" si="6"/>
        <v>9</v>
      </c>
      <c r="E419">
        <f>IF(COUNTIF($A$1:$A418, A419) = 0, 100, E418*(1+D419*0.01))</f>
        <v>154.13048958966405</v>
      </c>
    </row>
    <row r="420" spans="1:5">
      <c r="A420" t="s">
        <v>97</v>
      </c>
      <c r="B420">
        <v>2005</v>
      </c>
      <c r="C420" s="14">
        <v>0.08</v>
      </c>
      <c r="D420" s="15">
        <f t="shared" si="6"/>
        <v>8</v>
      </c>
      <c r="E420">
        <f>IF(COUNTIF($A$1:$A419, A420) = 0, 100, E419*(1+D420*0.01))</f>
        <v>166.46092875683718</v>
      </c>
    </row>
    <row r="421" spans="1:5">
      <c r="A421" t="s">
        <v>97</v>
      </c>
      <c r="B421">
        <v>2006</v>
      </c>
      <c r="C421" s="14">
        <v>7.49</v>
      </c>
      <c r="D421" s="15">
        <f t="shared" si="6"/>
        <v>7.49</v>
      </c>
      <c r="E421">
        <f>IF(COUNTIF($A$1:$A420, A421) = 0, 100, E420*(1+D421*0.01))</f>
        <v>178.92885232072427</v>
      </c>
    </row>
    <row r="422" spans="1:5">
      <c r="A422" t="s">
        <v>98</v>
      </c>
      <c r="B422">
        <v>1997</v>
      </c>
      <c r="C422" s="14">
        <v>0.08</v>
      </c>
      <c r="D422" s="15">
        <f t="shared" si="6"/>
        <v>8</v>
      </c>
      <c r="E422">
        <f>IF(COUNTIF($A$1:$A421, A422) = 0, 100, E421*(1+D422*0.01))</f>
        <v>100</v>
      </c>
    </row>
    <row r="423" spans="1:5">
      <c r="A423" t="s">
        <v>98</v>
      </c>
      <c r="B423">
        <v>1998</v>
      </c>
      <c r="C423" s="14">
        <v>0.1</v>
      </c>
      <c r="D423" s="15">
        <f t="shared" si="6"/>
        <v>10</v>
      </c>
      <c r="E423">
        <f>IF(COUNTIF($A$1:$A422, A423) = 0, 100, E422*(1+D423*0.01))</f>
        <v>110.00000000000001</v>
      </c>
    </row>
    <row r="424" spans="1:5">
      <c r="A424" t="s">
        <v>98</v>
      </c>
      <c r="B424">
        <v>1999</v>
      </c>
      <c r="C424" s="14">
        <v>0.16</v>
      </c>
      <c r="D424" s="15">
        <f t="shared" si="6"/>
        <v>16</v>
      </c>
      <c r="E424">
        <f>IF(COUNTIF($A$1:$A423, A424) = 0, 100, E423*(1+D424*0.01))</f>
        <v>127.60000000000001</v>
      </c>
    </row>
    <row r="425" spans="1:5">
      <c r="A425" t="s">
        <v>98</v>
      </c>
      <c r="B425">
        <v>2000</v>
      </c>
      <c r="C425" s="14">
        <v>-0.03</v>
      </c>
      <c r="D425" s="15">
        <f t="shared" si="6"/>
        <v>-3</v>
      </c>
      <c r="E425">
        <f>IF(COUNTIF($A$1:$A424, A425) = 0, 100, E424*(1+D425*0.01))</f>
        <v>123.77200000000001</v>
      </c>
    </row>
    <row r="426" spans="1:5">
      <c r="A426" t="s">
        <v>98</v>
      </c>
      <c r="B426">
        <v>2001</v>
      </c>
      <c r="C426" s="14">
        <v>0.02</v>
      </c>
      <c r="D426" s="15">
        <f t="shared" si="6"/>
        <v>2</v>
      </c>
      <c r="E426">
        <f>IF(COUNTIF($A$1:$A425, A426) = 0, 100, E425*(1+D426*0.01))</f>
        <v>126.24744000000001</v>
      </c>
    </row>
    <row r="427" spans="1:5">
      <c r="A427" t="s">
        <v>98</v>
      </c>
      <c r="B427">
        <v>2002</v>
      </c>
      <c r="C427" s="14">
        <v>0.04</v>
      </c>
      <c r="D427" s="15">
        <f t="shared" si="6"/>
        <v>4</v>
      </c>
      <c r="E427">
        <f>IF(COUNTIF($A$1:$A426, A427) = 0, 100, E426*(1+D427*0.01))</f>
        <v>131.29733760000002</v>
      </c>
    </row>
    <row r="428" spans="1:5">
      <c r="A428" t="s">
        <v>98</v>
      </c>
      <c r="B428">
        <v>2003</v>
      </c>
      <c r="C428" s="14">
        <v>0.09</v>
      </c>
      <c r="D428" s="15">
        <f t="shared" si="6"/>
        <v>9</v>
      </c>
      <c r="E428">
        <f>IF(COUNTIF($A$1:$A427, A428) = 0, 100, E427*(1+D428*0.01))</f>
        <v>143.11409798400004</v>
      </c>
    </row>
    <row r="429" spans="1:5">
      <c r="A429" t="s">
        <v>98</v>
      </c>
      <c r="B429">
        <v>2004</v>
      </c>
      <c r="C429" s="14">
        <v>0.12</v>
      </c>
      <c r="D429" s="15">
        <f t="shared" si="6"/>
        <v>12</v>
      </c>
      <c r="E429">
        <f>IF(COUNTIF($A$1:$A428, A429) = 0, 100, E428*(1+D429*0.01))</f>
        <v>160.28778974208007</v>
      </c>
    </row>
    <row r="430" spans="1:5">
      <c r="A430" t="s">
        <v>98</v>
      </c>
      <c r="B430">
        <v>2005</v>
      </c>
      <c r="C430" s="14">
        <v>0.16</v>
      </c>
      <c r="D430" s="15">
        <f t="shared" si="6"/>
        <v>16</v>
      </c>
      <c r="E430">
        <f>IF(COUNTIF($A$1:$A429, A430) = 0, 100, E429*(1+D430*0.01))</f>
        <v>185.93383610081287</v>
      </c>
    </row>
    <row r="431" spans="1:5">
      <c r="A431" t="s">
        <v>98</v>
      </c>
      <c r="B431">
        <v>2006</v>
      </c>
      <c r="C431" s="14">
        <v>11.65</v>
      </c>
      <c r="D431" s="15">
        <f t="shared" si="6"/>
        <v>11.65</v>
      </c>
      <c r="E431">
        <f>IF(COUNTIF($A$1:$A430, A431) = 0, 100, E430*(1+D431*0.01))</f>
        <v>207.59512800655759</v>
      </c>
    </row>
    <row r="432" spans="1:5">
      <c r="A432" t="s">
        <v>99</v>
      </c>
      <c r="B432">
        <v>1997</v>
      </c>
      <c r="C432" s="14">
        <v>0.05</v>
      </c>
      <c r="D432" s="15">
        <f t="shared" si="6"/>
        <v>5</v>
      </c>
      <c r="E432">
        <f>IF(COUNTIF($A$1:$A431, A432) = 0, 100, E431*(1+D432*0.01))</f>
        <v>100</v>
      </c>
    </row>
    <row r="433" spans="1:5">
      <c r="A433" t="s">
        <v>99</v>
      </c>
      <c r="B433">
        <v>1998</v>
      </c>
      <c r="C433" s="14">
        <v>0.06</v>
      </c>
      <c r="D433" s="15">
        <f t="shared" si="6"/>
        <v>6</v>
      </c>
      <c r="E433">
        <f>IF(COUNTIF($A$1:$A432, A433) = 0, 100, E432*(1+D433*0.01))</f>
        <v>106</v>
      </c>
    </row>
    <row r="434" spans="1:5">
      <c r="A434" t="s">
        <v>99</v>
      </c>
      <c r="B434">
        <v>1999</v>
      </c>
      <c r="C434" s="14">
        <v>0.05</v>
      </c>
      <c r="D434" s="15">
        <f t="shared" si="6"/>
        <v>5</v>
      </c>
      <c r="E434">
        <f>IF(COUNTIF($A$1:$A433, A434) = 0, 100, E433*(1+D434*0.01))</f>
        <v>111.30000000000001</v>
      </c>
    </row>
    <row r="435" spans="1:5">
      <c r="A435" t="s">
        <v>99</v>
      </c>
      <c r="B435">
        <v>2000</v>
      </c>
      <c r="C435" s="14">
        <v>0.03</v>
      </c>
      <c r="D435" s="15">
        <f t="shared" si="6"/>
        <v>3</v>
      </c>
      <c r="E435">
        <f>IF(COUNTIF($A$1:$A434, A435) = 0, 100, E434*(1+D435*0.01))</f>
        <v>114.63900000000001</v>
      </c>
    </row>
    <row r="436" spans="1:5">
      <c r="A436" t="s">
        <v>99</v>
      </c>
      <c r="B436">
        <v>2001</v>
      </c>
      <c r="C436" s="14">
        <v>0.04</v>
      </c>
      <c r="D436" s="15">
        <f t="shared" si="6"/>
        <v>4</v>
      </c>
      <c r="E436">
        <f>IF(COUNTIF($A$1:$A435, A436) = 0, 100, E435*(1+D436*0.01))</f>
        <v>119.22456000000001</v>
      </c>
    </row>
    <row r="437" spans="1:5">
      <c r="A437" t="s">
        <v>99</v>
      </c>
      <c r="B437">
        <v>2002</v>
      </c>
      <c r="C437" s="14">
        <v>0.04</v>
      </c>
      <c r="D437" s="15">
        <f t="shared" si="6"/>
        <v>4</v>
      </c>
      <c r="E437">
        <f>IF(COUNTIF($A$1:$A436, A437) = 0, 100, E436*(1+D437*0.01))</f>
        <v>123.99354240000001</v>
      </c>
    </row>
    <row r="438" spans="1:5">
      <c r="A438" t="s">
        <v>99</v>
      </c>
      <c r="B438">
        <v>2003</v>
      </c>
      <c r="C438" s="14">
        <v>7.0000000000000007E-2</v>
      </c>
      <c r="D438" s="15">
        <f t="shared" si="6"/>
        <v>7.0000000000000009</v>
      </c>
      <c r="E438">
        <f>IF(COUNTIF($A$1:$A437, A438) = 0, 100, E437*(1+D438*0.01))</f>
        <v>132.673090368</v>
      </c>
    </row>
    <row r="439" spans="1:5">
      <c r="A439" t="s">
        <v>99</v>
      </c>
      <c r="B439">
        <v>2004</v>
      </c>
      <c r="C439" s="14">
        <v>0.03</v>
      </c>
      <c r="D439" s="15">
        <f t="shared" si="6"/>
        <v>3</v>
      </c>
      <c r="E439">
        <f>IF(COUNTIF($A$1:$A438, A439) = 0, 100, E438*(1+D439*0.01))</f>
        <v>136.65328307903999</v>
      </c>
    </row>
    <row r="440" spans="1:5">
      <c r="A440" t="s">
        <v>99</v>
      </c>
      <c r="B440">
        <v>2005</v>
      </c>
      <c r="C440" s="14">
        <v>0.06</v>
      </c>
      <c r="D440" s="15">
        <f t="shared" si="6"/>
        <v>6</v>
      </c>
      <c r="E440">
        <f>IF(COUNTIF($A$1:$A439, A440) = 0, 100, E439*(1+D440*0.01))</f>
        <v>144.85248006378239</v>
      </c>
    </row>
    <row r="441" spans="1:5">
      <c r="A441" t="s">
        <v>99</v>
      </c>
      <c r="B441">
        <v>2006</v>
      </c>
      <c r="C441" s="14">
        <v>6.76</v>
      </c>
      <c r="D441" s="15">
        <f t="shared" si="6"/>
        <v>6.76</v>
      </c>
      <c r="E441">
        <f>IF(COUNTIF($A$1:$A440, A441) = 0, 100, E440*(1+D441*0.01))</f>
        <v>154.6445077160941</v>
      </c>
    </row>
    <row r="442" spans="1:5">
      <c r="A442" t="s">
        <v>99</v>
      </c>
      <c r="B442">
        <v>2007</v>
      </c>
      <c r="C442" s="14">
        <v>1</v>
      </c>
      <c r="D442" s="15">
        <f t="shared" si="6"/>
        <v>1</v>
      </c>
      <c r="E442">
        <f>IF(COUNTIF($A$1:$A441, A442) = 0, 100, E441*(1+D442*0.01))</f>
        <v>156.19095279325504</v>
      </c>
    </row>
    <row r="443" spans="1:5">
      <c r="A443" t="s">
        <v>99</v>
      </c>
      <c r="B443">
        <v>2008</v>
      </c>
      <c r="C443" s="14">
        <v>-12.83</v>
      </c>
      <c r="D443" s="15">
        <f t="shared" si="6"/>
        <v>-12.83</v>
      </c>
      <c r="E443">
        <f>IF(COUNTIF($A$1:$A442, A443) = 0, 100, E442*(1+D443*0.01))</f>
        <v>136.15165354988042</v>
      </c>
    </row>
    <row r="444" spans="1:5">
      <c r="A444" t="s">
        <v>99</v>
      </c>
      <c r="B444">
        <v>2009</v>
      </c>
      <c r="C444" s="14">
        <v>-1.98</v>
      </c>
      <c r="D444" s="15">
        <f t="shared" si="6"/>
        <v>-1.98</v>
      </c>
      <c r="E444">
        <f>IF(COUNTIF($A$1:$A443, A444) = 0, 100, E443*(1+D444*0.01))</f>
        <v>133.45585080959279</v>
      </c>
    </row>
    <row r="445" spans="1:5">
      <c r="A445" t="s">
        <v>99</v>
      </c>
      <c r="B445">
        <v>2010</v>
      </c>
      <c r="C445" s="14">
        <v>9.26</v>
      </c>
      <c r="D445" s="15">
        <f t="shared" si="6"/>
        <v>9.26</v>
      </c>
      <c r="E445">
        <f>IF(COUNTIF($A$1:$A444, A445) = 0, 100, E444*(1+D445*0.01))</f>
        <v>145.81386259456107</v>
      </c>
    </row>
    <row r="446" spans="1:5">
      <c r="A446" t="s">
        <v>99</v>
      </c>
      <c r="B446">
        <v>2011</v>
      </c>
      <c r="C446" s="14">
        <v>3.2</v>
      </c>
      <c r="D446" s="15">
        <f t="shared" si="6"/>
        <v>3.2</v>
      </c>
      <c r="E446">
        <f>IF(COUNTIF($A$1:$A445, A446) = 0, 100, E445*(1+D446*0.01))</f>
        <v>150.47990619758704</v>
      </c>
    </row>
    <row r="447" spans="1:5">
      <c r="A447" t="s">
        <v>99</v>
      </c>
      <c r="B447">
        <v>2012</v>
      </c>
      <c r="C447" s="14">
        <v>5.3</v>
      </c>
      <c r="D447" s="15">
        <f t="shared" si="6"/>
        <v>5.3</v>
      </c>
      <c r="E447">
        <f>IF(COUNTIF($A$1:$A446, A447) = 0, 100, E446*(1+D447*0.01))</f>
        <v>158.45534122605915</v>
      </c>
    </row>
    <row r="448" spans="1:5">
      <c r="A448" t="s">
        <v>99</v>
      </c>
      <c r="B448">
        <v>2013</v>
      </c>
      <c r="C448" s="14">
        <v>4.4000000000000004</v>
      </c>
      <c r="D448" s="15">
        <f t="shared" si="6"/>
        <v>4.4000000000000004</v>
      </c>
      <c r="E448">
        <f>IF(COUNTIF($A$1:$A447, A448) = 0, 100, E447*(1+D448*0.01))</f>
        <v>165.42737624000574</v>
      </c>
    </row>
    <row r="449" spans="1:5">
      <c r="A449" t="s">
        <v>99</v>
      </c>
      <c r="B449">
        <v>2014</v>
      </c>
      <c r="C449" s="14">
        <v>4.2</v>
      </c>
      <c r="D449" s="15">
        <f t="shared" si="6"/>
        <v>4.2</v>
      </c>
      <c r="E449">
        <f>IF(COUNTIF($A$1:$A448, A449) = 0, 100, E448*(1+D449*0.01))</f>
        <v>172.37532604208599</v>
      </c>
    </row>
    <row r="450" spans="1:5">
      <c r="A450" t="s">
        <v>99</v>
      </c>
      <c r="B450">
        <v>2015</v>
      </c>
      <c r="C450" s="14">
        <v>6.7</v>
      </c>
      <c r="D450" s="15">
        <f t="shared" ref="D450:D513" si="7">IF(B450&lt;2006,C450*100,C450)</f>
        <v>6.7</v>
      </c>
      <c r="E450">
        <f>IF(COUNTIF($A$1:$A449, A450) = 0, 100, E449*(1+D450*0.01))</f>
        <v>183.92447288690573</v>
      </c>
    </row>
    <row r="451" spans="1:5">
      <c r="A451" t="s">
        <v>99</v>
      </c>
      <c r="B451">
        <v>2016</v>
      </c>
      <c r="C451" s="14">
        <v>7.0000000000000007E-2</v>
      </c>
      <c r="D451" s="15">
        <f t="shared" si="7"/>
        <v>7.0000000000000007E-2</v>
      </c>
      <c r="E451">
        <f>IF(COUNTIF($A$1:$A450, A451) = 0, 100, E450*(1+D451*0.01))</f>
        <v>184.05322001792655</v>
      </c>
    </row>
    <row r="452" spans="1:5">
      <c r="A452" t="s">
        <v>99</v>
      </c>
      <c r="B452">
        <v>2017</v>
      </c>
      <c r="C452" s="14">
        <v>5.7</v>
      </c>
      <c r="D452" s="15">
        <f t="shared" si="7"/>
        <v>5.7</v>
      </c>
      <c r="E452">
        <f>IF(COUNTIF($A$1:$A451, A452) = 0, 100, E451*(1+D452*0.01))</f>
        <v>194.54425355894836</v>
      </c>
    </row>
    <row r="453" spans="1:5">
      <c r="A453" t="s">
        <v>99</v>
      </c>
      <c r="B453">
        <v>2018</v>
      </c>
      <c r="C453" s="14">
        <v>2.6</v>
      </c>
      <c r="D453" s="15">
        <f t="shared" si="7"/>
        <v>2.6</v>
      </c>
      <c r="E453">
        <f>IF(COUNTIF($A$1:$A452, A453) = 0, 100, E452*(1+D453*0.01))</f>
        <v>199.60240415148101</v>
      </c>
    </row>
    <row r="454" spans="1:5">
      <c r="A454" t="s">
        <v>99</v>
      </c>
      <c r="B454">
        <v>2019</v>
      </c>
      <c r="C454" s="14">
        <v>7.72</v>
      </c>
      <c r="D454" s="15">
        <f t="shared" si="7"/>
        <v>7.72</v>
      </c>
      <c r="E454">
        <f>IF(COUNTIF($A$1:$A453, A454) = 0, 100, E453*(1+D454*0.01))</f>
        <v>215.01170975197533</v>
      </c>
    </row>
    <row r="455" spans="1:5">
      <c r="A455" t="s">
        <v>99</v>
      </c>
      <c r="B455">
        <v>2020</v>
      </c>
      <c r="C455" s="14">
        <v>7.08</v>
      </c>
      <c r="D455" s="15">
        <f t="shared" si="7"/>
        <v>7.08</v>
      </c>
      <c r="E455">
        <f>IF(COUNTIF($A$1:$A454, A455) = 0, 100, E454*(1+D455*0.01))</f>
        <v>230.23453880241519</v>
      </c>
    </row>
    <row r="456" spans="1:5">
      <c r="A456" t="s">
        <v>99</v>
      </c>
      <c r="B456">
        <v>2021</v>
      </c>
      <c r="C456" s="14">
        <v>8.06</v>
      </c>
      <c r="D456" s="15">
        <f t="shared" si="7"/>
        <v>8.06</v>
      </c>
      <c r="E456">
        <f>IF(COUNTIF($A$1:$A455, A456) = 0, 100, E455*(1+D456*0.01))</f>
        <v>248.79144262988984</v>
      </c>
    </row>
    <row r="457" spans="1:5">
      <c r="A457" t="s">
        <v>100</v>
      </c>
      <c r="B457">
        <v>1997</v>
      </c>
      <c r="C457" s="14">
        <v>7.0000000000000007E-2</v>
      </c>
      <c r="D457" s="15">
        <f t="shared" si="7"/>
        <v>7.0000000000000009</v>
      </c>
      <c r="E457">
        <f>IF(COUNTIF($A$1:$A456, A457) = 0, 100, E456*(1+D457*0.01))</f>
        <v>100</v>
      </c>
    </row>
    <row r="458" spans="1:5">
      <c r="A458" t="s">
        <v>100</v>
      </c>
      <c r="B458">
        <v>1998</v>
      </c>
      <c r="C458" s="14">
        <v>0.09</v>
      </c>
      <c r="D458" s="15">
        <f t="shared" si="7"/>
        <v>9</v>
      </c>
      <c r="E458">
        <f>IF(COUNTIF($A$1:$A457, A458) = 0, 100, E457*(1+D458*0.01))</f>
        <v>109.00000000000001</v>
      </c>
    </row>
    <row r="459" spans="1:5">
      <c r="A459" t="s">
        <v>100</v>
      </c>
      <c r="B459">
        <v>1999</v>
      </c>
      <c r="C459" s="14">
        <v>0.09</v>
      </c>
      <c r="D459" s="15">
        <f t="shared" si="7"/>
        <v>9</v>
      </c>
      <c r="E459">
        <f>IF(COUNTIF($A$1:$A458, A459) = 0, 100, E458*(1+D459*0.01))</f>
        <v>118.81000000000003</v>
      </c>
    </row>
    <row r="460" spans="1:5">
      <c r="A460" t="s">
        <v>100</v>
      </c>
      <c r="B460">
        <v>2000</v>
      </c>
      <c r="C460" s="14">
        <v>-0.04</v>
      </c>
      <c r="D460" s="15">
        <f t="shared" si="7"/>
        <v>-4</v>
      </c>
      <c r="E460">
        <f>IF(COUNTIF($A$1:$A459, A460) = 0, 100, E459*(1+D460*0.01))</f>
        <v>114.05760000000002</v>
      </c>
    </row>
    <row r="461" spans="1:5">
      <c r="A461" t="s">
        <v>100</v>
      </c>
      <c r="B461">
        <v>2001</v>
      </c>
      <c r="C461" s="14">
        <v>-0.05</v>
      </c>
      <c r="D461" s="15">
        <f t="shared" si="7"/>
        <v>-5</v>
      </c>
      <c r="E461">
        <f>IF(COUNTIF($A$1:$A460, A461) = 0, 100, E460*(1+D461*0.01))</f>
        <v>108.35472000000001</v>
      </c>
    </row>
    <row r="462" spans="1:5">
      <c r="A462" t="s">
        <v>100</v>
      </c>
      <c r="B462">
        <v>2002</v>
      </c>
      <c r="C462" s="14">
        <v>-0.04</v>
      </c>
      <c r="D462" s="15">
        <f t="shared" si="7"/>
        <v>-4</v>
      </c>
      <c r="E462">
        <f>IF(COUNTIF($A$1:$A461, A462) = 0, 100, E461*(1+D462*0.01))</f>
        <v>104.02053120000001</v>
      </c>
    </row>
    <row r="463" spans="1:5">
      <c r="A463" t="s">
        <v>100</v>
      </c>
      <c r="B463">
        <v>2003</v>
      </c>
      <c r="C463" s="14">
        <v>0.1</v>
      </c>
      <c r="D463" s="15">
        <f t="shared" si="7"/>
        <v>10</v>
      </c>
      <c r="E463">
        <f>IF(COUNTIF($A$1:$A462, A463) = 0, 100, E462*(1+D463*0.01))</f>
        <v>114.42258432000001</v>
      </c>
    </row>
    <row r="464" spans="1:5">
      <c r="A464" t="s">
        <v>100</v>
      </c>
      <c r="B464">
        <v>2004</v>
      </c>
      <c r="C464" s="14">
        <v>0.06</v>
      </c>
      <c r="D464" s="15">
        <f t="shared" si="7"/>
        <v>6</v>
      </c>
      <c r="E464">
        <f>IF(COUNTIF($A$1:$A463, A464) = 0, 100, E463*(1+D464*0.01))</f>
        <v>121.28793937920003</v>
      </c>
    </row>
    <row r="465" spans="1:5">
      <c r="A465" t="s">
        <v>101</v>
      </c>
      <c r="B465">
        <v>1997</v>
      </c>
      <c r="C465" s="14">
        <v>7.0000000000000007E-2</v>
      </c>
      <c r="D465" s="15">
        <f t="shared" si="7"/>
        <v>7.0000000000000009</v>
      </c>
      <c r="E465">
        <f>IF(COUNTIF($A$1:$A464, A465) = 0, 100, E464*(1+D465*0.01))</f>
        <v>100</v>
      </c>
    </row>
    <row r="466" spans="1:5">
      <c r="A466" t="s">
        <v>101</v>
      </c>
      <c r="B466">
        <v>1998</v>
      </c>
      <c r="C466" s="14">
        <v>0.09</v>
      </c>
      <c r="D466" s="15">
        <f t="shared" si="7"/>
        <v>9</v>
      </c>
      <c r="E466">
        <f>IF(COUNTIF($A$1:$A465, A466) = 0, 100, E465*(1+D466*0.01))</f>
        <v>109.00000000000001</v>
      </c>
    </row>
    <row r="467" spans="1:5">
      <c r="A467" t="s">
        <v>101</v>
      </c>
      <c r="B467">
        <v>1999</v>
      </c>
      <c r="C467" s="14">
        <v>0.12</v>
      </c>
      <c r="D467" s="15">
        <f t="shared" si="7"/>
        <v>12</v>
      </c>
      <c r="E467">
        <f>IF(COUNTIF($A$1:$A466, A467) = 0, 100, E466*(1+D467*0.01))</f>
        <v>122.08000000000003</v>
      </c>
    </row>
    <row r="468" spans="1:5">
      <c r="A468" t="s">
        <v>101</v>
      </c>
      <c r="B468">
        <v>2000</v>
      </c>
      <c r="C468" s="14">
        <v>-0.09</v>
      </c>
      <c r="D468" s="15">
        <f t="shared" si="7"/>
        <v>-9</v>
      </c>
      <c r="E468">
        <f>IF(COUNTIF($A$1:$A467, A468) = 0, 100, E467*(1+D468*0.01))</f>
        <v>111.09280000000003</v>
      </c>
    </row>
    <row r="469" spans="1:5">
      <c r="A469" t="s">
        <v>101</v>
      </c>
      <c r="B469">
        <v>2001</v>
      </c>
      <c r="C469" s="14">
        <v>-0.03</v>
      </c>
      <c r="D469" s="15">
        <f t="shared" si="7"/>
        <v>-3</v>
      </c>
      <c r="E469">
        <f>IF(COUNTIF($A$1:$A468, A469) = 0, 100, E468*(1+D469*0.01))</f>
        <v>107.76001600000002</v>
      </c>
    </row>
    <row r="470" spans="1:5">
      <c r="A470" t="s">
        <v>101</v>
      </c>
      <c r="B470">
        <v>2002</v>
      </c>
      <c r="C470" s="14">
        <v>0.02</v>
      </c>
      <c r="D470" s="15">
        <f t="shared" si="7"/>
        <v>2</v>
      </c>
      <c r="E470">
        <f>IF(COUNTIF($A$1:$A469, A470) = 0, 100, E469*(1+D470*0.01))</f>
        <v>109.91521632000003</v>
      </c>
    </row>
    <row r="471" spans="1:5">
      <c r="A471" t="s">
        <v>101</v>
      </c>
      <c r="B471">
        <v>2003</v>
      </c>
      <c r="C471" s="14">
        <v>0.13</v>
      </c>
      <c r="D471" s="15">
        <f t="shared" si="7"/>
        <v>13</v>
      </c>
      <c r="E471">
        <f>IF(COUNTIF($A$1:$A470, A471) = 0, 100, E470*(1+D471*0.01))</f>
        <v>124.20419444160002</v>
      </c>
    </row>
    <row r="472" spans="1:5">
      <c r="A472" t="s">
        <v>101</v>
      </c>
      <c r="B472">
        <v>2004</v>
      </c>
      <c r="C472" s="14">
        <v>0.08</v>
      </c>
      <c r="D472" s="15">
        <f t="shared" si="7"/>
        <v>8</v>
      </c>
      <c r="E472">
        <f>IF(COUNTIF($A$1:$A471, A472) = 0, 100, E471*(1+D472*0.01))</f>
        <v>134.14052999692802</v>
      </c>
    </row>
    <row r="473" spans="1:5">
      <c r="A473" t="s">
        <v>101</v>
      </c>
      <c r="B473">
        <v>2005</v>
      </c>
      <c r="C473" s="14">
        <v>0.08</v>
      </c>
      <c r="D473" s="15">
        <f t="shared" si="7"/>
        <v>8</v>
      </c>
      <c r="E473">
        <f>IF(COUNTIF($A$1:$A472, A473) = 0, 100, E472*(1+D473*0.01))</f>
        <v>144.87177239668227</v>
      </c>
    </row>
    <row r="474" spans="1:5">
      <c r="A474" t="s">
        <v>101</v>
      </c>
      <c r="B474">
        <v>2006</v>
      </c>
      <c r="C474" s="14">
        <v>7.82</v>
      </c>
      <c r="D474" s="15">
        <f t="shared" si="7"/>
        <v>7.82</v>
      </c>
      <c r="E474">
        <f>IF(COUNTIF($A$1:$A473, A474) = 0, 100, E473*(1+D474*0.01))</f>
        <v>156.20074499810283</v>
      </c>
    </row>
    <row r="475" spans="1:5">
      <c r="A475" t="s">
        <v>101</v>
      </c>
      <c r="B475">
        <v>2007</v>
      </c>
      <c r="C475" s="14">
        <v>0.83</v>
      </c>
      <c r="D475" s="15">
        <f t="shared" si="7"/>
        <v>0.83</v>
      </c>
      <c r="E475">
        <f>IF(COUNTIF($A$1:$A474, A475) = 0, 100, E474*(1+D475*0.01))</f>
        <v>157.49721118158709</v>
      </c>
    </row>
    <row r="476" spans="1:5">
      <c r="A476" t="s">
        <v>101</v>
      </c>
      <c r="B476">
        <v>2008</v>
      </c>
      <c r="C476" s="14">
        <v>-13.35</v>
      </c>
      <c r="D476" s="15">
        <f t="shared" si="7"/>
        <v>-13.35</v>
      </c>
      <c r="E476">
        <f>IF(COUNTIF($A$1:$A475, A476) = 0, 100, E475*(1+D476*0.01))</f>
        <v>136.47133348884523</v>
      </c>
    </row>
    <row r="477" spans="1:5">
      <c r="A477" t="s">
        <v>101</v>
      </c>
      <c r="B477">
        <v>2009</v>
      </c>
      <c r="C477" s="14">
        <v>6.57</v>
      </c>
      <c r="D477" s="15">
        <f t="shared" si="7"/>
        <v>6.57</v>
      </c>
      <c r="E477">
        <f>IF(COUNTIF($A$1:$A476, A477) = 0, 100, E476*(1+D477*0.01))</f>
        <v>145.43750009906239</v>
      </c>
    </row>
    <row r="478" spans="1:5">
      <c r="A478" t="s">
        <v>101</v>
      </c>
      <c r="B478">
        <v>2010</v>
      </c>
      <c r="C478" s="14">
        <v>5.12</v>
      </c>
      <c r="D478" s="15">
        <f t="shared" si="7"/>
        <v>5.12</v>
      </c>
      <c r="E478">
        <f>IF(COUNTIF($A$1:$A477, A478) = 0, 100, E477*(1+D478*0.01))</f>
        <v>152.88390010413437</v>
      </c>
    </row>
    <row r="479" spans="1:5">
      <c r="A479" t="s">
        <v>101</v>
      </c>
      <c r="B479">
        <v>2011</v>
      </c>
      <c r="C479" s="14">
        <v>4.05</v>
      </c>
      <c r="D479" s="15">
        <f t="shared" si="7"/>
        <v>4.05</v>
      </c>
      <c r="E479">
        <f>IF(COUNTIF($A$1:$A478, A479) = 0, 100, E478*(1+D479*0.01))</f>
        <v>159.0756980583518</v>
      </c>
    </row>
    <row r="480" spans="1:5">
      <c r="A480" t="s">
        <v>101</v>
      </c>
      <c r="B480">
        <v>2012</v>
      </c>
      <c r="C480" s="14">
        <v>3.7</v>
      </c>
      <c r="D480" s="15">
        <f t="shared" si="7"/>
        <v>3.7</v>
      </c>
      <c r="E480">
        <f>IF(COUNTIF($A$1:$A479, A480) = 0, 100, E479*(1+D480*0.01))</f>
        <v>164.96149888651081</v>
      </c>
    </row>
    <row r="481" spans="1:5">
      <c r="A481" t="s">
        <v>101</v>
      </c>
      <c r="B481">
        <v>2013</v>
      </c>
      <c r="C481" s="14">
        <v>4.95</v>
      </c>
      <c r="D481" s="15">
        <f t="shared" si="7"/>
        <v>4.95</v>
      </c>
      <c r="E481">
        <f>IF(COUNTIF($A$1:$A480, A481) = 0, 100, E480*(1+D481*0.01))</f>
        <v>173.1270930813931</v>
      </c>
    </row>
    <row r="482" spans="1:5">
      <c r="A482" t="s">
        <v>101</v>
      </c>
      <c r="B482">
        <v>2014</v>
      </c>
      <c r="C482" s="14">
        <v>4.55</v>
      </c>
      <c r="D482" s="15">
        <f t="shared" si="7"/>
        <v>4.55</v>
      </c>
      <c r="E482">
        <f>IF(COUNTIF($A$1:$A481, A482) = 0, 100, E481*(1+D482*0.01))</f>
        <v>181.00437581659651</v>
      </c>
    </row>
    <row r="483" spans="1:5">
      <c r="A483" t="s">
        <v>101</v>
      </c>
      <c r="B483">
        <v>2015</v>
      </c>
      <c r="C483" s="14">
        <v>11.1</v>
      </c>
      <c r="D483" s="15">
        <f t="shared" si="7"/>
        <v>11.1</v>
      </c>
      <c r="E483">
        <f>IF(COUNTIF($A$1:$A482, A483) = 0, 100, E482*(1+D483*0.01))</f>
        <v>201.09586153223873</v>
      </c>
    </row>
    <row r="484" spans="1:5">
      <c r="A484" t="s">
        <v>101</v>
      </c>
      <c r="B484">
        <v>2016</v>
      </c>
      <c r="C484" s="14">
        <v>1.1599999999999999</v>
      </c>
      <c r="D484" s="15">
        <f t="shared" si="7"/>
        <v>1.1599999999999999</v>
      </c>
      <c r="E484">
        <f>IF(COUNTIF($A$1:$A483, A484) = 0, 100, E483*(1+D484*0.01))</f>
        <v>203.42857352601271</v>
      </c>
    </row>
    <row r="485" spans="1:5">
      <c r="A485" t="s">
        <v>101</v>
      </c>
      <c r="B485">
        <v>2017</v>
      </c>
      <c r="C485" s="14">
        <v>5.0999999999999996</v>
      </c>
      <c r="D485" s="15">
        <f t="shared" si="7"/>
        <v>5.0999999999999996</v>
      </c>
      <c r="E485">
        <f>IF(COUNTIF($A$1:$A484, A485) = 0, 100, E484*(1+D485*0.01))</f>
        <v>213.80343077583936</v>
      </c>
    </row>
    <row r="486" spans="1:5">
      <c r="A486" t="s">
        <v>101</v>
      </c>
      <c r="B486">
        <v>2018</v>
      </c>
      <c r="C486" s="14">
        <v>1.05</v>
      </c>
      <c r="D486" s="15">
        <f t="shared" si="7"/>
        <v>1.05</v>
      </c>
      <c r="E486">
        <f>IF(COUNTIF($A$1:$A485, A486) = 0, 100, E485*(1+D486*0.01))</f>
        <v>216.04836679898565</v>
      </c>
    </row>
    <row r="487" spans="1:5">
      <c r="A487" t="s">
        <v>101</v>
      </c>
      <c r="B487">
        <v>2019</v>
      </c>
      <c r="C487" s="14">
        <v>9.69</v>
      </c>
      <c r="D487" s="15">
        <f t="shared" si="7"/>
        <v>9.69</v>
      </c>
      <c r="E487">
        <f>IF(COUNTIF($A$1:$A486, A487) = 0, 100, E486*(1+D487*0.01))</f>
        <v>236.98345354180736</v>
      </c>
    </row>
    <row r="488" spans="1:5">
      <c r="A488" t="s">
        <v>101</v>
      </c>
      <c r="B488">
        <v>2020</v>
      </c>
      <c r="C488" s="14">
        <v>7.89</v>
      </c>
      <c r="D488" s="15">
        <f t="shared" si="7"/>
        <v>7.89</v>
      </c>
      <c r="E488">
        <f>IF(COUNTIF($A$1:$A487, A488) = 0, 100, E487*(1+D488*0.01))</f>
        <v>255.68144802625596</v>
      </c>
    </row>
    <row r="489" spans="1:5">
      <c r="A489" t="s">
        <v>101</v>
      </c>
      <c r="B489">
        <v>2021</v>
      </c>
      <c r="C489" s="14">
        <v>6.41</v>
      </c>
      <c r="D489" s="15">
        <f t="shared" si="7"/>
        <v>6.41</v>
      </c>
      <c r="E489">
        <f>IF(COUNTIF($A$1:$A488, A489) = 0, 100, E488*(1+D489*0.01))</f>
        <v>272.07062884473896</v>
      </c>
    </row>
    <row r="490" spans="1:5">
      <c r="A490" t="s">
        <v>102</v>
      </c>
      <c r="B490">
        <v>1997</v>
      </c>
      <c r="C490" s="14">
        <v>7.0000000000000007E-2</v>
      </c>
      <c r="D490" s="15">
        <f t="shared" si="7"/>
        <v>7.0000000000000009</v>
      </c>
      <c r="E490">
        <f>IF(COUNTIF($A$1:$A489, A490) = 0, 100, E489*(1+D490*0.01))</f>
        <v>100</v>
      </c>
    </row>
    <row r="491" spans="1:5">
      <c r="A491" t="s">
        <v>103</v>
      </c>
      <c r="B491">
        <v>1997</v>
      </c>
      <c r="C491" s="14">
        <v>0.06</v>
      </c>
      <c r="D491" s="15">
        <f t="shared" si="7"/>
        <v>6</v>
      </c>
      <c r="E491">
        <f>IF(COUNTIF($A$1:$A490, A491) = 0, 100, E490*(1+D491*0.01))</f>
        <v>100</v>
      </c>
    </row>
    <row r="492" spans="1:5">
      <c r="A492" t="s">
        <v>103</v>
      </c>
      <c r="B492">
        <v>1998</v>
      </c>
      <c r="C492" s="14">
        <v>0.08</v>
      </c>
      <c r="D492" s="15">
        <f t="shared" si="7"/>
        <v>8</v>
      </c>
      <c r="E492">
        <f>IF(COUNTIF($A$1:$A491, A492) = 0, 100, E491*(1+D492*0.01))</f>
        <v>108</v>
      </c>
    </row>
    <row r="493" spans="1:5">
      <c r="A493" t="s">
        <v>103</v>
      </c>
      <c r="B493">
        <v>1999</v>
      </c>
      <c r="C493" s="14">
        <v>0.14000000000000001</v>
      </c>
      <c r="D493" s="15">
        <f t="shared" si="7"/>
        <v>14.000000000000002</v>
      </c>
      <c r="E493">
        <f>IF(COUNTIF($A$1:$A492, A493) = 0, 100, E492*(1+D493*0.01))</f>
        <v>123.12000000000002</v>
      </c>
    </row>
    <row r="494" spans="1:5">
      <c r="A494" t="s">
        <v>103</v>
      </c>
      <c r="B494">
        <v>2000</v>
      </c>
      <c r="C494" s="14">
        <v>-0.05</v>
      </c>
      <c r="D494" s="15">
        <f t="shared" si="7"/>
        <v>-5</v>
      </c>
      <c r="E494">
        <f>IF(COUNTIF($A$1:$A493, A494) = 0, 100, E493*(1+D494*0.01))</f>
        <v>116.96400000000001</v>
      </c>
    </row>
    <row r="495" spans="1:5">
      <c r="A495" t="s">
        <v>103</v>
      </c>
      <c r="B495">
        <v>2001</v>
      </c>
      <c r="C495" s="14">
        <v>-0.03</v>
      </c>
      <c r="D495" s="15">
        <f t="shared" si="7"/>
        <v>-3</v>
      </c>
      <c r="E495">
        <f>IF(COUNTIF($A$1:$A494, A495) = 0, 100, E494*(1+D495*0.01))</f>
        <v>113.45508000000001</v>
      </c>
    </row>
    <row r="496" spans="1:5">
      <c r="A496" t="s">
        <v>103</v>
      </c>
      <c r="B496">
        <v>2002</v>
      </c>
      <c r="C496" s="14">
        <v>0.03</v>
      </c>
      <c r="D496" s="15">
        <f t="shared" si="7"/>
        <v>3</v>
      </c>
      <c r="E496">
        <f>IF(COUNTIF($A$1:$A495, A496) = 0, 100, E495*(1+D496*0.01))</f>
        <v>116.85873240000001</v>
      </c>
    </row>
    <row r="497" spans="1:5">
      <c r="A497" t="s">
        <v>103</v>
      </c>
      <c r="B497">
        <v>2003</v>
      </c>
      <c r="C497" s="14">
        <v>0.15</v>
      </c>
      <c r="D497" s="15">
        <f t="shared" si="7"/>
        <v>15</v>
      </c>
      <c r="E497">
        <f>IF(COUNTIF($A$1:$A496, A497) = 0, 100, E496*(1+D497*0.01))</f>
        <v>134.38754226</v>
      </c>
    </row>
    <row r="498" spans="1:5">
      <c r="A498" t="s">
        <v>103</v>
      </c>
      <c r="B498">
        <v>2004</v>
      </c>
      <c r="C498" s="14">
        <v>0.17</v>
      </c>
      <c r="D498" s="15">
        <f t="shared" si="7"/>
        <v>17</v>
      </c>
      <c r="E498">
        <f>IF(COUNTIF($A$1:$A497, A498) = 0, 100, E497*(1+D498*0.01))</f>
        <v>157.23342444419998</v>
      </c>
    </row>
    <row r="499" spans="1:5">
      <c r="A499" t="s">
        <v>103</v>
      </c>
      <c r="B499">
        <v>2005</v>
      </c>
      <c r="C499" s="14">
        <v>0.18</v>
      </c>
      <c r="D499" s="15">
        <f t="shared" si="7"/>
        <v>18</v>
      </c>
      <c r="E499">
        <f>IF(COUNTIF($A$1:$A498, A499) = 0, 100, E498*(1+D499*0.01))</f>
        <v>185.53544084415597</v>
      </c>
    </row>
    <row r="500" spans="1:5">
      <c r="A500" t="s">
        <v>103</v>
      </c>
      <c r="B500">
        <v>2006</v>
      </c>
      <c r="C500" s="14">
        <v>10.64</v>
      </c>
      <c r="D500" s="15">
        <f t="shared" si="7"/>
        <v>10.64</v>
      </c>
      <c r="E500">
        <f>IF(COUNTIF($A$1:$A499, A500) = 0, 100, E499*(1+D500*0.01))</f>
        <v>205.27641174997419</v>
      </c>
    </row>
    <row r="501" spans="1:5">
      <c r="A501" t="s">
        <v>103</v>
      </c>
      <c r="B501">
        <v>2007</v>
      </c>
      <c r="C501" s="14">
        <v>1.25</v>
      </c>
      <c r="D501" s="15">
        <f t="shared" si="7"/>
        <v>1.25</v>
      </c>
      <c r="E501">
        <f>IF(COUNTIF($A$1:$A500, A501) = 0, 100, E500*(1+D501*0.01))</f>
        <v>207.84236689684886</v>
      </c>
    </row>
    <row r="502" spans="1:5">
      <c r="A502" t="s">
        <v>103</v>
      </c>
      <c r="B502">
        <v>2008</v>
      </c>
      <c r="C502" s="14">
        <v>-14.85</v>
      </c>
      <c r="D502" s="15">
        <f t="shared" si="7"/>
        <v>-14.85</v>
      </c>
      <c r="E502">
        <f>IF(COUNTIF($A$1:$A501, A502) = 0, 100, E501*(1+D502*0.01))</f>
        <v>176.9777754126668</v>
      </c>
    </row>
    <row r="503" spans="1:5">
      <c r="A503" t="s">
        <v>103</v>
      </c>
      <c r="B503">
        <v>2009</v>
      </c>
      <c r="C503" s="14">
        <v>-0.54</v>
      </c>
      <c r="D503" s="15">
        <f t="shared" si="7"/>
        <v>-0.54</v>
      </c>
      <c r="E503">
        <f>IF(COUNTIF($A$1:$A502, A503) = 0, 100, E502*(1+D503*0.01))</f>
        <v>176.02209542543841</v>
      </c>
    </row>
    <row r="504" spans="1:5">
      <c r="A504" t="s">
        <v>103</v>
      </c>
      <c r="B504">
        <v>2010</v>
      </c>
      <c r="C504" s="14">
        <v>5.5</v>
      </c>
      <c r="D504" s="15">
        <f t="shared" si="7"/>
        <v>5.5</v>
      </c>
      <c r="E504">
        <f>IF(COUNTIF($A$1:$A503, A504) = 0, 100, E503*(1+D504*0.01))</f>
        <v>185.70331067383751</v>
      </c>
    </row>
    <row r="505" spans="1:5">
      <c r="A505" t="s">
        <v>103</v>
      </c>
      <c r="B505">
        <v>2011</v>
      </c>
      <c r="C505" s="14">
        <v>1.95</v>
      </c>
      <c r="D505" s="15">
        <f t="shared" si="7"/>
        <v>1.95</v>
      </c>
      <c r="E505">
        <f>IF(COUNTIF($A$1:$A504, A505) = 0, 100, E504*(1+D505*0.01))</f>
        <v>189.32452523197736</v>
      </c>
    </row>
    <row r="506" spans="1:5">
      <c r="A506" t="s">
        <v>103</v>
      </c>
      <c r="B506">
        <v>2012</v>
      </c>
      <c r="C506" s="14">
        <v>5.15</v>
      </c>
      <c r="D506" s="15">
        <f t="shared" si="7"/>
        <v>5.15</v>
      </c>
      <c r="E506">
        <f>IF(COUNTIF($A$1:$A505, A506) = 0, 100, E505*(1+D506*0.01))</f>
        <v>199.0747382814242</v>
      </c>
    </row>
    <row r="507" spans="1:5">
      <c r="A507" t="s">
        <v>103</v>
      </c>
      <c r="B507">
        <v>2013</v>
      </c>
      <c r="C507" s="14">
        <v>7</v>
      </c>
      <c r="D507" s="15">
        <f t="shared" si="7"/>
        <v>7</v>
      </c>
      <c r="E507">
        <f>IF(COUNTIF($A$1:$A506, A507) = 0, 100, E506*(1+D507*0.01))</f>
        <v>213.00996996112391</v>
      </c>
    </row>
    <row r="508" spans="1:5">
      <c r="A508" t="s">
        <v>103</v>
      </c>
      <c r="B508">
        <v>2014</v>
      </c>
      <c r="C508" s="14">
        <v>5.95</v>
      </c>
      <c r="D508" s="15">
        <f t="shared" si="7"/>
        <v>5.95</v>
      </c>
      <c r="E508">
        <f>IF(COUNTIF($A$1:$A507, A508) = 0, 100, E507*(1+D508*0.01))</f>
        <v>225.68406317381081</v>
      </c>
    </row>
    <row r="509" spans="1:5">
      <c r="A509" t="s">
        <v>104</v>
      </c>
      <c r="B509">
        <v>1997</v>
      </c>
      <c r="C509" s="14">
        <v>7.0000000000000007E-2</v>
      </c>
      <c r="D509" s="15">
        <f t="shared" si="7"/>
        <v>7.0000000000000009</v>
      </c>
      <c r="E509">
        <f>IF(COUNTIF($A$1:$A508, A509) = 0, 100, E508*(1+D509*0.01))</f>
        <v>100</v>
      </c>
    </row>
    <row r="510" spans="1:5">
      <c r="A510" t="s">
        <v>104</v>
      </c>
      <c r="B510">
        <v>1998</v>
      </c>
      <c r="C510" s="14">
        <v>7.0000000000000007E-2</v>
      </c>
      <c r="D510" s="15">
        <f t="shared" si="7"/>
        <v>7.0000000000000009</v>
      </c>
      <c r="E510">
        <f>IF(COUNTIF($A$1:$A509, A510) = 0, 100, E509*(1+D510*0.01))</f>
        <v>107</v>
      </c>
    </row>
    <row r="511" spans="1:5">
      <c r="A511" t="s">
        <v>104</v>
      </c>
      <c r="B511">
        <v>1999</v>
      </c>
      <c r="C511" s="14">
        <v>0.13</v>
      </c>
      <c r="D511" s="15">
        <f t="shared" si="7"/>
        <v>13</v>
      </c>
      <c r="E511">
        <f>IF(COUNTIF($A$1:$A510, A511) = 0, 100, E510*(1+D511*0.01))</f>
        <v>120.90999999999998</v>
      </c>
    </row>
    <row r="512" spans="1:5">
      <c r="A512" t="s">
        <v>104</v>
      </c>
      <c r="B512">
        <v>2000</v>
      </c>
      <c r="C512" s="14">
        <v>0</v>
      </c>
      <c r="D512" s="15">
        <f t="shared" si="7"/>
        <v>0</v>
      </c>
      <c r="E512">
        <f>IF(COUNTIF($A$1:$A511, A512) = 0, 100, E511*(1+D512*0.01))</f>
        <v>120.90999999999998</v>
      </c>
    </row>
    <row r="513" spans="1:5">
      <c r="A513" t="s">
        <v>104</v>
      </c>
      <c r="B513">
        <v>2001</v>
      </c>
      <c r="C513" s="14">
        <v>-0.01</v>
      </c>
      <c r="D513" s="15">
        <f t="shared" si="7"/>
        <v>-1</v>
      </c>
      <c r="E513">
        <f>IF(COUNTIF($A$1:$A512, A513) = 0, 100, E512*(1+D513*0.01))</f>
        <v>119.70089999999998</v>
      </c>
    </row>
    <row r="514" spans="1:5">
      <c r="A514" t="s">
        <v>104</v>
      </c>
      <c r="B514">
        <v>2002</v>
      </c>
      <c r="C514" s="14">
        <v>0.02</v>
      </c>
      <c r="D514" s="15">
        <f t="shared" ref="D514:D577" si="8">IF(B514&lt;2006,C514*100,C514)</f>
        <v>2</v>
      </c>
      <c r="E514">
        <f>IF(COUNTIF($A$1:$A513, A514) = 0, 100, E513*(1+D514*0.01))</f>
        <v>122.09491799999998</v>
      </c>
    </row>
    <row r="515" spans="1:5">
      <c r="A515" t="s">
        <v>104</v>
      </c>
      <c r="B515">
        <v>2003</v>
      </c>
      <c r="C515" s="14">
        <v>0.17</v>
      </c>
      <c r="D515" s="15">
        <f t="shared" si="8"/>
        <v>17</v>
      </c>
      <c r="E515">
        <f>IF(COUNTIF($A$1:$A514, A515) = 0, 100, E514*(1+D515*0.01))</f>
        <v>142.85105405999997</v>
      </c>
    </row>
    <row r="516" spans="1:5">
      <c r="A516" t="s">
        <v>104</v>
      </c>
      <c r="B516">
        <v>2004</v>
      </c>
      <c r="C516" s="14">
        <v>0.11</v>
      </c>
      <c r="D516" s="15">
        <f t="shared" si="8"/>
        <v>11</v>
      </c>
      <c r="E516">
        <f>IF(COUNTIF($A$1:$A515, A516) = 0, 100, E515*(1+D516*0.01))</f>
        <v>158.56467000659998</v>
      </c>
    </row>
    <row r="517" spans="1:5">
      <c r="A517" t="s">
        <v>104</v>
      </c>
      <c r="B517">
        <v>2005</v>
      </c>
      <c r="C517" s="14">
        <v>0.09</v>
      </c>
      <c r="D517" s="15">
        <f t="shared" si="8"/>
        <v>9</v>
      </c>
      <c r="E517">
        <f>IF(COUNTIF($A$1:$A516, A517) = 0, 100, E516*(1+D517*0.01))</f>
        <v>172.83549030719399</v>
      </c>
    </row>
    <row r="518" spans="1:5">
      <c r="A518" t="s">
        <v>104</v>
      </c>
      <c r="B518">
        <v>2006</v>
      </c>
      <c r="C518" s="14">
        <v>8.2100000000000009</v>
      </c>
      <c r="D518" s="15">
        <f t="shared" si="8"/>
        <v>8.2100000000000009</v>
      </c>
      <c r="E518">
        <f>IF(COUNTIF($A$1:$A517, A518) = 0, 100, E517*(1+D518*0.01))</f>
        <v>187.02528406141462</v>
      </c>
    </row>
    <row r="519" spans="1:5">
      <c r="A519" t="s">
        <v>104</v>
      </c>
      <c r="B519">
        <v>2007</v>
      </c>
      <c r="C519" s="14">
        <v>-4.68</v>
      </c>
      <c r="D519" s="15">
        <f t="shared" si="8"/>
        <v>-4.68</v>
      </c>
      <c r="E519">
        <f>IF(COUNTIF($A$1:$A518, A519) = 0, 100, E518*(1+D519*0.01))</f>
        <v>178.27250076734043</v>
      </c>
    </row>
    <row r="520" spans="1:5">
      <c r="A520" t="s">
        <v>104</v>
      </c>
      <c r="B520">
        <v>2008</v>
      </c>
      <c r="C520" s="14">
        <v>-3.84</v>
      </c>
      <c r="D520" s="15">
        <f t="shared" si="8"/>
        <v>-3.84</v>
      </c>
      <c r="E520">
        <f>IF(COUNTIF($A$1:$A519, A520) = 0, 100, E519*(1+D520*0.01))</f>
        <v>171.42683673787457</v>
      </c>
    </row>
    <row r="521" spans="1:5">
      <c r="A521" t="s">
        <v>104</v>
      </c>
      <c r="B521">
        <v>2009</v>
      </c>
      <c r="C521" s="14">
        <v>2.8</v>
      </c>
      <c r="D521" s="15">
        <f t="shared" si="8"/>
        <v>2.8</v>
      </c>
      <c r="E521">
        <f>IF(COUNTIF($A$1:$A520, A521) = 0, 100, E520*(1+D521*0.01))</f>
        <v>176.22678816653507</v>
      </c>
    </row>
    <row r="522" spans="1:5">
      <c r="A522" t="s">
        <v>104</v>
      </c>
      <c r="B522">
        <v>2010</v>
      </c>
      <c r="C522" s="14">
        <v>6.31</v>
      </c>
      <c r="D522" s="15">
        <f t="shared" si="8"/>
        <v>6.31</v>
      </c>
      <c r="E522">
        <f>IF(COUNTIF($A$1:$A521, A522) = 0, 100, E521*(1+D522*0.01))</f>
        <v>187.34669849984343</v>
      </c>
    </row>
    <row r="523" spans="1:5">
      <c r="A523" t="s">
        <v>104</v>
      </c>
      <c r="B523">
        <v>2011</v>
      </c>
      <c r="C523" s="14">
        <v>-0.47</v>
      </c>
      <c r="D523" s="15">
        <f t="shared" si="8"/>
        <v>-0.47</v>
      </c>
      <c r="E523">
        <f>IF(COUNTIF($A$1:$A522, A523) = 0, 100, E522*(1+D523*0.01))</f>
        <v>186.46616901689416</v>
      </c>
    </row>
    <row r="524" spans="1:5">
      <c r="A524" t="s">
        <v>104</v>
      </c>
      <c r="B524">
        <v>2012</v>
      </c>
      <c r="C524" s="14">
        <v>11.7</v>
      </c>
      <c r="D524" s="15">
        <f t="shared" si="8"/>
        <v>11.7</v>
      </c>
      <c r="E524">
        <f>IF(COUNTIF($A$1:$A523, A524) = 0, 100, E523*(1+D524*0.01))</f>
        <v>208.28271079187078</v>
      </c>
    </row>
    <row r="525" spans="1:5">
      <c r="A525" t="s">
        <v>104</v>
      </c>
      <c r="B525">
        <v>2013</v>
      </c>
      <c r="C525" s="14">
        <v>2.97</v>
      </c>
      <c r="D525" s="15">
        <f t="shared" si="8"/>
        <v>2.97</v>
      </c>
      <c r="E525">
        <f>IF(COUNTIF($A$1:$A524, A525) = 0, 100, E524*(1+D525*0.01))</f>
        <v>214.46870730238936</v>
      </c>
    </row>
    <row r="526" spans="1:5">
      <c r="A526" t="s">
        <v>104</v>
      </c>
      <c r="B526">
        <v>2014</v>
      </c>
      <c r="C526" s="14">
        <v>2.5</v>
      </c>
      <c r="D526" s="15">
        <f t="shared" si="8"/>
        <v>2.5</v>
      </c>
      <c r="E526">
        <f>IF(COUNTIF($A$1:$A525, A526) = 0, 100, E525*(1+D526*0.01))</f>
        <v>219.83042498494908</v>
      </c>
    </row>
    <row r="527" spans="1:5">
      <c r="A527" t="s">
        <v>104</v>
      </c>
      <c r="B527">
        <v>2015</v>
      </c>
      <c r="C527" s="14">
        <v>2.77</v>
      </c>
      <c r="D527" s="15">
        <f t="shared" si="8"/>
        <v>2.77</v>
      </c>
      <c r="E527">
        <f>IF(COUNTIF($A$1:$A526, A527) = 0, 100, E526*(1+D527*0.01))</f>
        <v>225.91972775703218</v>
      </c>
    </row>
    <row r="528" spans="1:5">
      <c r="A528" t="s">
        <v>104</v>
      </c>
      <c r="B528">
        <v>2016</v>
      </c>
      <c r="C528" s="14">
        <v>-5.42</v>
      </c>
      <c r="D528" s="15">
        <f t="shared" si="8"/>
        <v>-5.42</v>
      </c>
      <c r="E528">
        <f>IF(COUNTIF($A$1:$A527, A528) = 0, 100, E527*(1+D528*0.01))</f>
        <v>213.67487851260103</v>
      </c>
    </row>
    <row r="529" spans="1:5">
      <c r="A529" t="s">
        <v>104</v>
      </c>
      <c r="B529">
        <v>2017</v>
      </c>
      <c r="C529" s="14">
        <v>46.93</v>
      </c>
      <c r="D529" s="15">
        <f t="shared" si="8"/>
        <v>46.93</v>
      </c>
      <c r="E529">
        <f>IF(COUNTIF($A$1:$A528, A529) = 0, 100, E528*(1+D529*0.01))</f>
        <v>313.95249899856469</v>
      </c>
    </row>
    <row r="530" spans="1:5">
      <c r="A530" t="s">
        <v>104</v>
      </c>
      <c r="B530">
        <v>2018</v>
      </c>
      <c r="C530" s="14">
        <v>4.2300000000000004</v>
      </c>
      <c r="D530" s="15">
        <f t="shared" si="8"/>
        <v>4.2300000000000004</v>
      </c>
      <c r="E530">
        <f>IF(COUNTIF($A$1:$A529, A530) = 0, 100, E529*(1+D530*0.01))</f>
        <v>327.23268970620398</v>
      </c>
    </row>
    <row r="531" spans="1:5">
      <c r="A531" t="s">
        <v>104</v>
      </c>
      <c r="B531">
        <v>2019</v>
      </c>
      <c r="C531" s="14">
        <v>9.9700000000000006</v>
      </c>
      <c r="D531" s="15">
        <f t="shared" si="8"/>
        <v>9.9700000000000006</v>
      </c>
      <c r="E531">
        <f>IF(COUNTIF($A$1:$A530, A531) = 0, 100, E530*(1+D531*0.01))</f>
        <v>359.8577888699125</v>
      </c>
    </row>
    <row r="532" spans="1:5">
      <c r="A532" t="s">
        <v>104</v>
      </c>
      <c r="B532">
        <v>2020</v>
      </c>
      <c r="C532" s="14">
        <v>10.37</v>
      </c>
      <c r="D532" s="15">
        <f t="shared" si="8"/>
        <v>10.37</v>
      </c>
      <c r="E532">
        <f>IF(COUNTIF($A$1:$A531, A532) = 0, 100, E531*(1+D532*0.01))</f>
        <v>397.17504157572239</v>
      </c>
    </row>
    <row r="533" spans="1:5">
      <c r="A533" t="s">
        <v>104</v>
      </c>
      <c r="B533">
        <v>2021</v>
      </c>
      <c r="C533" s="14">
        <v>10</v>
      </c>
      <c r="D533" s="15">
        <f t="shared" si="8"/>
        <v>10</v>
      </c>
      <c r="E533">
        <f>IF(COUNTIF($A$1:$A532, A533) = 0, 100, E532*(1+D533*0.01))</f>
        <v>436.89254573329464</v>
      </c>
    </row>
    <row r="534" spans="1:5">
      <c r="A534" t="s">
        <v>105</v>
      </c>
      <c r="B534">
        <v>1997</v>
      </c>
      <c r="C534" s="14">
        <v>0.06</v>
      </c>
      <c r="D534" s="15">
        <f t="shared" si="8"/>
        <v>6</v>
      </c>
      <c r="E534">
        <f>IF(COUNTIF($A$1:$A533, A534) = 0, 100, E533*(1+D534*0.01))</f>
        <v>100</v>
      </c>
    </row>
    <row r="535" spans="1:5">
      <c r="A535" t="s">
        <v>105</v>
      </c>
      <c r="B535">
        <v>1998</v>
      </c>
      <c r="C535" s="14">
        <v>7.0000000000000007E-2</v>
      </c>
      <c r="D535" s="15">
        <f t="shared" si="8"/>
        <v>7.0000000000000009</v>
      </c>
      <c r="E535">
        <f>IF(COUNTIF($A$1:$A534, A535) = 0, 100, E534*(1+D535*0.01))</f>
        <v>107</v>
      </c>
    </row>
    <row r="536" spans="1:5">
      <c r="A536" t="s">
        <v>105</v>
      </c>
      <c r="B536">
        <v>1999</v>
      </c>
      <c r="C536" s="14">
        <v>0.16</v>
      </c>
      <c r="D536" s="15">
        <f t="shared" si="8"/>
        <v>16</v>
      </c>
      <c r="E536">
        <f>IF(COUNTIF($A$1:$A535, A536) = 0, 100, E535*(1+D536*0.01))</f>
        <v>124.11999999999999</v>
      </c>
    </row>
    <row r="537" spans="1:5">
      <c r="A537" t="s">
        <v>105</v>
      </c>
      <c r="B537">
        <v>2000</v>
      </c>
      <c r="C537" s="14">
        <v>-0.03</v>
      </c>
      <c r="D537" s="15">
        <f t="shared" si="8"/>
        <v>-3</v>
      </c>
      <c r="E537">
        <f>IF(COUNTIF($A$1:$A536, A537) = 0, 100, E536*(1+D537*0.01))</f>
        <v>120.39639999999999</v>
      </c>
    </row>
    <row r="538" spans="1:5">
      <c r="A538" t="s">
        <v>105</v>
      </c>
      <c r="B538">
        <v>2001</v>
      </c>
      <c r="C538" s="14">
        <v>-0.02</v>
      </c>
      <c r="D538" s="15">
        <f t="shared" si="8"/>
        <v>-2</v>
      </c>
      <c r="E538">
        <f>IF(COUNTIF($A$1:$A537, A538) = 0, 100, E537*(1+D538*0.01))</f>
        <v>117.98847199999999</v>
      </c>
    </row>
    <row r="539" spans="1:5">
      <c r="A539" t="s">
        <v>105</v>
      </c>
      <c r="B539">
        <v>2002</v>
      </c>
      <c r="C539" s="14">
        <v>-0.02</v>
      </c>
      <c r="D539" s="15">
        <f t="shared" si="8"/>
        <v>-2</v>
      </c>
      <c r="E539">
        <f>IF(COUNTIF($A$1:$A538, A539) = 0, 100, E538*(1+D539*0.01))</f>
        <v>115.62870255999998</v>
      </c>
    </row>
    <row r="540" spans="1:5">
      <c r="A540" t="s">
        <v>105</v>
      </c>
      <c r="B540">
        <v>2003</v>
      </c>
      <c r="C540" s="14">
        <v>0.1</v>
      </c>
      <c r="D540" s="15">
        <f t="shared" si="8"/>
        <v>10</v>
      </c>
      <c r="E540">
        <f>IF(COUNTIF($A$1:$A539, A540) = 0, 100, E539*(1+D540*0.01))</f>
        <v>127.19157281599999</v>
      </c>
    </row>
    <row r="541" spans="1:5">
      <c r="A541" t="s">
        <v>105</v>
      </c>
      <c r="B541">
        <v>2004</v>
      </c>
      <c r="C541" s="14">
        <v>0.08</v>
      </c>
      <c r="D541" s="15">
        <f t="shared" si="8"/>
        <v>8</v>
      </c>
      <c r="E541">
        <f>IF(COUNTIF($A$1:$A540, A541) = 0, 100, E540*(1+D541*0.01))</f>
        <v>137.36689864127999</v>
      </c>
    </row>
    <row r="542" spans="1:5">
      <c r="A542" t="s">
        <v>105</v>
      </c>
      <c r="B542">
        <v>2005</v>
      </c>
      <c r="C542" s="14">
        <v>0.08</v>
      </c>
      <c r="D542" s="15">
        <f t="shared" si="8"/>
        <v>8</v>
      </c>
      <c r="E542">
        <f>IF(COUNTIF($A$1:$A541, A542) = 0, 100, E541*(1+D542*0.01))</f>
        <v>148.35625053258241</v>
      </c>
    </row>
    <row r="543" spans="1:5">
      <c r="A543" t="s">
        <v>106</v>
      </c>
      <c r="B543">
        <v>1999</v>
      </c>
      <c r="C543" s="14">
        <v>7.0000000000000007E-2</v>
      </c>
      <c r="D543" s="15">
        <f t="shared" si="8"/>
        <v>7.0000000000000009</v>
      </c>
      <c r="E543">
        <f>IF(COUNTIF($A$1:$A542, A543) = 0, 100, E542*(1+D543*0.01))</f>
        <v>100</v>
      </c>
    </row>
    <row r="544" spans="1:5">
      <c r="A544" t="s">
        <v>106</v>
      </c>
      <c r="B544">
        <v>2000</v>
      </c>
      <c r="C544" s="14">
        <v>-0.03</v>
      </c>
      <c r="D544" s="15">
        <f t="shared" si="8"/>
        <v>-3</v>
      </c>
      <c r="E544">
        <f>IF(COUNTIF($A$1:$A543, A544) = 0, 100, E543*(1+D544*0.01))</f>
        <v>97</v>
      </c>
    </row>
    <row r="545" spans="1:5">
      <c r="A545" t="s">
        <v>106</v>
      </c>
      <c r="B545">
        <v>2001</v>
      </c>
      <c r="C545" s="14">
        <v>0</v>
      </c>
      <c r="D545" s="15">
        <f t="shared" si="8"/>
        <v>0</v>
      </c>
      <c r="E545">
        <f>IF(COUNTIF($A$1:$A544, A545) = 0, 100, E544*(1+D545*0.01))</f>
        <v>97</v>
      </c>
    </row>
    <row r="546" spans="1:5">
      <c r="A546" t="s">
        <v>106</v>
      </c>
      <c r="B546">
        <v>2002</v>
      </c>
      <c r="C546" s="14">
        <v>0</v>
      </c>
      <c r="D546" s="15">
        <f t="shared" si="8"/>
        <v>0</v>
      </c>
      <c r="E546">
        <f>IF(COUNTIF($A$1:$A545, A546) = 0, 100, E545*(1+D546*0.01))</f>
        <v>97</v>
      </c>
    </row>
    <row r="547" spans="1:5">
      <c r="A547" t="s">
        <v>106</v>
      </c>
      <c r="B547">
        <v>2003</v>
      </c>
      <c r="C547" s="14">
        <v>0.09</v>
      </c>
      <c r="D547" s="15">
        <f t="shared" si="8"/>
        <v>9</v>
      </c>
      <c r="E547">
        <f>IF(COUNTIF($A$1:$A546, A547) = 0, 100, E546*(1+D547*0.01))</f>
        <v>105.73</v>
      </c>
    </row>
    <row r="548" spans="1:5">
      <c r="A548" t="s">
        <v>106</v>
      </c>
      <c r="B548">
        <v>2004</v>
      </c>
      <c r="C548" s="14">
        <v>0.09</v>
      </c>
      <c r="D548" s="15">
        <f t="shared" si="8"/>
        <v>9</v>
      </c>
      <c r="E548">
        <f>IF(COUNTIF($A$1:$A547, A548) = 0, 100, E547*(1+D548*0.01))</f>
        <v>115.24570000000001</v>
      </c>
    </row>
    <row r="549" spans="1:5">
      <c r="A549" t="s">
        <v>106</v>
      </c>
      <c r="B549">
        <v>2005</v>
      </c>
      <c r="C549" s="14">
        <v>0.08</v>
      </c>
      <c r="D549" s="15">
        <f t="shared" si="8"/>
        <v>8</v>
      </c>
      <c r="E549">
        <f>IF(COUNTIF($A$1:$A548, A549) = 0, 100, E548*(1+D549*0.01))</f>
        <v>124.46535600000003</v>
      </c>
    </row>
    <row r="550" spans="1:5">
      <c r="A550" t="s">
        <v>106</v>
      </c>
      <c r="B550">
        <v>2006</v>
      </c>
      <c r="C550" s="14">
        <v>7.8</v>
      </c>
      <c r="D550" s="15">
        <f t="shared" si="8"/>
        <v>7.8</v>
      </c>
      <c r="E550">
        <f>IF(COUNTIF($A$1:$A549, A550) = 0, 100, E549*(1+D550*0.01))</f>
        <v>134.17365376800004</v>
      </c>
    </row>
    <row r="551" spans="1:5">
      <c r="A551" t="s">
        <v>106</v>
      </c>
      <c r="B551">
        <v>2007</v>
      </c>
      <c r="C551" s="14">
        <v>1.1299999999999999</v>
      </c>
      <c r="D551" s="15">
        <f t="shared" si="8"/>
        <v>1.1299999999999999</v>
      </c>
      <c r="E551">
        <f>IF(COUNTIF($A$1:$A550, A551) = 0, 100, E550*(1+D551*0.01))</f>
        <v>135.68981605557846</v>
      </c>
    </row>
    <row r="552" spans="1:5">
      <c r="A552" t="s">
        <v>106</v>
      </c>
      <c r="B552">
        <v>2008</v>
      </c>
      <c r="C552" s="14">
        <v>-5.6</v>
      </c>
      <c r="D552" s="15">
        <f t="shared" si="8"/>
        <v>-5.6</v>
      </c>
      <c r="E552">
        <f>IF(COUNTIF($A$1:$A551, A552) = 0, 100, E551*(1+D552*0.01))</f>
        <v>128.09118635646607</v>
      </c>
    </row>
    <row r="553" spans="1:5">
      <c r="A553" t="s">
        <v>106</v>
      </c>
      <c r="B553">
        <v>2009</v>
      </c>
      <c r="C553" s="14">
        <v>2.63</v>
      </c>
      <c r="D553" s="15">
        <f t="shared" si="8"/>
        <v>2.63</v>
      </c>
      <c r="E553">
        <f>IF(COUNTIF($A$1:$A552, A553) = 0, 100, E552*(1+D553*0.01))</f>
        <v>131.45998455764112</v>
      </c>
    </row>
    <row r="554" spans="1:5">
      <c r="A554" t="s">
        <v>106</v>
      </c>
      <c r="B554">
        <v>2010</v>
      </c>
      <c r="C554" s="14">
        <v>3.86</v>
      </c>
      <c r="D554" s="15">
        <f t="shared" si="8"/>
        <v>3.86</v>
      </c>
      <c r="E554">
        <f>IF(COUNTIF($A$1:$A553, A554) = 0, 100, E553*(1+D554*0.01))</f>
        <v>136.53433996156608</v>
      </c>
    </row>
    <row r="555" spans="1:5">
      <c r="A555" t="s">
        <v>106</v>
      </c>
      <c r="B555">
        <v>2011</v>
      </c>
      <c r="C555" s="14">
        <v>4.1500000000000004</v>
      </c>
      <c r="D555" s="15">
        <f t="shared" si="8"/>
        <v>4.1500000000000004</v>
      </c>
      <c r="E555">
        <f>IF(COUNTIF($A$1:$A554, A555) = 0, 100, E554*(1+D555*0.01))</f>
        <v>142.20051506997109</v>
      </c>
    </row>
    <row r="556" spans="1:5">
      <c r="A556" t="s">
        <v>106</v>
      </c>
      <c r="B556">
        <v>2012</v>
      </c>
      <c r="C556" s="14">
        <v>5.35</v>
      </c>
      <c r="D556" s="15">
        <f t="shared" si="8"/>
        <v>5.35</v>
      </c>
      <c r="E556">
        <f>IF(COUNTIF($A$1:$A555, A556) = 0, 100, E555*(1+D556*0.01))</f>
        <v>149.80824262621456</v>
      </c>
    </row>
    <row r="557" spans="1:5">
      <c r="A557" t="s">
        <v>106</v>
      </c>
      <c r="B557">
        <v>2013</v>
      </c>
      <c r="C557" s="14">
        <v>4.8499999999999996</v>
      </c>
      <c r="D557" s="15">
        <f t="shared" si="8"/>
        <v>4.8499999999999996</v>
      </c>
      <c r="E557">
        <f>IF(COUNTIF($A$1:$A556, A557) = 0, 100, E556*(1+D557*0.01))</f>
        <v>157.07394239358598</v>
      </c>
    </row>
    <row r="558" spans="1:5">
      <c r="A558" t="s">
        <v>106</v>
      </c>
      <c r="B558">
        <v>2014</v>
      </c>
      <c r="C558" s="14">
        <v>4.75</v>
      </c>
      <c r="D558" s="15">
        <f t="shared" si="8"/>
        <v>4.75</v>
      </c>
      <c r="E558">
        <f>IF(COUNTIF($A$1:$A557, A558) = 0, 100, E557*(1+D558*0.01))</f>
        <v>164.53495465728133</v>
      </c>
    </row>
    <row r="559" spans="1:5">
      <c r="A559" t="s">
        <v>106</v>
      </c>
      <c r="B559">
        <v>2015</v>
      </c>
      <c r="C559" s="14">
        <v>6.35</v>
      </c>
      <c r="D559" s="15">
        <f t="shared" si="8"/>
        <v>6.35</v>
      </c>
      <c r="E559">
        <f>IF(COUNTIF($A$1:$A558, A559) = 0, 100, E558*(1+D559*0.01))</f>
        <v>174.98292427801869</v>
      </c>
    </row>
    <row r="560" spans="1:5">
      <c r="A560" t="s">
        <v>106</v>
      </c>
      <c r="B560">
        <v>2016</v>
      </c>
      <c r="C560" s="14">
        <v>1.6</v>
      </c>
      <c r="D560" s="15">
        <f t="shared" si="8"/>
        <v>1.6</v>
      </c>
      <c r="E560">
        <f>IF(COUNTIF($A$1:$A559, A560) = 0, 100, E559*(1+D560*0.01))</f>
        <v>177.782651066467</v>
      </c>
    </row>
    <row r="561" spans="1:5">
      <c r="A561" t="s">
        <v>106</v>
      </c>
      <c r="B561">
        <v>2017</v>
      </c>
      <c r="C561" s="14">
        <v>3.95</v>
      </c>
      <c r="D561" s="15">
        <f t="shared" si="8"/>
        <v>3.95</v>
      </c>
      <c r="E561">
        <f>IF(COUNTIF($A$1:$A560, A561) = 0, 100, E560*(1+D561*0.01))</f>
        <v>184.80506578359245</v>
      </c>
    </row>
    <row r="562" spans="1:5">
      <c r="A562" t="s">
        <v>106</v>
      </c>
      <c r="B562">
        <v>2018</v>
      </c>
      <c r="C562" s="14">
        <v>2.6</v>
      </c>
      <c r="D562" s="15">
        <f t="shared" si="8"/>
        <v>2.6</v>
      </c>
      <c r="E562">
        <f>IF(COUNTIF($A$1:$A561, A562) = 0, 100, E561*(1+D562*0.01))</f>
        <v>189.60999749396586</v>
      </c>
    </row>
    <row r="563" spans="1:5">
      <c r="A563" t="s">
        <v>106</v>
      </c>
      <c r="B563">
        <v>2019</v>
      </c>
      <c r="C563" s="14">
        <v>6.1</v>
      </c>
      <c r="D563" s="15">
        <f t="shared" si="8"/>
        <v>6.1</v>
      </c>
      <c r="E563">
        <f>IF(COUNTIF($A$1:$A562, A563) = 0, 100, E562*(1+D563*0.01))</f>
        <v>201.17620734109778</v>
      </c>
    </row>
    <row r="564" spans="1:5">
      <c r="A564" t="s">
        <v>106</v>
      </c>
      <c r="B564">
        <v>2020</v>
      </c>
      <c r="C564" s="14">
        <v>5.63</v>
      </c>
      <c r="D564" s="15">
        <f t="shared" si="8"/>
        <v>5.63</v>
      </c>
      <c r="E564">
        <f>IF(COUNTIF($A$1:$A563, A564) = 0, 100, E563*(1+D564*0.01))</f>
        <v>212.50242781440159</v>
      </c>
    </row>
    <row r="565" spans="1:5">
      <c r="A565" t="s">
        <v>106</v>
      </c>
      <c r="B565">
        <v>2021</v>
      </c>
      <c r="C565" s="14">
        <v>7.47</v>
      </c>
      <c r="D565" s="15">
        <f t="shared" si="8"/>
        <v>7.47</v>
      </c>
      <c r="E565">
        <f>IF(COUNTIF($A$1:$A564, A565) = 0, 100, E564*(1+D565*0.01))</f>
        <v>228.37635917213737</v>
      </c>
    </row>
    <row r="566" spans="1:5">
      <c r="A566" t="s">
        <v>107</v>
      </c>
      <c r="B566">
        <v>1997</v>
      </c>
      <c r="C566" s="14">
        <v>0.06</v>
      </c>
      <c r="D566" s="15">
        <f t="shared" si="8"/>
        <v>6</v>
      </c>
      <c r="E566">
        <f>IF(COUNTIF($A$1:$A565, A566) = 0, 100, E565*(1+D566*0.01))</f>
        <v>100</v>
      </c>
    </row>
    <row r="567" spans="1:5">
      <c r="A567" t="s">
        <v>107</v>
      </c>
      <c r="B567">
        <v>1998</v>
      </c>
      <c r="C567" s="14">
        <v>0.11</v>
      </c>
      <c r="D567" s="15">
        <f t="shared" si="8"/>
        <v>11</v>
      </c>
      <c r="E567">
        <f>IF(COUNTIF($A$1:$A566, A567) = 0, 100, E566*(1+D567*0.01))</f>
        <v>111.00000000000001</v>
      </c>
    </row>
    <row r="568" spans="1:5">
      <c r="A568" t="s">
        <v>107</v>
      </c>
      <c r="B568">
        <v>1999</v>
      </c>
      <c r="C568" s="14">
        <v>0.06</v>
      </c>
      <c r="D568" s="15">
        <f t="shared" si="8"/>
        <v>6</v>
      </c>
      <c r="E568">
        <f>IF(COUNTIF($A$1:$A567, A568) = 0, 100, E567*(1+D568*0.01))</f>
        <v>117.66000000000003</v>
      </c>
    </row>
    <row r="569" spans="1:5">
      <c r="A569" t="s">
        <v>108</v>
      </c>
      <c r="B569">
        <v>1997</v>
      </c>
      <c r="C569" s="14">
        <v>0.09</v>
      </c>
      <c r="D569" s="15">
        <f t="shared" si="8"/>
        <v>9</v>
      </c>
      <c r="E569">
        <f>IF(COUNTIF($A$1:$A568, A569) = 0, 100, E568*(1+D569*0.01))</f>
        <v>100</v>
      </c>
    </row>
    <row r="570" spans="1:5">
      <c r="A570" t="s">
        <v>108</v>
      </c>
      <c r="B570">
        <v>1998</v>
      </c>
      <c r="C570" s="14">
        <v>0.09</v>
      </c>
      <c r="D570" s="15">
        <f t="shared" si="8"/>
        <v>9</v>
      </c>
      <c r="E570">
        <f>IF(COUNTIF($A$1:$A569, A570) = 0, 100, E569*(1+D570*0.01))</f>
        <v>109.00000000000001</v>
      </c>
    </row>
    <row r="571" spans="1:5">
      <c r="A571" t="s">
        <v>108</v>
      </c>
      <c r="B571">
        <v>1999</v>
      </c>
      <c r="C571" s="14">
        <v>0.1</v>
      </c>
      <c r="D571" s="15">
        <f t="shared" si="8"/>
        <v>10</v>
      </c>
      <c r="E571">
        <f>IF(COUNTIF($A$1:$A570, A571) = 0, 100, E570*(1+D571*0.01))</f>
        <v>119.90000000000002</v>
      </c>
    </row>
    <row r="572" spans="1:5">
      <c r="A572" t="s">
        <v>108</v>
      </c>
      <c r="B572">
        <v>2000</v>
      </c>
      <c r="C572" s="14">
        <v>-0.02</v>
      </c>
      <c r="D572" s="15">
        <f t="shared" si="8"/>
        <v>-2</v>
      </c>
      <c r="E572">
        <f>IF(COUNTIF($A$1:$A571, A572) = 0, 100, E571*(1+D572*0.01))</f>
        <v>117.50200000000002</v>
      </c>
    </row>
    <row r="573" spans="1:5">
      <c r="A573" t="s">
        <v>108</v>
      </c>
      <c r="B573">
        <v>2001</v>
      </c>
      <c r="C573" s="14">
        <v>-0.03</v>
      </c>
      <c r="D573" s="15">
        <f t="shared" si="8"/>
        <v>-3</v>
      </c>
      <c r="E573">
        <f>IF(COUNTIF($A$1:$A572, A573) = 0, 100, E572*(1+D573*0.01))</f>
        <v>113.97694000000001</v>
      </c>
    </row>
    <row r="574" spans="1:5">
      <c r="A574" t="s">
        <v>108</v>
      </c>
      <c r="B574">
        <v>2002</v>
      </c>
      <c r="C574" s="14">
        <v>-0.05</v>
      </c>
      <c r="D574" s="15">
        <f t="shared" si="8"/>
        <v>-5</v>
      </c>
      <c r="E574">
        <f>IF(COUNTIF($A$1:$A573, A574) = 0, 100, E573*(1+D574*0.01))</f>
        <v>108.27809300000001</v>
      </c>
    </row>
    <row r="575" spans="1:5">
      <c r="A575" t="s">
        <v>108</v>
      </c>
      <c r="B575">
        <v>2003</v>
      </c>
      <c r="C575" s="14">
        <v>0.11</v>
      </c>
      <c r="D575" s="15">
        <f t="shared" si="8"/>
        <v>11</v>
      </c>
      <c r="E575">
        <f>IF(COUNTIF($A$1:$A574, A575) = 0, 100, E574*(1+D575*0.01))</f>
        <v>120.18868323000002</v>
      </c>
    </row>
    <row r="576" spans="1:5">
      <c r="A576" t="s">
        <v>108</v>
      </c>
      <c r="B576">
        <v>2004</v>
      </c>
      <c r="C576" s="14">
        <v>7.0000000000000007E-2</v>
      </c>
      <c r="D576" s="15">
        <f t="shared" si="8"/>
        <v>7.0000000000000009</v>
      </c>
      <c r="E576">
        <f>IF(COUNTIF($A$1:$A575, A576) = 0, 100, E575*(1+D576*0.01))</f>
        <v>128.60189105610004</v>
      </c>
    </row>
    <row r="577" spans="1:5">
      <c r="A577" t="s">
        <v>108</v>
      </c>
      <c r="B577">
        <v>2005</v>
      </c>
      <c r="C577" s="14">
        <v>0.08</v>
      </c>
      <c r="D577" s="15">
        <f t="shared" si="8"/>
        <v>8</v>
      </c>
      <c r="E577">
        <f>IF(COUNTIF($A$1:$A576, A577) = 0, 100, E576*(1+D577*0.01))</f>
        <v>138.89004234058805</v>
      </c>
    </row>
    <row r="578" spans="1:5">
      <c r="A578" t="s">
        <v>108</v>
      </c>
      <c r="B578">
        <v>2006</v>
      </c>
      <c r="C578" s="14">
        <v>8.64</v>
      </c>
      <c r="D578" s="15">
        <f t="shared" ref="D578:D641" si="9">IF(B578&lt;2006,C578*100,C578)</f>
        <v>8.64</v>
      </c>
      <c r="E578">
        <f>IF(COUNTIF($A$1:$A577, A578) = 0, 100, E577*(1+D578*0.01))</f>
        <v>150.89014199881487</v>
      </c>
    </row>
    <row r="579" spans="1:5">
      <c r="A579" t="s">
        <v>108</v>
      </c>
      <c r="B579">
        <v>2007</v>
      </c>
      <c r="C579" s="14">
        <v>-1.07</v>
      </c>
      <c r="D579" s="15">
        <f t="shared" si="9"/>
        <v>-1.07</v>
      </c>
      <c r="E579">
        <f>IF(COUNTIF($A$1:$A578, A579) = 0, 100, E578*(1+D579*0.01))</f>
        <v>149.27561747942755</v>
      </c>
    </row>
    <row r="580" spans="1:5">
      <c r="A580" t="s">
        <v>108</v>
      </c>
      <c r="B580">
        <v>2008</v>
      </c>
      <c r="C580" s="14">
        <v>-17.93</v>
      </c>
      <c r="D580" s="15">
        <f t="shared" si="9"/>
        <v>-17.93</v>
      </c>
      <c r="E580">
        <f>IF(COUNTIF($A$1:$A579, A580) = 0, 100, E579*(1+D580*0.01))</f>
        <v>122.51049926536619</v>
      </c>
    </row>
    <row r="581" spans="1:5">
      <c r="A581" t="s">
        <v>108</v>
      </c>
      <c r="B581">
        <v>2009</v>
      </c>
      <c r="C581" s="14">
        <v>0.56999999999999995</v>
      </c>
      <c r="D581" s="15">
        <f t="shared" si="9"/>
        <v>0.56999999999999995</v>
      </c>
      <c r="E581">
        <f>IF(COUNTIF($A$1:$A580, A581) = 0, 100, E580*(1+D581*0.01))</f>
        <v>123.20880911117878</v>
      </c>
    </row>
    <row r="582" spans="1:5">
      <c r="A582" t="s">
        <v>108</v>
      </c>
      <c r="B582">
        <v>2010</v>
      </c>
      <c r="C582" s="14">
        <v>4.12</v>
      </c>
      <c r="D582" s="15">
        <f t="shared" si="9"/>
        <v>4.12</v>
      </c>
      <c r="E582">
        <f>IF(COUNTIF($A$1:$A581, A582) = 0, 100, E581*(1+D582*0.01))</f>
        <v>128.28501204655933</v>
      </c>
    </row>
    <row r="583" spans="1:5">
      <c r="A583" t="s">
        <v>108</v>
      </c>
      <c r="B583">
        <v>2011</v>
      </c>
      <c r="C583" s="14">
        <v>2.9</v>
      </c>
      <c r="D583" s="15">
        <f t="shared" si="9"/>
        <v>2.9</v>
      </c>
      <c r="E583">
        <f>IF(COUNTIF($A$1:$A582, A583) = 0, 100, E582*(1+D583*0.01))</f>
        <v>132.00527739590953</v>
      </c>
    </row>
    <row r="584" spans="1:5">
      <c r="A584" t="s">
        <v>108</v>
      </c>
      <c r="B584">
        <v>2012</v>
      </c>
      <c r="C584" s="14">
        <v>5.5</v>
      </c>
      <c r="D584" s="15">
        <f t="shared" si="9"/>
        <v>5.5</v>
      </c>
      <c r="E584">
        <f>IF(COUNTIF($A$1:$A583, A584) = 0, 100, E583*(1+D584*0.01))</f>
        <v>139.26556765268455</v>
      </c>
    </row>
    <row r="585" spans="1:5">
      <c r="A585" t="s">
        <v>108</v>
      </c>
      <c r="B585">
        <v>2013</v>
      </c>
      <c r="C585" s="14">
        <v>5.6</v>
      </c>
      <c r="D585" s="15">
        <f t="shared" si="9"/>
        <v>5.6</v>
      </c>
      <c r="E585">
        <f>IF(COUNTIF($A$1:$A584, A585) = 0, 100, E584*(1+D585*0.01))</f>
        <v>147.0644394412349</v>
      </c>
    </row>
    <row r="586" spans="1:5">
      <c r="A586" t="s">
        <v>108</v>
      </c>
      <c r="B586">
        <v>2014</v>
      </c>
      <c r="C586" s="14">
        <v>5.4</v>
      </c>
      <c r="D586" s="15">
        <f t="shared" si="9"/>
        <v>5.4</v>
      </c>
      <c r="E586">
        <f>IF(COUNTIF($A$1:$A585, A586) = 0, 100, E585*(1+D586*0.01))</f>
        <v>155.00591917106158</v>
      </c>
    </row>
    <row r="587" spans="1:5">
      <c r="A587" t="s">
        <v>108</v>
      </c>
      <c r="B587">
        <v>2015</v>
      </c>
      <c r="C587" s="14">
        <v>8.1</v>
      </c>
      <c r="D587" s="15">
        <f t="shared" si="9"/>
        <v>8.1</v>
      </c>
      <c r="E587">
        <f>IF(COUNTIF($A$1:$A586, A587) = 0, 100, E586*(1+D587*0.01))</f>
        <v>167.56139862391757</v>
      </c>
    </row>
    <row r="588" spans="1:5">
      <c r="A588" t="s">
        <v>108</v>
      </c>
      <c r="B588">
        <v>2016</v>
      </c>
      <c r="C588" s="14">
        <v>-1.3</v>
      </c>
      <c r="D588" s="15">
        <f t="shared" si="9"/>
        <v>-1.3</v>
      </c>
      <c r="E588">
        <f>IF(COUNTIF($A$1:$A587, A588) = 0, 100, E587*(1+D588*0.01))</f>
        <v>165.38310044180665</v>
      </c>
    </row>
    <row r="589" spans="1:5">
      <c r="A589" t="s">
        <v>108</v>
      </c>
      <c r="B589">
        <v>2017</v>
      </c>
      <c r="C589" s="14">
        <v>5.9</v>
      </c>
      <c r="D589" s="15">
        <f t="shared" si="9"/>
        <v>5.9</v>
      </c>
      <c r="E589">
        <f>IF(COUNTIF($A$1:$A588, A589) = 0, 100, E588*(1+D589*0.01))</f>
        <v>175.14070336787324</v>
      </c>
    </row>
    <row r="590" spans="1:5">
      <c r="A590" t="s">
        <v>108</v>
      </c>
      <c r="B590">
        <v>2018</v>
      </c>
      <c r="C590" s="14">
        <v>1.7</v>
      </c>
      <c r="D590" s="15">
        <f t="shared" si="9"/>
        <v>1.7</v>
      </c>
      <c r="E590">
        <f>IF(COUNTIF($A$1:$A589, A590) = 0, 100, E589*(1+D590*0.01))</f>
        <v>178.11809532512706</v>
      </c>
    </row>
    <row r="591" spans="1:5">
      <c r="A591" t="s">
        <v>108</v>
      </c>
      <c r="B591">
        <v>2019</v>
      </c>
      <c r="C591" s="14">
        <v>9.6</v>
      </c>
      <c r="D591" s="15">
        <f t="shared" si="9"/>
        <v>9.6</v>
      </c>
      <c r="E591">
        <f>IF(COUNTIF($A$1:$A590, A591) = 0, 100, E590*(1+D591*0.01))</f>
        <v>195.21743247633927</v>
      </c>
    </row>
    <row r="592" spans="1:5">
      <c r="A592" t="s">
        <v>108</v>
      </c>
      <c r="B592">
        <v>2020</v>
      </c>
      <c r="C592" s="14">
        <v>8.3000000000000007</v>
      </c>
      <c r="D592" s="15">
        <f t="shared" si="9"/>
        <v>8.3000000000000007</v>
      </c>
      <c r="E592">
        <f>IF(COUNTIF($A$1:$A591, A592) = 0, 100, E591*(1+D592*0.01))</f>
        <v>211.42047937187542</v>
      </c>
    </row>
    <row r="593" spans="1:5">
      <c r="A593" t="s">
        <v>108</v>
      </c>
      <c r="B593">
        <v>2021</v>
      </c>
      <c r="C593" s="14">
        <v>7.97</v>
      </c>
      <c r="D593" s="15">
        <f t="shared" si="9"/>
        <v>7.97</v>
      </c>
      <c r="E593">
        <f>IF(COUNTIF($A$1:$A592, A593) = 0, 100, E592*(1+D593*0.01))</f>
        <v>228.27069157781386</v>
      </c>
    </row>
    <row r="594" spans="1:5">
      <c r="A594" t="s">
        <v>109</v>
      </c>
      <c r="B594">
        <v>1997</v>
      </c>
      <c r="C594" s="14">
        <v>0.06</v>
      </c>
      <c r="D594" s="15">
        <f t="shared" si="9"/>
        <v>6</v>
      </c>
      <c r="E594">
        <f>IF(COUNTIF($A$1:$A593, A594) = 0, 100, E593*(1+D594*0.01))</f>
        <v>100</v>
      </c>
    </row>
    <row r="595" spans="1:5">
      <c r="A595" t="s">
        <v>109</v>
      </c>
      <c r="B595">
        <v>1998</v>
      </c>
      <c r="C595" s="14">
        <v>7.0000000000000007E-2</v>
      </c>
      <c r="D595" s="15">
        <f t="shared" si="9"/>
        <v>7.0000000000000009</v>
      </c>
      <c r="E595">
        <f>IF(COUNTIF($A$1:$A594, A595) = 0, 100, E594*(1+D595*0.01))</f>
        <v>107</v>
      </c>
    </row>
    <row r="596" spans="1:5">
      <c r="A596" t="s">
        <v>109</v>
      </c>
      <c r="B596">
        <v>1999</v>
      </c>
      <c r="C596" s="14">
        <v>0.09</v>
      </c>
      <c r="D596" s="15">
        <f t="shared" si="9"/>
        <v>9</v>
      </c>
      <c r="E596">
        <f>IF(COUNTIF($A$1:$A595, A596) = 0, 100, E595*(1+D596*0.01))</f>
        <v>116.63000000000001</v>
      </c>
    </row>
    <row r="597" spans="1:5">
      <c r="A597" t="s">
        <v>109</v>
      </c>
      <c r="B597">
        <v>2000</v>
      </c>
      <c r="C597" s="14">
        <v>0.01</v>
      </c>
      <c r="D597" s="15">
        <f t="shared" si="9"/>
        <v>1</v>
      </c>
      <c r="E597">
        <f>IF(COUNTIF($A$1:$A596, A597) = 0, 100, E596*(1+D597*0.01))</f>
        <v>117.79630000000002</v>
      </c>
    </row>
    <row r="598" spans="1:5">
      <c r="A598" t="s">
        <v>109</v>
      </c>
      <c r="B598">
        <v>2001</v>
      </c>
      <c r="C598" s="14">
        <v>-0.01</v>
      </c>
      <c r="D598" s="15">
        <f t="shared" si="9"/>
        <v>-1</v>
      </c>
      <c r="E598">
        <f>IF(COUNTIF($A$1:$A597, A598) = 0, 100, E597*(1+D598*0.01))</f>
        <v>116.61833700000001</v>
      </c>
    </row>
    <row r="599" spans="1:5">
      <c r="A599" t="s">
        <v>109</v>
      </c>
      <c r="B599">
        <v>2002</v>
      </c>
      <c r="C599" s="14">
        <v>-0.03</v>
      </c>
      <c r="D599" s="15">
        <f t="shared" si="9"/>
        <v>-3</v>
      </c>
      <c r="E599">
        <f>IF(COUNTIF($A$1:$A598, A599) = 0, 100, E598*(1+D599*0.01))</f>
        <v>113.11978689000001</v>
      </c>
    </row>
    <row r="600" spans="1:5">
      <c r="A600" t="s">
        <v>109</v>
      </c>
      <c r="B600">
        <v>2003</v>
      </c>
      <c r="C600" s="14">
        <v>0.12</v>
      </c>
      <c r="D600" s="15">
        <f t="shared" si="9"/>
        <v>12</v>
      </c>
      <c r="E600">
        <f>IF(COUNTIF($A$1:$A599, A600) = 0, 100, E599*(1+D600*0.01))</f>
        <v>126.69416131680003</v>
      </c>
    </row>
    <row r="601" spans="1:5">
      <c r="A601" t="s">
        <v>109</v>
      </c>
      <c r="B601">
        <v>2004</v>
      </c>
      <c r="C601" s="14">
        <v>0.09</v>
      </c>
      <c r="D601" s="15">
        <f t="shared" si="9"/>
        <v>9</v>
      </c>
      <c r="E601">
        <f>IF(COUNTIF($A$1:$A600, A601) = 0, 100, E600*(1+D601*0.01))</f>
        <v>138.09663583531204</v>
      </c>
    </row>
    <row r="602" spans="1:5">
      <c r="A602" t="s">
        <v>109</v>
      </c>
      <c r="B602">
        <v>2005</v>
      </c>
      <c r="C602" s="14">
        <v>0.14000000000000001</v>
      </c>
      <c r="D602" s="15">
        <f t="shared" si="9"/>
        <v>14.000000000000002</v>
      </c>
      <c r="E602">
        <f>IF(COUNTIF($A$1:$A601, A602) = 0, 100, E601*(1+D602*0.01))</f>
        <v>157.43016485225576</v>
      </c>
    </row>
    <row r="603" spans="1:5">
      <c r="A603" t="s">
        <v>109</v>
      </c>
      <c r="B603">
        <v>2006</v>
      </c>
      <c r="C603" s="14">
        <v>11.09</v>
      </c>
      <c r="D603" s="15">
        <f t="shared" si="9"/>
        <v>11.09</v>
      </c>
      <c r="E603">
        <f>IF(COUNTIF($A$1:$A602, A603) = 0, 100, E602*(1+D603*0.01))</f>
        <v>174.88917013437091</v>
      </c>
    </row>
    <row r="604" spans="1:5">
      <c r="A604" t="s">
        <v>109</v>
      </c>
      <c r="B604">
        <v>2007</v>
      </c>
      <c r="C604" s="14">
        <v>-1.47</v>
      </c>
      <c r="D604" s="15">
        <f t="shared" si="9"/>
        <v>-1.47</v>
      </c>
      <c r="E604">
        <f>IF(COUNTIF($A$1:$A603, A604) = 0, 100, E603*(1+D604*0.01))</f>
        <v>172.31829933339566</v>
      </c>
    </row>
    <row r="605" spans="1:5">
      <c r="A605" t="s">
        <v>109</v>
      </c>
      <c r="B605">
        <v>2008</v>
      </c>
      <c r="C605" s="14">
        <v>-26.73</v>
      </c>
      <c r="D605" s="15">
        <f t="shared" si="9"/>
        <v>-26.73</v>
      </c>
      <c r="E605">
        <f>IF(COUNTIF($A$1:$A604, A605) = 0, 100, E604*(1+D605*0.01))</f>
        <v>126.25761792157898</v>
      </c>
    </row>
    <row r="606" spans="1:5">
      <c r="A606" t="s">
        <v>109</v>
      </c>
      <c r="B606">
        <v>2009</v>
      </c>
      <c r="C606" s="14">
        <v>2.5299999999999998</v>
      </c>
      <c r="D606" s="15">
        <f t="shared" si="9"/>
        <v>2.5299999999999998</v>
      </c>
      <c r="E606">
        <f>IF(COUNTIF($A$1:$A605, A606) = 0, 100, E605*(1+D606*0.01))</f>
        <v>129.45193565499494</v>
      </c>
    </row>
    <row r="607" spans="1:5">
      <c r="A607" t="s">
        <v>109</v>
      </c>
      <c r="B607">
        <v>2010</v>
      </c>
      <c r="C607" s="14">
        <v>1.83</v>
      </c>
      <c r="D607" s="15">
        <f t="shared" si="9"/>
        <v>1.83</v>
      </c>
      <c r="E607">
        <f>IF(COUNTIF($A$1:$A606, A607) = 0, 100, E606*(1+D607*0.01))</f>
        <v>131.82090607748134</v>
      </c>
    </row>
    <row r="608" spans="1:5">
      <c r="A608" t="s">
        <v>109</v>
      </c>
      <c r="B608">
        <v>2011</v>
      </c>
      <c r="C608" s="14">
        <v>1.6</v>
      </c>
      <c r="D608" s="15">
        <f t="shared" si="9"/>
        <v>1.6</v>
      </c>
      <c r="E608">
        <f>IF(COUNTIF($A$1:$A607, A608) = 0, 100, E607*(1+D608*0.01))</f>
        <v>133.93004057472103</v>
      </c>
    </row>
    <row r="609" spans="1:5">
      <c r="A609" t="s">
        <v>109</v>
      </c>
      <c r="B609">
        <v>2012</v>
      </c>
      <c r="C609" s="14">
        <v>9.6</v>
      </c>
      <c r="D609" s="15">
        <f t="shared" si="9"/>
        <v>9.6</v>
      </c>
      <c r="E609">
        <f>IF(COUNTIF($A$1:$A608, A609) = 0, 100, E608*(1+D609*0.01))</f>
        <v>146.78732446989426</v>
      </c>
    </row>
    <row r="610" spans="1:5">
      <c r="A610" t="s">
        <v>109</v>
      </c>
      <c r="B610">
        <v>2013</v>
      </c>
      <c r="C610" s="14">
        <v>7.35</v>
      </c>
      <c r="D610" s="15">
        <f t="shared" si="9"/>
        <v>7.35</v>
      </c>
      <c r="E610">
        <f>IF(COUNTIF($A$1:$A609, A610) = 0, 100, E609*(1+D610*0.01))</f>
        <v>157.57619281843148</v>
      </c>
    </row>
    <row r="611" spans="1:5">
      <c r="A611" t="s">
        <v>109</v>
      </c>
      <c r="B611">
        <v>2014</v>
      </c>
      <c r="C611" s="14">
        <v>9.3000000000000007</v>
      </c>
      <c r="D611" s="15">
        <f t="shared" si="9"/>
        <v>9.3000000000000007</v>
      </c>
      <c r="E611">
        <f>IF(COUNTIF($A$1:$A610, A611) = 0, 100, E610*(1+D611*0.01))</f>
        <v>172.2307787505456</v>
      </c>
    </row>
    <row r="612" spans="1:5">
      <c r="A612" t="s">
        <v>109</v>
      </c>
      <c r="B612">
        <v>2015</v>
      </c>
      <c r="C612" s="14">
        <v>5.0999999999999996</v>
      </c>
      <c r="D612" s="15">
        <f t="shared" si="9"/>
        <v>5.0999999999999996</v>
      </c>
      <c r="E612">
        <f>IF(COUNTIF($A$1:$A611, A612) = 0, 100, E611*(1+D612*0.01))</f>
        <v>181.01454846682341</v>
      </c>
    </row>
    <row r="613" spans="1:5">
      <c r="A613" t="s">
        <v>109</v>
      </c>
      <c r="B613">
        <v>2016</v>
      </c>
      <c r="C613" s="14">
        <v>-0.97</v>
      </c>
      <c r="D613" s="15">
        <f t="shared" si="9"/>
        <v>-0.97</v>
      </c>
      <c r="E613">
        <f>IF(COUNTIF($A$1:$A612, A613) = 0, 100, E612*(1+D613*0.01))</f>
        <v>179.25870734669522</v>
      </c>
    </row>
    <row r="614" spans="1:5">
      <c r="A614" t="s">
        <v>109</v>
      </c>
      <c r="B614">
        <v>2017</v>
      </c>
      <c r="C614" s="14">
        <v>7.2</v>
      </c>
      <c r="D614" s="15">
        <f t="shared" si="9"/>
        <v>7.2</v>
      </c>
      <c r="E614">
        <f>IF(COUNTIF($A$1:$A613, A614) = 0, 100, E613*(1+D614*0.01))</f>
        <v>192.16533427565727</v>
      </c>
    </row>
    <row r="615" spans="1:5">
      <c r="A615" t="s">
        <v>110</v>
      </c>
      <c r="B615">
        <v>1997</v>
      </c>
      <c r="C615" s="14">
        <v>0.06</v>
      </c>
      <c r="D615" s="15">
        <f t="shared" si="9"/>
        <v>6</v>
      </c>
      <c r="E615">
        <f>IF(COUNTIF($A$1:$A614, A615) = 0, 100, E614*(1+D615*0.01))</f>
        <v>100</v>
      </c>
    </row>
    <row r="616" spans="1:5">
      <c r="A616" t="s">
        <v>110</v>
      </c>
      <c r="B616">
        <v>1998</v>
      </c>
      <c r="C616" s="14">
        <v>0.06</v>
      </c>
      <c r="D616" s="15">
        <f t="shared" si="9"/>
        <v>6</v>
      </c>
      <c r="E616">
        <f>IF(COUNTIF($A$1:$A615, A616) = 0, 100, E615*(1+D616*0.01))</f>
        <v>106</v>
      </c>
    </row>
    <row r="617" spans="1:5">
      <c r="A617" t="s">
        <v>110</v>
      </c>
      <c r="B617">
        <v>1999</v>
      </c>
      <c r="C617" s="14">
        <v>0.06</v>
      </c>
      <c r="D617" s="15">
        <f t="shared" si="9"/>
        <v>6</v>
      </c>
      <c r="E617">
        <f>IF(COUNTIF($A$1:$A616, A617) = 0, 100, E616*(1+D617*0.01))</f>
        <v>112.36</v>
      </c>
    </row>
    <row r="618" spans="1:5">
      <c r="A618" t="s">
        <v>111</v>
      </c>
      <c r="B618">
        <v>1997</v>
      </c>
      <c r="C618" s="14">
        <v>7.0000000000000007E-2</v>
      </c>
      <c r="D618" s="15">
        <f t="shared" si="9"/>
        <v>7.0000000000000009</v>
      </c>
      <c r="E618">
        <f>IF(COUNTIF($A$1:$A617, A618) = 0, 100, E617*(1+D618*0.01))</f>
        <v>100</v>
      </c>
    </row>
    <row r="619" spans="1:5">
      <c r="A619" t="s">
        <v>111</v>
      </c>
      <c r="B619">
        <v>1998</v>
      </c>
      <c r="C619" s="14">
        <v>0.08</v>
      </c>
      <c r="D619" s="15">
        <f t="shared" si="9"/>
        <v>8</v>
      </c>
      <c r="E619">
        <f>IF(COUNTIF($A$1:$A618, A619) = 0, 100, E618*(1+D619*0.01))</f>
        <v>108</v>
      </c>
    </row>
    <row r="620" spans="1:5">
      <c r="A620" t="s">
        <v>111</v>
      </c>
      <c r="B620">
        <v>1999</v>
      </c>
      <c r="C620" s="14">
        <v>0.12</v>
      </c>
      <c r="D620" s="15">
        <f t="shared" si="9"/>
        <v>12</v>
      </c>
      <c r="E620">
        <f>IF(COUNTIF($A$1:$A619, A620) = 0, 100, E619*(1+D620*0.01))</f>
        <v>120.96000000000001</v>
      </c>
    </row>
    <row r="621" spans="1:5">
      <c r="A621" t="s">
        <v>111</v>
      </c>
      <c r="B621">
        <v>2000</v>
      </c>
      <c r="C621" s="14">
        <v>0.01</v>
      </c>
      <c r="D621" s="15">
        <f t="shared" si="9"/>
        <v>1</v>
      </c>
      <c r="E621">
        <f>IF(COUNTIF($A$1:$A620, A621) = 0, 100, E620*(1+D621*0.01))</f>
        <v>122.1696</v>
      </c>
    </row>
    <row r="622" spans="1:5">
      <c r="A622" t="s">
        <v>111</v>
      </c>
      <c r="B622">
        <v>2001</v>
      </c>
      <c r="C622" s="14">
        <v>-0.01</v>
      </c>
      <c r="D622" s="15">
        <f t="shared" si="9"/>
        <v>-1</v>
      </c>
      <c r="E622">
        <f>IF(COUNTIF($A$1:$A621, A622) = 0, 100, E621*(1+D622*0.01))</f>
        <v>120.94790400000001</v>
      </c>
    </row>
    <row r="623" spans="1:5">
      <c r="A623" t="s">
        <v>111</v>
      </c>
      <c r="B623">
        <v>2002</v>
      </c>
      <c r="C623" s="14">
        <v>-0.01</v>
      </c>
      <c r="D623" s="15">
        <f t="shared" si="9"/>
        <v>-1</v>
      </c>
      <c r="E623">
        <f>IF(COUNTIF($A$1:$A622, A623) = 0, 100, E622*(1+D623*0.01))</f>
        <v>119.73842496</v>
      </c>
    </row>
    <row r="624" spans="1:5">
      <c r="A624" t="s">
        <v>111</v>
      </c>
      <c r="B624">
        <v>2003</v>
      </c>
      <c r="C624" s="14">
        <v>0.11</v>
      </c>
      <c r="D624" s="15">
        <f t="shared" si="9"/>
        <v>11</v>
      </c>
      <c r="E624">
        <f>IF(COUNTIF($A$1:$A623, A624) = 0, 100, E623*(1+D624*0.01))</f>
        <v>132.90965170560003</v>
      </c>
    </row>
    <row r="625" spans="1:5">
      <c r="A625" t="s">
        <v>111</v>
      </c>
      <c r="B625">
        <v>2004</v>
      </c>
      <c r="C625" s="14">
        <v>0.1</v>
      </c>
      <c r="D625" s="15">
        <f t="shared" si="9"/>
        <v>10</v>
      </c>
      <c r="E625">
        <f>IF(COUNTIF($A$1:$A624, A625) = 0, 100, E624*(1+D625*0.01))</f>
        <v>146.20061687616004</v>
      </c>
    </row>
    <row r="626" spans="1:5">
      <c r="A626" t="s">
        <v>112</v>
      </c>
      <c r="B626">
        <v>1997</v>
      </c>
      <c r="C626" s="14">
        <v>0.05</v>
      </c>
      <c r="D626" s="15">
        <f t="shared" si="9"/>
        <v>5</v>
      </c>
      <c r="E626">
        <f>IF(COUNTIF($A$1:$A625, A626) = 0, 100, E625*(1+D626*0.01))</f>
        <v>100</v>
      </c>
    </row>
    <row r="627" spans="1:5">
      <c r="A627" t="s">
        <v>112</v>
      </c>
      <c r="B627">
        <v>1998</v>
      </c>
      <c r="C627" s="14">
        <v>0.05</v>
      </c>
      <c r="D627" s="15">
        <f t="shared" si="9"/>
        <v>5</v>
      </c>
      <c r="E627">
        <f>IF(COUNTIF($A$1:$A626, A627) = 0, 100, E626*(1+D627*0.01))</f>
        <v>105</v>
      </c>
    </row>
    <row r="628" spans="1:5">
      <c r="A628" t="s">
        <v>112</v>
      </c>
      <c r="B628">
        <v>1999</v>
      </c>
      <c r="C628" s="14">
        <v>0.06</v>
      </c>
      <c r="D628" s="15">
        <f t="shared" si="9"/>
        <v>6</v>
      </c>
      <c r="E628">
        <f>IF(COUNTIF($A$1:$A627, A628) = 0, 100, E627*(1+D628*0.01))</f>
        <v>111.30000000000001</v>
      </c>
    </row>
    <row r="629" spans="1:5">
      <c r="A629" t="s">
        <v>113</v>
      </c>
      <c r="B629">
        <v>1997</v>
      </c>
      <c r="C629" s="14">
        <v>0.05</v>
      </c>
      <c r="D629" s="15">
        <f t="shared" si="9"/>
        <v>5</v>
      </c>
      <c r="E629">
        <f>IF(COUNTIF($A$1:$A628, A629) = 0, 100, E628*(1+D629*0.01))</f>
        <v>100</v>
      </c>
    </row>
    <row r="630" spans="1:5">
      <c r="A630" t="s">
        <v>113</v>
      </c>
      <c r="B630">
        <v>1998</v>
      </c>
      <c r="C630" s="14">
        <v>7.0000000000000007E-2</v>
      </c>
      <c r="D630" s="15">
        <f t="shared" si="9"/>
        <v>7.0000000000000009</v>
      </c>
      <c r="E630">
        <f>IF(COUNTIF($A$1:$A629, A630) = 0, 100, E629*(1+D630*0.01))</f>
        <v>107</v>
      </c>
    </row>
    <row r="631" spans="1:5">
      <c r="A631" t="s">
        <v>113</v>
      </c>
      <c r="B631">
        <v>1999</v>
      </c>
      <c r="C631" s="14">
        <v>0.09</v>
      </c>
      <c r="D631" s="15">
        <f t="shared" si="9"/>
        <v>9</v>
      </c>
      <c r="E631">
        <f>IF(COUNTIF($A$1:$A630, A631) = 0, 100, E630*(1+D631*0.01))</f>
        <v>116.63000000000001</v>
      </c>
    </row>
    <row r="632" spans="1:5">
      <c r="A632" t="s">
        <v>113</v>
      </c>
      <c r="B632">
        <v>2000</v>
      </c>
      <c r="C632" s="14">
        <v>0.03</v>
      </c>
      <c r="D632" s="15">
        <f t="shared" si="9"/>
        <v>3</v>
      </c>
      <c r="E632">
        <f>IF(COUNTIF($A$1:$A631, A632) = 0, 100, E631*(1+D632*0.01))</f>
        <v>120.12890000000002</v>
      </c>
    </row>
    <row r="633" spans="1:5">
      <c r="A633" t="s">
        <v>113</v>
      </c>
      <c r="B633">
        <v>2001</v>
      </c>
      <c r="C633" s="14">
        <v>0</v>
      </c>
      <c r="D633" s="15">
        <f t="shared" si="9"/>
        <v>0</v>
      </c>
      <c r="E633">
        <f>IF(COUNTIF($A$1:$A632, A633) = 0, 100, E632*(1+D633*0.01))</f>
        <v>120.12890000000002</v>
      </c>
    </row>
    <row r="634" spans="1:5">
      <c r="A634" t="s">
        <v>113</v>
      </c>
      <c r="B634">
        <v>2002</v>
      </c>
      <c r="C634" s="14">
        <v>-0.02</v>
      </c>
      <c r="D634" s="15">
        <f t="shared" si="9"/>
        <v>-2</v>
      </c>
      <c r="E634">
        <f>IF(COUNTIF($A$1:$A633, A634) = 0, 100, E633*(1+D634*0.01))</f>
        <v>117.72632200000001</v>
      </c>
    </row>
    <row r="635" spans="1:5">
      <c r="A635" t="s">
        <v>113</v>
      </c>
      <c r="B635">
        <v>2003</v>
      </c>
      <c r="C635" s="14">
        <v>0.08</v>
      </c>
      <c r="D635" s="15">
        <f t="shared" si="9"/>
        <v>8</v>
      </c>
      <c r="E635">
        <f>IF(COUNTIF($A$1:$A634, A635) = 0, 100, E634*(1+D635*0.01))</f>
        <v>127.14442776000001</v>
      </c>
    </row>
    <row r="636" spans="1:5">
      <c r="A636" t="s">
        <v>113</v>
      </c>
      <c r="B636">
        <v>2004</v>
      </c>
      <c r="C636" s="14">
        <v>0.11</v>
      </c>
      <c r="D636" s="15">
        <f t="shared" si="9"/>
        <v>11</v>
      </c>
      <c r="E636">
        <f>IF(COUNTIF($A$1:$A635, A636) = 0, 100, E635*(1+D636*0.01))</f>
        <v>141.13031481360002</v>
      </c>
    </row>
    <row r="637" spans="1:5">
      <c r="A637" t="s">
        <v>113</v>
      </c>
      <c r="B637">
        <v>2005</v>
      </c>
      <c r="C637" s="14">
        <v>0.1</v>
      </c>
      <c r="D637" s="15">
        <f t="shared" si="9"/>
        <v>10</v>
      </c>
      <c r="E637">
        <f>IF(COUNTIF($A$1:$A636, A637) = 0, 100, E636*(1+D637*0.01))</f>
        <v>155.24334629496005</v>
      </c>
    </row>
    <row r="638" spans="1:5">
      <c r="A638" t="s">
        <v>113</v>
      </c>
      <c r="B638">
        <v>2006</v>
      </c>
      <c r="C638" s="14">
        <v>7.06</v>
      </c>
      <c r="D638" s="15">
        <f t="shared" si="9"/>
        <v>7.06</v>
      </c>
      <c r="E638">
        <f>IF(COUNTIF($A$1:$A637, A638) = 0, 100, E637*(1+D638*0.01))</f>
        <v>166.20352654338421</v>
      </c>
    </row>
    <row r="639" spans="1:5">
      <c r="A639" t="s">
        <v>113</v>
      </c>
      <c r="B639">
        <v>2007</v>
      </c>
      <c r="C639" s="14">
        <v>4.0199999999999996</v>
      </c>
      <c r="D639" s="15">
        <f t="shared" si="9"/>
        <v>4.0199999999999996</v>
      </c>
      <c r="E639">
        <f>IF(COUNTIF($A$1:$A638, A639) = 0, 100, E638*(1+D639*0.01))</f>
        <v>172.88490831042827</v>
      </c>
    </row>
    <row r="640" spans="1:5">
      <c r="A640" t="s">
        <v>113</v>
      </c>
      <c r="B640">
        <v>2008</v>
      </c>
      <c r="C640" s="14">
        <v>-0.56000000000000005</v>
      </c>
      <c r="D640" s="15">
        <f t="shared" si="9"/>
        <v>-0.56000000000000005</v>
      </c>
      <c r="E640">
        <f>IF(COUNTIF($A$1:$A639, A640) = 0, 100, E639*(1+D640*0.01))</f>
        <v>171.91675282388988</v>
      </c>
    </row>
    <row r="641" spans="1:5">
      <c r="A641" t="s">
        <v>113</v>
      </c>
      <c r="B641">
        <v>2009</v>
      </c>
      <c r="C641" s="14">
        <v>3.13</v>
      </c>
      <c r="D641" s="15">
        <f t="shared" si="9"/>
        <v>3.13</v>
      </c>
      <c r="E641">
        <f>IF(COUNTIF($A$1:$A640, A641) = 0, 100, E640*(1+D641*0.01))</f>
        <v>177.29774718727765</v>
      </c>
    </row>
    <row r="642" spans="1:5">
      <c r="A642" t="s">
        <v>113</v>
      </c>
      <c r="B642">
        <v>2010</v>
      </c>
      <c r="C642" s="14">
        <v>3.25</v>
      </c>
      <c r="D642" s="15">
        <f t="shared" ref="D642:D705" si="10">IF(B642&lt;2006,C642*100,C642)</f>
        <v>3.25</v>
      </c>
      <c r="E642">
        <f>IF(COUNTIF($A$1:$A641, A642) = 0, 100, E641*(1+D642*0.01))</f>
        <v>183.05992397086416</v>
      </c>
    </row>
    <row r="643" spans="1:5">
      <c r="A643" t="s">
        <v>113</v>
      </c>
      <c r="B643">
        <v>2011</v>
      </c>
      <c r="C643" s="14">
        <v>3</v>
      </c>
      <c r="D643" s="15">
        <f t="shared" si="10"/>
        <v>3</v>
      </c>
      <c r="E643">
        <f>IF(COUNTIF($A$1:$A642, A643) = 0, 100, E642*(1+D643*0.01))</f>
        <v>188.5517216899901</v>
      </c>
    </row>
    <row r="644" spans="1:5">
      <c r="A644" t="s">
        <v>113</v>
      </c>
      <c r="B644">
        <v>2012</v>
      </c>
      <c r="C644" s="14">
        <v>3</v>
      </c>
      <c r="D644" s="15">
        <f t="shared" si="10"/>
        <v>3</v>
      </c>
      <c r="E644">
        <f>IF(COUNTIF($A$1:$A643, A644) = 0, 100, E643*(1+D644*0.01))</f>
        <v>194.2082733406898</v>
      </c>
    </row>
    <row r="645" spans="1:5">
      <c r="A645" t="s">
        <v>113</v>
      </c>
      <c r="B645">
        <v>2013</v>
      </c>
      <c r="C645" s="14">
        <v>7.2</v>
      </c>
      <c r="D645" s="15">
        <f t="shared" si="10"/>
        <v>7.2</v>
      </c>
      <c r="E645">
        <f>IF(COUNTIF($A$1:$A644, A645) = 0, 100, E644*(1+D645*0.01))</f>
        <v>208.19126902121948</v>
      </c>
    </row>
    <row r="646" spans="1:5">
      <c r="A646" t="s">
        <v>113</v>
      </c>
      <c r="B646">
        <v>2014</v>
      </c>
      <c r="C646" s="14">
        <v>5</v>
      </c>
      <c r="D646" s="15">
        <f t="shared" si="10"/>
        <v>5</v>
      </c>
      <c r="E646">
        <f>IF(COUNTIF($A$1:$A645, A646) = 0, 100, E645*(1+D646*0.01))</f>
        <v>218.60083247228047</v>
      </c>
    </row>
    <row r="647" spans="1:5">
      <c r="A647" t="s">
        <v>113</v>
      </c>
      <c r="B647">
        <v>2015</v>
      </c>
      <c r="C647" s="14">
        <v>9</v>
      </c>
      <c r="D647" s="15">
        <f t="shared" si="10"/>
        <v>9</v>
      </c>
      <c r="E647">
        <f>IF(COUNTIF($A$1:$A646, A647) = 0, 100, E646*(1+D647*0.01))</f>
        <v>238.27490739478574</v>
      </c>
    </row>
    <row r="648" spans="1:5">
      <c r="A648" t="s">
        <v>113</v>
      </c>
      <c r="B648">
        <v>2016</v>
      </c>
      <c r="C648" s="14">
        <v>2.25</v>
      </c>
      <c r="D648" s="15">
        <f t="shared" si="10"/>
        <v>2.25</v>
      </c>
      <c r="E648">
        <f>IF(COUNTIF($A$1:$A647, A648) = 0, 100, E647*(1+D648*0.01))</f>
        <v>243.63609281116842</v>
      </c>
    </row>
    <row r="649" spans="1:5">
      <c r="A649" t="s">
        <v>113</v>
      </c>
      <c r="B649">
        <v>2017</v>
      </c>
      <c r="C649" s="14">
        <v>3.4</v>
      </c>
      <c r="D649" s="15">
        <f t="shared" si="10"/>
        <v>3.4</v>
      </c>
      <c r="E649">
        <f>IF(COUNTIF($A$1:$A648, A649) = 0, 100, E648*(1+D649*0.01))</f>
        <v>251.91971996674815</v>
      </c>
    </row>
    <row r="650" spans="1:5">
      <c r="A650" t="s">
        <v>113</v>
      </c>
      <c r="B650">
        <v>2018</v>
      </c>
      <c r="C650" s="14">
        <v>0.7</v>
      </c>
      <c r="D650" s="15">
        <f t="shared" si="10"/>
        <v>0.7</v>
      </c>
      <c r="E650">
        <f>IF(COUNTIF($A$1:$A649, A650) = 0, 100, E649*(1+D650*0.01))</f>
        <v>253.68315800651536</v>
      </c>
    </row>
    <row r="651" spans="1:5">
      <c r="A651" t="s">
        <v>113</v>
      </c>
      <c r="B651">
        <v>2019</v>
      </c>
      <c r="C651" s="14">
        <v>6.7</v>
      </c>
      <c r="D651" s="15">
        <f t="shared" si="10"/>
        <v>6.7</v>
      </c>
      <c r="E651">
        <f>IF(COUNTIF($A$1:$A650, A651) = 0, 100, E650*(1+D651*0.01))</f>
        <v>270.67992959295185</v>
      </c>
    </row>
    <row r="652" spans="1:5">
      <c r="A652" t="s">
        <v>113</v>
      </c>
      <c r="B652">
        <v>2020</v>
      </c>
      <c r="C652" s="14">
        <v>7.42</v>
      </c>
      <c r="D652" s="15">
        <f t="shared" si="10"/>
        <v>7.42</v>
      </c>
      <c r="E652">
        <f>IF(COUNTIF($A$1:$A651, A652) = 0, 100, E651*(1+D652*0.01))</f>
        <v>290.7643803687489</v>
      </c>
    </row>
    <row r="653" spans="1:5">
      <c r="A653" t="s">
        <v>113</v>
      </c>
      <c r="B653">
        <v>2021</v>
      </c>
      <c r="C653" s="14">
        <v>8</v>
      </c>
      <c r="D653" s="15">
        <f t="shared" si="10"/>
        <v>8</v>
      </c>
      <c r="E653">
        <f>IF(COUNTIF($A$1:$A652, A653) = 0, 100, E652*(1+D653*0.01))</f>
        <v>314.02553079824884</v>
      </c>
    </row>
    <row r="654" spans="1:5">
      <c r="A654" t="s">
        <v>114</v>
      </c>
      <c r="B654">
        <v>1997</v>
      </c>
      <c r="C654" s="14">
        <v>0.02</v>
      </c>
      <c r="D654" s="15">
        <f t="shared" si="10"/>
        <v>2</v>
      </c>
      <c r="E654">
        <f>IF(COUNTIF($A$1:$A653, A654) = 0, 100, E653*(1+D654*0.01))</f>
        <v>100</v>
      </c>
    </row>
    <row r="655" spans="1:5">
      <c r="A655" t="s">
        <v>114</v>
      </c>
      <c r="B655">
        <v>1998</v>
      </c>
      <c r="C655" s="14">
        <v>0.1</v>
      </c>
      <c r="D655" s="15">
        <f t="shared" si="10"/>
        <v>10</v>
      </c>
      <c r="E655">
        <f>IF(COUNTIF($A$1:$A654, A655) = 0, 100, E654*(1+D655*0.01))</f>
        <v>110.00000000000001</v>
      </c>
    </row>
    <row r="656" spans="1:5">
      <c r="A656" t="s">
        <v>114</v>
      </c>
      <c r="B656">
        <v>1999</v>
      </c>
      <c r="C656" s="14">
        <v>0.14000000000000001</v>
      </c>
      <c r="D656" s="15">
        <f t="shared" si="10"/>
        <v>14.000000000000002</v>
      </c>
      <c r="E656">
        <f>IF(COUNTIF($A$1:$A655, A656) = 0, 100, E655*(1+D656*0.01))</f>
        <v>125.40000000000003</v>
      </c>
    </row>
    <row r="657" spans="1:5">
      <c r="A657" t="s">
        <v>114</v>
      </c>
      <c r="B657">
        <v>2000</v>
      </c>
      <c r="C657" s="14">
        <v>-0.01</v>
      </c>
      <c r="D657" s="15">
        <f t="shared" si="10"/>
        <v>-1</v>
      </c>
      <c r="E657">
        <f>IF(COUNTIF($A$1:$A656, A657) = 0, 100, E656*(1+D657*0.01))</f>
        <v>124.14600000000003</v>
      </c>
    </row>
    <row r="658" spans="1:5">
      <c r="A658" t="s">
        <v>114</v>
      </c>
      <c r="B658">
        <v>2001</v>
      </c>
      <c r="C658" s="14">
        <v>-0.02</v>
      </c>
      <c r="D658" s="15">
        <f t="shared" si="10"/>
        <v>-2</v>
      </c>
      <c r="E658">
        <f>IF(COUNTIF($A$1:$A657, A658) = 0, 100, E657*(1+D658*0.01))</f>
        <v>121.66308000000002</v>
      </c>
    </row>
    <row r="659" spans="1:5">
      <c r="A659" t="s">
        <v>114</v>
      </c>
      <c r="B659">
        <v>2002</v>
      </c>
      <c r="C659" s="14">
        <v>0.05</v>
      </c>
      <c r="D659" s="15">
        <f t="shared" si="10"/>
        <v>5</v>
      </c>
      <c r="E659">
        <f>IF(COUNTIF($A$1:$A658, A659) = 0, 100, E658*(1+D659*0.01))</f>
        <v>127.74623400000003</v>
      </c>
    </row>
    <row r="660" spans="1:5">
      <c r="A660" t="s">
        <v>114</v>
      </c>
      <c r="B660">
        <v>2003</v>
      </c>
      <c r="C660" s="14">
        <v>0.11</v>
      </c>
      <c r="D660" s="15">
        <f t="shared" si="10"/>
        <v>11</v>
      </c>
      <c r="E660">
        <f>IF(COUNTIF($A$1:$A659, A660) = 0, 100, E659*(1+D660*0.01))</f>
        <v>141.79831974000004</v>
      </c>
    </row>
    <row r="661" spans="1:5">
      <c r="A661" t="s">
        <v>114</v>
      </c>
      <c r="B661">
        <v>2004</v>
      </c>
      <c r="C661" s="14">
        <v>0.19</v>
      </c>
      <c r="D661" s="15">
        <f t="shared" si="10"/>
        <v>19</v>
      </c>
      <c r="E661">
        <f>IF(COUNTIF($A$1:$A660, A661) = 0, 100, E660*(1+D661*0.01))</f>
        <v>168.74000049060004</v>
      </c>
    </row>
    <row r="662" spans="1:5">
      <c r="A662" t="s">
        <v>114</v>
      </c>
      <c r="B662">
        <v>2005</v>
      </c>
      <c r="C662" s="14">
        <v>0.16</v>
      </c>
      <c r="D662" s="15">
        <f t="shared" si="10"/>
        <v>16</v>
      </c>
      <c r="E662">
        <f>IF(COUNTIF($A$1:$A661, A662) = 0, 100, E661*(1+D662*0.01))</f>
        <v>195.73840056909603</v>
      </c>
    </row>
    <row r="663" spans="1:5">
      <c r="A663" t="s">
        <v>114</v>
      </c>
      <c r="B663">
        <v>2006</v>
      </c>
      <c r="C663" s="14">
        <v>6.46</v>
      </c>
      <c r="D663" s="15">
        <f t="shared" si="10"/>
        <v>6.46</v>
      </c>
      <c r="E663">
        <f>IF(COUNTIF($A$1:$A662, A663) = 0, 100, E662*(1+D663*0.01))</f>
        <v>208.38310124585962</v>
      </c>
    </row>
    <row r="664" spans="1:5">
      <c r="A664" t="s">
        <v>114</v>
      </c>
      <c r="B664">
        <v>2007</v>
      </c>
      <c r="C664" s="14">
        <v>5.82</v>
      </c>
      <c r="D664" s="15">
        <f t="shared" si="10"/>
        <v>5.82</v>
      </c>
      <c r="E664">
        <f>IF(COUNTIF($A$1:$A663, A664) = 0, 100, E663*(1+D664*0.01))</f>
        <v>220.51099773836864</v>
      </c>
    </row>
    <row r="665" spans="1:5">
      <c r="A665" t="s">
        <v>114</v>
      </c>
      <c r="B665">
        <v>2008</v>
      </c>
      <c r="C665" s="14">
        <v>-4.59</v>
      </c>
      <c r="D665" s="15">
        <f t="shared" si="10"/>
        <v>-4.59</v>
      </c>
      <c r="E665">
        <f>IF(COUNTIF($A$1:$A664, A665) = 0, 100, E664*(1+D665*0.01))</f>
        <v>210.38954294217751</v>
      </c>
    </row>
    <row r="666" spans="1:5">
      <c r="A666" t="s">
        <v>114</v>
      </c>
      <c r="B666">
        <v>2009</v>
      </c>
      <c r="C666" s="14">
        <v>4.4800000000000004</v>
      </c>
      <c r="D666" s="15">
        <f t="shared" si="10"/>
        <v>4.4800000000000004</v>
      </c>
      <c r="E666">
        <f>IF(COUNTIF($A$1:$A665, A666) = 0, 100, E665*(1+D666*0.01))</f>
        <v>219.81499446598707</v>
      </c>
    </row>
    <row r="667" spans="1:5">
      <c r="A667" t="s">
        <v>114</v>
      </c>
      <c r="B667">
        <v>2010</v>
      </c>
      <c r="C667" s="14">
        <v>5.01</v>
      </c>
      <c r="D667" s="15">
        <f t="shared" si="10"/>
        <v>5.01</v>
      </c>
      <c r="E667">
        <f>IF(COUNTIF($A$1:$A666, A667) = 0, 100, E666*(1+D667*0.01))</f>
        <v>230.82772568873304</v>
      </c>
    </row>
    <row r="668" spans="1:5">
      <c r="A668" t="s">
        <v>114</v>
      </c>
      <c r="B668">
        <v>2011</v>
      </c>
      <c r="C668" s="14">
        <v>4.7</v>
      </c>
      <c r="D668" s="15">
        <f t="shared" si="10"/>
        <v>4.7</v>
      </c>
      <c r="E668">
        <f>IF(COUNTIF($A$1:$A667, A668) = 0, 100, E667*(1+D668*0.01))</f>
        <v>241.67662879610347</v>
      </c>
    </row>
    <row r="669" spans="1:5">
      <c r="A669" t="s">
        <v>114</v>
      </c>
      <c r="B669">
        <v>2012</v>
      </c>
      <c r="C669" s="14">
        <v>5.9</v>
      </c>
      <c r="D669" s="15">
        <f t="shared" si="10"/>
        <v>5.9</v>
      </c>
      <c r="E669">
        <f>IF(COUNTIF($A$1:$A668, A669) = 0, 100, E668*(1+D669*0.01))</f>
        <v>255.93554989507356</v>
      </c>
    </row>
    <row r="670" spans="1:5">
      <c r="A670" t="s">
        <v>114</v>
      </c>
      <c r="B670">
        <v>2013</v>
      </c>
      <c r="C670" s="14">
        <v>8.3000000000000007</v>
      </c>
      <c r="D670" s="15">
        <f t="shared" si="10"/>
        <v>8.3000000000000007</v>
      </c>
      <c r="E670">
        <f>IF(COUNTIF($A$1:$A669, A670) = 0, 100, E669*(1+D670*0.01))</f>
        <v>277.17820053636467</v>
      </c>
    </row>
    <row r="671" spans="1:5">
      <c r="A671" t="s">
        <v>114</v>
      </c>
      <c r="B671">
        <v>2014</v>
      </c>
      <c r="C671" s="14">
        <v>5.4</v>
      </c>
      <c r="D671" s="15">
        <f t="shared" si="10"/>
        <v>5.4</v>
      </c>
      <c r="E671">
        <f>IF(COUNTIF($A$1:$A670, A671) = 0, 100, E670*(1+D671*0.01))</f>
        <v>292.1458233653284</v>
      </c>
    </row>
    <row r="672" spans="1:5">
      <c r="A672" t="s">
        <v>114</v>
      </c>
      <c r="B672">
        <v>2015</v>
      </c>
      <c r="C672" s="14">
        <v>9.9</v>
      </c>
      <c r="D672" s="15">
        <f t="shared" si="10"/>
        <v>9.9</v>
      </c>
      <c r="E672">
        <f>IF(COUNTIF($A$1:$A671, A672) = 0, 100, E671*(1+D672*0.01))</f>
        <v>321.06825987849589</v>
      </c>
    </row>
    <row r="673" spans="1:5">
      <c r="A673" t="s">
        <v>114</v>
      </c>
      <c r="B673">
        <v>2016</v>
      </c>
      <c r="C673" s="14">
        <v>0.49</v>
      </c>
      <c r="D673" s="15">
        <f t="shared" si="10"/>
        <v>0.49</v>
      </c>
      <c r="E673">
        <f>IF(COUNTIF($A$1:$A672, A673) = 0, 100, E672*(1+D673*0.01))</f>
        <v>322.64149435190052</v>
      </c>
    </row>
    <row r="674" spans="1:5">
      <c r="A674" t="s">
        <v>114</v>
      </c>
      <c r="B674">
        <v>2017</v>
      </c>
      <c r="C674" s="14">
        <v>7.2</v>
      </c>
      <c r="D674" s="15">
        <f t="shared" si="10"/>
        <v>7.2</v>
      </c>
      <c r="E674">
        <f>IF(COUNTIF($A$1:$A673, A674) = 0, 100, E673*(1+D674*0.01))</f>
        <v>345.87168194523736</v>
      </c>
    </row>
    <row r="675" spans="1:5">
      <c r="A675" t="s">
        <v>114</v>
      </c>
      <c r="B675">
        <v>2018</v>
      </c>
      <c r="C675" s="14">
        <v>5.7</v>
      </c>
      <c r="D675" s="15">
        <f t="shared" si="10"/>
        <v>5.7</v>
      </c>
      <c r="E675">
        <f>IF(COUNTIF($A$1:$A674, A675) = 0, 100, E674*(1+D675*0.01))</f>
        <v>365.58636781611585</v>
      </c>
    </row>
    <row r="676" spans="1:5">
      <c r="A676" t="s">
        <v>114</v>
      </c>
      <c r="B676">
        <v>2019</v>
      </c>
      <c r="C676" s="14">
        <v>8.43</v>
      </c>
      <c r="D676" s="15">
        <f t="shared" si="10"/>
        <v>8.43</v>
      </c>
      <c r="E676">
        <f>IF(COUNTIF($A$1:$A675, A676) = 0, 100, E675*(1+D676*0.01))</f>
        <v>396.40529862301446</v>
      </c>
    </row>
    <row r="677" spans="1:5">
      <c r="A677" t="s">
        <v>114</v>
      </c>
      <c r="B677">
        <v>2020</v>
      </c>
      <c r="C677" s="14">
        <v>5.67</v>
      </c>
      <c r="D677" s="15">
        <f t="shared" si="10"/>
        <v>5.67</v>
      </c>
      <c r="E677">
        <f>IF(COUNTIF($A$1:$A676, A677) = 0, 100, E676*(1+D677*0.01))</f>
        <v>418.88147905493935</v>
      </c>
    </row>
    <row r="678" spans="1:5">
      <c r="A678" t="s">
        <v>114</v>
      </c>
      <c r="B678">
        <v>2021</v>
      </c>
      <c r="C678" s="14">
        <v>8.25</v>
      </c>
      <c r="D678" s="15">
        <f t="shared" si="10"/>
        <v>8.25</v>
      </c>
      <c r="E678">
        <f>IF(COUNTIF($A$1:$A677, A678) = 0, 100, E677*(1+D678*0.01))</f>
        <v>453.43920107697187</v>
      </c>
    </row>
    <row r="679" spans="1:5">
      <c r="A679" t="s">
        <v>115</v>
      </c>
      <c r="B679">
        <v>1997</v>
      </c>
      <c r="C679" s="14">
        <v>0.09</v>
      </c>
      <c r="D679" s="15">
        <f t="shared" si="10"/>
        <v>9</v>
      </c>
      <c r="E679">
        <f>IF(COUNTIF($A$1:$A678, A679) = 0, 100, E678*(1+D679*0.01))</f>
        <v>100</v>
      </c>
    </row>
    <row r="680" spans="1:5">
      <c r="A680" t="s">
        <v>115</v>
      </c>
      <c r="B680">
        <v>1998</v>
      </c>
      <c r="C680" s="14">
        <v>0.08</v>
      </c>
      <c r="D680" s="15">
        <f t="shared" si="10"/>
        <v>8</v>
      </c>
      <c r="E680">
        <f>IF(COUNTIF($A$1:$A679, A680) = 0, 100, E679*(1+D680*0.01))</f>
        <v>108</v>
      </c>
    </row>
    <row r="681" spans="1:5">
      <c r="A681" t="s">
        <v>115</v>
      </c>
      <c r="B681">
        <v>1999</v>
      </c>
      <c r="C681" s="14">
        <v>0.08</v>
      </c>
      <c r="D681" s="15">
        <f t="shared" si="10"/>
        <v>8</v>
      </c>
      <c r="E681">
        <f>IF(COUNTIF($A$1:$A680, A681) = 0, 100, E680*(1+D681*0.01))</f>
        <v>116.64000000000001</v>
      </c>
    </row>
    <row r="682" spans="1:5">
      <c r="A682" t="s">
        <v>115</v>
      </c>
      <c r="B682">
        <v>2000</v>
      </c>
      <c r="C682" s="14">
        <v>0.02</v>
      </c>
      <c r="D682" s="15">
        <f t="shared" si="10"/>
        <v>2</v>
      </c>
      <c r="E682">
        <f>IF(COUNTIF($A$1:$A681, A682) = 0, 100, E681*(1+D682*0.01))</f>
        <v>118.97280000000002</v>
      </c>
    </row>
    <row r="683" spans="1:5">
      <c r="A683" t="s">
        <v>115</v>
      </c>
      <c r="B683">
        <v>2001</v>
      </c>
      <c r="C683" s="14">
        <v>0.01</v>
      </c>
      <c r="D683" s="15">
        <f t="shared" si="10"/>
        <v>1</v>
      </c>
      <c r="E683">
        <f>IF(COUNTIF($A$1:$A682, A683) = 0, 100, E682*(1+D683*0.01))</f>
        <v>120.16252800000002</v>
      </c>
    </row>
    <row r="684" spans="1:5">
      <c r="A684" t="s">
        <v>115</v>
      </c>
      <c r="B684">
        <v>2002</v>
      </c>
      <c r="C684" s="14">
        <v>-0.08</v>
      </c>
      <c r="D684" s="15">
        <f t="shared" si="10"/>
        <v>-8</v>
      </c>
      <c r="E684">
        <f>IF(COUNTIF($A$1:$A683, A684) = 0, 100, E683*(1+D684*0.01))</f>
        <v>110.54952576000002</v>
      </c>
    </row>
    <row r="685" spans="1:5">
      <c r="A685" t="s">
        <v>115</v>
      </c>
      <c r="B685">
        <v>2003</v>
      </c>
      <c r="C685" s="14">
        <v>0.11</v>
      </c>
      <c r="D685" s="15">
        <f t="shared" si="10"/>
        <v>11</v>
      </c>
      <c r="E685">
        <f>IF(COUNTIF($A$1:$A684, A685) = 0, 100, E684*(1+D685*0.01))</f>
        <v>122.70997359360004</v>
      </c>
    </row>
    <row r="686" spans="1:5">
      <c r="A686" t="s">
        <v>115</v>
      </c>
      <c r="B686">
        <v>2004</v>
      </c>
      <c r="C686" s="14">
        <v>0.05</v>
      </c>
      <c r="D686" s="15">
        <f t="shared" si="10"/>
        <v>5</v>
      </c>
      <c r="E686">
        <f>IF(COUNTIF($A$1:$A685, A686) = 0, 100, E685*(1+D686*0.01))</f>
        <v>128.84547227328005</v>
      </c>
    </row>
    <row r="687" spans="1:5">
      <c r="A687" t="s">
        <v>115</v>
      </c>
      <c r="B687">
        <v>2005</v>
      </c>
      <c r="C687" s="14">
        <v>0.15</v>
      </c>
      <c r="D687" s="15">
        <f t="shared" si="10"/>
        <v>15</v>
      </c>
      <c r="E687">
        <f>IF(COUNTIF($A$1:$A686, A687) = 0, 100, E686*(1+D687*0.01))</f>
        <v>148.17229311427204</v>
      </c>
    </row>
    <row r="688" spans="1:5">
      <c r="A688" t="s">
        <v>115</v>
      </c>
      <c r="B688">
        <v>2006</v>
      </c>
      <c r="C688" s="14">
        <v>8.65</v>
      </c>
      <c r="D688" s="15">
        <f t="shared" si="10"/>
        <v>8.65</v>
      </c>
      <c r="E688">
        <f>IF(COUNTIF($A$1:$A687, A688) = 0, 100, E687*(1+D688*0.01))</f>
        <v>160.98919646865656</v>
      </c>
    </row>
    <row r="689" spans="1:5">
      <c r="A689" t="s">
        <v>115</v>
      </c>
      <c r="B689">
        <v>2007</v>
      </c>
      <c r="C689" s="14">
        <v>-0.43</v>
      </c>
      <c r="D689" s="15">
        <f t="shared" si="10"/>
        <v>-0.43</v>
      </c>
      <c r="E689">
        <f>IF(COUNTIF($A$1:$A688, A689) = 0, 100, E688*(1+D689*0.01))</f>
        <v>160.29694292384133</v>
      </c>
    </row>
    <row r="690" spans="1:5">
      <c r="A690" t="s">
        <v>115</v>
      </c>
      <c r="B690">
        <v>2008</v>
      </c>
      <c r="C690" s="14">
        <v>-15.72</v>
      </c>
      <c r="D690" s="15">
        <f t="shared" si="10"/>
        <v>-15.72</v>
      </c>
      <c r="E690">
        <f>IF(COUNTIF($A$1:$A689, A690) = 0, 100, E689*(1+D690*0.01))</f>
        <v>135.09826349621346</v>
      </c>
    </row>
    <row r="691" spans="1:5">
      <c r="A691" t="s">
        <v>115</v>
      </c>
      <c r="B691">
        <v>2009</v>
      </c>
      <c r="C691" s="14">
        <v>6.81</v>
      </c>
      <c r="D691" s="15">
        <f t="shared" si="10"/>
        <v>6.81</v>
      </c>
      <c r="E691">
        <f>IF(COUNTIF($A$1:$A690, A691) = 0, 100, E690*(1+D691*0.01))</f>
        <v>144.2984552403056</v>
      </c>
    </row>
    <row r="692" spans="1:5">
      <c r="A692" t="s">
        <v>115</v>
      </c>
      <c r="B692">
        <v>2010</v>
      </c>
      <c r="C692" s="14">
        <v>4.7</v>
      </c>
      <c r="D692" s="15">
        <f t="shared" si="10"/>
        <v>4.7</v>
      </c>
      <c r="E692">
        <f>IF(COUNTIF($A$1:$A691, A692) = 0, 100, E691*(1+D692*0.01))</f>
        <v>151.08048263659995</v>
      </c>
    </row>
    <row r="693" spans="1:5">
      <c r="A693" t="s">
        <v>115</v>
      </c>
      <c r="B693">
        <v>2011</v>
      </c>
      <c r="C693" s="14">
        <v>-0.1</v>
      </c>
      <c r="D693" s="15">
        <f t="shared" si="10"/>
        <v>-0.1</v>
      </c>
      <c r="E693">
        <f>IF(COUNTIF($A$1:$A692, A693) = 0, 100, E692*(1+D693*0.01))</f>
        <v>150.92940215396337</v>
      </c>
    </row>
    <row r="694" spans="1:5">
      <c r="A694" t="s">
        <v>115</v>
      </c>
      <c r="B694">
        <v>2012</v>
      </c>
      <c r="C694" s="14">
        <v>6.4</v>
      </c>
      <c r="D694" s="15">
        <f t="shared" si="10"/>
        <v>6.4</v>
      </c>
      <c r="E694">
        <f>IF(COUNTIF($A$1:$A693, A694) = 0, 100, E693*(1+D694*0.01))</f>
        <v>160.58888389181703</v>
      </c>
    </row>
    <row r="695" spans="1:5">
      <c r="A695" t="s">
        <v>115</v>
      </c>
      <c r="B695">
        <v>2013</v>
      </c>
      <c r="C695" s="14">
        <v>6.5</v>
      </c>
      <c r="D695" s="15">
        <f t="shared" si="10"/>
        <v>6.5</v>
      </c>
      <c r="E695">
        <f>IF(COUNTIF($A$1:$A694, A695) = 0, 100, E694*(1+D695*0.01))</f>
        <v>171.02716134478513</v>
      </c>
    </row>
    <row r="696" spans="1:5">
      <c r="A696" t="s">
        <v>115</v>
      </c>
      <c r="B696">
        <v>2014</v>
      </c>
      <c r="C696" s="14">
        <v>4.3</v>
      </c>
      <c r="D696" s="15">
        <f t="shared" si="10"/>
        <v>4.3</v>
      </c>
      <c r="E696">
        <f>IF(COUNTIF($A$1:$A695, A696) = 0, 100, E695*(1+D696*0.01))</f>
        <v>178.38132928261086</v>
      </c>
    </row>
    <row r="697" spans="1:5">
      <c r="A697" t="s">
        <v>115</v>
      </c>
      <c r="B697">
        <v>2015</v>
      </c>
      <c r="C697" s="14">
        <v>5.9</v>
      </c>
      <c r="D697" s="15">
        <f t="shared" si="10"/>
        <v>5.9</v>
      </c>
      <c r="E697">
        <f>IF(COUNTIF($A$1:$A696, A697) = 0, 100, E696*(1+D697*0.01))</f>
        <v>188.90582771028488</v>
      </c>
    </row>
    <row r="698" spans="1:5">
      <c r="A698" t="s">
        <v>115</v>
      </c>
      <c r="B698">
        <v>2016</v>
      </c>
      <c r="C698" s="14">
        <v>0.1</v>
      </c>
      <c r="D698" s="15">
        <f t="shared" si="10"/>
        <v>0.1</v>
      </c>
      <c r="E698">
        <f>IF(COUNTIF($A$1:$A697, A698) = 0, 100, E697*(1+D698*0.01))</f>
        <v>189.09473353799515</v>
      </c>
    </row>
    <row r="699" spans="1:5">
      <c r="A699" t="s">
        <v>115</v>
      </c>
      <c r="B699">
        <v>2017</v>
      </c>
      <c r="C699" s="14">
        <v>4.9000000000000004</v>
      </c>
      <c r="D699" s="15">
        <f t="shared" si="10"/>
        <v>4.9000000000000004</v>
      </c>
      <c r="E699">
        <f>IF(COUNTIF($A$1:$A698, A699) = 0, 100, E698*(1+D699*0.01))</f>
        <v>198.3603754813569</v>
      </c>
    </row>
    <row r="700" spans="1:5">
      <c r="A700" t="s">
        <v>116</v>
      </c>
      <c r="B700">
        <v>1997</v>
      </c>
      <c r="C700" s="14">
        <v>0.04</v>
      </c>
      <c r="D700" s="15">
        <f t="shared" si="10"/>
        <v>4</v>
      </c>
      <c r="E700">
        <f>IF(COUNTIF($A$1:$A699, A700) = 0, 100, E699*(1+D700*0.01))</f>
        <v>100</v>
      </c>
    </row>
    <row r="701" spans="1:5">
      <c r="A701" t="s">
        <v>116</v>
      </c>
      <c r="B701">
        <v>1998</v>
      </c>
      <c r="C701" s="14">
        <v>0.05</v>
      </c>
      <c r="D701" s="15">
        <f t="shared" si="10"/>
        <v>5</v>
      </c>
      <c r="E701">
        <f>IF(COUNTIF($A$1:$A700, A701) = 0, 100, E700*(1+D701*0.01))</f>
        <v>105</v>
      </c>
    </row>
    <row r="702" spans="1:5">
      <c r="A702" t="s">
        <v>116</v>
      </c>
      <c r="B702">
        <v>1999</v>
      </c>
      <c r="C702" s="14">
        <v>0.04</v>
      </c>
      <c r="D702" s="15">
        <f t="shared" si="10"/>
        <v>4</v>
      </c>
      <c r="E702">
        <f>IF(COUNTIF($A$1:$A701, A702) = 0, 100, E701*(1+D702*0.01))</f>
        <v>109.2</v>
      </c>
    </row>
    <row r="703" spans="1:5">
      <c r="A703" t="s">
        <v>116</v>
      </c>
      <c r="B703">
        <v>2000</v>
      </c>
      <c r="C703" s="14">
        <v>0</v>
      </c>
      <c r="D703" s="15">
        <f t="shared" si="10"/>
        <v>0</v>
      </c>
      <c r="E703">
        <f>IF(COUNTIF($A$1:$A702, A703) = 0, 100, E702*(1+D703*0.01))</f>
        <v>109.2</v>
      </c>
    </row>
    <row r="704" spans="1:5">
      <c r="A704" t="s">
        <v>116</v>
      </c>
      <c r="B704">
        <v>2001</v>
      </c>
      <c r="C704" s="14">
        <v>0.01</v>
      </c>
      <c r="D704" s="15">
        <f t="shared" si="10"/>
        <v>1</v>
      </c>
      <c r="E704">
        <f>IF(COUNTIF($A$1:$A703, A704) = 0, 100, E703*(1+D704*0.01))</f>
        <v>110.292</v>
      </c>
    </row>
    <row r="705" spans="1:5">
      <c r="A705" t="s">
        <v>116</v>
      </c>
      <c r="B705">
        <v>2002</v>
      </c>
      <c r="C705" s="14">
        <v>0.03</v>
      </c>
      <c r="D705" s="15">
        <f t="shared" si="10"/>
        <v>3</v>
      </c>
      <c r="E705">
        <f>IF(COUNTIF($A$1:$A704, A705) = 0, 100, E704*(1+D705*0.01))</f>
        <v>113.60076000000001</v>
      </c>
    </row>
    <row r="706" spans="1:5">
      <c r="A706" t="s">
        <v>116</v>
      </c>
      <c r="B706">
        <v>2003</v>
      </c>
      <c r="C706" s="14">
        <v>0.11</v>
      </c>
      <c r="D706" s="15">
        <f t="shared" ref="D706:D769" si="11">IF(B706&lt;2006,C706*100,C706)</f>
        <v>11</v>
      </c>
      <c r="E706">
        <f>IF(COUNTIF($A$1:$A705, A706) = 0, 100, E705*(1+D706*0.01))</f>
        <v>126.09684360000001</v>
      </c>
    </row>
    <row r="707" spans="1:5">
      <c r="A707" t="s">
        <v>116</v>
      </c>
      <c r="B707">
        <v>2004</v>
      </c>
      <c r="C707" s="14">
        <v>0.03</v>
      </c>
      <c r="D707" s="15">
        <f t="shared" si="11"/>
        <v>3</v>
      </c>
      <c r="E707">
        <f>IF(COUNTIF($A$1:$A706, A707) = 0, 100, E706*(1+D707*0.01))</f>
        <v>129.87974890800001</v>
      </c>
    </row>
    <row r="708" spans="1:5">
      <c r="A708" t="s">
        <v>116</v>
      </c>
      <c r="B708">
        <v>2005</v>
      </c>
      <c r="C708" s="14">
        <v>0.03</v>
      </c>
      <c r="D708" s="15">
        <f t="shared" si="11"/>
        <v>3</v>
      </c>
      <c r="E708">
        <f>IF(COUNTIF($A$1:$A707, A708) = 0, 100, E707*(1+D708*0.01))</f>
        <v>133.77614137524</v>
      </c>
    </row>
    <row r="709" spans="1:5">
      <c r="A709" t="s">
        <v>116</v>
      </c>
      <c r="B709">
        <v>2006</v>
      </c>
      <c r="C709" s="14">
        <v>3.81</v>
      </c>
      <c r="D709" s="15">
        <f t="shared" si="11"/>
        <v>3.81</v>
      </c>
      <c r="E709">
        <f>IF(COUNTIF($A$1:$A708, A709) = 0, 100, E708*(1+D709*0.01))</f>
        <v>138.87301236163665</v>
      </c>
    </row>
    <row r="710" spans="1:5">
      <c r="A710" t="s">
        <v>116</v>
      </c>
      <c r="B710">
        <v>2007</v>
      </c>
      <c r="C710" s="14">
        <v>8.49</v>
      </c>
      <c r="D710" s="15">
        <f t="shared" si="11"/>
        <v>8.49</v>
      </c>
      <c r="E710">
        <f>IF(COUNTIF($A$1:$A709, A710) = 0, 100, E709*(1+D710*0.01))</f>
        <v>150.6633311111396</v>
      </c>
    </row>
    <row r="711" spans="1:5">
      <c r="A711" t="s">
        <v>116</v>
      </c>
      <c r="B711">
        <v>2008</v>
      </c>
      <c r="C711" s="14">
        <v>2.29</v>
      </c>
      <c r="D711" s="15">
        <f t="shared" si="11"/>
        <v>2.29</v>
      </c>
      <c r="E711">
        <f>IF(COUNTIF($A$1:$A710, A711) = 0, 100, E710*(1+D711*0.01))</f>
        <v>154.11352139358468</v>
      </c>
    </row>
    <row r="712" spans="1:5">
      <c r="A712" t="s">
        <v>116</v>
      </c>
      <c r="B712">
        <v>2009</v>
      </c>
      <c r="C712" s="14">
        <v>3.58</v>
      </c>
      <c r="D712" s="15">
        <f t="shared" si="11"/>
        <v>3.58</v>
      </c>
      <c r="E712">
        <f>IF(COUNTIF($A$1:$A711, A712) = 0, 100, E711*(1+D712*0.01))</f>
        <v>159.63078545947502</v>
      </c>
    </row>
    <row r="713" spans="1:5">
      <c r="A713" t="s">
        <v>116</v>
      </c>
      <c r="B713">
        <v>2010</v>
      </c>
      <c r="C713" s="14">
        <v>2.39</v>
      </c>
      <c r="D713" s="15">
        <f t="shared" si="11"/>
        <v>2.39</v>
      </c>
      <c r="E713">
        <f>IF(COUNTIF($A$1:$A712, A713) = 0, 100, E712*(1+D713*0.01))</f>
        <v>163.44596123195649</v>
      </c>
    </row>
    <row r="714" spans="1:5">
      <c r="A714" t="s">
        <v>116</v>
      </c>
      <c r="B714">
        <v>2011</v>
      </c>
      <c r="C714" s="14">
        <v>3.2</v>
      </c>
      <c r="D714" s="15">
        <f t="shared" si="11"/>
        <v>3.2</v>
      </c>
      <c r="E714">
        <f>IF(COUNTIF($A$1:$A713, A714) = 0, 100, E713*(1+D714*0.01))</f>
        <v>168.6762319913791</v>
      </c>
    </row>
    <row r="715" spans="1:5">
      <c r="A715" t="s">
        <v>116</v>
      </c>
      <c r="B715">
        <v>2012</v>
      </c>
      <c r="C715" s="14">
        <v>3.4</v>
      </c>
      <c r="D715" s="15">
        <f t="shared" si="11"/>
        <v>3.4</v>
      </c>
      <c r="E715">
        <f>IF(COUNTIF($A$1:$A714, A715) = 0, 100, E714*(1+D715*0.01))</f>
        <v>174.41122387908598</v>
      </c>
    </row>
    <row r="716" spans="1:5">
      <c r="A716" t="s">
        <v>116</v>
      </c>
      <c r="B716">
        <v>2013</v>
      </c>
      <c r="C716" s="14">
        <v>4.2</v>
      </c>
      <c r="D716" s="15">
        <f t="shared" si="11"/>
        <v>4.2</v>
      </c>
      <c r="E716">
        <f>IF(COUNTIF($A$1:$A715, A716) = 0, 100, E715*(1+D716*0.01))</f>
        <v>181.73649528200761</v>
      </c>
    </row>
    <row r="717" spans="1:5">
      <c r="A717" t="s">
        <v>116</v>
      </c>
      <c r="B717">
        <v>2014</v>
      </c>
      <c r="C717" s="14">
        <v>4.0999999999999996</v>
      </c>
      <c r="D717" s="15">
        <f t="shared" si="11"/>
        <v>4.0999999999999996</v>
      </c>
      <c r="E717">
        <f>IF(COUNTIF($A$1:$A716, A717) = 0, 100, E716*(1+D717*0.01))</f>
        <v>189.18769158856992</v>
      </c>
    </row>
    <row r="718" spans="1:5">
      <c r="A718" t="s">
        <v>116</v>
      </c>
      <c r="B718">
        <v>2015</v>
      </c>
      <c r="C718" s="14">
        <v>6.3</v>
      </c>
      <c r="D718" s="15">
        <f t="shared" si="11"/>
        <v>6.3</v>
      </c>
      <c r="E718">
        <f>IF(COUNTIF($A$1:$A717, A718) = 0, 100, E717*(1+D718*0.01))</f>
        <v>201.10651615864981</v>
      </c>
    </row>
    <row r="719" spans="1:5">
      <c r="A719" t="s">
        <v>116</v>
      </c>
      <c r="B719">
        <v>2016</v>
      </c>
      <c r="C719" s="14">
        <v>1.3</v>
      </c>
      <c r="D719" s="15">
        <f t="shared" si="11"/>
        <v>1.3</v>
      </c>
      <c r="E719">
        <f>IF(COUNTIF($A$1:$A718, A719) = 0, 100, E718*(1+D719*0.01))</f>
        <v>203.72090086871225</v>
      </c>
    </row>
    <row r="720" spans="1:5">
      <c r="A720" t="s">
        <v>116</v>
      </c>
      <c r="B720">
        <v>2017</v>
      </c>
      <c r="C720" s="14">
        <v>4.3</v>
      </c>
      <c r="D720" s="15">
        <f t="shared" si="11"/>
        <v>4.3</v>
      </c>
      <c r="E720">
        <f>IF(COUNTIF($A$1:$A719, A720) = 0, 100, E719*(1+D720*0.01))</f>
        <v>212.48089960606686</v>
      </c>
    </row>
    <row r="721" spans="1:5">
      <c r="A721" t="s">
        <v>116</v>
      </c>
      <c r="B721">
        <v>2018</v>
      </c>
      <c r="C721" s="14">
        <v>2.4</v>
      </c>
      <c r="D721" s="15">
        <f t="shared" si="11"/>
        <v>2.4</v>
      </c>
      <c r="E721">
        <f>IF(COUNTIF($A$1:$A720, A721) = 0, 100, E720*(1+D721*0.01))</f>
        <v>217.58044119661247</v>
      </c>
    </row>
    <row r="722" spans="1:5">
      <c r="A722" t="s">
        <v>116</v>
      </c>
      <c r="B722">
        <v>2019</v>
      </c>
      <c r="C722" s="14">
        <v>5.5</v>
      </c>
      <c r="D722" s="15">
        <f t="shared" si="11"/>
        <v>5.5</v>
      </c>
      <c r="E722">
        <f>IF(COUNTIF($A$1:$A721, A722) = 0, 100, E721*(1+D722*0.01))</f>
        <v>229.54736546242614</v>
      </c>
    </row>
    <row r="723" spans="1:5">
      <c r="A723" t="s">
        <v>116</v>
      </c>
      <c r="B723">
        <v>2020</v>
      </c>
      <c r="C723" s="14">
        <v>4.4000000000000004</v>
      </c>
      <c r="D723" s="15">
        <f t="shared" si="11"/>
        <v>4.4000000000000004</v>
      </c>
      <c r="E723">
        <f>IF(COUNTIF($A$1:$A722, A723) = 0, 100, E722*(1+D723*0.01))</f>
        <v>239.6474495427729</v>
      </c>
    </row>
    <row r="724" spans="1:5">
      <c r="A724" t="s">
        <v>116</v>
      </c>
      <c r="B724">
        <v>2021</v>
      </c>
      <c r="C724" s="14">
        <v>5.3</v>
      </c>
      <c r="D724" s="15">
        <f t="shared" si="11"/>
        <v>5.3</v>
      </c>
      <c r="E724">
        <f>IF(COUNTIF($A$1:$A723, A724) = 0, 100, E723*(1+D724*0.01))</f>
        <v>252.34876436853986</v>
      </c>
    </row>
    <row r="725" spans="1:5">
      <c r="A725" t="s">
        <v>117</v>
      </c>
      <c r="B725">
        <v>1997</v>
      </c>
      <c r="C725" s="14">
        <v>0.02</v>
      </c>
      <c r="D725" s="15">
        <f t="shared" si="11"/>
        <v>2</v>
      </c>
      <c r="E725">
        <f>IF(COUNTIF($A$1:$A724, A725) = 0, 100, E724*(1+D725*0.01))</f>
        <v>100</v>
      </c>
    </row>
    <row r="726" spans="1:5">
      <c r="A726" t="s">
        <v>117</v>
      </c>
      <c r="B726">
        <v>1998</v>
      </c>
      <c r="C726" s="14">
        <v>0.06</v>
      </c>
      <c r="D726" s="15">
        <f t="shared" si="11"/>
        <v>6</v>
      </c>
      <c r="E726">
        <f>IF(COUNTIF($A$1:$A725, A726) = 0, 100, E725*(1+D726*0.01))</f>
        <v>106</v>
      </c>
    </row>
    <row r="727" spans="1:5">
      <c r="A727" t="s">
        <v>117</v>
      </c>
      <c r="B727">
        <v>1999</v>
      </c>
      <c r="C727" s="14">
        <v>0.08</v>
      </c>
      <c r="D727" s="15">
        <f t="shared" si="11"/>
        <v>8</v>
      </c>
      <c r="E727">
        <f>IF(COUNTIF($A$1:$A726, A727) = 0, 100, E726*(1+D727*0.01))</f>
        <v>114.48</v>
      </c>
    </row>
    <row r="728" spans="1:5">
      <c r="A728" t="s">
        <v>117</v>
      </c>
      <c r="B728">
        <v>2000</v>
      </c>
      <c r="C728" s="14">
        <v>-0.01</v>
      </c>
      <c r="D728" s="15">
        <f t="shared" si="11"/>
        <v>-1</v>
      </c>
      <c r="E728">
        <f>IF(COUNTIF($A$1:$A727, A728) = 0, 100, E727*(1+D728*0.01))</f>
        <v>113.3352</v>
      </c>
    </row>
    <row r="729" spans="1:5">
      <c r="A729" t="s">
        <v>117</v>
      </c>
      <c r="B729">
        <v>2001</v>
      </c>
      <c r="C729" s="14">
        <v>0</v>
      </c>
      <c r="D729" s="15">
        <f t="shared" si="11"/>
        <v>0</v>
      </c>
      <c r="E729">
        <f>IF(COUNTIF($A$1:$A728, A729) = 0, 100, E728*(1+D729*0.01))</f>
        <v>113.3352</v>
      </c>
    </row>
    <row r="730" spans="1:5">
      <c r="A730" t="s">
        <v>117</v>
      </c>
      <c r="B730">
        <v>2002</v>
      </c>
      <c r="C730" s="14">
        <v>0.02</v>
      </c>
      <c r="D730" s="15">
        <f t="shared" si="11"/>
        <v>2</v>
      </c>
      <c r="E730">
        <f>IF(COUNTIF($A$1:$A729, A730) = 0, 100, E729*(1+D730*0.01))</f>
        <v>115.601904</v>
      </c>
    </row>
    <row r="731" spans="1:5">
      <c r="A731" t="s">
        <v>117</v>
      </c>
      <c r="B731">
        <v>2003</v>
      </c>
      <c r="C731" s="14">
        <v>0.08</v>
      </c>
      <c r="D731" s="15">
        <f t="shared" si="11"/>
        <v>8</v>
      </c>
      <c r="E731">
        <f>IF(COUNTIF($A$1:$A730, A731) = 0, 100, E730*(1+D731*0.01))</f>
        <v>124.85005632000001</v>
      </c>
    </row>
    <row r="732" spans="1:5">
      <c r="A732" t="s">
        <v>117</v>
      </c>
      <c r="B732">
        <v>2004</v>
      </c>
      <c r="C732" s="14">
        <v>0.09</v>
      </c>
      <c r="D732" s="15">
        <f t="shared" si="11"/>
        <v>9</v>
      </c>
      <c r="E732">
        <f>IF(COUNTIF($A$1:$A731, A732) = 0, 100, E731*(1+D732*0.01))</f>
        <v>136.08656138880002</v>
      </c>
    </row>
    <row r="733" spans="1:5">
      <c r="A733" t="s">
        <v>117</v>
      </c>
      <c r="B733">
        <v>2005</v>
      </c>
      <c r="C733" s="14">
        <v>0.09</v>
      </c>
      <c r="D733" s="15">
        <f t="shared" si="11"/>
        <v>9</v>
      </c>
      <c r="E733">
        <f>IF(COUNTIF($A$1:$A732, A733) = 0, 100, E732*(1+D733*0.01))</f>
        <v>148.33435191379203</v>
      </c>
    </row>
    <row r="734" spans="1:5">
      <c r="A734" t="s">
        <v>117</v>
      </c>
      <c r="B734">
        <v>2006</v>
      </c>
      <c r="C734" s="14">
        <v>8.25</v>
      </c>
      <c r="D734" s="15">
        <f t="shared" si="11"/>
        <v>8.25</v>
      </c>
      <c r="E734">
        <f>IF(COUNTIF($A$1:$A733, A734) = 0, 100, E733*(1+D734*0.01))</f>
        <v>160.57193594667987</v>
      </c>
    </row>
    <row r="735" spans="1:5">
      <c r="A735" t="s">
        <v>117</v>
      </c>
      <c r="B735">
        <v>2007</v>
      </c>
      <c r="C735" s="14">
        <v>0.62</v>
      </c>
      <c r="D735" s="15">
        <f t="shared" si="11"/>
        <v>0.62</v>
      </c>
      <c r="E735">
        <f>IF(COUNTIF($A$1:$A734, A735) = 0, 100, E734*(1+D735*0.01))</f>
        <v>161.56748194954929</v>
      </c>
    </row>
    <row r="736" spans="1:5">
      <c r="A736" t="s">
        <v>117</v>
      </c>
      <c r="B736">
        <v>2008</v>
      </c>
      <c r="C736" s="14">
        <v>-17.55</v>
      </c>
      <c r="D736" s="15">
        <f t="shared" si="11"/>
        <v>-17.55</v>
      </c>
      <c r="E736">
        <f>IF(COUNTIF($A$1:$A735, A736) = 0, 100, E735*(1+D736*0.01))</f>
        <v>133.2123888674034</v>
      </c>
    </row>
    <row r="737" spans="1:5">
      <c r="A737" t="s">
        <v>117</v>
      </c>
      <c r="B737">
        <v>2009</v>
      </c>
      <c r="C737" s="14">
        <v>4.9800000000000004</v>
      </c>
      <c r="D737" s="15">
        <f t="shared" si="11"/>
        <v>4.9800000000000004</v>
      </c>
      <c r="E737">
        <f>IF(COUNTIF($A$1:$A736, A737) = 0, 100, E736*(1+D737*0.01))</f>
        <v>139.84636583300011</v>
      </c>
    </row>
    <row r="738" spans="1:5">
      <c r="A738" t="s">
        <v>117</v>
      </c>
      <c r="B738">
        <v>2010</v>
      </c>
      <c r="C738" s="14">
        <v>5.77</v>
      </c>
      <c r="D738" s="15">
        <f t="shared" si="11"/>
        <v>5.77</v>
      </c>
      <c r="E738">
        <f>IF(COUNTIF($A$1:$A737, A738) = 0, 100, E737*(1+D738*0.01))</f>
        <v>147.91550114156422</v>
      </c>
    </row>
    <row r="739" spans="1:5">
      <c r="A739" t="s">
        <v>117</v>
      </c>
      <c r="B739">
        <v>2011</v>
      </c>
      <c r="C739" s="14">
        <v>1.96</v>
      </c>
      <c r="D739" s="15">
        <f t="shared" si="11"/>
        <v>1.96</v>
      </c>
      <c r="E739">
        <f>IF(COUNTIF($A$1:$A738, A739) = 0, 100, E738*(1+D739*0.01))</f>
        <v>150.81464496393889</v>
      </c>
    </row>
    <row r="740" spans="1:5">
      <c r="A740" t="s">
        <v>117</v>
      </c>
      <c r="B740">
        <v>2012</v>
      </c>
      <c r="C740" s="14">
        <v>7.04</v>
      </c>
      <c r="D740" s="15">
        <f t="shared" si="11"/>
        <v>7.04</v>
      </c>
      <c r="E740">
        <f>IF(COUNTIF($A$1:$A739, A740) = 0, 100, E739*(1+D740*0.01))</f>
        <v>161.43199596940019</v>
      </c>
    </row>
    <row r="741" spans="1:5">
      <c r="A741" t="s">
        <v>117</v>
      </c>
      <c r="B741">
        <v>2013</v>
      </c>
      <c r="C741" s="14">
        <v>5.14</v>
      </c>
      <c r="D741" s="15">
        <f t="shared" si="11"/>
        <v>5.14</v>
      </c>
      <c r="E741">
        <f>IF(COUNTIF($A$1:$A740, A741) = 0, 100, E740*(1+D741*0.01))</f>
        <v>169.72960056222738</v>
      </c>
    </row>
    <row r="742" spans="1:5">
      <c r="A742" t="s">
        <v>117</v>
      </c>
      <c r="B742">
        <v>2014</v>
      </c>
      <c r="C742" s="14">
        <v>6.96</v>
      </c>
      <c r="D742" s="15">
        <f t="shared" si="11"/>
        <v>6.96</v>
      </c>
      <c r="E742">
        <f>IF(COUNTIF($A$1:$A741, A742) = 0, 100, E741*(1+D742*0.01))</f>
        <v>181.54278076135839</v>
      </c>
    </row>
    <row r="743" spans="1:5">
      <c r="A743" t="s">
        <v>117</v>
      </c>
      <c r="B743">
        <v>2015</v>
      </c>
      <c r="C743" s="14">
        <v>5.34</v>
      </c>
      <c r="D743" s="15">
        <f t="shared" si="11"/>
        <v>5.34</v>
      </c>
      <c r="E743">
        <f>IF(COUNTIF($A$1:$A742, A743) = 0, 100, E742*(1+D743*0.01))</f>
        <v>191.23716525401491</v>
      </c>
    </row>
    <row r="744" spans="1:5">
      <c r="A744" t="s">
        <v>117</v>
      </c>
      <c r="B744">
        <v>2016</v>
      </c>
      <c r="C744" s="14">
        <v>-0.36</v>
      </c>
      <c r="D744" s="15">
        <f t="shared" si="11"/>
        <v>-0.36</v>
      </c>
      <c r="E744">
        <f>IF(COUNTIF($A$1:$A743, A744) = 0, 100, E743*(1+D744*0.01))</f>
        <v>190.54871145910045</v>
      </c>
    </row>
    <row r="745" spans="1:5">
      <c r="A745" t="s">
        <v>117</v>
      </c>
      <c r="B745">
        <v>2017</v>
      </c>
      <c r="C745" s="14">
        <v>5.5</v>
      </c>
      <c r="D745" s="15">
        <f t="shared" si="11"/>
        <v>5.5</v>
      </c>
      <c r="E745">
        <f>IF(COUNTIF($A$1:$A744, A745) = 0, 100, E744*(1+D745*0.01))</f>
        <v>201.02889058935097</v>
      </c>
    </row>
    <row r="746" spans="1:5">
      <c r="A746" t="s">
        <v>117</v>
      </c>
      <c r="B746">
        <v>2018</v>
      </c>
      <c r="C746" s="14">
        <v>1.96</v>
      </c>
      <c r="D746" s="15">
        <f t="shared" si="11"/>
        <v>1.96</v>
      </c>
      <c r="E746">
        <f>IF(COUNTIF($A$1:$A745, A746) = 0, 100, E745*(1+D746*0.01))</f>
        <v>204.96905684490227</v>
      </c>
    </row>
    <row r="747" spans="1:5">
      <c r="A747" t="s">
        <v>117</v>
      </c>
      <c r="B747">
        <v>2019</v>
      </c>
      <c r="C747" s="14">
        <v>11.96</v>
      </c>
      <c r="D747" s="15">
        <f t="shared" si="11"/>
        <v>11.96</v>
      </c>
      <c r="E747">
        <f>IF(COUNTIF($A$1:$A746, A747) = 0, 100, E746*(1+D747*0.01))</f>
        <v>229.48335604355256</v>
      </c>
    </row>
    <row r="748" spans="1:5">
      <c r="A748" t="s">
        <v>117</v>
      </c>
      <c r="B748">
        <v>2020</v>
      </c>
      <c r="C748" s="14">
        <v>8.9600000000000009</v>
      </c>
      <c r="D748" s="15">
        <f t="shared" si="11"/>
        <v>8.9600000000000009</v>
      </c>
      <c r="E748">
        <f>IF(COUNTIF($A$1:$A747, A748) = 0, 100, E747*(1+D748*0.01))</f>
        <v>250.04506474505484</v>
      </c>
    </row>
    <row r="749" spans="1:5">
      <c r="A749" t="s">
        <v>117</v>
      </c>
      <c r="B749">
        <v>2021</v>
      </c>
      <c r="C749" s="14">
        <v>7.14</v>
      </c>
      <c r="D749" s="15">
        <f t="shared" si="11"/>
        <v>7.14</v>
      </c>
      <c r="E749">
        <f>IF(COUNTIF($A$1:$A748, A749) = 0, 100, E748*(1+D749*0.01))</f>
        <v>267.89828236785172</v>
      </c>
    </row>
    <row r="750" spans="1:5">
      <c r="A750" t="s">
        <v>118</v>
      </c>
      <c r="B750">
        <v>2000</v>
      </c>
      <c r="C750" s="14">
        <v>-0.1</v>
      </c>
      <c r="D750" s="15">
        <f t="shared" si="11"/>
        <v>-10</v>
      </c>
      <c r="E750">
        <f>IF(COUNTIF($A$1:$A749, A750) = 0, 100, E749*(1+D750*0.01))</f>
        <v>100</v>
      </c>
    </row>
    <row r="751" spans="1:5">
      <c r="A751" t="s">
        <v>118</v>
      </c>
      <c r="B751">
        <v>2001</v>
      </c>
      <c r="C751" s="14">
        <v>-0.03</v>
      </c>
      <c r="D751" s="15">
        <f t="shared" si="11"/>
        <v>-3</v>
      </c>
      <c r="E751">
        <f>IF(COUNTIF($A$1:$A750, A751) = 0, 100, E750*(1+D751*0.01))</f>
        <v>97</v>
      </c>
    </row>
    <row r="752" spans="1:5">
      <c r="A752" t="s">
        <v>118</v>
      </c>
      <c r="B752">
        <v>2002</v>
      </c>
      <c r="C752" s="14">
        <v>0</v>
      </c>
      <c r="D752" s="15">
        <f t="shared" si="11"/>
        <v>0</v>
      </c>
      <c r="E752">
        <f>IF(COUNTIF($A$1:$A751, A752) = 0, 100, E751*(1+D752*0.01))</f>
        <v>97</v>
      </c>
    </row>
    <row r="753" spans="1:5">
      <c r="A753" t="s">
        <v>118</v>
      </c>
      <c r="B753">
        <v>2003</v>
      </c>
      <c r="C753" s="14">
        <v>0.1</v>
      </c>
      <c r="D753" s="15">
        <f t="shared" si="11"/>
        <v>10</v>
      </c>
      <c r="E753">
        <f>IF(COUNTIF($A$1:$A752, A753) = 0, 100, E752*(1+D753*0.01))</f>
        <v>106.7</v>
      </c>
    </row>
    <row r="754" spans="1:5">
      <c r="A754" t="s">
        <v>118</v>
      </c>
      <c r="B754">
        <v>2004</v>
      </c>
      <c r="C754" s="14">
        <v>7.0000000000000007E-2</v>
      </c>
      <c r="D754" s="15">
        <f t="shared" si="11"/>
        <v>7.0000000000000009</v>
      </c>
      <c r="E754">
        <f>IF(COUNTIF($A$1:$A753, A754) = 0, 100, E753*(1+D754*0.01))</f>
        <v>114.16900000000001</v>
      </c>
    </row>
    <row r="755" spans="1:5">
      <c r="A755" t="s">
        <v>118</v>
      </c>
      <c r="B755">
        <v>2005</v>
      </c>
      <c r="C755" s="14">
        <v>7.0000000000000007E-2</v>
      </c>
      <c r="D755" s="15">
        <f t="shared" si="11"/>
        <v>7.0000000000000009</v>
      </c>
      <c r="E755">
        <f>IF(COUNTIF($A$1:$A754, A755) = 0, 100, E754*(1+D755*0.01))</f>
        <v>122.16083000000002</v>
      </c>
    </row>
    <row r="756" spans="1:5">
      <c r="A756" t="s">
        <v>118</v>
      </c>
      <c r="B756">
        <v>2006</v>
      </c>
      <c r="C756" s="14">
        <v>5.75</v>
      </c>
      <c r="D756" s="15">
        <f t="shared" si="11"/>
        <v>5.75</v>
      </c>
      <c r="E756">
        <f>IF(COUNTIF($A$1:$A755, A756) = 0, 100, E755*(1+D756*0.01))</f>
        <v>129.18507772500004</v>
      </c>
    </row>
    <row r="757" spans="1:5">
      <c r="A757" t="s">
        <v>118</v>
      </c>
      <c r="B757">
        <v>2007</v>
      </c>
      <c r="C757" s="14">
        <v>0.52</v>
      </c>
      <c r="D757" s="15">
        <f t="shared" si="11"/>
        <v>0.52</v>
      </c>
      <c r="E757">
        <f>IF(COUNTIF($A$1:$A756, A757) = 0, 100, E756*(1+D757*0.01))</f>
        <v>129.85684012917005</v>
      </c>
    </row>
    <row r="758" spans="1:5">
      <c r="A758" t="s">
        <v>118</v>
      </c>
      <c r="B758">
        <v>2008</v>
      </c>
      <c r="C758" s="14">
        <v>-4.78</v>
      </c>
      <c r="D758" s="15">
        <f t="shared" si="11"/>
        <v>-4.78</v>
      </c>
      <c r="E758">
        <f>IF(COUNTIF($A$1:$A757, A758) = 0, 100, E757*(1+D758*0.01))</f>
        <v>123.64968317099573</v>
      </c>
    </row>
    <row r="759" spans="1:5">
      <c r="A759" t="s">
        <v>118</v>
      </c>
      <c r="B759">
        <v>2009</v>
      </c>
      <c r="C759" s="14">
        <v>4.66</v>
      </c>
      <c r="D759" s="15">
        <f t="shared" si="11"/>
        <v>4.66</v>
      </c>
      <c r="E759">
        <f>IF(COUNTIF($A$1:$A758, A759) = 0, 100, E758*(1+D759*0.01))</f>
        <v>129.41175840676414</v>
      </c>
    </row>
    <row r="760" spans="1:5">
      <c r="A760" t="s">
        <v>118</v>
      </c>
      <c r="B760">
        <v>2010</v>
      </c>
      <c r="C760" s="14">
        <v>3.49</v>
      </c>
      <c r="D760" s="15">
        <f t="shared" si="11"/>
        <v>3.49</v>
      </c>
      <c r="E760">
        <f>IF(COUNTIF($A$1:$A759, A760) = 0, 100, E759*(1+D760*0.01))</f>
        <v>133.92822877516019</v>
      </c>
    </row>
    <row r="761" spans="1:5">
      <c r="A761" t="s">
        <v>118</v>
      </c>
      <c r="B761">
        <v>2011</v>
      </c>
      <c r="C761" s="14">
        <v>4.68</v>
      </c>
      <c r="D761" s="15">
        <f t="shared" si="11"/>
        <v>4.68</v>
      </c>
      <c r="E761">
        <f>IF(COUNTIF($A$1:$A760, A761) = 0, 100, E760*(1+D761*0.01))</f>
        <v>140.19606988183767</v>
      </c>
    </row>
    <row r="762" spans="1:5">
      <c r="A762" t="s">
        <v>118</v>
      </c>
      <c r="B762">
        <v>2012</v>
      </c>
      <c r="C762" s="14">
        <v>4.04</v>
      </c>
      <c r="D762" s="15">
        <f t="shared" si="11"/>
        <v>4.04</v>
      </c>
      <c r="E762">
        <f>IF(COUNTIF($A$1:$A761, A762) = 0, 100, E761*(1+D762*0.01))</f>
        <v>145.85999110506393</v>
      </c>
    </row>
    <row r="763" spans="1:5">
      <c r="A763" t="s">
        <v>118</v>
      </c>
      <c r="B763">
        <v>2013</v>
      </c>
      <c r="C763" s="14">
        <v>2.78</v>
      </c>
      <c r="D763" s="15">
        <f t="shared" si="11"/>
        <v>2.78</v>
      </c>
      <c r="E763">
        <f>IF(COUNTIF($A$1:$A762, A763) = 0, 100, E762*(1+D763*0.01))</f>
        <v>149.91489885778472</v>
      </c>
    </row>
    <row r="764" spans="1:5">
      <c r="A764" t="s">
        <v>118</v>
      </c>
      <c r="B764">
        <v>2014</v>
      </c>
      <c r="C764" s="14">
        <v>3.97</v>
      </c>
      <c r="D764" s="15">
        <f t="shared" si="11"/>
        <v>3.97</v>
      </c>
      <c r="E764">
        <f>IF(COUNTIF($A$1:$A763, A764) = 0, 100, E763*(1+D764*0.01))</f>
        <v>155.86652034243878</v>
      </c>
    </row>
    <row r="765" spans="1:5">
      <c r="A765" t="s">
        <v>118</v>
      </c>
      <c r="B765">
        <v>2015</v>
      </c>
      <c r="C765" s="14">
        <v>7.73</v>
      </c>
      <c r="D765" s="15">
        <f t="shared" si="11"/>
        <v>7.73</v>
      </c>
      <c r="E765">
        <f>IF(COUNTIF($A$1:$A764, A765) = 0, 100, E764*(1+D765*0.01))</f>
        <v>167.91500236490927</v>
      </c>
    </row>
    <row r="766" spans="1:5">
      <c r="A766" t="s">
        <v>118</v>
      </c>
      <c r="B766">
        <v>2016</v>
      </c>
      <c r="C766" s="14">
        <v>-0.63</v>
      </c>
      <c r="D766" s="15">
        <f t="shared" si="11"/>
        <v>-0.63</v>
      </c>
      <c r="E766">
        <f>IF(COUNTIF($A$1:$A765, A766) = 0, 100, E765*(1+D766*0.01))</f>
        <v>166.85713785001036</v>
      </c>
    </row>
    <row r="767" spans="1:5">
      <c r="A767" t="s">
        <v>119</v>
      </c>
      <c r="B767">
        <v>1997</v>
      </c>
      <c r="C767" s="14">
        <v>0.06</v>
      </c>
      <c r="D767" s="15">
        <f t="shared" si="11"/>
        <v>6</v>
      </c>
      <c r="E767">
        <f>IF(COUNTIF($A$1:$A766, A767) = 0, 100, E766*(1+D767*0.01))</f>
        <v>100</v>
      </c>
    </row>
    <row r="768" spans="1:5">
      <c r="A768" t="s">
        <v>119</v>
      </c>
      <c r="B768">
        <v>1998</v>
      </c>
      <c r="C768" s="14">
        <v>7.0000000000000007E-2</v>
      </c>
      <c r="D768" s="15">
        <f t="shared" si="11"/>
        <v>7.0000000000000009</v>
      </c>
      <c r="E768">
        <f>IF(COUNTIF($A$1:$A767, A768) = 0, 100, E767*(1+D768*0.01))</f>
        <v>107</v>
      </c>
    </row>
    <row r="769" spans="1:5">
      <c r="A769" t="s">
        <v>119</v>
      </c>
      <c r="B769">
        <v>1999</v>
      </c>
      <c r="C769" s="14">
        <v>0.06</v>
      </c>
      <c r="D769" s="15">
        <f t="shared" si="11"/>
        <v>6</v>
      </c>
      <c r="E769">
        <f>IF(COUNTIF($A$1:$A768, A769) = 0, 100, E768*(1+D769*0.01))</f>
        <v>113.42</v>
      </c>
    </row>
    <row r="770" spans="1:5">
      <c r="A770" t="s">
        <v>119</v>
      </c>
      <c r="B770">
        <v>2000</v>
      </c>
      <c r="C770" s="14">
        <v>0</v>
      </c>
      <c r="D770" s="15">
        <f t="shared" ref="D770:D833" si="12">IF(B770&lt;2006,C770*100,C770)</f>
        <v>0</v>
      </c>
      <c r="E770">
        <f>IF(COUNTIF($A$1:$A769, A770) = 0, 100, E769*(1+D770*0.01))</f>
        <v>113.42</v>
      </c>
    </row>
    <row r="771" spans="1:5">
      <c r="A771" t="s">
        <v>119</v>
      </c>
      <c r="B771">
        <v>2001</v>
      </c>
      <c r="C771" s="14">
        <v>0.02</v>
      </c>
      <c r="D771" s="15">
        <f t="shared" si="12"/>
        <v>2</v>
      </c>
      <c r="E771">
        <f>IF(COUNTIF($A$1:$A770, A771) = 0, 100, E770*(1+D771*0.01))</f>
        <v>115.6884</v>
      </c>
    </row>
    <row r="772" spans="1:5">
      <c r="A772" t="s">
        <v>119</v>
      </c>
      <c r="B772">
        <v>2002</v>
      </c>
      <c r="C772" s="14">
        <v>7.0000000000000007E-2</v>
      </c>
      <c r="D772" s="15">
        <f t="shared" si="12"/>
        <v>7.0000000000000009</v>
      </c>
      <c r="E772">
        <f>IF(COUNTIF($A$1:$A771, A772) = 0, 100, E771*(1+D772*0.01))</f>
        <v>123.78658800000001</v>
      </c>
    </row>
    <row r="773" spans="1:5">
      <c r="A773" t="s">
        <v>119</v>
      </c>
      <c r="B773">
        <v>2003</v>
      </c>
      <c r="C773" s="14">
        <v>0.09</v>
      </c>
      <c r="D773" s="15">
        <f t="shared" si="12"/>
        <v>9</v>
      </c>
      <c r="E773">
        <f>IF(COUNTIF($A$1:$A772, A773) = 0, 100, E772*(1+D773*0.01))</f>
        <v>134.92738092000002</v>
      </c>
    </row>
    <row r="774" spans="1:5">
      <c r="A774" t="s">
        <v>119</v>
      </c>
      <c r="B774">
        <v>2004</v>
      </c>
      <c r="C774" s="14">
        <v>7.0000000000000007E-2</v>
      </c>
      <c r="D774" s="15">
        <f t="shared" si="12"/>
        <v>7.0000000000000009</v>
      </c>
      <c r="E774">
        <f>IF(COUNTIF($A$1:$A773, A774) = 0, 100, E773*(1+D774*0.01))</f>
        <v>144.37229758440003</v>
      </c>
    </row>
    <row r="775" spans="1:5">
      <c r="A775" t="s">
        <v>119</v>
      </c>
      <c r="B775">
        <v>2005</v>
      </c>
      <c r="C775" s="14">
        <v>0.05</v>
      </c>
      <c r="D775" s="15">
        <f t="shared" si="12"/>
        <v>5</v>
      </c>
      <c r="E775">
        <f>IF(COUNTIF($A$1:$A774, A775) = 0, 100, E774*(1+D775*0.01))</f>
        <v>151.59091246362004</v>
      </c>
    </row>
    <row r="776" spans="1:5">
      <c r="A776" t="s">
        <v>119</v>
      </c>
      <c r="B776">
        <v>2006</v>
      </c>
      <c r="C776" s="14">
        <v>5.07</v>
      </c>
      <c r="D776" s="15">
        <f t="shared" si="12"/>
        <v>5.07</v>
      </c>
      <c r="E776">
        <f>IF(COUNTIF($A$1:$A775, A776) = 0, 100, E775*(1+D776*0.01))</f>
        <v>159.27657172552557</v>
      </c>
    </row>
    <row r="777" spans="1:5">
      <c r="A777" t="s">
        <v>120</v>
      </c>
      <c r="B777">
        <v>1997</v>
      </c>
      <c r="C777" s="14">
        <v>0.05</v>
      </c>
      <c r="D777" s="15">
        <f t="shared" si="12"/>
        <v>5</v>
      </c>
      <c r="E777">
        <f>IF(COUNTIF($A$1:$A776, A777) = 0, 100, E776*(1+D777*0.01))</f>
        <v>100</v>
      </c>
    </row>
    <row r="778" spans="1:5">
      <c r="A778" t="s">
        <v>120</v>
      </c>
      <c r="B778">
        <v>1998</v>
      </c>
      <c r="C778" s="14">
        <v>0.05</v>
      </c>
      <c r="D778" s="15">
        <f t="shared" si="12"/>
        <v>5</v>
      </c>
      <c r="E778">
        <f>IF(COUNTIF($A$1:$A777, A778) = 0, 100, E777*(1+D778*0.01))</f>
        <v>105</v>
      </c>
    </row>
    <row r="779" spans="1:5">
      <c r="A779" t="s">
        <v>120</v>
      </c>
      <c r="B779">
        <v>1999</v>
      </c>
      <c r="C779" s="14">
        <v>0.05</v>
      </c>
      <c r="D779" s="15">
        <f t="shared" si="12"/>
        <v>5</v>
      </c>
      <c r="E779">
        <f>IF(COUNTIF($A$1:$A778, A779) = 0, 100, E778*(1+D779*0.01))</f>
        <v>110.25</v>
      </c>
    </row>
    <row r="780" spans="1:5">
      <c r="A780" t="s">
        <v>121</v>
      </c>
      <c r="B780">
        <v>1997</v>
      </c>
      <c r="C780" s="14">
        <v>0.06</v>
      </c>
      <c r="D780" s="15">
        <f t="shared" si="12"/>
        <v>6</v>
      </c>
      <c r="E780">
        <f>IF(COUNTIF($A$1:$A779, A780) = 0, 100, E779*(1+D780*0.01))</f>
        <v>100</v>
      </c>
    </row>
    <row r="781" spans="1:5">
      <c r="A781" t="s">
        <v>122</v>
      </c>
      <c r="B781">
        <v>1997</v>
      </c>
      <c r="C781" s="14">
        <v>7.0000000000000007E-2</v>
      </c>
      <c r="D781" s="15">
        <f t="shared" si="12"/>
        <v>7.0000000000000009</v>
      </c>
      <c r="E781">
        <f>IF(COUNTIF($A$1:$A780, A781) = 0, 100, E780*(1+D781*0.01))</f>
        <v>100</v>
      </c>
    </row>
    <row r="782" spans="1:5">
      <c r="A782" t="s">
        <v>122</v>
      </c>
      <c r="B782">
        <v>1998</v>
      </c>
      <c r="C782" s="14">
        <v>0.11</v>
      </c>
      <c r="D782" s="15">
        <f t="shared" si="12"/>
        <v>11</v>
      </c>
      <c r="E782">
        <f>IF(COUNTIF($A$1:$A781, A782) = 0, 100, E781*(1+D782*0.01))</f>
        <v>111.00000000000001</v>
      </c>
    </row>
    <row r="783" spans="1:5">
      <c r="A783" t="s">
        <v>122</v>
      </c>
      <c r="B783">
        <v>1999</v>
      </c>
      <c r="C783" s="14">
        <v>0.22</v>
      </c>
      <c r="D783" s="15">
        <f t="shared" si="12"/>
        <v>22</v>
      </c>
      <c r="E783">
        <f>IF(COUNTIF($A$1:$A782, A783) = 0, 100, E782*(1+D783*0.01))</f>
        <v>135.42000000000002</v>
      </c>
    </row>
    <row r="784" spans="1:5">
      <c r="A784" t="s">
        <v>122</v>
      </c>
      <c r="B784">
        <v>2000</v>
      </c>
      <c r="C784" s="14">
        <v>-0.08</v>
      </c>
      <c r="D784" s="15">
        <f t="shared" si="12"/>
        <v>-8</v>
      </c>
      <c r="E784">
        <f>IF(COUNTIF($A$1:$A783, A784) = 0, 100, E783*(1+D784*0.01))</f>
        <v>124.58640000000003</v>
      </c>
    </row>
    <row r="785" spans="1:5">
      <c r="A785" t="s">
        <v>122</v>
      </c>
      <c r="B785">
        <v>2001</v>
      </c>
      <c r="C785" s="14">
        <v>-0.03</v>
      </c>
      <c r="D785" s="15">
        <f t="shared" si="12"/>
        <v>-3</v>
      </c>
      <c r="E785">
        <f>IF(COUNTIF($A$1:$A784, A785) = 0, 100, E784*(1+D785*0.01))</f>
        <v>120.84880800000002</v>
      </c>
    </row>
    <row r="786" spans="1:5">
      <c r="A786" t="s">
        <v>122</v>
      </c>
      <c r="B786">
        <v>2002</v>
      </c>
      <c r="C786" s="14">
        <v>-0.03</v>
      </c>
      <c r="D786" s="15">
        <f t="shared" si="12"/>
        <v>-3</v>
      </c>
      <c r="E786">
        <f>IF(COUNTIF($A$1:$A785, A786) = 0, 100, E785*(1+D786*0.01))</f>
        <v>117.22334376000002</v>
      </c>
    </row>
    <row r="787" spans="1:5">
      <c r="A787" t="s">
        <v>122</v>
      </c>
      <c r="B787">
        <v>2003</v>
      </c>
      <c r="C787" s="14">
        <v>0.09</v>
      </c>
      <c r="D787" s="15">
        <f t="shared" si="12"/>
        <v>9</v>
      </c>
      <c r="E787">
        <f>IF(COUNTIF($A$1:$A786, A787) = 0, 100, E786*(1+D787*0.01))</f>
        <v>127.77344469840003</v>
      </c>
    </row>
    <row r="788" spans="1:5">
      <c r="A788" t="s">
        <v>122</v>
      </c>
      <c r="B788">
        <v>2004</v>
      </c>
      <c r="C788" s="14">
        <v>7.0000000000000007E-2</v>
      </c>
      <c r="D788" s="15">
        <f t="shared" si="12"/>
        <v>7.0000000000000009</v>
      </c>
      <c r="E788">
        <f>IF(COUNTIF($A$1:$A787, A788) = 0, 100, E787*(1+D788*0.01))</f>
        <v>136.71758582728805</v>
      </c>
    </row>
    <row r="789" spans="1:5">
      <c r="A789" t="s">
        <v>122</v>
      </c>
      <c r="B789">
        <v>2005</v>
      </c>
      <c r="C789" s="14">
        <v>7.0000000000000007E-2</v>
      </c>
      <c r="D789" s="15">
        <f t="shared" si="12"/>
        <v>7.0000000000000009</v>
      </c>
      <c r="E789">
        <f>IF(COUNTIF($A$1:$A788, A789) = 0, 100, E788*(1+D789*0.01))</f>
        <v>146.28781683519821</v>
      </c>
    </row>
    <row r="790" spans="1:5">
      <c r="A790" t="s">
        <v>122</v>
      </c>
      <c r="B790">
        <v>2006</v>
      </c>
      <c r="C790" s="14">
        <v>5.77</v>
      </c>
      <c r="D790" s="15">
        <f t="shared" si="12"/>
        <v>5.77</v>
      </c>
      <c r="E790">
        <f>IF(COUNTIF($A$1:$A789, A790) = 0, 100, E789*(1+D790*0.01))</f>
        <v>154.72862386658917</v>
      </c>
    </row>
    <row r="791" spans="1:5">
      <c r="A791" t="s">
        <v>122</v>
      </c>
      <c r="B791">
        <v>2007</v>
      </c>
      <c r="C791" s="14">
        <v>0.35</v>
      </c>
      <c r="D791" s="15">
        <f t="shared" si="12"/>
        <v>0.35</v>
      </c>
      <c r="E791">
        <f>IF(COUNTIF($A$1:$A790, A791) = 0, 100, E790*(1+D791*0.01))</f>
        <v>155.27017405012225</v>
      </c>
    </row>
    <row r="792" spans="1:5">
      <c r="A792" t="s">
        <v>122</v>
      </c>
      <c r="B792">
        <v>2008</v>
      </c>
      <c r="C792" s="14">
        <v>-10.47</v>
      </c>
      <c r="D792" s="15">
        <f t="shared" si="12"/>
        <v>-10.47</v>
      </c>
      <c r="E792">
        <f>IF(COUNTIF($A$1:$A791, A792) = 0, 100, E791*(1+D792*0.01))</f>
        <v>139.01338682707444</v>
      </c>
    </row>
    <row r="793" spans="1:5">
      <c r="A793" t="s">
        <v>122</v>
      </c>
      <c r="B793">
        <v>2009</v>
      </c>
      <c r="C793" s="14">
        <v>5.22</v>
      </c>
      <c r="D793" s="15">
        <f t="shared" si="12"/>
        <v>5.22</v>
      </c>
      <c r="E793">
        <f>IF(COUNTIF($A$1:$A792, A793) = 0, 100, E792*(1+D793*0.01))</f>
        <v>146.26988561944773</v>
      </c>
    </row>
    <row r="794" spans="1:5">
      <c r="A794" t="s">
        <v>122</v>
      </c>
      <c r="B794">
        <v>2010</v>
      </c>
      <c r="C794" s="14">
        <v>5</v>
      </c>
      <c r="D794" s="15">
        <f t="shared" si="12"/>
        <v>5</v>
      </c>
      <c r="E794">
        <f>IF(COUNTIF($A$1:$A793, A794) = 0, 100, E793*(1+D794*0.01))</f>
        <v>153.58337990042014</v>
      </c>
    </row>
    <row r="795" spans="1:5">
      <c r="A795" t="s">
        <v>122</v>
      </c>
      <c r="B795">
        <v>2011</v>
      </c>
      <c r="C795" s="14">
        <v>2.0299999999999998</v>
      </c>
      <c r="D795" s="15">
        <f t="shared" si="12"/>
        <v>2.0299999999999998</v>
      </c>
      <c r="E795">
        <f>IF(COUNTIF($A$1:$A794, A795) = 0, 100, E794*(1+D795*0.01))</f>
        <v>156.70112251239865</v>
      </c>
    </row>
    <row r="796" spans="1:5">
      <c r="A796" t="s">
        <v>122</v>
      </c>
      <c r="B796">
        <v>2012</v>
      </c>
      <c r="C796" s="14">
        <v>3.23</v>
      </c>
      <c r="D796" s="15">
        <f t="shared" si="12"/>
        <v>3.23</v>
      </c>
      <c r="E796">
        <f>IF(COUNTIF($A$1:$A795, A796) = 0, 100, E795*(1+D796*0.01))</f>
        <v>161.76256876954912</v>
      </c>
    </row>
    <row r="797" spans="1:5">
      <c r="A797" t="s">
        <v>122</v>
      </c>
      <c r="B797">
        <v>2013</v>
      </c>
      <c r="C797" s="14">
        <v>4.3</v>
      </c>
      <c r="D797" s="15">
        <f t="shared" si="12"/>
        <v>4.3</v>
      </c>
      <c r="E797">
        <f>IF(COUNTIF($A$1:$A796, A797) = 0, 100, E796*(1+D797*0.01))</f>
        <v>168.71835922663971</v>
      </c>
    </row>
    <row r="798" spans="1:5">
      <c r="A798" t="s">
        <v>123</v>
      </c>
      <c r="B798">
        <v>1997</v>
      </c>
      <c r="C798" s="14">
        <v>0.1</v>
      </c>
      <c r="D798" s="15">
        <f t="shared" si="12"/>
        <v>10</v>
      </c>
      <c r="E798">
        <f>IF(COUNTIF($A$1:$A797, A798) = 0, 100, E797*(1+D798*0.01))</f>
        <v>100</v>
      </c>
    </row>
    <row r="799" spans="1:5">
      <c r="A799" t="s">
        <v>123</v>
      </c>
      <c r="B799">
        <v>1998</v>
      </c>
      <c r="C799" s="14">
        <v>0.08</v>
      </c>
      <c r="D799" s="15">
        <f t="shared" si="12"/>
        <v>8</v>
      </c>
      <c r="E799">
        <f>IF(COUNTIF($A$1:$A798, A799) = 0, 100, E798*(1+D799*0.01))</f>
        <v>108</v>
      </c>
    </row>
    <row r="800" spans="1:5">
      <c r="A800" t="s">
        <v>123</v>
      </c>
      <c r="B800">
        <v>1999</v>
      </c>
      <c r="C800" s="14">
        <v>0.12</v>
      </c>
      <c r="D800" s="15">
        <f t="shared" si="12"/>
        <v>12</v>
      </c>
      <c r="E800">
        <f>IF(COUNTIF($A$1:$A799, A800) = 0, 100, E799*(1+D800*0.01))</f>
        <v>120.96000000000001</v>
      </c>
    </row>
    <row r="801" spans="1:5">
      <c r="A801" t="s">
        <v>123</v>
      </c>
      <c r="B801">
        <v>2000</v>
      </c>
      <c r="C801" s="14">
        <v>0.01</v>
      </c>
      <c r="D801" s="15">
        <f t="shared" si="12"/>
        <v>1</v>
      </c>
      <c r="E801">
        <f>IF(COUNTIF($A$1:$A800, A801) = 0, 100, E800*(1+D801*0.01))</f>
        <v>122.1696</v>
      </c>
    </row>
    <row r="802" spans="1:5">
      <c r="A802" t="s">
        <v>123</v>
      </c>
      <c r="B802">
        <v>2001</v>
      </c>
      <c r="C802" s="14">
        <v>-0.01</v>
      </c>
      <c r="D802" s="15">
        <f t="shared" si="12"/>
        <v>-1</v>
      </c>
      <c r="E802">
        <f>IF(COUNTIF($A$1:$A801, A802) = 0, 100, E801*(1+D802*0.01))</f>
        <v>120.94790400000001</v>
      </c>
    </row>
    <row r="803" spans="1:5">
      <c r="A803" t="s">
        <v>123</v>
      </c>
      <c r="B803">
        <v>2002</v>
      </c>
      <c r="C803" s="14">
        <v>-0.03</v>
      </c>
      <c r="D803" s="15">
        <f t="shared" si="12"/>
        <v>-3</v>
      </c>
      <c r="E803">
        <f>IF(COUNTIF($A$1:$A802, A803) = 0, 100, E802*(1+D803*0.01))</f>
        <v>117.31946688000001</v>
      </c>
    </row>
    <row r="804" spans="1:5">
      <c r="A804" t="s">
        <v>123</v>
      </c>
      <c r="B804">
        <v>2003</v>
      </c>
      <c r="C804" s="14">
        <v>0.12</v>
      </c>
      <c r="D804" s="15">
        <f t="shared" si="12"/>
        <v>12</v>
      </c>
      <c r="E804">
        <f>IF(COUNTIF($A$1:$A803, A804) = 0, 100, E803*(1+D804*0.01))</f>
        <v>131.39780290560003</v>
      </c>
    </row>
    <row r="805" spans="1:5">
      <c r="A805" t="s">
        <v>123</v>
      </c>
      <c r="B805">
        <v>2004</v>
      </c>
      <c r="C805" s="14">
        <v>0.12</v>
      </c>
      <c r="D805" s="15">
        <f t="shared" si="12"/>
        <v>12</v>
      </c>
      <c r="E805">
        <f>IF(COUNTIF($A$1:$A804, A805) = 0, 100, E804*(1+D805*0.01))</f>
        <v>147.16553925427206</v>
      </c>
    </row>
    <row r="806" spans="1:5">
      <c r="A806" t="s">
        <v>123</v>
      </c>
      <c r="B806">
        <v>2005</v>
      </c>
      <c r="C806" s="14">
        <v>0.16</v>
      </c>
      <c r="D806" s="15">
        <f t="shared" si="12"/>
        <v>16</v>
      </c>
      <c r="E806">
        <f>IF(COUNTIF($A$1:$A805, A806) = 0, 100, E805*(1+D806*0.01))</f>
        <v>170.71202553495559</v>
      </c>
    </row>
    <row r="807" spans="1:5">
      <c r="A807" t="s">
        <v>123</v>
      </c>
      <c r="B807">
        <v>2006</v>
      </c>
      <c r="C807" s="14">
        <v>12.66</v>
      </c>
      <c r="D807" s="15">
        <f t="shared" si="12"/>
        <v>12.66</v>
      </c>
      <c r="E807">
        <f>IF(COUNTIF($A$1:$A806, A807) = 0, 100, E806*(1+D807*0.01))</f>
        <v>192.32416796768098</v>
      </c>
    </row>
    <row r="808" spans="1:5">
      <c r="A808" t="s">
        <v>123</v>
      </c>
      <c r="B808">
        <v>2007</v>
      </c>
      <c r="C808" s="14">
        <v>1.07</v>
      </c>
      <c r="D808" s="15">
        <f t="shared" si="12"/>
        <v>1.07</v>
      </c>
      <c r="E808">
        <f>IF(COUNTIF($A$1:$A807, A808) = 0, 100, E807*(1+D808*0.01))</f>
        <v>194.38203656493516</v>
      </c>
    </row>
    <row r="809" spans="1:5">
      <c r="A809" t="s">
        <v>123</v>
      </c>
      <c r="B809">
        <v>2008</v>
      </c>
      <c r="C809" s="14">
        <v>-12.08</v>
      </c>
      <c r="D809" s="15">
        <f t="shared" si="12"/>
        <v>-12.08</v>
      </c>
      <c r="E809">
        <f>IF(COUNTIF($A$1:$A808, A809) = 0, 100, E808*(1+D809*0.01))</f>
        <v>170.90068654789098</v>
      </c>
    </row>
    <row r="810" spans="1:5">
      <c r="A810" t="s">
        <v>123</v>
      </c>
      <c r="B810">
        <v>2009</v>
      </c>
      <c r="C810" s="14">
        <v>1.75</v>
      </c>
      <c r="D810" s="15">
        <f t="shared" si="12"/>
        <v>1.75</v>
      </c>
      <c r="E810">
        <f>IF(COUNTIF($A$1:$A809, A810) = 0, 100, E809*(1+D810*0.01))</f>
        <v>173.8914485624791</v>
      </c>
    </row>
    <row r="811" spans="1:5">
      <c r="A811" t="s">
        <v>123</v>
      </c>
      <c r="B811">
        <v>2010</v>
      </c>
      <c r="C811" s="14">
        <v>3.32</v>
      </c>
      <c r="D811" s="15">
        <f t="shared" si="12"/>
        <v>3.32</v>
      </c>
      <c r="E811">
        <f>IF(COUNTIF($A$1:$A810, A811) = 0, 100, E810*(1+D811*0.01))</f>
        <v>179.66464465475337</v>
      </c>
    </row>
    <row r="812" spans="1:5">
      <c r="A812" t="s">
        <v>123</v>
      </c>
      <c r="B812">
        <v>2011</v>
      </c>
      <c r="C812" s="14">
        <v>2.57</v>
      </c>
      <c r="D812" s="15">
        <f t="shared" si="12"/>
        <v>2.57</v>
      </c>
      <c r="E812">
        <f>IF(COUNTIF($A$1:$A811, A812) = 0, 100, E811*(1+D812*0.01))</f>
        <v>184.28202602238053</v>
      </c>
    </row>
    <row r="813" spans="1:5">
      <c r="A813" t="s">
        <v>123</v>
      </c>
      <c r="B813">
        <v>2012</v>
      </c>
      <c r="C813" s="14">
        <v>6.2</v>
      </c>
      <c r="D813" s="15">
        <f t="shared" si="12"/>
        <v>6.2</v>
      </c>
      <c r="E813">
        <f>IF(COUNTIF($A$1:$A812, A813) = 0, 100, E812*(1+D813*0.01))</f>
        <v>195.70751163576813</v>
      </c>
    </row>
    <row r="814" spans="1:5">
      <c r="A814" t="s">
        <v>123</v>
      </c>
      <c r="B814">
        <v>2013</v>
      </c>
      <c r="C814" s="14">
        <v>4.7</v>
      </c>
      <c r="D814" s="15">
        <f t="shared" si="12"/>
        <v>4.7</v>
      </c>
      <c r="E814">
        <f>IF(COUNTIF($A$1:$A813, A814) = 0, 100, E813*(1+D814*0.01))</f>
        <v>204.90576468264922</v>
      </c>
    </row>
    <row r="815" spans="1:5">
      <c r="A815" t="s">
        <v>123</v>
      </c>
      <c r="B815">
        <v>2014</v>
      </c>
      <c r="C815" s="14">
        <v>5.38</v>
      </c>
      <c r="D815" s="15">
        <f t="shared" si="12"/>
        <v>5.38</v>
      </c>
      <c r="E815">
        <f>IF(COUNTIF($A$1:$A814, A815) = 0, 100, E814*(1+D815*0.01))</f>
        <v>215.92969482257575</v>
      </c>
    </row>
    <row r="816" spans="1:5">
      <c r="A816" t="s">
        <v>123</v>
      </c>
      <c r="B816">
        <v>2015</v>
      </c>
      <c r="C816" s="14">
        <v>7.27</v>
      </c>
      <c r="D816" s="15">
        <f t="shared" si="12"/>
        <v>7.27</v>
      </c>
      <c r="E816">
        <f>IF(COUNTIF($A$1:$A815, A816) = 0, 100, E815*(1+D816*0.01))</f>
        <v>231.62778363617701</v>
      </c>
    </row>
    <row r="817" spans="1:5">
      <c r="A817" t="s">
        <v>123</v>
      </c>
      <c r="B817">
        <v>2016</v>
      </c>
      <c r="C817" s="14">
        <v>-0.27</v>
      </c>
      <c r="D817" s="15">
        <f t="shared" si="12"/>
        <v>-0.27</v>
      </c>
      <c r="E817">
        <f>IF(COUNTIF($A$1:$A816, A817) = 0, 100, E816*(1+D817*0.01))</f>
        <v>231.00238862035934</v>
      </c>
    </row>
    <row r="818" spans="1:5">
      <c r="A818" t="s">
        <v>123</v>
      </c>
      <c r="B818">
        <v>2017</v>
      </c>
      <c r="C818" s="14">
        <v>2.2000000000000002</v>
      </c>
      <c r="D818" s="15">
        <f t="shared" si="12"/>
        <v>2.2000000000000002</v>
      </c>
      <c r="E818">
        <f>IF(COUNTIF($A$1:$A817, A818) = 0, 100, E817*(1+D818*0.01))</f>
        <v>236.08444117000724</v>
      </c>
    </row>
    <row r="819" spans="1:5">
      <c r="A819" t="s">
        <v>123</v>
      </c>
      <c r="B819">
        <v>2018</v>
      </c>
      <c r="C819" s="14">
        <v>0.43</v>
      </c>
      <c r="D819" s="15">
        <f t="shared" si="12"/>
        <v>0.43</v>
      </c>
      <c r="E819">
        <f>IF(COUNTIF($A$1:$A818, A819) = 0, 100, E818*(1+D819*0.01))</f>
        <v>237.09960426703827</v>
      </c>
    </row>
    <row r="820" spans="1:5">
      <c r="A820" t="s">
        <v>123</v>
      </c>
      <c r="B820">
        <v>2019</v>
      </c>
      <c r="C820" s="14">
        <v>10.5</v>
      </c>
      <c r="D820" s="15">
        <f t="shared" si="12"/>
        <v>10.5</v>
      </c>
      <c r="E820">
        <f>IF(COUNTIF($A$1:$A819, A820) = 0, 100, E819*(1+D820*0.01))</f>
        <v>261.99506271507727</v>
      </c>
    </row>
    <row r="821" spans="1:5">
      <c r="A821" t="s">
        <v>123</v>
      </c>
      <c r="B821">
        <v>2020</v>
      </c>
      <c r="C821" s="14">
        <v>8.5399999999999991</v>
      </c>
      <c r="D821" s="15">
        <f t="shared" si="12"/>
        <v>8.5399999999999991</v>
      </c>
      <c r="E821">
        <f>IF(COUNTIF($A$1:$A820, A821) = 0, 100, E820*(1+D821*0.01))</f>
        <v>284.36944107094484</v>
      </c>
    </row>
    <row r="822" spans="1:5">
      <c r="A822" t="s">
        <v>123</v>
      </c>
      <c r="B822">
        <v>2021</v>
      </c>
      <c r="C822" s="14">
        <v>7.52</v>
      </c>
      <c r="D822" s="15">
        <f t="shared" si="12"/>
        <v>7.52</v>
      </c>
      <c r="E822">
        <f>IF(COUNTIF($A$1:$A821, A822) = 0, 100, E821*(1+D822*0.01))</f>
        <v>305.75402303947988</v>
      </c>
    </row>
    <row r="823" spans="1:5">
      <c r="A823" t="s">
        <v>124</v>
      </c>
      <c r="B823">
        <v>1997</v>
      </c>
      <c r="C823" s="14">
        <v>0.08</v>
      </c>
      <c r="D823" s="15">
        <f t="shared" si="12"/>
        <v>8</v>
      </c>
      <c r="E823">
        <f>IF(COUNTIF($A$1:$A822, A823) = 0, 100, E822*(1+D823*0.01))</f>
        <v>100</v>
      </c>
    </row>
    <row r="824" spans="1:5">
      <c r="A824" t="s">
        <v>124</v>
      </c>
      <c r="B824">
        <v>1998</v>
      </c>
      <c r="C824" s="14">
        <v>0.08</v>
      </c>
      <c r="D824" s="15">
        <f t="shared" si="12"/>
        <v>8</v>
      </c>
      <c r="E824">
        <f>IF(COUNTIF($A$1:$A823, A824) = 0, 100, E823*(1+D824*0.01))</f>
        <v>108</v>
      </c>
    </row>
    <row r="825" spans="1:5">
      <c r="A825" t="s">
        <v>124</v>
      </c>
      <c r="B825">
        <v>1999</v>
      </c>
      <c r="C825" s="14">
        <v>0.15</v>
      </c>
      <c r="D825" s="15">
        <f t="shared" si="12"/>
        <v>15</v>
      </c>
      <c r="E825">
        <f>IF(COUNTIF($A$1:$A824, A825) = 0, 100, E824*(1+D825*0.01))</f>
        <v>124.19999999999999</v>
      </c>
    </row>
    <row r="826" spans="1:5">
      <c r="A826" t="s">
        <v>124</v>
      </c>
      <c r="B826">
        <v>2000</v>
      </c>
      <c r="C826" s="14">
        <v>-0.01</v>
      </c>
      <c r="D826" s="15">
        <f t="shared" si="12"/>
        <v>-1</v>
      </c>
      <c r="E826">
        <f>IF(COUNTIF($A$1:$A825, A826) = 0, 100, E825*(1+D826*0.01))</f>
        <v>122.95799999999998</v>
      </c>
    </row>
    <row r="827" spans="1:5">
      <c r="A827" t="s">
        <v>124</v>
      </c>
      <c r="B827">
        <v>2001</v>
      </c>
      <c r="C827" s="14">
        <v>-0.02</v>
      </c>
      <c r="D827" s="15">
        <f t="shared" si="12"/>
        <v>-2</v>
      </c>
      <c r="E827">
        <f>IF(COUNTIF($A$1:$A826, A827) = 0, 100, E826*(1+D827*0.01))</f>
        <v>120.49883999999999</v>
      </c>
    </row>
    <row r="828" spans="1:5">
      <c r="A828" t="s">
        <v>124</v>
      </c>
      <c r="B828">
        <v>2002</v>
      </c>
      <c r="C828" s="14">
        <v>0.05</v>
      </c>
      <c r="D828" s="15">
        <f t="shared" si="12"/>
        <v>5</v>
      </c>
      <c r="E828">
        <f>IF(COUNTIF($A$1:$A827, A828) = 0, 100, E827*(1+D828*0.01))</f>
        <v>126.523782</v>
      </c>
    </row>
    <row r="829" spans="1:5">
      <c r="A829" t="s">
        <v>124</v>
      </c>
      <c r="B829">
        <v>2003</v>
      </c>
      <c r="C829" s="14">
        <v>0.19</v>
      </c>
      <c r="D829" s="15">
        <f t="shared" si="12"/>
        <v>19</v>
      </c>
      <c r="E829">
        <f>IF(COUNTIF($A$1:$A828, A829) = 0, 100, E828*(1+D829*0.01))</f>
        <v>150.56330058</v>
      </c>
    </row>
    <row r="830" spans="1:5">
      <c r="A830" t="s">
        <v>124</v>
      </c>
      <c r="B830">
        <v>2004</v>
      </c>
      <c r="C830" s="14">
        <v>0.13</v>
      </c>
      <c r="D830" s="15">
        <f t="shared" si="12"/>
        <v>13</v>
      </c>
      <c r="E830">
        <f>IF(COUNTIF($A$1:$A829, A830) = 0, 100, E829*(1+D830*0.01))</f>
        <v>170.13652965539998</v>
      </c>
    </row>
    <row r="831" spans="1:5">
      <c r="A831" t="s">
        <v>125</v>
      </c>
      <c r="B831">
        <v>1997</v>
      </c>
      <c r="C831" s="14">
        <v>0.1</v>
      </c>
      <c r="D831" s="15">
        <f t="shared" si="12"/>
        <v>10</v>
      </c>
      <c r="E831">
        <f>IF(COUNTIF($A$1:$A830, A831) = 0, 100, E830*(1+D831*0.01))</f>
        <v>100</v>
      </c>
    </row>
    <row r="832" spans="1:5">
      <c r="A832" t="s">
        <v>125</v>
      </c>
      <c r="B832">
        <v>1998</v>
      </c>
      <c r="C832" s="14">
        <v>0.05</v>
      </c>
      <c r="D832" s="15">
        <f t="shared" si="12"/>
        <v>5</v>
      </c>
      <c r="E832">
        <f>IF(COUNTIF($A$1:$A831, A832) = 0, 100, E831*(1+D832*0.01))</f>
        <v>105</v>
      </c>
    </row>
    <row r="833" spans="1:5">
      <c r="A833" t="s">
        <v>125</v>
      </c>
      <c r="B833">
        <v>1999</v>
      </c>
      <c r="C833" s="14">
        <v>0.14000000000000001</v>
      </c>
      <c r="D833" s="15">
        <f t="shared" si="12"/>
        <v>14.000000000000002</v>
      </c>
      <c r="E833">
        <f>IF(COUNTIF($A$1:$A832, A833) = 0, 100, E832*(1+D833*0.01))</f>
        <v>119.70000000000002</v>
      </c>
    </row>
    <row r="834" spans="1:5">
      <c r="A834" t="s">
        <v>125</v>
      </c>
      <c r="B834">
        <v>2000</v>
      </c>
      <c r="C834" s="14">
        <v>0</v>
      </c>
      <c r="D834" s="15">
        <f t="shared" ref="D834:D897" si="13">IF(B834&lt;2006,C834*100,C834)</f>
        <v>0</v>
      </c>
      <c r="E834">
        <f>IF(COUNTIF($A$1:$A833, A834) = 0, 100, E833*(1+D834*0.01))</f>
        <v>119.70000000000002</v>
      </c>
    </row>
    <row r="835" spans="1:5">
      <c r="A835" t="s">
        <v>125</v>
      </c>
      <c r="B835">
        <v>2001</v>
      </c>
      <c r="C835" s="14">
        <v>-0.03</v>
      </c>
      <c r="D835" s="15">
        <f t="shared" si="13"/>
        <v>-3</v>
      </c>
      <c r="E835">
        <f>IF(COUNTIF($A$1:$A834, A835) = 0, 100, E834*(1+D835*0.01))</f>
        <v>116.10900000000001</v>
      </c>
    </row>
    <row r="836" spans="1:5">
      <c r="A836" t="s">
        <v>125</v>
      </c>
      <c r="B836">
        <v>2002</v>
      </c>
      <c r="C836" s="14">
        <v>-0.02</v>
      </c>
      <c r="D836" s="15">
        <f t="shared" si="13"/>
        <v>-2</v>
      </c>
      <c r="E836">
        <f>IF(COUNTIF($A$1:$A835, A836) = 0, 100, E835*(1+D836*0.01))</f>
        <v>113.78682000000001</v>
      </c>
    </row>
    <row r="837" spans="1:5">
      <c r="A837" t="s">
        <v>125</v>
      </c>
      <c r="B837">
        <v>2003</v>
      </c>
      <c r="C837" s="14">
        <v>0.09</v>
      </c>
      <c r="D837" s="15">
        <f t="shared" si="13"/>
        <v>9</v>
      </c>
      <c r="E837">
        <f>IF(COUNTIF($A$1:$A836, A837) = 0, 100, E836*(1+D837*0.01))</f>
        <v>124.02763380000002</v>
      </c>
    </row>
    <row r="838" spans="1:5">
      <c r="A838" t="s">
        <v>125</v>
      </c>
      <c r="B838">
        <v>2004</v>
      </c>
      <c r="C838" s="14">
        <v>0.06</v>
      </c>
      <c r="D838" s="15">
        <f t="shared" si="13"/>
        <v>6</v>
      </c>
      <c r="E838">
        <f>IF(COUNTIF($A$1:$A837, A838) = 0, 100, E837*(1+D838*0.01))</f>
        <v>131.46929182800002</v>
      </c>
    </row>
    <row r="839" spans="1:5">
      <c r="A839" t="s">
        <v>125</v>
      </c>
      <c r="B839">
        <v>2005</v>
      </c>
      <c r="C839" s="14">
        <v>0.12</v>
      </c>
      <c r="D839" s="15">
        <f t="shared" si="13"/>
        <v>12</v>
      </c>
      <c r="E839">
        <f>IF(COUNTIF($A$1:$A838, A839) = 0, 100, E838*(1+D839*0.01))</f>
        <v>147.24560684736005</v>
      </c>
    </row>
    <row r="840" spans="1:5">
      <c r="A840" t="s">
        <v>126</v>
      </c>
      <c r="B840">
        <v>2019</v>
      </c>
      <c r="C840" s="14">
        <v>5.0999999999999996</v>
      </c>
      <c r="D840" s="15">
        <f t="shared" si="13"/>
        <v>5.0999999999999996</v>
      </c>
      <c r="E840">
        <f>IF(COUNTIF($A$1:$A839, A840) = 0, 100, E839*(1+D840*0.01))</f>
        <v>100</v>
      </c>
    </row>
    <row r="841" spans="1:5">
      <c r="A841" t="s">
        <v>126</v>
      </c>
      <c r="B841">
        <v>2020</v>
      </c>
      <c r="C841" s="14">
        <v>6.38</v>
      </c>
      <c r="D841" s="15">
        <f t="shared" si="13"/>
        <v>6.38</v>
      </c>
      <c r="E841">
        <f>IF(COUNTIF($A$1:$A840, A841) = 0, 100, E840*(1+D841*0.01))</f>
        <v>106.38000000000001</v>
      </c>
    </row>
    <row r="842" spans="1:5">
      <c r="A842" t="s">
        <v>126</v>
      </c>
      <c r="B842">
        <v>2021</v>
      </c>
      <c r="C842" s="14">
        <v>8.33</v>
      </c>
      <c r="D842" s="15">
        <f t="shared" si="13"/>
        <v>8.33</v>
      </c>
      <c r="E842">
        <f>IF(COUNTIF($A$1:$A841, A842) = 0, 100, E841*(1+D842*0.01))</f>
        <v>115.241454</v>
      </c>
    </row>
    <row r="843" spans="1:5">
      <c r="A843" t="s">
        <v>127</v>
      </c>
      <c r="B843">
        <v>2014</v>
      </c>
      <c r="C843" s="14">
        <v>3.73</v>
      </c>
      <c r="D843" s="15">
        <f t="shared" si="13"/>
        <v>3.73</v>
      </c>
      <c r="E843">
        <f>IF(COUNTIF($A$1:$A842, A843) = 0, 100, E842*(1+D843*0.01))</f>
        <v>100</v>
      </c>
    </row>
    <row r="844" spans="1:5">
      <c r="A844" t="s">
        <v>127</v>
      </c>
      <c r="B844">
        <v>2015</v>
      </c>
      <c r="C844" s="14">
        <v>7.15</v>
      </c>
      <c r="D844" s="15">
        <f t="shared" si="13"/>
        <v>7.15</v>
      </c>
      <c r="E844">
        <f>IF(COUNTIF($A$1:$A843, A844) = 0, 100, E843*(1+D844*0.01))</f>
        <v>107.14999999999999</v>
      </c>
    </row>
    <row r="845" spans="1:5">
      <c r="A845" t="s">
        <v>127</v>
      </c>
      <c r="B845">
        <v>2016</v>
      </c>
      <c r="C845" s="14">
        <v>1.38</v>
      </c>
      <c r="D845" s="15">
        <f t="shared" si="13"/>
        <v>1.38</v>
      </c>
      <c r="E845">
        <f>IF(COUNTIF($A$1:$A844, A845) = 0, 100, E844*(1+D845*0.01))</f>
        <v>108.62867</v>
      </c>
    </row>
    <row r="846" spans="1:5">
      <c r="A846" t="s">
        <v>127</v>
      </c>
      <c r="B846">
        <v>2017</v>
      </c>
      <c r="C846" s="14">
        <v>4.18</v>
      </c>
      <c r="D846" s="15">
        <f t="shared" si="13"/>
        <v>4.18</v>
      </c>
      <c r="E846">
        <f>IF(COUNTIF($A$1:$A845, A846) = 0, 100, E845*(1+D846*0.01))</f>
        <v>113.16934840600001</v>
      </c>
    </row>
    <row r="847" spans="1:5">
      <c r="A847" t="s">
        <v>127</v>
      </c>
      <c r="B847">
        <v>2018</v>
      </c>
      <c r="C847" s="14">
        <v>0.28000000000000003</v>
      </c>
      <c r="D847" s="15">
        <f t="shared" si="13"/>
        <v>0.28000000000000003</v>
      </c>
      <c r="E847">
        <f>IF(COUNTIF($A$1:$A846, A847) = 0, 100, E846*(1+D847*0.01))</f>
        <v>113.48622258153681</v>
      </c>
    </row>
    <row r="848" spans="1:5">
      <c r="A848" t="s">
        <v>127</v>
      </c>
      <c r="B848">
        <v>2019</v>
      </c>
      <c r="C848" s="14">
        <v>8.6300000000000008</v>
      </c>
      <c r="D848" s="15">
        <f t="shared" si="13"/>
        <v>8.6300000000000008</v>
      </c>
      <c r="E848">
        <f>IF(COUNTIF($A$1:$A847, A848) = 0, 100, E847*(1+D848*0.01))</f>
        <v>123.28008359032344</v>
      </c>
    </row>
    <row r="849" spans="1:5">
      <c r="A849" t="s">
        <v>127</v>
      </c>
      <c r="B849">
        <v>2020</v>
      </c>
      <c r="C849" s="14">
        <v>7.88</v>
      </c>
      <c r="D849" s="15">
        <f t="shared" si="13"/>
        <v>7.88</v>
      </c>
      <c r="E849">
        <f>IF(COUNTIF($A$1:$A848, A849) = 0, 100, E848*(1+D849*0.01))</f>
        <v>132.99455417724093</v>
      </c>
    </row>
    <row r="850" spans="1:5">
      <c r="A850" t="s">
        <v>127</v>
      </c>
      <c r="B850">
        <v>2021</v>
      </c>
      <c r="C850" s="14">
        <v>9.2799999999999994</v>
      </c>
      <c r="D850" s="15">
        <f t="shared" si="13"/>
        <v>9.2799999999999994</v>
      </c>
      <c r="E850">
        <f>IF(COUNTIF($A$1:$A849, A850) = 0, 100, E849*(1+D850*0.01))</f>
        <v>145.33644880488887</v>
      </c>
    </row>
    <row r="851" spans="1:5">
      <c r="A851" t="s">
        <v>128</v>
      </c>
      <c r="B851">
        <v>1997</v>
      </c>
      <c r="C851" s="14">
        <v>0.08</v>
      </c>
      <c r="D851" s="15">
        <f t="shared" si="13"/>
        <v>8</v>
      </c>
      <c r="E851">
        <f>IF(COUNTIF($A$1:$A850, A851) = 0, 100, E850*(1+D851*0.01))</f>
        <v>100</v>
      </c>
    </row>
    <row r="852" spans="1:5">
      <c r="A852" t="s">
        <v>128</v>
      </c>
      <c r="B852">
        <v>1998</v>
      </c>
      <c r="C852" s="14">
        <v>7.0000000000000007E-2</v>
      </c>
      <c r="D852" s="15">
        <f t="shared" si="13"/>
        <v>7.0000000000000009</v>
      </c>
      <c r="E852">
        <f>IF(COUNTIF($A$1:$A851, A852) = 0, 100, E851*(1+D852*0.01))</f>
        <v>107</v>
      </c>
    </row>
    <row r="853" spans="1:5">
      <c r="A853" t="s">
        <v>128</v>
      </c>
      <c r="B853">
        <v>1999</v>
      </c>
      <c r="C853" s="14">
        <v>0.18</v>
      </c>
      <c r="D853" s="15">
        <f t="shared" si="13"/>
        <v>18</v>
      </c>
      <c r="E853">
        <f>IF(COUNTIF($A$1:$A852, A853) = 0, 100, E852*(1+D853*0.01))</f>
        <v>126.25999999999999</v>
      </c>
    </row>
    <row r="854" spans="1:5">
      <c r="A854" t="s">
        <v>128</v>
      </c>
      <c r="B854">
        <v>2000</v>
      </c>
      <c r="C854" s="14">
        <v>0</v>
      </c>
      <c r="D854" s="15">
        <f t="shared" si="13"/>
        <v>0</v>
      </c>
      <c r="E854">
        <f>IF(COUNTIF($A$1:$A853, A854) = 0, 100, E853*(1+D854*0.01))</f>
        <v>126.25999999999999</v>
      </c>
    </row>
    <row r="855" spans="1:5">
      <c r="A855" t="s">
        <v>128</v>
      </c>
      <c r="B855">
        <v>2001</v>
      </c>
      <c r="C855" s="14">
        <v>-0.01</v>
      </c>
      <c r="D855" s="15">
        <f t="shared" si="13"/>
        <v>-1</v>
      </c>
      <c r="E855">
        <f>IF(COUNTIF($A$1:$A854, A855) = 0, 100, E854*(1+D855*0.01))</f>
        <v>124.99739999999998</v>
      </c>
    </row>
    <row r="856" spans="1:5">
      <c r="A856" t="s">
        <v>128</v>
      </c>
      <c r="B856">
        <v>2002</v>
      </c>
      <c r="C856" s="14">
        <v>-0.05</v>
      </c>
      <c r="D856" s="15">
        <f t="shared" si="13"/>
        <v>-5</v>
      </c>
      <c r="E856">
        <f>IF(COUNTIF($A$1:$A855, A856) = 0, 100, E855*(1+D856*0.01))</f>
        <v>118.74752999999998</v>
      </c>
    </row>
    <row r="857" spans="1:5">
      <c r="A857" t="s">
        <v>128</v>
      </c>
      <c r="B857">
        <v>2003</v>
      </c>
      <c r="C857" s="14">
        <v>7.0000000000000007E-2</v>
      </c>
      <c r="D857" s="15">
        <f t="shared" si="13"/>
        <v>7.0000000000000009</v>
      </c>
      <c r="E857">
        <f>IF(COUNTIF($A$1:$A856, A857) = 0, 100, E856*(1+D857*0.01))</f>
        <v>127.05985709999999</v>
      </c>
    </row>
    <row r="858" spans="1:5">
      <c r="A858" t="s">
        <v>128</v>
      </c>
      <c r="B858">
        <v>2004</v>
      </c>
      <c r="C858" s="14">
        <v>0.06</v>
      </c>
      <c r="D858" s="15">
        <f t="shared" si="13"/>
        <v>6</v>
      </c>
      <c r="E858">
        <f>IF(COUNTIF($A$1:$A857, A858) = 0, 100, E857*(1+D858*0.01))</f>
        <v>134.68344852600001</v>
      </c>
    </row>
    <row r="859" spans="1:5">
      <c r="A859" t="s">
        <v>128</v>
      </c>
      <c r="B859">
        <v>2005</v>
      </c>
      <c r="C859" s="14">
        <v>0.1</v>
      </c>
      <c r="D859" s="15">
        <f t="shared" si="13"/>
        <v>10</v>
      </c>
      <c r="E859">
        <f>IF(COUNTIF($A$1:$A858, A859) = 0, 100, E858*(1+D859*0.01))</f>
        <v>148.15179337860002</v>
      </c>
    </row>
    <row r="860" spans="1:5">
      <c r="A860" t="s">
        <v>128</v>
      </c>
      <c r="B860">
        <v>2006</v>
      </c>
      <c r="C860" s="14">
        <v>9.15</v>
      </c>
      <c r="D860" s="15">
        <f t="shared" si="13"/>
        <v>9.15</v>
      </c>
      <c r="E860">
        <f>IF(COUNTIF($A$1:$A859, A860) = 0, 100, E859*(1+D860*0.01))</f>
        <v>161.70768247274191</v>
      </c>
    </row>
    <row r="861" spans="1:5">
      <c r="A861" t="s">
        <v>128</v>
      </c>
      <c r="B861">
        <v>2007</v>
      </c>
      <c r="C861" s="14">
        <v>1.76</v>
      </c>
      <c r="D861" s="15">
        <f t="shared" si="13"/>
        <v>1.76</v>
      </c>
      <c r="E861">
        <f>IF(COUNTIF($A$1:$A860, A861) = 0, 100, E860*(1+D861*0.01))</f>
        <v>164.55373768426219</v>
      </c>
    </row>
    <row r="862" spans="1:5">
      <c r="A862" t="s">
        <v>128</v>
      </c>
      <c r="B862">
        <v>2008</v>
      </c>
      <c r="C862" s="14">
        <v>-12.62</v>
      </c>
      <c r="D862" s="15">
        <f t="shared" si="13"/>
        <v>-12.62</v>
      </c>
      <c r="E862">
        <f>IF(COUNTIF($A$1:$A861, A862) = 0, 100, E861*(1+D862*0.01))</f>
        <v>143.78705598850831</v>
      </c>
    </row>
    <row r="863" spans="1:5">
      <c r="A863" t="s">
        <v>128</v>
      </c>
      <c r="B863">
        <v>2009</v>
      </c>
      <c r="C863" s="14">
        <v>7.77</v>
      </c>
      <c r="D863" s="15">
        <f t="shared" si="13"/>
        <v>7.77</v>
      </c>
      <c r="E863">
        <f>IF(COUNTIF($A$1:$A862, A863) = 0, 100, E862*(1+D863*0.01))</f>
        <v>154.95931023881542</v>
      </c>
    </row>
    <row r="864" spans="1:5">
      <c r="A864" t="s">
        <v>128</v>
      </c>
      <c r="B864">
        <v>2010</v>
      </c>
      <c r="C864" s="14">
        <v>6.26</v>
      </c>
      <c r="D864" s="15">
        <f t="shared" si="13"/>
        <v>6.26</v>
      </c>
      <c r="E864">
        <f>IF(COUNTIF($A$1:$A863, A864) = 0, 100, E863*(1+D864*0.01))</f>
        <v>164.65976305976525</v>
      </c>
    </row>
    <row r="865" spans="1:5">
      <c r="A865" t="s">
        <v>128</v>
      </c>
      <c r="B865">
        <v>2011</v>
      </c>
      <c r="C865" s="14">
        <v>3.82</v>
      </c>
      <c r="D865" s="15">
        <f t="shared" si="13"/>
        <v>3.82</v>
      </c>
      <c r="E865">
        <f>IF(COUNTIF($A$1:$A864, A865) = 0, 100, E864*(1+D865*0.01))</f>
        <v>170.94976600864828</v>
      </c>
    </row>
    <row r="866" spans="1:5">
      <c r="A866" t="s">
        <v>128</v>
      </c>
      <c r="B866">
        <v>2012</v>
      </c>
      <c r="C866" s="14">
        <v>5.78</v>
      </c>
      <c r="D866" s="15">
        <f t="shared" si="13"/>
        <v>5.78</v>
      </c>
      <c r="E866">
        <f>IF(COUNTIF($A$1:$A865, A866) = 0, 100, E865*(1+D866*0.01))</f>
        <v>180.83066248394817</v>
      </c>
    </row>
    <row r="867" spans="1:5">
      <c r="A867" t="s">
        <v>128</v>
      </c>
      <c r="B867">
        <v>2013</v>
      </c>
      <c r="C867" s="14">
        <v>4.18</v>
      </c>
      <c r="D867" s="15">
        <f t="shared" si="13"/>
        <v>4.18</v>
      </c>
      <c r="E867">
        <f>IF(COUNTIF($A$1:$A866, A867) = 0, 100, E866*(1+D867*0.01))</f>
        <v>188.38938417577722</v>
      </c>
    </row>
    <row r="868" spans="1:5">
      <c r="A868" t="s">
        <v>128</v>
      </c>
      <c r="B868">
        <v>2014</v>
      </c>
      <c r="C868" s="14">
        <v>4.8499999999999996</v>
      </c>
      <c r="D868" s="15">
        <f t="shared" si="13"/>
        <v>4.8499999999999996</v>
      </c>
      <c r="E868">
        <f>IF(COUNTIF($A$1:$A867, A868) = 0, 100, E867*(1+D868*0.01))</f>
        <v>197.5262693083024</v>
      </c>
    </row>
    <row r="869" spans="1:5">
      <c r="A869" t="s">
        <v>128</v>
      </c>
      <c r="B869">
        <v>2015</v>
      </c>
      <c r="C869" s="14">
        <v>4.72</v>
      </c>
      <c r="D869" s="15">
        <f t="shared" si="13"/>
        <v>4.72</v>
      </c>
      <c r="E869">
        <f>IF(COUNTIF($A$1:$A868, A869) = 0, 100, E868*(1+D869*0.01))</f>
        <v>206.84950921965427</v>
      </c>
    </row>
    <row r="870" spans="1:5">
      <c r="A870" t="s">
        <v>129</v>
      </c>
      <c r="B870">
        <v>1997</v>
      </c>
      <c r="C870" s="14">
        <v>0.13</v>
      </c>
      <c r="D870" s="15">
        <f t="shared" si="13"/>
        <v>13</v>
      </c>
      <c r="E870">
        <f>IF(COUNTIF($A$1:$A869, A870) = 0, 100, E869*(1+D870*0.01))</f>
        <v>100</v>
      </c>
    </row>
    <row r="871" spans="1:5">
      <c r="A871" t="s">
        <v>129</v>
      </c>
      <c r="B871">
        <v>1998</v>
      </c>
      <c r="C871" s="14">
        <v>7.0000000000000007E-2</v>
      </c>
      <c r="D871" s="15">
        <f t="shared" si="13"/>
        <v>7.0000000000000009</v>
      </c>
      <c r="E871">
        <f>IF(COUNTIF($A$1:$A870, A871) = 0, 100, E870*(1+D871*0.01))</f>
        <v>107</v>
      </c>
    </row>
    <row r="872" spans="1:5">
      <c r="A872" t="s">
        <v>129</v>
      </c>
      <c r="B872">
        <v>1999</v>
      </c>
      <c r="C872" s="14">
        <v>0.13</v>
      </c>
      <c r="D872" s="15">
        <f t="shared" si="13"/>
        <v>13</v>
      </c>
      <c r="E872">
        <f>IF(COUNTIF($A$1:$A871, A872) = 0, 100, E871*(1+D872*0.01))</f>
        <v>120.90999999999998</v>
      </c>
    </row>
    <row r="873" spans="1:5">
      <c r="A873" t="s">
        <v>129</v>
      </c>
      <c r="B873">
        <v>2000</v>
      </c>
      <c r="C873" s="14">
        <v>0.02</v>
      </c>
      <c r="D873" s="15">
        <f t="shared" si="13"/>
        <v>2</v>
      </c>
      <c r="E873">
        <f>IF(COUNTIF($A$1:$A872, A873) = 0, 100, E872*(1+D873*0.01))</f>
        <v>123.32819999999998</v>
      </c>
    </row>
    <row r="874" spans="1:5">
      <c r="A874" t="s">
        <v>129</v>
      </c>
      <c r="B874">
        <v>2001</v>
      </c>
      <c r="C874" s="14">
        <v>0</v>
      </c>
      <c r="D874" s="15">
        <f t="shared" si="13"/>
        <v>0</v>
      </c>
      <c r="E874">
        <f>IF(COUNTIF($A$1:$A873, A874) = 0, 100, E873*(1+D874*0.01))</f>
        <v>123.32819999999998</v>
      </c>
    </row>
    <row r="875" spans="1:5">
      <c r="A875" t="s">
        <v>129</v>
      </c>
      <c r="B875">
        <v>2002</v>
      </c>
      <c r="C875" s="14">
        <v>0.01</v>
      </c>
      <c r="D875" s="15">
        <f t="shared" si="13"/>
        <v>1</v>
      </c>
      <c r="E875">
        <f>IF(COUNTIF($A$1:$A874, A875) = 0, 100, E874*(1+D875*0.01))</f>
        <v>124.56148199999998</v>
      </c>
    </row>
    <row r="876" spans="1:5">
      <c r="A876" t="s">
        <v>129</v>
      </c>
      <c r="B876">
        <v>2003</v>
      </c>
      <c r="C876" s="14">
        <v>0.12</v>
      </c>
      <c r="D876" s="15">
        <f t="shared" si="13"/>
        <v>12</v>
      </c>
      <c r="E876">
        <f>IF(COUNTIF($A$1:$A875, A876) = 0, 100, E875*(1+D876*0.01))</f>
        <v>139.50885983999999</v>
      </c>
    </row>
    <row r="877" spans="1:5">
      <c r="A877" t="s">
        <v>129</v>
      </c>
      <c r="B877">
        <v>2004</v>
      </c>
      <c r="C877" s="14">
        <v>0.15</v>
      </c>
      <c r="D877" s="15">
        <f t="shared" si="13"/>
        <v>15</v>
      </c>
      <c r="E877">
        <f>IF(COUNTIF($A$1:$A876, A877) = 0, 100, E876*(1+D877*0.01))</f>
        <v>160.43518881599996</v>
      </c>
    </row>
    <row r="878" spans="1:5">
      <c r="A878" t="s">
        <v>129</v>
      </c>
      <c r="B878">
        <v>2005</v>
      </c>
      <c r="C878" s="14">
        <v>0.14000000000000001</v>
      </c>
      <c r="D878" s="15">
        <f t="shared" si="13"/>
        <v>14.000000000000002</v>
      </c>
      <c r="E878">
        <f>IF(COUNTIF($A$1:$A877, A878) = 0, 100, E877*(1+D878*0.01))</f>
        <v>182.89611525023997</v>
      </c>
    </row>
    <row r="879" spans="1:5">
      <c r="A879" t="s">
        <v>130</v>
      </c>
      <c r="B879">
        <v>2006</v>
      </c>
      <c r="C879" s="14">
        <v>7.93</v>
      </c>
      <c r="D879" s="15">
        <f t="shared" si="13"/>
        <v>7.93</v>
      </c>
      <c r="E879">
        <f>IF(COUNTIF($A$1:$A878, A879) = 0, 100, E878*(1+D879*0.01))</f>
        <v>100</v>
      </c>
    </row>
    <row r="880" spans="1:5">
      <c r="A880" t="s">
        <v>130</v>
      </c>
      <c r="B880">
        <v>2007</v>
      </c>
      <c r="C880" s="14">
        <v>1.91</v>
      </c>
      <c r="D880" s="15">
        <f t="shared" si="13"/>
        <v>1.91</v>
      </c>
      <c r="E880">
        <f>IF(COUNTIF($A$1:$A879, A880) = 0, 100, E879*(1+D880*0.01))</f>
        <v>101.91</v>
      </c>
    </row>
    <row r="881" spans="1:5">
      <c r="A881" t="s">
        <v>130</v>
      </c>
      <c r="B881">
        <v>2008</v>
      </c>
      <c r="C881" s="14">
        <v>-21.22</v>
      </c>
      <c r="D881" s="15">
        <f t="shared" si="13"/>
        <v>-21.22</v>
      </c>
      <c r="E881">
        <f>IF(COUNTIF($A$1:$A880, A881) = 0, 100, E880*(1+D881*0.01))</f>
        <v>80.284698000000006</v>
      </c>
    </row>
    <row r="882" spans="1:5">
      <c r="A882" t="s">
        <v>130</v>
      </c>
      <c r="B882">
        <v>2009</v>
      </c>
      <c r="C882" s="14">
        <v>0.7</v>
      </c>
      <c r="D882" s="15">
        <f t="shared" si="13"/>
        <v>0.7</v>
      </c>
      <c r="E882">
        <f>IF(COUNTIF($A$1:$A881, A882) = 0, 100, E881*(1+D882*0.01))</f>
        <v>80.84669088599999</v>
      </c>
    </row>
    <row r="883" spans="1:5">
      <c r="A883" t="s">
        <v>130</v>
      </c>
      <c r="B883">
        <v>2010</v>
      </c>
      <c r="C883" s="14">
        <v>1.52</v>
      </c>
      <c r="D883" s="15">
        <f t="shared" si="13"/>
        <v>1.52</v>
      </c>
      <c r="E883">
        <f>IF(COUNTIF($A$1:$A882, A883) = 0, 100, E882*(1+D883*0.01))</f>
        <v>82.075560587467194</v>
      </c>
    </row>
    <row r="884" spans="1:5">
      <c r="A884" t="s">
        <v>130</v>
      </c>
      <c r="B884">
        <v>2011</v>
      </c>
      <c r="C884" s="14">
        <v>1.1000000000000001</v>
      </c>
      <c r="D884" s="15">
        <f t="shared" si="13"/>
        <v>1.1000000000000001</v>
      </c>
      <c r="E884">
        <f>IF(COUNTIF($A$1:$A883, A884) = 0, 100, E883*(1+D884*0.01))</f>
        <v>82.97839175392933</v>
      </c>
    </row>
    <row r="885" spans="1:5">
      <c r="A885" t="s">
        <v>130</v>
      </c>
      <c r="B885">
        <v>2012</v>
      </c>
      <c r="C885" s="14">
        <v>5.18</v>
      </c>
      <c r="D885" s="15">
        <f t="shared" si="13"/>
        <v>5.18</v>
      </c>
      <c r="E885">
        <f>IF(COUNTIF($A$1:$A884, A885) = 0, 100, E884*(1+D885*0.01))</f>
        <v>87.276672446782868</v>
      </c>
    </row>
    <row r="886" spans="1:5">
      <c r="A886" t="s">
        <v>130</v>
      </c>
      <c r="B886">
        <v>2013</v>
      </c>
      <c r="C886" s="14">
        <v>6.23</v>
      </c>
      <c r="D886" s="15">
        <f t="shared" si="13"/>
        <v>6.23</v>
      </c>
      <c r="E886">
        <f>IF(COUNTIF($A$1:$A885, A886) = 0, 100, E885*(1+D886*0.01))</f>
        <v>92.714009140217442</v>
      </c>
    </row>
    <row r="887" spans="1:5">
      <c r="A887" t="s">
        <v>130</v>
      </c>
      <c r="B887">
        <v>2014</v>
      </c>
      <c r="C887" s="14">
        <v>4.63</v>
      </c>
      <c r="D887" s="15">
        <f t="shared" si="13"/>
        <v>4.63</v>
      </c>
      <c r="E887">
        <f>IF(COUNTIF($A$1:$A886, A887) = 0, 100, E886*(1+D887*0.01))</f>
        <v>97.00666776340951</v>
      </c>
    </row>
    <row r="888" spans="1:5">
      <c r="A888" t="s">
        <v>130</v>
      </c>
      <c r="B888">
        <v>2015</v>
      </c>
      <c r="C888" s="14">
        <v>6.48</v>
      </c>
      <c r="D888" s="15">
        <f t="shared" si="13"/>
        <v>6.48</v>
      </c>
      <c r="E888">
        <f>IF(COUNTIF($A$1:$A887, A888) = 0, 100, E887*(1+D888*0.01))</f>
        <v>103.29269983447844</v>
      </c>
    </row>
    <row r="889" spans="1:5">
      <c r="A889" t="s">
        <v>131</v>
      </c>
      <c r="B889">
        <v>2007</v>
      </c>
      <c r="C889" s="14">
        <v>3.5</v>
      </c>
      <c r="D889" s="15">
        <f t="shared" si="13"/>
        <v>3.5</v>
      </c>
      <c r="E889">
        <f>IF(COUNTIF($A$1:$A888, A889) = 0, 100, E888*(1+D889*0.01))</f>
        <v>100</v>
      </c>
    </row>
    <row r="890" spans="1:5">
      <c r="A890" t="s">
        <v>131</v>
      </c>
      <c r="B890">
        <v>2008</v>
      </c>
      <c r="C890" s="14">
        <v>-3.47</v>
      </c>
      <c r="D890" s="15">
        <f t="shared" si="13"/>
        <v>-3.47</v>
      </c>
      <c r="E890">
        <f>IF(COUNTIF($A$1:$A889, A890) = 0, 100, E889*(1+D890*0.01))</f>
        <v>96.53</v>
      </c>
    </row>
    <row r="891" spans="1:5">
      <c r="A891" t="s">
        <v>131</v>
      </c>
      <c r="B891">
        <v>2009</v>
      </c>
      <c r="C891" s="14">
        <v>6.36</v>
      </c>
      <c r="D891" s="15">
        <f t="shared" si="13"/>
        <v>6.36</v>
      </c>
      <c r="E891">
        <f>IF(COUNTIF($A$1:$A890, A891) = 0, 100, E890*(1+D891*0.01))</f>
        <v>102.66930800000002</v>
      </c>
    </row>
    <row r="892" spans="1:5">
      <c r="A892" t="s">
        <v>131</v>
      </c>
      <c r="B892">
        <v>2010</v>
      </c>
      <c r="C892" s="14">
        <v>7.93</v>
      </c>
      <c r="D892" s="15">
        <f t="shared" si="13"/>
        <v>7.93</v>
      </c>
      <c r="E892">
        <f>IF(COUNTIF($A$1:$A891, A892) = 0, 100, E891*(1+D892*0.01))</f>
        <v>110.81098412440001</v>
      </c>
    </row>
    <row r="893" spans="1:5">
      <c r="A893" t="s">
        <v>131</v>
      </c>
      <c r="B893">
        <v>2011</v>
      </c>
      <c r="C893" s="14">
        <v>1.78</v>
      </c>
      <c r="D893" s="15">
        <f t="shared" si="13"/>
        <v>1.78</v>
      </c>
      <c r="E893">
        <f>IF(COUNTIF($A$1:$A892, A893) = 0, 100, E892*(1+D893*0.01))</f>
        <v>112.78341964181433</v>
      </c>
    </row>
    <row r="894" spans="1:5">
      <c r="A894" t="s">
        <v>131</v>
      </c>
      <c r="B894">
        <v>2012</v>
      </c>
      <c r="C894" s="14">
        <v>4.5</v>
      </c>
      <c r="D894" s="15">
        <f t="shared" si="13"/>
        <v>4.5</v>
      </c>
      <c r="E894">
        <f>IF(COUNTIF($A$1:$A893, A894) = 0, 100, E893*(1+D894*0.01))</f>
        <v>117.85867352569598</v>
      </c>
    </row>
    <row r="895" spans="1:5">
      <c r="A895" t="s">
        <v>131</v>
      </c>
      <c r="B895">
        <v>2013</v>
      </c>
      <c r="C895" s="14">
        <v>3.55</v>
      </c>
      <c r="D895" s="15">
        <f t="shared" si="13"/>
        <v>3.55</v>
      </c>
      <c r="E895">
        <f>IF(COUNTIF($A$1:$A894, A895) = 0, 100, E894*(1+D895*0.01))</f>
        <v>122.04265643585819</v>
      </c>
    </row>
    <row r="896" spans="1:5">
      <c r="A896" t="s">
        <v>131</v>
      </c>
      <c r="B896">
        <v>2014</v>
      </c>
      <c r="C896" s="14">
        <v>5.15</v>
      </c>
      <c r="D896" s="15">
        <f t="shared" si="13"/>
        <v>5.15</v>
      </c>
      <c r="E896">
        <f>IF(COUNTIF($A$1:$A895, A896) = 0, 100, E895*(1+D896*0.01))</f>
        <v>128.32785324230491</v>
      </c>
    </row>
    <row r="897" spans="1:5">
      <c r="A897" t="s">
        <v>131</v>
      </c>
      <c r="B897">
        <v>2015</v>
      </c>
      <c r="C897" s="14">
        <v>6.95</v>
      </c>
      <c r="D897" s="15">
        <f t="shared" si="13"/>
        <v>6.95</v>
      </c>
      <c r="E897">
        <f>IF(COUNTIF($A$1:$A896, A897) = 0, 100, E896*(1+D897*0.01))</f>
        <v>137.24663904264511</v>
      </c>
    </row>
    <row r="898" spans="1:5">
      <c r="A898" t="s">
        <v>131</v>
      </c>
      <c r="B898">
        <v>2016</v>
      </c>
      <c r="C898" s="14">
        <v>0.88</v>
      </c>
      <c r="D898" s="15">
        <f t="shared" ref="D898:D961" si="14">IF(B898&lt;2006,C898*100,C898)</f>
        <v>0.88</v>
      </c>
      <c r="E898">
        <f>IF(COUNTIF($A$1:$A897, A898) = 0, 100, E897*(1+D898*0.01))</f>
        <v>138.45440946622037</v>
      </c>
    </row>
    <row r="899" spans="1:5">
      <c r="A899" t="s">
        <v>131</v>
      </c>
      <c r="B899">
        <v>2017</v>
      </c>
      <c r="C899" s="14">
        <v>3.72</v>
      </c>
      <c r="D899" s="15">
        <f t="shared" si="14"/>
        <v>3.72</v>
      </c>
      <c r="E899">
        <f>IF(COUNTIF($A$1:$A898, A899) = 0, 100, E898*(1+D899*0.01))</f>
        <v>143.60491349836374</v>
      </c>
    </row>
    <row r="900" spans="1:5">
      <c r="A900" t="s">
        <v>131</v>
      </c>
      <c r="B900">
        <v>2018</v>
      </c>
      <c r="C900" s="14">
        <v>-0.84</v>
      </c>
      <c r="D900" s="15">
        <f t="shared" si="14"/>
        <v>-0.84</v>
      </c>
      <c r="E900">
        <f>IF(COUNTIF($A$1:$A899, A900) = 0, 100, E899*(1+D900*0.01))</f>
        <v>142.39863222497749</v>
      </c>
    </row>
    <row r="901" spans="1:5">
      <c r="A901" t="s">
        <v>131</v>
      </c>
      <c r="B901">
        <v>2019</v>
      </c>
      <c r="C901" s="14">
        <v>8.26</v>
      </c>
      <c r="D901" s="15">
        <f t="shared" si="14"/>
        <v>8.26</v>
      </c>
      <c r="E901">
        <f>IF(COUNTIF($A$1:$A900, A901) = 0, 100, E900*(1+D901*0.01))</f>
        <v>154.16075924676062</v>
      </c>
    </row>
    <row r="902" spans="1:5">
      <c r="A902" t="s">
        <v>131</v>
      </c>
      <c r="B902">
        <v>2020</v>
      </c>
      <c r="C902" s="14">
        <v>6.59</v>
      </c>
      <c r="D902" s="15">
        <f t="shared" si="14"/>
        <v>6.59</v>
      </c>
      <c r="E902">
        <f>IF(COUNTIF($A$1:$A901, A902) = 0, 100, E901*(1+D902*0.01))</f>
        <v>164.31995328112217</v>
      </c>
    </row>
    <row r="903" spans="1:5">
      <c r="A903" t="s">
        <v>131</v>
      </c>
      <c r="B903">
        <v>2021</v>
      </c>
      <c r="C903" s="14">
        <v>7.63</v>
      </c>
      <c r="D903" s="15">
        <f t="shared" si="14"/>
        <v>7.63</v>
      </c>
      <c r="E903">
        <f>IF(COUNTIF($A$1:$A902, A903) = 0, 100, E902*(1+D903*0.01))</f>
        <v>176.85756571647178</v>
      </c>
    </row>
    <row r="904" spans="1:5">
      <c r="A904" t="s">
        <v>132</v>
      </c>
      <c r="B904">
        <v>1997</v>
      </c>
      <c r="C904" s="14">
        <v>7.0000000000000007E-2</v>
      </c>
      <c r="D904" s="15">
        <f t="shared" si="14"/>
        <v>7.0000000000000009</v>
      </c>
      <c r="E904">
        <f>IF(COUNTIF($A$1:$A903, A904) = 0, 100, E903*(1+D904*0.01))</f>
        <v>100</v>
      </c>
    </row>
    <row r="905" spans="1:5">
      <c r="A905" t="s">
        <v>132</v>
      </c>
      <c r="B905">
        <v>1999</v>
      </c>
      <c r="C905" s="14">
        <v>0.22</v>
      </c>
      <c r="D905" s="15">
        <f t="shared" si="14"/>
        <v>22</v>
      </c>
      <c r="E905">
        <f>IF(COUNTIF($A$1:$A904, A905) = 0, 100, E904*(1+D905*0.01))</f>
        <v>122</v>
      </c>
    </row>
    <row r="906" spans="1:5">
      <c r="A906" t="s">
        <v>132</v>
      </c>
      <c r="B906">
        <v>2000</v>
      </c>
      <c r="C906" s="14">
        <v>-0.09</v>
      </c>
      <c r="D906" s="15">
        <f t="shared" si="14"/>
        <v>-9</v>
      </c>
      <c r="E906">
        <f>IF(COUNTIF($A$1:$A905, A906) = 0, 100, E905*(1+D906*0.01))</f>
        <v>111.02000000000001</v>
      </c>
    </row>
    <row r="907" spans="1:5">
      <c r="A907" t="s">
        <v>132</v>
      </c>
      <c r="B907">
        <v>2001</v>
      </c>
      <c r="C907" s="14">
        <v>0</v>
      </c>
      <c r="D907" s="15">
        <f t="shared" si="14"/>
        <v>0</v>
      </c>
      <c r="E907">
        <f>IF(COUNTIF($A$1:$A906, A907) = 0, 100, E906*(1+D907*0.01))</f>
        <v>111.02000000000001</v>
      </c>
    </row>
    <row r="908" spans="1:5">
      <c r="A908" t="s">
        <v>132</v>
      </c>
      <c r="B908">
        <v>2002</v>
      </c>
      <c r="C908" s="14">
        <v>-0.02</v>
      </c>
      <c r="D908" s="15">
        <f t="shared" si="14"/>
        <v>-2</v>
      </c>
      <c r="E908">
        <f>IF(COUNTIF($A$1:$A907, A908) = 0, 100, E907*(1+D908*0.01))</f>
        <v>108.79960000000001</v>
      </c>
    </row>
    <row r="909" spans="1:5">
      <c r="A909" t="s">
        <v>132</v>
      </c>
      <c r="B909">
        <v>2003</v>
      </c>
      <c r="C909" s="14">
        <v>0.11</v>
      </c>
      <c r="D909" s="15">
        <f t="shared" si="14"/>
        <v>11</v>
      </c>
      <c r="E909">
        <f>IF(COUNTIF($A$1:$A908, A909) = 0, 100, E908*(1+D909*0.01))</f>
        <v>120.76755600000003</v>
      </c>
    </row>
    <row r="910" spans="1:5">
      <c r="A910" t="s">
        <v>133</v>
      </c>
      <c r="B910">
        <v>1997</v>
      </c>
      <c r="C910" s="14">
        <v>0.09</v>
      </c>
      <c r="D910" s="15">
        <f t="shared" si="14"/>
        <v>9</v>
      </c>
      <c r="E910">
        <f>IF(COUNTIF($A$1:$A909, A910) = 0, 100, E909*(1+D910*0.01))</f>
        <v>100</v>
      </c>
    </row>
    <row r="911" spans="1:5">
      <c r="A911" t="s">
        <v>133</v>
      </c>
      <c r="B911">
        <v>1998</v>
      </c>
      <c r="C911" s="14">
        <v>0.06</v>
      </c>
      <c r="D911" s="15">
        <f t="shared" si="14"/>
        <v>6</v>
      </c>
      <c r="E911">
        <f>IF(COUNTIF($A$1:$A910, A911) = 0, 100, E910*(1+D911*0.01))</f>
        <v>106</v>
      </c>
    </row>
    <row r="912" spans="1:5">
      <c r="A912" t="s">
        <v>133</v>
      </c>
      <c r="B912">
        <v>1999</v>
      </c>
      <c r="C912" s="14">
        <v>0.1</v>
      </c>
      <c r="D912" s="15">
        <f t="shared" si="14"/>
        <v>10</v>
      </c>
      <c r="E912">
        <f>IF(COUNTIF($A$1:$A911, A912) = 0, 100, E911*(1+D912*0.01))</f>
        <v>116.60000000000001</v>
      </c>
    </row>
    <row r="913" spans="1:5">
      <c r="A913" t="s">
        <v>133</v>
      </c>
      <c r="B913">
        <v>2000</v>
      </c>
      <c r="C913" s="14">
        <v>0.02</v>
      </c>
      <c r="D913" s="15">
        <f t="shared" si="14"/>
        <v>2</v>
      </c>
      <c r="E913">
        <f>IF(COUNTIF($A$1:$A912, A913) = 0, 100, E912*(1+D913*0.01))</f>
        <v>118.93200000000002</v>
      </c>
    </row>
    <row r="914" spans="1:5">
      <c r="A914" t="s">
        <v>133</v>
      </c>
      <c r="B914">
        <v>2001</v>
      </c>
      <c r="C914" s="14">
        <v>0.01</v>
      </c>
      <c r="D914" s="15">
        <f t="shared" si="14"/>
        <v>1</v>
      </c>
      <c r="E914">
        <f>IF(COUNTIF($A$1:$A913, A914) = 0, 100, E913*(1+D914*0.01))</f>
        <v>120.12132000000001</v>
      </c>
    </row>
    <row r="915" spans="1:5">
      <c r="A915" t="s">
        <v>133</v>
      </c>
      <c r="B915">
        <v>2002</v>
      </c>
      <c r="C915" s="14">
        <v>0</v>
      </c>
      <c r="D915" s="15">
        <f t="shared" si="14"/>
        <v>0</v>
      </c>
      <c r="E915">
        <f>IF(COUNTIF($A$1:$A914, A915) = 0, 100, E914*(1+D915*0.01))</f>
        <v>120.12132000000001</v>
      </c>
    </row>
    <row r="916" spans="1:5">
      <c r="A916" t="s">
        <v>133</v>
      </c>
      <c r="B916">
        <v>2003</v>
      </c>
      <c r="C916" s="14">
        <v>0.1</v>
      </c>
      <c r="D916" s="15">
        <f t="shared" si="14"/>
        <v>10</v>
      </c>
      <c r="E916">
        <f>IF(COUNTIF($A$1:$A915, A916) = 0, 100, E915*(1+D916*0.01))</f>
        <v>132.13345200000003</v>
      </c>
    </row>
    <row r="917" spans="1:5">
      <c r="A917" t="s">
        <v>133</v>
      </c>
      <c r="B917">
        <v>2004</v>
      </c>
      <c r="C917" s="14">
        <v>0.09</v>
      </c>
      <c r="D917" s="15">
        <f t="shared" si="14"/>
        <v>9</v>
      </c>
      <c r="E917">
        <f>IF(COUNTIF($A$1:$A916, A917) = 0, 100, E916*(1+D917*0.01))</f>
        <v>144.02546268000006</v>
      </c>
    </row>
    <row r="918" spans="1:5">
      <c r="A918" t="s">
        <v>133</v>
      </c>
      <c r="B918">
        <v>2005</v>
      </c>
      <c r="C918" s="14">
        <v>0.11</v>
      </c>
      <c r="D918" s="15">
        <f t="shared" si="14"/>
        <v>11</v>
      </c>
      <c r="E918">
        <f>IF(COUNTIF($A$1:$A917, A918) = 0, 100, E917*(1+D918*0.01))</f>
        <v>159.86826357480007</v>
      </c>
    </row>
    <row r="919" spans="1:5">
      <c r="A919" t="s">
        <v>133</v>
      </c>
      <c r="B919">
        <v>2006</v>
      </c>
      <c r="C919" s="14">
        <v>7.05</v>
      </c>
      <c r="D919" s="15">
        <f t="shared" si="14"/>
        <v>7.05</v>
      </c>
      <c r="E919">
        <f>IF(COUNTIF($A$1:$A918, A919) = 0, 100, E918*(1+D919*0.01))</f>
        <v>171.13897615682347</v>
      </c>
    </row>
    <row r="920" spans="1:5">
      <c r="A920" t="s">
        <v>133</v>
      </c>
      <c r="B920">
        <v>2007</v>
      </c>
      <c r="C920" s="14">
        <v>-0.77</v>
      </c>
      <c r="D920" s="15">
        <f t="shared" si="14"/>
        <v>-0.77</v>
      </c>
      <c r="E920">
        <f>IF(COUNTIF($A$1:$A919, A920) = 0, 100, E919*(1+D920*0.01))</f>
        <v>169.82120604041592</v>
      </c>
    </row>
    <row r="921" spans="1:5">
      <c r="A921" t="s">
        <v>133</v>
      </c>
      <c r="B921">
        <v>2008</v>
      </c>
      <c r="C921" s="14">
        <v>-6.92</v>
      </c>
      <c r="D921" s="15">
        <f t="shared" si="14"/>
        <v>-6.92</v>
      </c>
      <c r="E921">
        <f>IF(COUNTIF($A$1:$A920, A921) = 0, 100, E920*(1+D921*0.01))</f>
        <v>158.06957858241913</v>
      </c>
    </row>
    <row r="922" spans="1:5">
      <c r="A922" t="s">
        <v>133</v>
      </c>
      <c r="B922">
        <v>2009</v>
      </c>
      <c r="C922" s="14">
        <v>5.0999999999999996</v>
      </c>
      <c r="D922" s="15">
        <f t="shared" si="14"/>
        <v>5.0999999999999996</v>
      </c>
      <c r="E922">
        <f>IF(COUNTIF($A$1:$A921, A922) = 0, 100, E921*(1+D922*0.01))</f>
        <v>166.1311270901225</v>
      </c>
    </row>
    <row r="923" spans="1:5">
      <c r="A923" t="s">
        <v>133</v>
      </c>
      <c r="B923">
        <v>2010</v>
      </c>
      <c r="C923" s="14">
        <v>9.5299999999999994</v>
      </c>
      <c r="D923" s="15">
        <f t="shared" si="14"/>
        <v>9.5299999999999994</v>
      </c>
      <c r="E923">
        <f>IF(COUNTIF($A$1:$A922, A923) = 0, 100, E922*(1+D923*0.01))</f>
        <v>181.96342350181118</v>
      </c>
    </row>
    <row r="924" spans="1:5">
      <c r="A924" t="s">
        <v>133</v>
      </c>
      <c r="B924">
        <v>2011</v>
      </c>
      <c r="C924" s="14">
        <v>3.53</v>
      </c>
      <c r="D924" s="15">
        <f t="shared" si="14"/>
        <v>3.53</v>
      </c>
      <c r="E924">
        <f>IF(COUNTIF($A$1:$A923, A924) = 0, 100, E923*(1+D924*0.01))</f>
        <v>188.38673235142508</v>
      </c>
    </row>
    <row r="925" spans="1:5">
      <c r="A925" t="s">
        <v>133</v>
      </c>
      <c r="B925">
        <v>2012</v>
      </c>
      <c r="C925" s="14">
        <v>4.7</v>
      </c>
      <c r="D925" s="15">
        <f t="shared" si="14"/>
        <v>4.7</v>
      </c>
      <c r="E925">
        <f>IF(COUNTIF($A$1:$A924, A925) = 0, 100, E924*(1+D925*0.01))</f>
        <v>197.24090877194206</v>
      </c>
    </row>
    <row r="926" spans="1:5">
      <c r="A926" t="s">
        <v>133</v>
      </c>
      <c r="B926">
        <v>2013</v>
      </c>
      <c r="C926" s="14">
        <v>3.83</v>
      </c>
      <c r="D926" s="15">
        <f t="shared" si="14"/>
        <v>3.83</v>
      </c>
      <c r="E926">
        <f>IF(COUNTIF($A$1:$A925, A926) = 0, 100, E925*(1+D926*0.01))</f>
        <v>204.79523557790745</v>
      </c>
    </row>
    <row r="927" spans="1:5">
      <c r="A927" t="s">
        <v>133</v>
      </c>
      <c r="B927">
        <v>2014</v>
      </c>
      <c r="C927" s="14">
        <v>3.87</v>
      </c>
      <c r="D927" s="15">
        <f t="shared" si="14"/>
        <v>3.87</v>
      </c>
      <c r="E927">
        <f>IF(COUNTIF($A$1:$A926, A927) = 0, 100, E926*(1+D927*0.01))</f>
        <v>212.72081119477247</v>
      </c>
    </row>
    <row r="928" spans="1:5">
      <c r="A928" t="s">
        <v>133</v>
      </c>
      <c r="B928">
        <v>2015</v>
      </c>
      <c r="C928" s="14">
        <v>5.93</v>
      </c>
      <c r="D928" s="15">
        <f t="shared" si="14"/>
        <v>5.93</v>
      </c>
      <c r="E928">
        <f>IF(COUNTIF($A$1:$A927, A928) = 0, 100, E927*(1+D928*0.01))</f>
        <v>225.33515529862245</v>
      </c>
    </row>
    <row r="929" spans="1:5">
      <c r="A929" t="s">
        <v>133</v>
      </c>
      <c r="B929">
        <v>2016</v>
      </c>
      <c r="C929" s="14">
        <v>0.4</v>
      </c>
      <c r="D929" s="15">
        <f t="shared" si="14"/>
        <v>0.4</v>
      </c>
      <c r="E929">
        <f>IF(COUNTIF($A$1:$A928, A929) = 0, 100, E928*(1+D929*0.01))</f>
        <v>226.23649591981695</v>
      </c>
    </row>
    <row r="930" spans="1:5">
      <c r="A930" t="s">
        <v>133</v>
      </c>
      <c r="B930">
        <v>2017</v>
      </c>
      <c r="C930" s="14">
        <v>4.5999999999999996</v>
      </c>
      <c r="D930" s="15">
        <f t="shared" si="14"/>
        <v>4.5999999999999996</v>
      </c>
      <c r="E930">
        <f>IF(COUNTIF($A$1:$A929, A930) = 0, 100, E929*(1+D930*0.01))</f>
        <v>236.64337473212854</v>
      </c>
    </row>
    <row r="931" spans="1:5">
      <c r="A931" t="s">
        <v>133</v>
      </c>
      <c r="B931">
        <v>2018</v>
      </c>
      <c r="C931" s="14">
        <v>2.2000000000000002</v>
      </c>
      <c r="D931" s="15">
        <f t="shared" si="14"/>
        <v>2.2000000000000002</v>
      </c>
      <c r="E931">
        <f>IF(COUNTIF($A$1:$A930, A931) = 0, 100, E930*(1+D931*0.01))</f>
        <v>241.84952897623538</v>
      </c>
    </row>
    <row r="932" spans="1:5">
      <c r="A932" t="s">
        <v>133</v>
      </c>
      <c r="B932">
        <v>2019</v>
      </c>
      <c r="C932" s="14">
        <v>6.8</v>
      </c>
      <c r="D932" s="15">
        <f t="shared" si="14"/>
        <v>6.8</v>
      </c>
      <c r="E932">
        <f>IF(COUNTIF($A$1:$A931, A932) = 0, 100, E931*(1+D932*0.01))</f>
        <v>258.29529694661937</v>
      </c>
    </row>
    <row r="933" spans="1:5">
      <c r="A933" t="s">
        <v>133</v>
      </c>
      <c r="B933">
        <v>2020</v>
      </c>
      <c r="C933" s="14">
        <v>5.43</v>
      </c>
      <c r="D933" s="15">
        <f t="shared" si="14"/>
        <v>5.43</v>
      </c>
      <c r="E933">
        <f>IF(COUNTIF($A$1:$A932, A933) = 0, 100, E932*(1+D933*0.01))</f>
        <v>272.32073157082078</v>
      </c>
    </row>
    <row r="934" spans="1:5">
      <c r="A934" t="s">
        <v>133</v>
      </c>
      <c r="B934">
        <v>2021</v>
      </c>
      <c r="C934" s="14">
        <v>6.48</v>
      </c>
      <c r="D934" s="15">
        <f t="shared" si="14"/>
        <v>6.48</v>
      </c>
      <c r="E934">
        <f>IF(COUNTIF($A$1:$A933, A934) = 0, 100, E933*(1+D934*0.01))</f>
        <v>289.96711497660993</v>
      </c>
    </row>
    <row r="935" spans="1:5">
      <c r="A935" t="s">
        <v>134</v>
      </c>
      <c r="B935">
        <v>1997</v>
      </c>
      <c r="C935" s="14">
        <v>0.04</v>
      </c>
      <c r="D935" s="15">
        <f t="shared" si="14"/>
        <v>4</v>
      </c>
      <c r="E935">
        <f>IF(COUNTIF($A$1:$A934, A935) = 0, 100, E934*(1+D935*0.01))</f>
        <v>100</v>
      </c>
    </row>
    <row r="936" spans="1:5">
      <c r="A936" t="s">
        <v>134</v>
      </c>
      <c r="B936">
        <v>1998</v>
      </c>
      <c r="C936" s="14">
        <v>0.05</v>
      </c>
      <c r="D936" s="15">
        <f t="shared" si="14"/>
        <v>5</v>
      </c>
      <c r="E936">
        <f>IF(COUNTIF($A$1:$A935, A936) = 0, 100, E935*(1+D936*0.01))</f>
        <v>105</v>
      </c>
    </row>
    <row r="937" spans="1:5">
      <c r="A937" t="s">
        <v>134</v>
      </c>
      <c r="B937">
        <v>1999</v>
      </c>
      <c r="C937" s="14">
        <v>0.05</v>
      </c>
      <c r="D937" s="15">
        <f t="shared" si="14"/>
        <v>5</v>
      </c>
      <c r="E937">
        <f>IF(COUNTIF($A$1:$A936, A937) = 0, 100, E936*(1+D937*0.01))</f>
        <v>110.25</v>
      </c>
    </row>
    <row r="938" spans="1:5">
      <c r="A938" t="s">
        <v>134</v>
      </c>
      <c r="B938">
        <v>2000</v>
      </c>
      <c r="C938" s="14">
        <v>0.05</v>
      </c>
      <c r="D938" s="15">
        <f t="shared" si="14"/>
        <v>5</v>
      </c>
      <c r="E938">
        <f>IF(COUNTIF($A$1:$A937, A938) = 0, 100, E937*(1+D938*0.01))</f>
        <v>115.7625</v>
      </c>
    </row>
    <row r="939" spans="1:5">
      <c r="A939" t="s">
        <v>135</v>
      </c>
      <c r="B939">
        <v>2019</v>
      </c>
      <c r="C939" s="14">
        <v>6.35</v>
      </c>
      <c r="D939" s="15">
        <f t="shared" si="14"/>
        <v>6.35</v>
      </c>
      <c r="E939">
        <f>IF(COUNTIF($A$1:$A938, A939) = 0, 100, E938*(1+D939*0.01))</f>
        <v>100</v>
      </c>
    </row>
    <row r="940" spans="1:5">
      <c r="A940" t="s">
        <v>135</v>
      </c>
      <c r="B940">
        <v>2020</v>
      </c>
      <c r="C940" s="14">
        <v>3.04</v>
      </c>
      <c r="D940" s="15">
        <f t="shared" si="14"/>
        <v>3.04</v>
      </c>
      <c r="E940">
        <f>IF(COUNTIF($A$1:$A939, A940) = 0, 100, E939*(1+D940*0.01))</f>
        <v>103.03999999999999</v>
      </c>
    </row>
    <row r="941" spans="1:5">
      <c r="A941" t="s">
        <v>135</v>
      </c>
      <c r="B941">
        <v>2021</v>
      </c>
      <c r="C941" s="14">
        <v>3.51</v>
      </c>
      <c r="D941" s="15">
        <f t="shared" si="14"/>
        <v>3.51</v>
      </c>
      <c r="E941">
        <f>IF(COUNTIF($A$1:$A940, A941) = 0, 100, E940*(1+D941*0.01))</f>
        <v>106.65670399999998</v>
      </c>
    </row>
    <row r="942" spans="1:5">
      <c r="A942" t="s">
        <v>136</v>
      </c>
      <c r="B942">
        <v>1997</v>
      </c>
      <c r="C942" s="14">
        <v>0.05</v>
      </c>
      <c r="D942" s="15">
        <f t="shared" si="14"/>
        <v>5</v>
      </c>
      <c r="E942">
        <f>IF(COUNTIF($A$1:$A941, A942) = 0, 100, E941*(1+D942*0.01))</f>
        <v>100</v>
      </c>
    </row>
    <row r="943" spans="1:5">
      <c r="A943" t="s">
        <v>136</v>
      </c>
      <c r="B943">
        <v>1999</v>
      </c>
      <c r="C943" s="14">
        <v>0.1</v>
      </c>
      <c r="D943" s="15">
        <f t="shared" si="14"/>
        <v>10</v>
      </c>
      <c r="E943">
        <f>IF(COUNTIF($A$1:$A942, A943) = 0, 100, E942*(1+D943*0.01))</f>
        <v>110.00000000000001</v>
      </c>
    </row>
    <row r="944" spans="1:5">
      <c r="A944" t="s">
        <v>136</v>
      </c>
      <c r="B944">
        <v>2000</v>
      </c>
      <c r="C944" s="14">
        <v>-0.05</v>
      </c>
      <c r="D944" s="15">
        <f t="shared" si="14"/>
        <v>-5</v>
      </c>
      <c r="E944">
        <f>IF(COUNTIF($A$1:$A943, A944) = 0, 100, E943*(1+D944*0.01))</f>
        <v>104.50000000000001</v>
      </c>
    </row>
    <row r="945" spans="1:5">
      <c r="A945" t="s">
        <v>136</v>
      </c>
      <c r="B945">
        <v>2001</v>
      </c>
      <c r="C945" s="14">
        <v>-0.04</v>
      </c>
      <c r="D945" s="15">
        <f t="shared" si="14"/>
        <v>-4</v>
      </c>
      <c r="E945">
        <f>IF(COUNTIF($A$1:$A944, A945) = 0, 100, E944*(1+D945*0.01))</f>
        <v>100.32000000000001</v>
      </c>
    </row>
    <row r="946" spans="1:5">
      <c r="A946" t="s">
        <v>136</v>
      </c>
      <c r="B946">
        <v>2002</v>
      </c>
      <c r="C946" s="14">
        <v>0</v>
      </c>
      <c r="D946" s="15">
        <f t="shared" si="14"/>
        <v>0</v>
      </c>
      <c r="E946">
        <f>IF(COUNTIF($A$1:$A945, A946) = 0, 100, E945*(1+D946*0.01))</f>
        <v>100.32000000000001</v>
      </c>
    </row>
    <row r="947" spans="1:5">
      <c r="A947" t="s">
        <v>136</v>
      </c>
      <c r="B947">
        <v>2003</v>
      </c>
      <c r="C947" s="14">
        <v>0.12</v>
      </c>
      <c r="D947" s="15">
        <f t="shared" si="14"/>
        <v>12</v>
      </c>
      <c r="E947">
        <f>IF(COUNTIF($A$1:$A946, A947) = 0, 100, E946*(1+D947*0.01))</f>
        <v>112.35840000000002</v>
      </c>
    </row>
    <row r="948" spans="1:5">
      <c r="A948" t="s">
        <v>136</v>
      </c>
      <c r="B948">
        <v>2004</v>
      </c>
      <c r="C948" s="14">
        <v>7.0000000000000007E-2</v>
      </c>
      <c r="D948" s="15">
        <f t="shared" si="14"/>
        <v>7.0000000000000009</v>
      </c>
      <c r="E948">
        <f>IF(COUNTIF($A$1:$A947, A948) = 0, 100, E947*(1+D948*0.01))</f>
        <v>120.22348800000003</v>
      </c>
    </row>
    <row r="949" spans="1:5">
      <c r="A949" t="s">
        <v>136</v>
      </c>
      <c r="B949">
        <v>2005</v>
      </c>
      <c r="C949" s="14">
        <v>0.08</v>
      </c>
      <c r="D949" s="15">
        <f t="shared" si="14"/>
        <v>8</v>
      </c>
      <c r="E949">
        <f>IF(COUNTIF($A$1:$A948, A949) = 0, 100, E948*(1+D949*0.01))</f>
        <v>129.84136704000005</v>
      </c>
    </row>
    <row r="950" spans="1:5">
      <c r="A950" t="s">
        <v>136</v>
      </c>
      <c r="B950">
        <v>2006</v>
      </c>
      <c r="C950" s="14">
        <v>9.4600000000000009</v>
      </c>
      <c r="D950" s="15">
        <f t="shared" si="14"/>
        <v>9.4600000000000009</v>
      </c>
      <c r="E950">
        <f>IF(COUNTIF($A$1:$A949, A950) = 0, 100, E949*(1+D950*0.01))</f>
        <v>142.12436036198406</v>
      </c>
    </row>
    <row r="951" spans="1:5">
      <c r="A951" t="s">
        <v>136</v>
      </c>
      <c r="B951">
        <v>2007</v>
      </c>
      <c r="C951" s="14">
        <v>3.4</v>
      </c>
      <c r="D951" s="15">
        <f t="shared" si="14"/>
        <v>3.4</v>
      </c>
      <c r="E951">
        <f>IF(COUNTIF($A$1:$A950, A951) = 0, 100, E950*(1+D951*0.01))</f>
        <v>146.95658861429152</v>
      </c>
    </row>
    <row r="952" spans="1:5">
      <c r="A952" t="s">
        <v>136</v>
      </c>
      <c r="B952">
        <v>2008</v>
      </c>
      <c r="C952" s="14">
        <v>-33.36</v>
      </c>
      <c r="D952" s="15">
        <f t="shared" si="14"/>
        <v>-33.36</v>
      </c>
      <c r="E952">
        <f>IF(COUNTIF($A$1:$A951, A952) = 0, 100, E951*(1+D952*0.01))</f>
        <v>97.931870652563873</v>
      </c>
    </row>
    <row r="953" spans="1:5">
      <c r="A953" t="s">
        <v>136</v>
      </c>
      <c r="B953">
        <v>2009</v>
      </c>
      <c r="C953" s="14">
        <v>4.28</v>
      </c>
      <c r="D953" s="15">
        <f t="shared" si="14"/>
        <v>4.28</v>
      </c>
      <c r="E953">
        <f>IF(COUNTIF($A$1:$A952, A953) = 0, 100, E952*(1+D953*0.01))</f>
        <v>102.12335471649361</v>
      </c>
    </row>
    <row r="954" spans="1:5">
      <c r="A954" t="s">
        <v>136</v>
      </c>
      <c r="B954">
        <v>2010</v>
      </c>
      <c r="C954" s="14">
        <v>5.42</v>
      </c>
      <c r="D954" s="15">
        <f t="shared" si="14"/>
        <v>5.42</v>
      </c>
      <c r="E954">
        <f>IF(COUNTIF($A$1:$A953, A954) = 0, 100, E953*(1+D954*0.01))</f>
        <v>107.65844054212756</v>
      </c>
    </row>
    <row r="955" spans="1:5">
      <c r="A955" t="s">
        <v>136</v>
      </c>
      <c r="B955">
        <v>2011</v>
      </c>
      <c r="C955" s="14">
        <v>3.84</v>
      </c>
      <c r="D955" s="15">
        <f t="shared" si="14"/>
        <v>3.84</v>
      </c>
      <c r="E955">
        <f>IF(COUNTIF($A$1:$A954, A955) = 0, 100, E954*(1+D955*0.01))</f>
        <v>111.79252465894527</v>
      </c>
    </row>
    <row r="956" spans="1:5">
      <c r="A956" t="s">
        <v>136</v>
      </c>
      <c r="B956">
        <v>2012</v>
      </c>
      <c r="C956" s="14">
        <v>2.38</v>
      </c>
      <c r="D956" s="15">
        <f t="shared" si="14"/>
        <v>2.38</v>
      </c>
      <c r="E956">
        <f>IF(COUNTIF($A$1:$A955, A956) = 0, 100, E955*(1+D956*0.01))</f>
        <v>114.45318674582818</v>
      </c>
    </row>
    <row r="957" spans="1:5">
      <c r="A957" t="s">
        <v>136</v>
      </c>
      <c r="B957">
        <v>2013</v>
      </c>
      <c r="C957" s="14">
        <v>2.76</v>
      </c>
      <c r="D957" s="15">
        <f t="shared" si="14"/>
        <v>2.76</v>
      </c>
      <c r="E957">
        <f>IF(COUNTIF($A$1:$A956, A957) = 0, 100, E956*(1+D957*0.01))</f>
        <v>117.61209470001305</v>
      </c>
    </row>
    <row r="958" spans="1:5">
      <c r="A958" t="s">
        <v>136</v>
      </c>
      <c r="B958">
        <v>2014</v>
      </c>
      <c r="C958" s="14">
        <v>4.04</v>
      </c>
      <c r="D958" s="15">
        <f t="shared" si="14"/>
        <v>4.04</v>
      </c>
      <c r="E958">
        <f>IF(COUNTIF($A$1:$A957, A958) = 0, 100, E957*(1+D958*0.01))</f>
        <v>122.36362332589357</v>
      </c>
    </row>
    <row r="959" spans="1:5">
      <c r="A959" t="s">
        <v>136</v>
      </c>
      <c r="B959">
        <v>2015</v>
      </c>
      <c r="C959" s="14">
        <v>9.4600000000000009</v>
      </c>
      <c r="D959" s="15">
        <f t="shared" si="14"/>
        <v>9.4600000000000009</v>
      </c>
      <c r="E959">
        <f>IF(COUNTIF($A$1:$A958, A959) = 0, 100, E958*(1+D959*0.01))</f>
        <v>133.9392220925231</v>
      </c>
    </row>
    <row r="960" spans="1:5">
      <c r="A960" t="s">
        <v>136</v>
      </c>
      <c r="B960">
        <v>2016</v>
      </c>
      <c r="C960" s="14">
        <v>1.4</v>
      </c>
      <c r="D960" s="15">
        <f t="shared" si="14"/>
        <v>1.4</v>
      </c>
      <c r="E960">
        <f>IF(COUNTIF($A$1:$A959, A960) = 0, 100, E959*(1+D960*0.01))</f>
        <v>135.81437120181843</v>
      </c>
    </row>
    <row r="961" spans="1:5">
      <c r="A961" t="s">
        <v>136</v>
      </c>
      <c r="B961">
        <v>2017</v>
      </c>
      <c r="C961" s="14">
        <v>4.62</v>
      </c>
      <c r="D961" s="15">
        <f t="shared" si="14"/>
        <v>4.62</v>
      </c>
      <c r="E961">
        <f>IF(COUNTIF($A$1:$A960, A961) = 0, 100, E960*(1+D961*0.01))</f>
        <v>142.08899515134246</v>
      </c>
    </row>
    <row r="962" spans="1:5">
      <c r="A962" t="s">
        <v>136</v>
      </c>
      <c r="B962">
        <v>2018</v>
      </c>
      <c r="C962" s="14">
        <v>1</v>
      </c>
      <c r="D962" s="15">
        <f t="shared" ref="D962:D965" si="15">IF(B962&lt;2006,C962*100,C962)</f>
        <v>1</v>
      </c>
      <c r="E962">
        <f>IF(COUNTIF($A$1:$A961, A962) = 0, 100, E961*(1+D962*0.01))</f>
        <v>143.50988510285589</v>
      </c>
    </row>
    <row r="963" spans="1:5">
      <c r="A963" t="s">
        <v>136</v>
      </c>
      <c r="B963">
        <v>2019</v>
      </c>
      <c r="C963" s="14">
        <v>9.14</v>
      </c>
      <c r="D963" s="15">
        <f t="shared" si="15"/>
        <v>9.14</v>
      </c>
      <c r="E963">
        <f>IF(COUNTIF($A$1:$A962, A963) = 0, 100, E962*(1+D963*0.01))</f>
        <v>156.62668860125692</v>
      </c>
    </row>
    <row r="964" spans="1:5">
      <c r="A964" t="s">
        <v>136</v>
      </c>
      <c r="B964">
        <v>2020</v>
      </c>
      <c r="C964" s="14">
        <v>7.67</v>
      </c>
      <c r="D964" s="15">
        <f t="shared" si="15"/>
        <v>7.67</v>
      </c>
      <c r="E964">
        <f>IF(COUNTIF($A$1:$A963, A964) = 0, 100, E963*(1+D964*0.01))</f>
        <v>168.63995561697331</v>
      </c>
    </row>
    <row r="965" spans="1:5">
      <c r="A965" t="s">
        <v>136</v>
      </c>
      <c r="B965">
        <v>2021</v>
      </c>
      <c r="C965" s="14">
        <v>5.61</v>
      </c>
      <c r="D965" s="15">
        <f t="shared" si="15"/>
        <v>5.61</v>
      </c>
      <c r="E965">
        <f>IF(COUNTIF($A$1:$A964, A965) = 0, 100, E964*(1+D965*0.01))</f>
        <v>178.10065712708553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430A-8B75-EC49-BDC4-99F9C5B7D043}">
  <dimension ref="A1:C26"/>
  <sheetViews>
    <sheetView workbookViewId="0">
      <selection activeCell="B2" sqref="B2"/>
    </sheetView>
  </sheetViews>
  <sheetFormatPr baseColWidth="10" defaultRowHeight="16"/>
  <cols>
    <col min="2" max="2" width="26.1640625" bestFit="1" customWidth="1"/>
    <col min="3" max="3" width="25.5" style="1" bestFit="1" customWidth="1"/>
  </cols>
  <sheetData>
    <row r="1" spans="1:3">
      <c r="C1" s="1" t="s">
        <v>137</v>
      </c>
    </row>
    <row r="2" spans="1:3">
      <c r="A2">
        <v>1997</v>
      </c>
      <c r="B2" s="13">
        <v>359534524</v>
      </c>
      <c r="C2" s="1">
        <v>339025342</v>
      </c>
    </row>
    <row r="3" spans="1:3">
      <c r="A3">
        <v>1998</v>
      </c>
      <c r="B3" s="13">
        <v>353250563</v>
      </c>
      <c r="C3" s="1">
        <v>391634911</v>
      </c>
    </row>
    <row r="4" spans="1:3">
      <c r="A4">
        <v>1999</v>
      </c>
      <c r="B4" s="13">
        <v>567285244</v>
      </c>
      <c r="C4" s="1">
        <v>520716686</v>
      </c>
    </row>
    <row r="5" spans="1:3">
      <c r="A5">
        <v>2000</v>
      </c>
      <c r="B5" t="s">
        <v>138</v>
      </c>
      <c r="C5" s="1">
        <v>710889711</v>
      </c>
    </row>
    <row r="6" spans="1:3">
      <c r="A6">
        <v>2001</v>
      </c>
      <c r="B6" s="13">
        <v>-119509482</v>
      </c>
      <c r="C6" s="1">
        <v>1157915724</v>
      </c>
    </row>
    <row r="7" spans="1:3">
      <c r="A7">
        <v>2002</v>
      </c>
      <c r="B7" t="s">
        <v>139</v>
      </c>
      <c r="C7" s="1">
        <v>635164155</v>
      </c>
    </row>
    <row r="8" spans="1:3">
      <c r="A8">
        <v>2003</v>
      </c>
      <c r="B8" s="13">
        <v>541555365</v>
      </c>
      <c r="C8" s="1">
        <v>759891395</v>
      </c>
    </row>
    <row r="9" spans="1:3">
      <c r="A9">
        <v>2004</v>
      </c>
      <c r="B9" s="13">
        <v>669790176</v>
      </c>
      <c r="C9" s="1">
        <v>907670425</v>
      </c>
    </row>
    <row r="10" spans="1:3">
      <c r="A10">
        <v>2005</v>
      </c>
      <c r="B10" s="13">
        <v>476715491</v>
      </c>
      <c r="C10" s="1">
        <v>1121337741</v>
      </c>
    </row>
    <row r="11" spans="1:3">
      <c r="A11">
        <v>2006</v>
      </c>
      <c r="B11" s="13">
        <v>36778835912</v>
      </c>
      <c r="C11" s="1">
        <v>1372675640</v>
      </c>
    </row>
    <row r="12" spans="1:3">
      <c r="A12">
        <v>2007</v>
      </c>
      <c r="B12" s="13">
        <v>5434647731</v>
      </c>
      <c r="C12" s="1">
        <v>1546408003</v>
      </c>
    </row>
    <row r="13" spans="1:3">
      <c r="A13">
        <v>2008</v>
      </c>
      <c r="B13" s="13">
        <v>-70173516554</v>
      </c>
      <c r="C13" s="1">
        <v>1497317902</v>
      </c>
    </row>
    <row r="14" spans="1:3">
      <c r="A14">
        <v>2009</v>
      </c>
      <c r="B14" s="13">
        <v>1323233205</v>
      </c>
      <c r="C14" s="1">
        <v>1668258357</v>
      </c>
    </row>
    <row r="15" spans="1:3">
      <c r="A15">
        <v>2010</v>
      </c>
      <c r="B15" s="13">
        <v>6026647568</v>
      </c>
      <c r="C15" s="1">
        <v>1787786559</v>
      </c>
    </row>
    <row r="16" spans="1:3">
      <c r="A16">
        <v>2011</v>
      </c>
      <c r="B16" s="13">
        <v>3950000000</v>
      </c>
      <c r="C16" s="1">
        <v>1950558838</v>
      </c>
    </row>
    <row r="17" spans="1:3">
      <c r="A17">
        <v>2012</v>
      </c>
      <c r="B17" s="13">
        <v>13810000000</v>
      </c>
      <c r="C17" s="1">
        <v>2202843005</v>
      </c>
    </row>
    <row r="18" spans="1:3">
      <c r="A18">
        <v>2013</v>
      </c>
      <c r="B18" s="13">
        <v>8415000000</v>
      </c>
      <c r="C18" s="1">
        <v>2433579532</v>
      </c>
    </row>
    <row r="19" spans="1:3">
      <c r="A19">
        <v>2014</v>
      </c>
      <c r="B19" s="13">
        <v>3540000000</v>
      </c>
      <c r="C19" s="1">
        <v>2653018468</v>
      </c>
    </row>
    <row r="20" spans="1:3">
      <c r="A20">
        <v>2015</v>
      </c>
      <c r="B20" s="13">
        <v>20048000000</v>
      </c>
      <c r="C20" s="1">
        <v>2961378230</v>
      </c>
    </row>
    <row r="21" spans="1:3">
      <c r="A21">
        <v>2016</v>
      </c>
      <c r="B21" s="13">
        <v>-3169000000</v>
      </c>
      <c r="C21" s="1">
        <v>3200046658</v>
      </c>
    </row>
    <row r="22" spans="1:3">
      <c r="A22">
        <v>2017</v>
      </c>
      <c r="B22" s="13">
        <v>10460000000</v>
      </c>
      <c r="C22" s="1">
        <v>3559151297</v>
      </c>
    </row>
    <row r="23" spans="1:3">
      <c r="A23">
        <v>2018</v>
      </c>
      <c r="B23" s="13">
        <v>5610000000</v>
      </c>
      <c r="C23" s="1">
        <v>3818318410</v>
      </c>
    </row>
    <row r="24" spans="1:3">
      <c r="A24">
        <v>2019</v>
      </c>
      <c r="B24" s="13">
        <v>24003000000</v>
      </c>
      <c r="C24" s="1">
        <v>4465331597</v>
      </c>
    </row>
    <row r="25" spans="1:3">
      <c r="A25">
        <v>2020</v>
      </c>
      <c r="B25" s="13">
        <v>20707000000</v>
      </c>
      <c r="C25" s="1">
        <v>5136613615</v>
      </c>
    </row>
    <row r="26" spans="1:3">
      <c r="A26">
        <v>2021</v>
      </c>
      <c r="B26" s="13">
        <v>23984000000</v>
      </c>
      <c r="C26" s="1">
        <v>6039498212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95D5D-BBC7-4B45-AA50-70BC348CC3E1}">
  <dimension ref="A1:V940"/>
  <sheetViews>
    <sheetView topLeftCell="F1" zoomScale="75" workbookViewId="0">
      <selection activeCell="K11" sqref="K11"/>
    </sheetView>
  </sheetViews>
  <sheetFormatPr baseColWidth="10" defaultRowHeight="16"/>
  <cols>
    <col min="1" max="1" width="47.33203125" bestFit="1" customWidth="1"/>
    <col min="3" max="3" width="11" customWidth="1"/>
    <col min="4" max="4" width="16.83203125" style="1" customWidth="1"/>
    <col min="5" max="5" width="15" style="29" customWidth="1"/>
    <col min="6" max="7" width="15" style="1" customWidth="1"/>
    <col min="8" max="8" width="26.6640625" style="15" bestFit="1" customWidth="1"/>
    <col min="12" max="12" width="15" style="33" bestFit="1" customWidth="1"/>
    <col min="13" max="13" width="10.83203125" style="33"/>
  </cols>
  <sheetData>
    <row r="1" spans="1:22">
      <c r="A1" t="s">
        <v>144</v>
      </c>
      <c r="B1" t="s">
        <v>142</v>
      </c>
      <c r="C1" t="s">
        <v>143</v>
      </c>
      <c r="D1" s="1" t="s">
        <v>137</v>
      </c>
      <c r="E1" s="29" t="s">
        <v>145</v>
      </c>
      <c r="F1" s="1" t="s">
        <v>147</v>
      </c>
      <c r="G1" s="1" t="s">
        <v>148</v>
      </c>
      <c r="H1" s="15" t="s">
        <v>149</v>
      </c>
      <c r="I1" t="s">
        <v>150</v>
      </c>
      <c r="L1" s="32" t="s">
        <v>149</v>
      </c>
      <c r="M1" s="33" t="s">
        <v>150</v>
      </c>
      <c r="O1" t="s">
        <v>154</v>
      </c>
    </row>
    <row r="2" spans="1:22">
      <c r="A2" t="s">
        <v>54</v>
      </c>
      <c r="B2">
        <v>2003</v>
      </c>
      <c r="C2" s="16">
        <v>0.13</v>
      </c>
      <c r="D2" s="1">
        <v>4920402</v>
      </c>
      <c r="E2" s="29">
        <f>Table1[[#This Row],[Ávöxtun]]*Table1[[#This Row],[Eignir]]/SUMIFS(Table1[Eignir],Table1[Year],Table1[[#This Row],[Year]])</f>
        <v>8.4176800042515265E-4</v>
      </c>
      <c r="F2" s="23" t="str">
        <f>IFERROR(IF(B2=1997, 100, IF(COUNTIF(A$1:A1,A2)=0, "NEW", "")),"")</f>
        <v>NEW</v>
      </c>
      <c r="G2" s="18" t="str" cm="1">
        <f t="array" ref="G2">IFERROR(_xlfn.IFS(ISNUMBER(Table1[[#This Row],[Column3]]),Table1[[#This Row],[Column3]],Table1[[#This Row],[Column3]]="NEW",Table1[[#This Row],[Column3]]),"")</f>
        <v>NEW</v>
      </c>
      <c r="H2" s="30" cm="1">
        <f t="array" ref="H2">_xlfn.IFS(Table1[[#This Row],[Column4]]="NEW",AVERAGEIFS(Table1[Column4],Table1[Year],Table1[[#This Row],[Year]]),ISNUMBER(Table1[[#This Row],[Column4]]),Table1[[#This Row],[Column4]],Table1[[#This Row],[Column4]]="",H1*(1+Table1[[#This Row],[Ávöxtun]]))</f>
        <v>126.12287587932381</v>
      </c>
      <c r="I2" s="30" cm="1">
        <f t="array" ref="I2">_xlfn.IFS(Table1[[#This Row],[Column4]]="NEW",_xlfn.XLOOKUP(Table1[[#This Row],[Year]],$N$2:$N$27,$P$2:$P$27),ISNUMBER(Table1[[#This Row],[Column4]]),Table1[[#This Row],[Column4]],Table1[[#This Row],[Column4]]="",I1*(1+Table1[[#This Row],[Ávöxtun]]))</f>
        <v>133.19193086756502</v>
      </c>
      <c r="K2">
        <f>P8*(1+Table1[[#This Row],[Ávöxtun]])</f>
        <v>130.42938744715394</v>
      </c>
      <c r="L2" s="33">
        <v>126.12287587932381</v>
      </c>
      <c r="M2" s="33">
        <v>143.45657513984816</v>
      </c>
      <c r="N2" t="s">
        <v>4</v>
      </c>
      <c r="O2" t="s">
        <v>154</v>
      </c>
      <c r="P2" t="s">
        <v>155</v>
      </c>
      <c r="Q2" t="s">
        <v>151</v>
      </c>
      <c r="R2" t="s">
        <v>152</v>
      </c>
      <c r="S2" t="s">
        <v>156</v>
      </c>
      <c r="T2" t="s">
        <v>157</v>
      </c>
      <c r="U2" t="s">
        <v>158</v>
      </c>
      <c r="V2" t="s">
        <v>159</v>
      </c>
    </row>
    <row r="3" spans="1:22">
      <c r="A3" t="s">
        <v>54</v>
      </c>
      <c r="B3">
        <v>2004</v>
      </c>
      <c r="C3" s="16">
        <v>0.08</v>
      </c>
      <c r="D3" s="1">
        <v>6646067</v>
      </c>
      <c r="E3" s="29">
        <f>Table1[[#This Row],[Ávöxtun]]*Table1[[#This Row],[Eignir]]/SUMIFS(Table1[Eignir],Table1[Year],Table1[[#This Row],[Year]])</f>
        <v>5.8576917933510523E-4</v>
      </c>
      <c r="F3" s="23" t="e">
        <f>IF(B3=1997, 100, IF(COUNTIF(A$1:A2,A3)=0, "NEW", F2*(1+Table1[[#This Row],[Ávöxtun]])))</f>
        <v>#VALUE!</v>
      </c>
      <c r="G3" s="18" t="str" cm="1">
        <f t="array" ref="G3">IFERROR(_xlfn.IFS(ISNUMBER(Table1[[#This Row],[Column3]]),Table1[[#This Row],[Column3]],Table1[[#This Row],[Column3]]="NEW",Table1[[#This Row],[Column3]]),"")</f>
        <v/>
      </c>
      <c r="H3" s="15" cm="1">
        <f t="array" ref="H3">_xlfn.IFS(Table1[[#This Row],[Column4]]="NEW",AVERAGEIFS(Table1[Column4],Table1[Year],Table1[[#This Row],[Year]]),ISNUMBER(Table1[[#This Row],[Column4]]),Table1[[#This Row],[Column4]],Table1[[#This Row],[Column4]]="",H2*(1+Table1[[#This Row],[Ávöxtun]]))</f>
        <v>136.21270594966973</v>
      </c>
      <c r="I3" cm="1">
        <f t="array" ref="I3">_xlfn.IFS(Table1[[#This Row],[Column4]]="NEW",_xlfn.XLOOKUP(Table1[[#This Row],[Year]],$N$2:$N$27,$P$2:$P$27),ISNUMBER(Table1[[#This Row],[Column4]]),Table1[[#This Row],[Column4]],Table1[[#This Row],[Column4]]="",I2*(1+Table1[[#This Row],[Ávöxtun]]))</f>
        <v>143.84728533697023</v>
      </c>
      <c r="L3" s="33">
        <v>136.21270594966973</v>
      </c>
      <c r="M3" s="33">
        <v>154.93310115103603</v>
      </c>
      <c r="N3">
        <v>1997</v>
      </c>
      <c r="O3" s="27">
        <f>SUMIFS(Table1[Column2],Table1[Year],N3)</f>
        <v>7.7066562556927135E-2</v>
      </c>
      <c r="P3">
        <v>100</v>
      </c>
      <c r="Q3" s="26" cm="1">
        <f t="array" ref="Q3">_xlfn.QUARTILE.EXC(IF($B$2:$B$939 = N3, $I$2:$I$939), 3)</f>
        <v>100</v>
      </c>
      <c r="R3" s="26" cm="1">
        <f t="array" ref="R3">_xlfn.QUARTILE.EXC(IF($B$2:$B$939 = N3, $I$2:$I$939), 1)</f>
        <v>100</v>
      </c>
      <c r="S3" s="26" cm="1">
        <f t="array" ref="S3">_xlfn.QUARTILE.EXC(IF($B$2:$B$939 = N3, $I$2:$I$939), 2)</f>
        <v>100</v>
      </c>
      <c r="T3" s="17" cm="1">
        <f t="array" ref="T3">_xlfn.QUARTILE.EXC(IF($B$2:$B$939 = N3, $C$2:$C$939), 3)</f>
        <v>0.08</v>
      </c>
      <c r="U3" s="17" cm="1">
        <f t="array" ref="U3">_xlfn.QUARTILE.EXC(IF($B$2:$B$939 = N3, $C$2:$C$939), 1)</f>
        <v>5.7499999999999996E-2</v>
      </c>
      <c r="V3" s="17" cm="1">
        <f t="array" ref="V3">_xlfn.QUARTILE.EXC(IF($B$2:$B$939 = N3, $C$2:$C$939), 2)</f>
        <v>0.06</v>
      </c>
    </row>
    <row r="4" spans="1:22">
      <c r="A4" t="s">
        <v>54</v>
      </c>
      <c r="B4">
        <v>2005</v>
      </c>
      <c r="C4" s="16">
        <v>0.1</v>
      </c>
      <c r="D4" s="1">
        <v>8442599</v>
      </c>
      <c r="E4" s="29">
        <f>Table1[[#This Row],[Ávöxtun]]*Table1[[#This Row],[Eignir]]/SUMIFS(Table1[Eignir],Table1[Year],Table1[[#This Row],[Year]])</f>
        <v>7.529042046217902E-4</v>
      </c>
      <c r="F4" s="23" t="e">
        <f>IF(B4=1997, 100, IF(COUNTIF(A$1:A3,A4)=0, "NEW", F3*(1+Table1[[#This Row],[Ávöxtun]])))</f>
        <v>#VALUE!</v>
      </c>
      <c r="G4" s="18" t="str" cm="1">
        <f t="array" ref="G4">IFERROR(_xlfn.IFS(ISNUMBER(Table1[[#This Row],[Column3]]),Table1[[#This Row],[Column3]],Table1[[#This Row],[Column3]]="NEW",Table1[[#This Row],[Column3]]),"")</f>
        <v/>
      </c>
      <c r="H4" s="15" cm="1">
        <f t="array" ref="H4">_xlfn.IFS(Table1[[#This Row],[Column4]]="NEW",AVERAGEIFS(Table1[Column4],Table1[Year],Table1[[#This Row],[Year]]),ISNUMBER(Table1[[#This Row],[Column4]]),Table1[[#This Row],[Column4]],Table1[[#This Row],[Column4]]="",H3*(1+Table1[[#This Row],[Ávöxtun]]))</f>
        <v>149.8339765446367</v>
      </c>
      <c r="I4" cm="1">
        <f t="array" ref="I4">_xlfn.IFS(Table1[[#This Row],[Column4]]="NEW",_xlfn.XLOOKUP(Table1[[#This Row],[Year]],$N$2:$N$27,$P$2:$P$27),ISNUMBER(Table1[[#This Row],[Column4]]),Table1[[#This Row],[Column4]],Table1[[#This Row],[Column4]]="",I3*(1+Table1[[#This Row],[Ávöxtun]]))</f>
        <v>158.23201387066726</v>
      </c>
      <c r="L4" s="33">
        <v>149.8339765446367</v>
      </c>
      <c r="M4" s="33">
        <v>170.42641126613964</v>
      </c>
      <c r="N4">
        <v>1998</v>
      </c>
      <c r="O4" s="27">
        <f>SUMIFS(Table1[Column2],Table1[Year],N4)</f>
        <v>7.1118656567369598E-2</v>
      </c>
      <c r="P4">
        <f t="shared" ref="P4:P27" si="0">P3*(1+O4)</f>
        <v>107.11186565673697</v>
      </c>
      <c r="Q4" s="26" cm="1">
        <f t="array" ref="Q4">_xlfn.QUARTILE.EXC(IF($B$2:$B$939 = N4, $I$2:$I$939), 3)</f>
        <v>108</v>
      </c>
      <c r="R4" s="26" cm="1">
        <f t="array" ref="R4">_xlfn.QUARTILE.EXC(IF($B$2:$B$939 = N4, $I$2:$I$939), 1)</f>
        <v>106</v>
      </c>
      <c r="S4" s="26" cm="1">
        <f t="array" ref="S4">_xlfn.QUARTILE.EXC(IF($B$2:$B$939 = N4, $I$2:$I$939), 2)</f>
        <v>107</v>
      </c>
      <c r="T4" s="17" cm="1">
        <f t="array" ref="T4">_xlfn.QUARTILE.EXC(IF($B$2:$B$939 = N4, $C$2:$C$939), 3)</f>
        <v>0.08</v>
      </c>
      <c r="U4" s="17" cm="1">
        <f t="array" ref="U4">_xlfn.QUARTILE.EXC(IF($B$2:$B$939 = N4, $C$2:$C$939), 1)</f>
        <v>0.05</v>
      </c>
      <c r="V4" s="17" cm="1">
        <f t="array" ref="V4">_xlfn.QUARTILE.EXC(IF($B$2:$B$939 = N4, $C$2:$C$939), 2)</f>
        <v>7.0000000000000007E-2</v>
      </c>
    </row>
    <row r="5" spans="1:22">
      <c r="A5" t="s">
        <v>54</v>
      </c>
      <c r="B5">
        <v>2006</v>
      </c>
      <c r="C5" s="16">
        <v>0.26400000000000001</v>
      </c>
      <c r="D5" s="1">
        <v>36287972</v>
      </c>
      <c r="E5" s="29">
        <f>Table1[[#This Row],[Ávöxtun]]*Table1[[#This Row],[Eignir]]/SUMIFS(Table1[Eignir],Table1[Year],Table1[[#This Row],[Year]])</f>
        <v>6.9790883795388114E-3</v>
      </c>
      <c r="F5" s="23" t="e">
        <f>IF(B5=1997, 100, IF(COUNTIF(A$1:A4,A5)=0, "NEW", F4*(1+Table1[[#This Row],[Ávöxtun]])))</f>
        <v>#VALUE!</v>
      </c>
      <c r="G5" s="18" t="str" cm="1">
        <f t="array" ref="G5">IFERROR(_xlfn.IFS(ISNUMBER(Table1[[#This Row],[Column3]]),Table1[[#This Row],[Column3]],Table1[[#This Row],[Column3]]="NEW",Table1[[#This Row],[Column3]]),"")</f>
        <v/>
      </c>
      <c r="H5" s="15" cm="1">
        <f t="array" ref="H5">_xlfn.IFS(Table1[[#This Row],[Column4]]="NEW",AVERAGEIFS(Table1[Column4],Table1[Year],Table1[[#This Row],[Year]]),ISNUMBER(Table1[[#This Row],[Column4]]),Table1[[#This Row],[Column4]],Table1[[#This Row],[Column4]]="",H4*(1+Table1[[#This Row],[Ávöxtun]]))</f>
        <v>189.3901463524208</v>
      </c>
      <c r="I5" cm="1">
        <f t="array" ref="I5">_xlfn.IFS(Table1[[#This Row],[Column4]]="NEW",_xlfn.XLOOKUP(Table1[[#This Row],[Year]],$N$2:$N$27,$P$2:$P$27),ISNUMBER(Table1[[#This Row],[Column4]]),Table1[[#This Row],[Column4]],Table1[[#This Row],[Column4]]="",I4*(1+Table1[[#This Row],[Ávöxtun]]))</f>
        <v>200.00526553252342</v>
      </c>
      <c r="L5" s="33">
        <v>189.3901463524208</v>
      </c>
      <c r="M5" s="33">
        <v>215.4189838404005</v>
      </c>
      <c r="N5">
        <v>1999</v>
      </c>
      <c r="O5" s="27">
        <f>SUMIFS(Table1[Column2],Table1[Year],N5)</f>
        <v>0.12051385644059291</v>
      </c>
      <c r="P5">
        <f t="shared" si="0"/>
        <v>120.02032965757705</v>
      </c>
      <c r="Q5" s="26" cm="1">
        <f t="array" ref="Q5">_xlfn.QUARTILE.EXC(IF($B$2:$B$939 = N5, $I$2:$I$939), 3)</f>
        <v>120.68758241439426</v>
      </c>
      <c r="R5" s="26" cm="1">
        <f t="array" ref="R5">_xlfn.QUARTILE.EXC(IF($B$2:$B$939 = N5, $I$2:$I$939), 1)</f>
        <v>113.42</v>
      </c>
      <c r="S5" s="26" cm="1">
        <f t="array" ref="S5">_xlfn.QUARTILE.EXC(IF($B$2:$B$939 = N5, $I$2:$I$939), 2)</f>
        <v>116.64000000000001</v>
      </c>
      <c r="T5" s="17" cm="1">
        <f t="array" ref="T5">_xlfn.QUARTILE.EXC(IF($B$2:$B$939 = N5, $C$2:$C$939), 3)</f>
        <v>0.1275</v>
      </c>
      <c r="U5" s="17" cm="1">
        <f t="array" ref="U5">_xlfn.QUARTILE.EXC(IF($B$2:$B$939 = N5, $C$2:$C$939), 1)</f>
        <v>0.06</v>
      </c>
      <c r="V5" s="17" cm="1">
        <f t="array" ref="V5">_xlfn.QUARTILE.EXC(IF($B$2:$B$939 = N5, $C$2:$C$939), 2)</f>
        <v>0.08</v>
      </c>
    </row>
    <row r="6" spans="1:22">
      <c r="A6" t="s">
        <v>54</v>
      </c>
      <c r="B6">
        <v>2007</v>
      </c>
      <c r="C6" s="16">
        <v>2.2000000000000002E-2</v>
      </c>
      <c r="D6" s="1">
        <v>39961749</v>
      </c>
      <c r="E6" s="29">
        <f>Table1[[#This Row],[Ávöxtun]]*Table1[[#This Row],[Eignir]]/SUMIFS(Table1[Eignir],Table1[Year],Table1[[#This Row],[Year]])</f>
        <v>5.6851650812363272E-4</v>
      </c>
      <c r="F6" s="23" t="e">
        <f>IF(B6=1997, 100, IF(COUNTIF(A$1:A5,A6)=0, "NEW", F5*(1+Table1[[#This Row],[Ávöxtun]])))</f>
        <v>#VALUE!</v>
      </c>
      <c r="G6" s="18" t="str" cm="1">
        <f t="array" ref="G6">IFERROR(_xlfn.IFS(ISNUMBER(Table1[[#This Row],[Column3]]),Table1[[#This Row],[Column3]],Table1[[#This Row],[Column3]]="NEW",Table1[[#This Row],[Column3]]),"")</f>
        <v/>
      </c>
      <c r="H6" s="15" cm="1">
        <f t="array" ref="H6">_xlfn.IFS(Table1[[#This Row],[Column4]]="NEW",AVERAGEIFS(Table1[Column4],Table1[Year],Table1[[#This Row],[Year]]),ISNUMBER(Table1[[#This Row],[Column4]]),Table1[[#This Row],[Column4]],Table1[[#This Row],[Column4]]="",H5*(1+Table1[[#This Row],[Ávöxtun]]))</f>
        <v>193.55672957217405</v>
      </c>
      <c r="I6" cm="1">
        <f t="array" ref="I6">_xlfn.IFS(Table1[[#This Row],[Column4]]="NEW",_xlfn.XLOOKUP(Table1[[#This Row],[Year]],$N$2:$N$27,$P$2:$P$27),ISNUMBER(Table1[[#This Row],[Column4]]),Table1[[#This Row],[Column4]],Table1[[#This Row],[Column4]]="",I5*(1+Table1[[#This Row],[Ávöxtun]]))</f>
        <v>204.40538137423894</v>
      </c>
      <c r="L6" s="33">
        <v>193.55672957217405</v>
      </c>
      <c r="M6" s="33">
        <v>220.1582014848893</v>
      </c>
      <c r="N6">
        <v>2000</v>
      </c>
      <c r="O6" s="27">
        <f>SUMIFS(Table1[Column2],Table1[Year],N6)</f>
        <v>2.3923047182192883E-3</v>
      </c>
      <c r="P6">
        <f t="shared" si="0"/>
        <v>120.3074548584991</v>
      </c>
      <c r="Q6" s="26" cm="1">
        <f t="array" ref="Q6">_xlfn.QUARTILE.EXC(IF($B$2:$B$939 = N6, $I$2:$I$939), 3)</f>
        <v>120.233825</v>
      </c>
      <c r="R6" s="26" cm="1">
        <f t="array" ref="R6">_xlfn.QUARTILE.EXC(IF($B$2:$B$939 = N6, $I$2:$I$939), 1)</f>
        <v>111.73464399196239</v>
      </c>
      <c r="S6" s="26" cm="1">
        <f t="array" ref="S6">_xlfn.QUARTILE.EXC(IF($B$2:$B$939 = N6, $I$2:$I$939), 2)</f>
        <v>117.64915000000002</v>
      </c>
      <c r="T6" s="17" cm="1">
        <f t="array" ref="T6">_xlfn.QUARTILE.EXC(IF($B$2:$B$939 = N6, $C$2:$C$939), 3)</f>
        <v>2.75E-2</v>
      </c>
      <c r="U6" s="17" cm="1">
        <f t="array" ref="U6">_xlfn.QUARTILE.EXC(IF($B$2:$B$939 = N6, $C$2:$C$939), 1)</f>
        <v>-0.04</v>
      </c>
      <c r="V6" s="17" cm="1">
        <f t="array" ref="V6">_xlfn.QUARTILE.EXC(IF($B$2:$B$939 = N6, $C$2:$C$939), 2)</f>
        <v>-5.0000000000000001E-3</v>
      </c>
    </row>
    <row r="7" spans="1:22">
      <c r="A7" t="s">
        <v>54</v>
      </c>
      <c r="B7">
        <v>2008</v>
      </c>
      <c r="C7" s="16">
        <v>-0.45900000000000002</v>
      </c>
      <c r="D7" s="1">
        <v>38610698</v>
      </c>
      <c r="E7" s="29">
        <f>Table1[[#This Row],[Ávöxtun]]*Table1[[#This Row],[Eignir]]/SUMIFS(Table1[Eignir],Table1[Year],Table1[[#This Row],[Year]])</f>
        <v>-1.1836037195793842E-2</v>
      </c>
      <c r="F7" s="23" t="e">
        <f>IF(B7=1997, 100, IF(COUNTIF(A$1:A6,A7)=0, "NEW", F6*(1+Table1[[#This Row],[Ávöxtun]])))</f>
        <v>#VALUE!</v>
      </c>
      <c r="G7" s="18" t="str" cm="1">
        <f t="array" ref="G7">IFERROR(_xlfn.IFS(ISNUMBER(Table1[[#This Row],[Column3]]),Table1[[#This Row],[Column3]],Table1[[#This Row],[Column3]]="NEW",Table1[[#This Row],[Column3]]),"")</f>
        <v/>
      </c>
      <c r="H7" s="15" cm="1">
        <f t="array" ref="H7">_xlfn.IFS(Table1[[#This Row],[Column4]]="NEW",AVERAGEIFS(Table1[Column4],Table1[Year],Table1[[#This Row],[Year]]),ISNUMBER(Table1[[#This Row],[Column4]]),Table1[[#This Row],[Column4]],Table1[[#This Row],[Column4]]="",H6*(1+Table1[[#This Row],[Ávöxtun]]))</f>
        <v>104.71419069854615</v>
      </c>
      <c r="I7" cm="1">
        <f t="array" ref="I7">_xlfn.IFS(Table1[[#This Row],[Column4]]="NEW",_xlfn.XLOOKUP(Table1[[#This Row],[Year]],$N$2:$N$27,$P$2:$P$27),ISNUMBER(Table1[[#This Row],[Column4]]),Table1[[#This Row],[Column4]],Table1[[#This Row],[Column4]]="",I6*(1+Table1[[#This Row],[Ávöxtun]]))</f>
        <v>110.58331132346325</v>
      </c>
      <c r="L7" s="33">
        <v>104.71419069854615</v>
      </c>
      <c r="M7" s="33">
        <v>119.1055870033251</v>
      </c>
      <c r="N7">
        <v>2001</v>
      </c>
      <c r="O7" s="27">
        <f>SUMIFS(Table1[Column2],Table1[Year],N7)</f>
        <v>-2.7250195392976701E-2</v>
      </c>
      <c r="P7">
        <f t="shared" si="0"/>
        <v>117.02905320637328</v>
      </c>
      <c r="Q7" s="26" cm="1">
        <f t="array" ref="Q7">_xlfn.QUARTILE.EXC(IF($B$2:$B$939 = N7, $I$2:$I$939), 3)</f>
        <v>119.826881</v>
      </c>
      <c r="R7" s="26" cm="1">
        <f t="array" ref="R7">_xlfn.QUARTILE.EXC(IF($B$2:$B$939 = N7, $I$2:$I$939), 1)</f>
        <v>107.69922000000003</v>
      </c>
      <c r="S7" s="26" cm="1">
        <f t="array" ref="S7">_xlfn.QUARTILE.EXC(IF($B$2:$B$939 = N7, $I$2:$I$939), 2)</f>
        <v>113.42803002147562</v>
      </c>
      <c r="T7" s="17" cm="1">
        <f t="array" ref="T7">_xlfn.QUARTILE.EXC(IF($B$2:$B$939 = N7, $C$2:$C$939), 3)</f>
        <v>0.01</v>
      </c>
      <c r="U7" s="17" cm="1">
        <f t="array" ref="U7">_xlfn.QUARTILE.EXC(IF($B$2:$B$939 = N7, $C$2:$C$939), 1)</f>
        <v>-0.05</v>
      </c>
      <c r="V7" s="17" cm="1">
        <f t="array" ref="V7">_xlfn.QUARTILE.EXC(IF($B$2:$B$939 = N7, $C$2:$C$939), 2)</f>
        <v>-0.02</v>
      </c>
    </row>
    <row r="8" spans="1:22">
      <c r="A8" t="s">
        <v>54</v>
      </c>
      <c r="B8">
        <v>2009</v>
      </c>
      <c r="C8" s="16">
        <v>0</v>
      </c>
      <c r="D8" s="1">
        <v>42395259</v>
      </c>
      <c r="E8" s="29">
        <f>Table1[[#This Row],[Ávöxtun]]*Table1[[#This Row],[Eignir]]/SUMIFS(Table1[Eignir],Table1[Year],Table1[[#This Row],[Year]])</f>
        <v>0</v>
      </c>
      <c r="F8" s="23" t="e">
        <f>IF(B8=1997, 100, IF(COUNTIF(A$1:A7,A8)=0, "NEW", F7*(1+Table1[[#This Row],[Ávöxtun]])))</f>
        <v>#VALUE!</v>
      </c>
      <c r="G8" s="18" t="str" cm="1">
        <f t="array" ref="G8">IFERROR(_xlfn.IFS(ISNUMBER(Table1[[#This Row],[Column3]]),Table1[[#This Row],[Column3]],Table1[[#This Row],[Column3]]="NEW",Table1[[#This Row],[Column3]]),"")</f>
        <v/>
      </c>
      <c r="H8" s="15" cm="1">
        <f t="array" ref="H8">_xlfn.IFS(Table1[[#This Row],[Column4]]="NEW",AVERAGEIFS(Table1[Column4],Table1[Year],Table1[[#This Row],[Year]]),ISNUMBER(Table1[[#This Row],[Column4]]),Table1[[#This Row],[Column4]],Table1[[#This Row],[Column4]]="",H7*(1+Table1[[#This Row],[Ávöxtun]]))</f>
        <v>104.71419069854615</v>
      </c>
      <c r="I8" cm="1">
        <f t="array" ref="I8">_xlfn.IFS(Table1[[#This Row],[Column4]]="NEW",_xlfn.XLOOKUP(Table1[[#This Row],[Year]],$N$2:$N$27,$P$2:$P$27),ISNUMBER(Table1[[#This Row],[Column4]]),Table1[[#This Row],[Column4]],Table1[[#This Row],[Column4]]="",I7*(1+Table1[[#This Row],[Ávöxtun]]))</f>
        <v>110.58331132346325</v>
      </c>
      <c r="L8" s="33">
        <v>104.71419069854615</v>
      </c>
      <c r="M8" s="33">
        <v>119.1055870033251</v>
      </c>
      <c r="N8">
        <v>2002</v>
      </c>
      <c r="O8" s="27">
        <f>SUMIFS(Table1[Column2],Table1[Year],N8)</f>
        <v>-1.3712975398049009E-2</v>
      </c>
      <c r="P8">
        <f t="shared" si="0"/>
        <v>115.4242366788973</v>
      </c>
      <c r="Q8" s="26" cm="1">
        <f t="array" ref="Q8">_xlfn.QUARTILE.EXC(IF($B$2:$B$939 = N8, $I$2:$I$939), 3)</f>
        <v>121.12854048</v>
      </c>
      <c r="R8" s="26" cm="1">
        <f t="array" ref="R8">_xlfn.QUARTILE.EXC(IF($B$2:$B$939 = N8, $I$2:$I$939), 1)</f>
        <v>104.93400960000001</v>
      </c>
      <c r="S8" s="26" cm="1">
        <f t="array" ref="S8">_xlfn.QUARTILE.EXC(IF($B$2:$B$939 = N8, $I$2:$I$939), 2)</f>
        <v>111.99430655999998</v>
      </c>
      <c r="T8" s="17" cm="1">
        <f t="array" ref="T8">_xlfn.QUARTILE.EXC(IF($B$2:$B$939 = N8, $C$2:$C$939), 3)</f>
        <v>0.03</v>
      </c>
      <c r="U8" s="17" cm="1">
        <f t="array" ref="U8">_xlfn.QUARTILE.EXC(IF($B$2:$B$939 = N8, $C$2:$C$939), 1)</f>
        <v>-0.04</v>
      </c>
      <c r="V8" s="17" cm="1">
        <f t="array" ref="V8">_xlfn.QUARTILE.EXC(IF($B$2:$B$939 = N8, $C$2:$C$939), 2)</f>
        <v>-0.02</v>
      </c>
    </row>
    <row r="9" spans="1:22">
      <c r="A9" t="s">
        <v>54</v>
      </c>
      <c r="B9">
        <v>2010</v>
      </c>
      <c r="C9" s="16">
        <v>1.4999999999999999E-2</v>
      </c>
      <c r="D9" s="1">
        <v>46597920</v>
      </c>
      <c r="E9" s="29">
        <f>Table1[[#This Row],[Ávöxtun]]*Table1[[#This Row],[Eignir]]/SUMIFS(Table1[Eignir],Table1[Year],Table1[[#This Row],[Year]])</f>
        <v>3.909688192258078E-4</v>
      </c>
      <c r="F9" s="23" t="e">
        <f>IF(B9=1997, 100, IF(COUNTIF(A$1:A8,A9)=0, "NEW", F8*(1+Table1[[#This Row],[Ávöxtun]])))</f>
        <v>#VALUE!</v>
      </c>
      <c r="G9" s="18" t="str" cm="1">
        <f t="array" ref="G9">IFERROR(_xlfn.IFS(ISNUMBER(Table1[[#This Row],[Column3]]),Table1[[#This Row],[Column3]],Table1[[#This Row],[Column3]]="NEW",Table1[[#This Row],[Column3]]),"")</f>
        <v/>
      </c>
      <c r="H9" s="15" cm="1">
        <f t="array" ref="H9">_xlfn.IFS(Table1[[#This Row],[Column4]]="NEW",AVERAGEIFS(Table1[Column4],Table1[Year],Table1[[#This Row],[Year]]),ISNUMBER(Table1[[#This Row],[Column4]]),Table1[[#This Row],[Column4]],Table1[[#This Row],[Column4]]="",H8*(1+Table1[[#This Row],[Ávöxtun]]))</f>
        <v>106.28490355902433</v>
      </c>
      <c r="I9" cm="1">
        <f t="array" ref="I9">_xlfn.IFS(Table1[[#This Row],[Column4]]="NEW",_xlfn.XLOOKUP(Table1[[#This Row],[Year]],$N$2:$N$27,$P$2:$P$27),ISNUMBER(Table1[[#This Row],[Column4]]),Table1[[#This Row],[Column4]],Table1[[#This Row],[Column4]]="",I8*(1+Table1[[#This Row],[Ávöxtun]]))</f>
        <v>112.24206099331519</v>
      </c>
      <c r="L9" s="33">
        <v>106.28490355902433</v>
      </c>
      <c r="M9" s="33">
        <v>120.89217080837496</v>
      </c>
      <c r="N9">
        <v>2003</v>
      </c>
      <c r="O9" s="27">
        <f>SUMIFS(Table1[Column2],Table1[Year],N9)</f>
        <v>0.15393382447133958</v>
      </c>
      <c r="P9">
        <f t="shared" si="0"/>
        <v>133.19193086756502</v>
      </c>
      <c r="Q9" s="26" cm="1">
        <f t="array" ref="Q9">_xlfn.QUARTILE.EXC(IF($B$2:$B$939 = N9, $I$2:$I$939), 3)</f>
        <v>133.25437415067378</v>
      </c>
      <c r="R9" s="26" cm="1">
        <f t="array" ref="R9">_xlfn.QUARTILE.EXC(IF($B$2:$B$939 = N9, $I$2:$I$939), 1)</f>
        <v>114.72558279120003</v>
      </c>
      <c r="S9" s="26" cm="1">
        <f t="array" ref="S9">_xlfn.QUARTILE.EXC(IF($B$2:$B$939 = N9, $I$2:$I$939), 2)</f>
        <v>125.36712871200002</v>
      </c>
      <c r="T9" s="17" cm="1">
        <f t="array" ref="T9">_xlfn.QUARTILE.EXC(IF($B$2:$B$939 = N9, $C$2:$C$939), 3)</f>
        <v>0.13</v>
      </c>
      <c r="U9" s="17" cm="1">
        <f t="array" ref="U9">_xlfn.QUARTILE.EXC(IF($B$2:$B$939 = N9, $C$2:$C$939), 1)</f>
        <v>8.7499999999999994E-2</v>
      </c>
      <c r="V9" s="17" cm="1">
        <f t="array" ref="V9">_xlfn.QUARTILE.EXC(IF($B$2:$B$939 = N9, $C$2:$C$939), 2)</f>
        <v>0.1</v>
      </c>
    </row>
    <row r="10" spans="1:22">
      <c r="A10" t="s">
        <v>54</v>
      </c>
      <c r="B10">
        <v>2011</v>
      </c>
      <c r="C10" s="16">
        <v>4.2000000000000003E-2</v>
      </c>
      <c r="D10" s="1">
        <v>53278550</v>
      </c>
      <c r="E10" s="29">
        <f>Table1[[#This Row],[Ávöxtun]]*Table1[[#This Row],[Eignir]]/SUMIFS(Table1[Eignir],Table1[Year],Table1[[#This Row],[Year]])</f>
        <v>1.1472092286610633E-3</v>
      </c>
      <c r="F10" s="23" t="e">
        <f>IF(B10=1997, 100, IF(COUNTIF(A$1:A9,A10)=0, "NEW", F9*(1+Table1[[#This Row],[Ávöxtun]])))</f>
        <v>#VALUE!</v>
      </c>
      <c r="G10" s="18" t="str" cm="1">
        <f t="array" ref="G10">IFERROR(_xlfn.IFS(ISNUMBER(Table1[[#This Row],[Column3]]),Table1[[#This Row],[Column3]],Table1[[#This Row],[Column3]]="NEW",Table1[[#This Row],[Column3]]),"")</f>
        <v/>
      </c>
      <c r="H10" s="15" cm="1">
        <f t="array" ref="H10">_xlfn.IFS(Table1[[#This Row],[Column4]]="NEW",AVERAGEIFS(Table1[Column4],Table1[Year],Table1[[#This Row],[Year]]),ISNUMBER(Table1[[#This Row],[Column4]]),Table1[[#This Row],[Column4]],Table1[[#This Row],[Column4]]="",H9*(1+Table1[[#This Row],[Ávöxtun]]))</f>
        <v>110.74886950850336</v>
      </c>
      <c r="I10" cm="1">
        <f t="array" ref="I10">_xlfn.IFS(Table1[[#This Row],[Column4]]="NEW",_xlfn.XLOOKUP(Table1[[#This Row],[Year]],$N$2:$N$27,$P$2:$P$27),ISNUMBER(Table1[[#This Row],[Column4]]),Table1[[#This Row],[Column4]],Table1[[#This Row],[Column4]]="",I9*(1+Table1[[#This Row],[Ávöxtun]]))</f>
        <v>116.95622755503443</v>
      </c>
      <c r="L10" s="33">
        <v>110.74886950850336</v>
      </c>
      <c r="M10" s="33">
        <v>125.96964198232671</v>
      </c>
      <c r="N10">
        <v>2004</v>
      </c>
      <c r="O10" s="27">
        <f>SUMIFS(Table1[Column2],Table1[Year],N10)</f>
        <v>0.13684586600562734</v>
      </c>
      <c r="P10">
        <f t="shared" si="0"/>
        <v>151.41869599209861</v>
      </c>
      <c r="Q10" s="26" cm="1">
        <f t="array" ref="Q10">_xlfn.QUARTILE.EXC(IF($B$2:$B$939 = N10, $I$2:$I$939), 3)</f>
        <v>146.97128681130243</v>
      </c>
      <c r="R10" s="26" cm="1">
        <f t="array" ref="R10">_xlfn.QUARTILE.EXC(IF($B$2:$B$939 = N10, $I$2:$I$939), 1)</f>
        <v>124.19781000062403</v>
      </c>
      <c r="S10" s="26" cm="1">
        <f t="array" ref="S10">_xlfn.QUARTILE.EXC(IF($B$2:$B$939 = N10, $I$2:$I$939), 2)</f>
        <v>139.87841510250001</v>
      </c>
      <c r="T10" s="17" cm="1">
        <f t="array" ref="T10">_xlfn.QUARTILE.EXC(IF($B$2:$B$939 = N10, $C$2:$C$939), 3)</f>
        <v>0.12</v>
      </c>
      <c r="U10" s="17" cm="1">
        <f t="array" ref="U10">_xlfn.QUARTILE.EXC(IF($B$2:$B$939 = N10, $C$2:$C$939), 1)</f>
        <v>0.06</v>
      </c>
      <c r="V10" s="17" cm="1">
        <f t="array" ref="V10">_xlfn.QUARTILE.EXC(IF($B$2:$B$939 = N10, $C$2:$C$939), 2)</f>
        <v>0.09</v>
      </c>
    </row>
    <row r="11" spans="1:22">
      <c r="A11" t="s">
        <v>54</v>
      </c>
      <c r="B11">
        <v>2012</v>
      </c>
      <c r="C11" s="16">
        <v>9.8000000000000004E-2</v>
      </c>
      <c r="D11" s="1">
        <v>60677032</v>
      </c>
      <c r="E11" s="29">
        <f>Table1[[#This Row],[Ávöxtun]]*Table1[[#This Row],[Eignir]]/SUMIFS(Table1[Eignir],Table1[Year],Table1[[#This Row],[Year]])</f>
        <v>2.6993976068666772E-3</v>
      </c>
      <c r="F11" s="23" t="e">
        <f>IF(B11=1997, 100, IF(COUNTIF(A$1:A10,A11)=0, "NEW", F10*(1+Table1[[#This Row],[Ávöxtun]])))</f>
        <v>#VALUE!</v>
      </c>
      <c r="G11" s="18" t="str" cm="1">
        <f t="array" ref="G11">IFERROR(_xlfn.IFS(ISNUMBER(Table1[[#This Row],[Column3]]),Table1[[#This Row],[Column3]],Table1[[#This Row],[Column3]]="NEW",Table1[[#This Row],[Column3]]),"")</f>
        <v/>
      </c>
      <c r="H11" s="15" cm="1">
        <f t="array" ref="H11">_xlfn.IFS(Table1[[#This Row],[Column4]]="NEW",AVERAGEIFS(Table1[Column4],Table1[Year],Table1[[#This Row],[Year]]),ISNUMBER(Table1[[#This Row],[Column4]]),Table1[[#This Row],[Column4]],Table1[[#This Row],[Column4]]="",H10*(1+Table1[[#This Row],[Ávöxtun]]))</f>
        <v>121.60225872033671</v>
      </c>
      <c r="I11" cm="1">
        <f t="array" ref="I11">_xlfn.IFS(Table1[[#This Row],[Column4]]="NEW",_xlfn.XLOOKUP(Table1[[#This Row],[Year]],$N$2:$N$27,$P$2:$P$27),ISNUMBER(Table1[[#This Row],[Column4]]),Table1[[#This Row],[Column4]],Table1[[#This Row],[Column4]]="",I10*(1+Table1[[#This Row],[Ávöxtun]]))</f>
        <v>128.41793785542782</v>
      </c>
      <c r="L11" s="33">
        <v>121.60225872033671</v>
      </c>
      <c r="M11" s="33">
        <v>138.31466689659473</v>
      </c>
      <c r="N11">
        <v>2005</v>
      </c>
      <c r="O11" s="27">
        <f>SUMIFS(Table1[Column2],Table1[Year],N11)</f>
        <v>0.17835940065803957</v>
      </c>
      <c r="P11">
        <f t="shared" si="0"/>
        <v>178.42564385767122</v>
      </c>
      <c r="Q11" s="26" cm="1">
        <f t="array" ref="Q11">_xlfn.QUARTILE.EXC(IF($B$2:$B$939 = N11, $I$2:$I$939), 3)</f>
        <v>166.01626074320936</v>
      </c>
      <c r="R11" s="26" cm="1">
        <f t="array" ref="R11">_xlfn.QUARTILE.EXC(IF($B$2:$B$939 = N11, $I$2:$I$939), 1)</f>
        <v>133.367430933702</v>
      </c>
      <c r="S11" s="26" cm="1">
        <f t="array" ref="S11">_xlfn.QUARTILE.EXC(IF($B$2:$B$939 = N11, $I$2:$I$939), 2)</f>
        <v>153.05068942551361</v>
      </c>
      <c r="T11" s="17" cm="1">
        <f t="array" ref="T11">_xlfn.QUARTILE.EXC(IF($B$2:$B$939 = N11, $C$2:$C$939), 3)</f>
        <v>0.14000000000000001</v>
      </c>
      <c r="U11" s="17" cm="1">
        <f t="array" ref="U11">_xlfn.QUARTILE.EXC(IF($B$2:$B$939 = N11, $C$2:$C$939), 1)</f>
        <v>0.06</v>
      </c>
      <c r="V11" s="17" cm="1">
        <f t="array" ref="V11">_xlfn.QUARTILE.EXC(IF($B$2:$B$939 = N11, $C$2:$C$939), 2)</f>
        <v>0.1</v>
      </c>
    </row>
    <row r="12" spans="1:22">
      <c r="A12" t="s">
        <v>54</v>
      </c>
      <c r="B12">
        <v>2013</v>
      </c>
      <c r="C12" s="16">
        <v>3.7000000000000005E-2</v>
      </c>
      <c r="D12" s="1">
        <v>67548582</v>
      </c>
      <c r="E12" s="29">
        <f>Table1[[#This Row],[Ávöxtun]]*Table1[[#This Row],[Eignir]]/SUMIFS(Table1[Eignir],Table1[Year],Table1[[#This Row],[Year]])</f>
        <v>1.0270046658166915E-3</v>
      </c>
      <c r="F12" s="23" t="e">
        <f>IF(B12=1997, 100, IF(COUNTIF(A$1:A11,A12)=0, "NEW", F11*(1+Table1[[#This Row],[Ávöxtun]])))</f>
        <v>#VALUE!</v>
      </c>
      <c r="G12" s="18" t="str" cm="1">
        <f t="array" ref="G12">IFERROR(_xlfn.IFS(ISNUMBER(Table1[[#This Row],[Column3]]),Table1[[#This Row],[Column3]],Table1[[#This Row],[Column3]]="NEW",Table1[[#This Row],[Column3]]),"")</f>
        <v/>
      </c>
      <c r="H12" s="15" cm="1">
        <f t="array" ref="H12">_xlfn.IFS(Table1[[#This Row],[Column4]]="NEW",AVERAGEIFS(Table1[Column4],Table1[Year],Table1[[#This Row],[Year]]),ISNUMBER(Table1[[#This Row],[Column4]]),Table1[[#This Row],[Column4]],Table1[[#This Row],[Column4]]="",H11*(1+Table1[[#This Row],[Ávöxtun]]))</f>
        <v>126.10154229298915</v>
      </c>
      <c r="I12" cm="1">
        <f t="array" ref="I12">_xlfn.IFS(Table1[[#This Row],[Column4]]="NEW",_xlfn.XLOOKUP(Table1[[#This Row],[Year]],$N$2:$N$27,$P$2:$P$27),ISNUMBER(Table1[[#This Row],[Column4]]),Table1[[#This Row],[Column4]],Table1[[#This Row],[Column4]]="",I11*(1+Table1[[#This Row],[Ávöxtun]]))</f>
        <v>133.16940155607864</v>
      </c>
      <c r="L12" s="33">
        <v>126.10154229298915</v>
      </c>
      <c r="M12" s="33">
        <v>143.43230957176871</v>
      </c>
      <c r="N12">
        <v>2006</v>
      </c>
      <c r="O12" s="27">
        <f>SUMIFS(Table1[Column2],Table1[Year],N12)</f>
        <v>0.14096750589979143</v>
      </c>
      <c r="P12">
        <f t="shared" si="0"/>
        <v>203.57786186085158</v>
      </c>
      <c r="Q12" s="26" cm="1">
        <f t="array" ref="Q12">_xlfn.QUARTILE.EXC(IF($B$2:$B$939 = N12, $I$2:$I$939), 3)</f>
        <v>194.13768078415757</v>
      </c>
      <c r="R12" s="26" cm="1">
        <f t="array" ref="R12">_xlfn.QUARTILE.EXC(IF($B$2:$B$939 = N12, $I$2:$I$939), 1)</f>
        <v>147.55164468885266</v>
      </c>
      <c r="S12" s="26" cm="1">
        <f t="array" ref="S12">_xlfn.QUARTILE.EXC(IF($B$2:$B$939 = N12, $I$2:$I$939), 2)</f>
        <v>171.28070015881707</v>
      </c>
      <c r="T12" s="17" cm="1">
        <f t="array" ref="T12">_xlfn.QUARTILE.EXC(IF($B$2:$B$939 = N12, $C$2:$C$939), 3)</f>
        <v>0.11075</v>
      </c>
      <c r="U12" s="17" cm="1">
        <f t="array" ref="U12">_xlfn.QUARTILE.EXC(IF($B$2:$B$939 = N12, $C$2:$C$939), 1)</f>
        <v>6.25E-2</v>
      </c>
      <c r="V12" s="17" cm="1">
        <f t="array" ref="V12">_xlfn.QUARTILE.EXC(IF($B$2:$B$939 = N12, $C$2:$C$939), 2)</f>
        <v>8.6500000000000007E-2</v>
      </c>
    </row>
    <row r="13" spans="1:22">
      <c r="A13" t="s">
        <v>54</v>
      </c>
      <c r="B13">
        <v>2014</v>
      </c>
      <c r="C13" s="16">
        <v>6.2000000000000006E-2</v>
      </c>
      <c r="D13" s="1">
        <v>74000497</v>
      </c>
      <c r="E13" s="29">
        <f>Table1[[#This Row],[Ávöxtun]]*Table1[[#This Row],[Eignir]]/SUMIFS(Table1[Eignir],Table1[Year],Table1[[#This Row],[Year]])</f>
        <v>1.7293625616781798E-3</v>
      </c>
      <c r="F13" s="23" t="e">
        <f>IF(B13=1997, 100, IF(COUNTIF(A$1:A12,A13)=0, "NEW", F12*(1+Table1[[#This Row],[Ávöxtun]])))</f>
        <v>#VALUE!</v>
      </c>
      <c r="G13" s="18" t="str" cm="1">
        <f t="array" ref="G13">IFERROR(_xlfn.IFS(ISNUMBER(Table1[[#This Row],[Column3]]),Table1[[#This Row],[Column3]],Table1[[#This Row],[Column3]]="NEW",Table1[[#This Row],[Column3]]),"")</f>
        <v/>
      </c>
      <c r="H13" s="15" cm="1">
        <f t="array" ref="H13">_xlfn.IFS(Table1[[#This Row],[Column4]]="NEW",AVERAGEIFS(Table1[Column4],Table1[Year],Table1[[#This Row],[Year]]),ISNUMBER(Table1[[#This Row],[Column4]]),Table1[[#This Row],[Column4]],Table1[[#This Row],[Column4]]="",H12*(1+Table1[[#This Row],[Ávöxtun]]))</f>
        <v>133.91983791515449</v>
      </c>
      <c r="I13" cm="1">
        <f t="array" ref="I13">_xlfn.IFS(Table1[[#This Row],[Column4]]="NEW",_xlfn.XLOOKUP(Table1[[#This Row],[Year]],$N$2:$N$27,$P$2:$P$27),ISNUMBER(Table1[[#This Row],[Column4]]),Table1[[#This Row],[Column4]],Table1[[#This Row],[Column4]]="",I12*(1+Table1[[#This Row],[Ávöxtun]]))</f>
        <v>141.42590445255553</v>
      </c>
      <c r="L13" s="33">
        <v>133.91983791515449</v>
      </c>
      <c r="M13" s="33">
        <v>152.32511276521839</v>
      </c>
      <c r="N13">
        <v>2007</v>
      </c>
      <c r="O13" s="27">
        <f>SUMIFS(Table1[Column2],Table1[Year],N13)</f>
        <v>7.0230137442582824E-3</v>
      </c>
      <c r="P13">
        <f t="shared" si="0"/>
        <v>205.00759198272704</v>
      </c>
      <c r="Q13" s="26" cm="1">
        <f t="array" ref="Q13">_xlfn.QUARTILE.EXC(IF($B$2:$B$939 = N13, $I$2:$I$939), 3)</f>
        <v>203.47249806980011</v>
      </c>
      <c r="R13" s="26" cm="1">
        <f t="array" ref="R13">_xlfn.QUARTILE.EXC(IF($B$2:$B$939 = N13, $I$2:$I$939), 1)</f>
        <v>151.68778450001457</v>
      </c>
      <c r="S13" s="26" cm="1">
        <f t="array" ref="S13">_xlfn.QUARTILE.EXC(IF($B$2:$B$939 = N13, $I$2:$I$939), 2)</f>
        <v>174.93423311804446</v>
      </c>
      <c r="T13" s="17" cm="1">
        <f t="array" ref="T13">_xlfn.QUARTILE.EXC(IF($B$2:$B$939 = N13, $C$2:$C$939), 3)</f>
        <v>2.64E-2</v>
      </c>
      <c r="U13" s="17" cm="1">
        <f t="array" ref="U13">_xlfn.QUARTILE.EXC(IF($B$2:$B$939 = N13, $C$2:$C$939), 1)</f>
        <v>-5.4000000000000003E-3</v>
      </c>
      <c r="V13" s="17" cm="1">
        <f t="array" ref="V13">_xlfn.QUARTILE.EXC(IF($B$2:$B$939 = N13, $C$2:$C$939), 2)</f>
        <v>1.0500000000000001E-2</v>
      </c>
    </row>
    <row r="14" spans="1:22">
      <c r="A14" t="s">
        <v>54</v>
      </c>
      <c r="B14">
        <v>2015</v>
      </c>
      <c r="C14" s="16">
        <v>6.5000000000000002E-2</v>
      </c>
      <c r="D14" s="1">
        <v>82937052.870000005</v>
      </c>
      <c r="E14" s="29">
        <f>Table1[[#This Row],[Ávöxtun]]*Table1[[#This Row],[Eignir]]/SUMIFS(Table1[Eignir],Table1[Year],Table1[[#This Row],[Year]])</f>
        <v>1.8204052364944043E-3</v>
      </c>
      <c r="F14" s="23" t="e">
        <f>IF(B14=1997, 100, IF(COUNTIF(A$1:A13,A14)=0, "NEW", F13*(1+Table1[[#This Row],[Ávöxtun]])))</f>
        <v>#VALUE!</v>
      </c>
      <c r="G14" s="18" t="str" cm="1">
        <f t="array" ref="G14">IFERROR(_xlfn.IFS(ISNUMBER(Table1[[#This Row],[Column3]]),Table1[[#This Row],[Column3]],Table1[[#This Row],[Column3]]="NEW",Table1[[#This Row],[Column3]]),"")</f>
        <v/>
      </c>
      <c r="H14" s="15" cm="1">
        <f t="array" ref="H14">_xlfn.IFS(Table1[[#This Row],[Column4]]="NEW",AVERAGEIFS(Table1[Column4],Table1[Year],Table1[[#This Row],[Year]]),ISNUMBER(Table1[[#This Row],[Column4]]),Table1[[#This Row],[Column4]],Table1[[#This Row],[Column4]]="",H13*(1+Table1[[#This Row],[Ávöxtun]]))</f>
        <v>142.62462737963952</v>
      </c>
      <c r="I14" cm="1">
        <f t="array" ref="I14">_xlfn.IFS(Table1[[#This Row],[Column4]]="NEW",_xlfn.XLOOKUP(Table1[[#This Row],[Year]],$N$2:$N$27,$P$2:$P$27),ISNUMBER(Table1[[#This Row],[Column4]]),Table1[[#This Row],[Column4]],Table1[[#This Row],[Column4]]="",I13*(1+Table1[[#This Row],[Ávöxtun]]))</f>
        <v>150.61858824197162</v>
      </c>
      <c r="L14" s="33">
        <v>142.62462737963952</v>
      </c>
      <c r="M14" s="33">
        <v>162.22624509495759</v>
      </c>
      <c r="N14">
        <v>2008</v>
      </c>
      <c r="O14" s="27">
        <f>SUMIFS(Table1[Column2],Table1[Year],N14)</f>
        <v>-0.27172610479093834</v>
      </c>
      <c r="P14">
        <f t="shared" si="0"/>
        <v>149.30167756069062</v>
      </c>
      <c r="Q14" s="26" cm="1">
        <f t="array" ref="Q14">_xlfn.QUARTILE.EXC(IF($B$2:$B$939 = N14, $I$2:$I$939), 3)</f>
        <v>157.88378376124575</v>
      </c>
      <c r="R14" s="26" cm="1">
        <f t="array" ref="R14">_xlfn.QUARTILE.EXC(IF($B$2:$B$939 = N14, $I$2:$I$939), 1)</f>
        <v>125.00648730002226</v>
      </c>
      <c r="S14" s="26" cm="1">
        <f t="array" ref="S14">_xlfn.QUARTILE.EXC(IF($B$2:$B$939 = N14, $I$2:$I$939), 2)</f>
        <v>145.17043265813277</v>
      </c>
      <c r="T14" s="17" cm="1">
        <f t="array" ref="T14">_xlfn.QUARTILE.EXC(IF($B$2:$B$939 = N14, $C$2:$C$939), 3)</f>
        <v>-0.10755000000000001</v>
      </c>
      <c r="U14" s="17" cm="1">
        <f t="array" ref="U14">_xlfn.QUARTILE.EXC(IF($B$2:$B$939 = N14, $C$2:$C$939), 1)</f>
        <v>-0.26715</v>
      </c>
      <c r="V14" s="17" cm="1">
        <f t="array" ref="V14">_xlfn.QUARTILE.EXC(IF($B$2:$B$939 = N14, $C$2:$C$939), 2)</f>
        <v>-0.20620000000000002</v>
      </c>
    </row>
    <row r="15" spans="1:22">
      <c r="A15" t="s">
        <v>54</v>
      </c>
      <c r="B15">
        <v>2016</v>
      </c>
      <c r="C15" s="16">
        <v>6.0000000000000001E-3</v>
      </c>
      <c r="D15" s="1">
        <v>88362854.120000005</v>
      </c>
      <c r="E15" s="29">
        <f>Table1[[#This Row],[Ávöxtun]]*Table1[[#This Row],[Eignir]]/SUMIFS(Table1[Eignir],Table1[Year],Table1[[#This Row],[Year]])</f>
        <v>1.6567793579802003E-4</v>
      </c>
      <c r="F15" s="23" t="e">
        <f>IF(B15=1997, 100, IF(COUNTIF(A$1:A14,A15)=0, "NEW", F14*(1+Table1[[#This Row],[Ávöxtun]])))</f>
        <v>#VALUE!</v>
      </c>
      <c r="G15" s="18" t="str" cm="1">
        <f t="array" ref="G15">IFERROR(_xlfn.IFS(ISNUMBER(Table1[[#This Row],[Column3]]),Table1[[#This Row],[Column3]],Table1[[#This Row],[Column3]]="NEW",Table1[[#This Row],[Column3]]),"")</f>
        <v/>
      </c>
      <c r="H15" s="15" cm="1">
        <f t="array" ref="H15">_xlfn.IFS(Table1[[#This Row],[Column4]]="NEW",AVERAGEIFS(Table1[Column4],Table1[Year],Table1[[#This Row],[Year]]),ISNUMBER(Table1[[#This Row],[Column4]]),Table1[[#This Row],[Column4]],Table1[[#This Row],[Column4]]="",H14*(1+Table1[[#This Row],[Ávöxtun]]))</f>
        <v>143.48037514391737</v>
      </c>
      <c r="I15" cm="1">
        <f t="array" ref="I15">_xlfn.IFS(Table1[[#This Row],[Column4]]="NEW",_xlfn.XLOOKUP(Table1[[#This Row],[Year]],$N$2:$N$27,$P$2:$P$27),ISNUMBER(Table1[[#This Row],[Column4]]),Table1[[#This Row],[Column4]],Table1[[#This Row],[Column4]]="",I14*(1+Table1[[#This Row],[Ávöxtun]]))</f>
        <v>151.52229977142346</v>
      </c>
      <c r="L15" s="33">
        <v>143.48037514391737</v>
      </c>
      <c r="M15" s="33">
        <v>163.19960256552733</v>
      </c>
      <c r="N15">
        <v>2009</v>
      </c>
      <c r="O15" s="27">
        <f>SUMIFS(Table1[Column2],Table1[Year],N15)</f>
        <v>8.1503518225744462E-3</v>
      </c>
      <c r="P15">
        <f t="shared" si="0"/>
        <v>150.51853876051084</v>
      </c>
      <c r="Q15" s="26" cm="1">
        <f t="array" ref="Q15">_xlfn.QUARTILE.EXC(IF($B$2:$B$939 = N15, $I$2:$I$939), 3)</f>
        <v>161.7682484479364</v>
      </c>
      <c r="R15" s="26" cm="1">
        <f t="array" ref="R15">_xlfn.QUARTILE.EXC(IF($B$2:$B$939 = N15, $I$2:$I$939), 1)</f>
        <v>126.10993313617283</v>
      </c>
      <c r="S15" s="26" cm="1">
        <f t="array" ref="S15">_xlfn.QUARTILE.EXC(IF($B$2:$B$939 = N15, $I$2:$I$939), 2)</f>
        <v>144.38474461279591</v>
      </c>
      <c r="T15" s="17" cm="1">
        <f t="array" ref="T15">_xlfn.QUARTILE.EXC(IF($B$2:$B$939 = N15, $C$2:$C$939), 3)</f>
        <v>3.3799999999999997E-2</v>
      </c>
      <c r="U15" s="17" cm="1">
        <f t="array" ref="U15">_xlfn.QUARTILE.EXC(IF($B$2:$B$939 = N15, $C$2:$C$939), 1)</f>
        <v>-1.38E-2</v>
      </c>
      <c r="V15" s="17" cm="1">
        <f t="array" ref="V15">_xlfn.QUARTILE.EXC(IF($B$2:$B$939 = N15, $C$2:$C$939), 2)</f>
        <v>9.4000000000000004E-3</v>
      </c>
    </row>
    <row r="16" spans="1:22">
      <c r="A16" t="s">
        <v>54</v>
      </c>
      <c r="B16">
        <v>2017</v>
      </c>
      <c r="C16" s="16">
        <v>7.0000000000000007E-2</v>
      </c>
      <c r="D16" s="1">
        <v>100102385</v>
      </c>
      <c r="E16" s="29">
        <f>Table1[[#This Row],[Ávöxtun]]*Table1[[#This Row],[Eignir]]/SUMIFS(Table1[Eignir],Table1[Year],Table1[[#This Row],[Year]])</f>
        <v>1.9687746783640034E-3</v>
      </c>
      <c r="F16" s="23" t="e">
        <f>IF(B16=1997, 100, IF(COUNTIF(A$1:A15,A16)=0, "NEW", F15*(1+Table1[[#This Row],[Ávöxtun]])))</f>
        <v>#VALUE!</v>
      </c>
      <c r="G16" s="18" t="str" cm="1">
        <f t="array" ref="G16">IFERROR(_xlfn.IFS(ISNUMBER(Table1[[#This Row],[Column3]]),Table1[[#This Row],[Column3]],Table1[[#This Row],[Column3]]="NEW",Table1[[#This Row],[Column3]]),"")</f>
        <v/>
      </c>
      <c r="H16" s="15" cm="1">
        <f t="array" ref="H16">_xlfn.IFS(Table1[[#This Row],[Column4]]="NEW",AVERAGEIFS(Table1[Column4],Table1[Year],Table1[[#This Row],[Year]]),ISNUMBER(Table1[[#This Row],[Column4]]),Table1[[#This Row],[Column4]],Table1[[#This Row],[Column4]]="",H15*(1+Table1[[#This Row],[Ávöxtun]]))</f>
        <v>153.5240014039916</v>
      </c>
      <c r="I16" cm="1">
        <f t="array" ref="I16">_xlfn.IFS(Table1[[#This Row],[Column4]]="NEW",_xlfn.XLOOKUP(Table1[[#This Row],[Year]],$N$2:$N$27,$P$2:$P$27),ISNUMBER(Table1[[#This Row],[Column4]]),Table1[[#This Row],[Column4]],Table1[[#This Row],[Column4]]="",I15*(1+Table1[[#This Row],[Ávöxtun]]))</f>
        <v>162.12886075542312</v>
      </c>
      <c r="L16" s="33">
        <v>153.5240014039916</v>
      </c>
      <c r="M16" s="33">
        <v>174.62357474511424</v>
      </c>
      <c r="N16">
        <v>2010</v>
      </c>
      <c r="O16" s="27">
        <f>SUMIFS(Table1[Column2],Table1[Year],N16)</f>
        <v>2.9219762498001865E-2</v>
      </c>
      <c r="P16">
        <f t="shared" si="0"/>
        <v>154.91665471463926</v>
      </c>
      <c r="Q16" s="26" cm="1">
        <f t="array" ref="Q16">_xlfn.QUARTILE.EXC(IF($B$2:$B$939 = N16, $I$2:$I$939), 3)</f>
        <v>164.88273436917291</v>
      </c>
      <c r="R16" s="26" cm="1">
        <f t="array" ref="R16">_xlfn.QUARTILE.EXC(IF($B$2:$B$939 = N16, $I$2:$I$939), 1)</f>
        <v>130.02257798415741</v>
      </c>
      <c r="S16" s="26" cm="1">
        <f t="array" ref="S16">_xlfn.QUARTILE.EXC(IF($B$2:$B$939 = N16, $I$2:$I$939), 2)</f>
        <v>148.64519973231953</v>
      </c>
      <c r="T16" s="17" cm="1">
        <f t="array" ref="T16">_xlfn.QUARTILE.EXC(IF($B$2:$B$939 = N16, $C$2:$C$939), 3)</f>
        <v>4.3749999999999997E-2</v>
      </c>
      <c r="U16" s="17" cm="1">
        <f t="array" ref="U16">_xlfn.QUARTILE.EXC(IF($B$2:$B$939 = N16, $C$2:$C$939), 1)</f>
        <v>1.6649999999999998E-2</v>
      </c>
      <c r="V16" s="17" cm="1">
        <f t="array" ref="V16">_xlfn.QUARTILE.EXC(IF($B$2:$B$939 = N16, $C$2:$C$939), 2)</f>
        <v>3.2500000000000001E-2</v>
      </c>
    </row>
    <row r="17" spans="1:22">
      <c r="A17" t="s">
        <v>54</v>
      </c>
      <c r="B17">
        <v>2018</v>
      </c>
      <c r="C17" s="16">
        <v>2.3E-2</v>
      </c>
      <c r="D17" s="1">
        <v>109493968</v>
      </c>
      <c r="E17" s="29">
        <f>Table1[[#This Row],[Ávöxtun]]*Table1[[#This Row],[Eignir]]/SUMIFS(Table1[Eignir],Table1[Year],Table1[[#This Row],[Year]])</f>
        <v>6.5954721256470598E-4</v>
      </c>
      <c r="F17" s="23" t="e">
        <f>IF(B17=1997, 100, IF(COUNTIF(A$1:A16,A17)=0, "NEW", F16*(1+Table1[[#This Row],[Ávöxtun]])))</f>
        <v>#VALUE!</v>
      </c>
      <c r="G17" s="18" t="str" cm="1">
        <f t="array" ref="G17">IFERROR(_xlfn.IFS(ISNUMBER(Table1[[#This Row],[Column3]]),Table1[[#This Row],[Column3]],Table1[[#This Row],[Column3]]="NEW",Table1[[#This Row],[Column3]]),"")</f>
        <v/>
      </c>
      <c r="H17" s="15" cm="1">
        <f t="array" ref="H17">_xlfn.IFS(Table1[[#This Row],[Column4]]="NEW",AVERAGEIFS(Table1[Column4],Table1[Year],Table1[[#This Row],[Year]]),ISNUMBER(Table1[[#This Row],[Column4]]),Table1[[#This Row],[Column4]],Table1[[#This Row],[Column4]]="",H16*(1+Table1[[#This Row],[Ávöxtun]]))</f>
        <v>157.0550534362834</v>
      </c>
      <c r="I17" cm="1">
        <f t="array" ref="I17">_xlfn.IFS(Table1[[#This Row],[Column4]]="NEW",_xlfn.XLOOKUP(Table1[[#This Row],[Year]],$N$2:$N$27,$P$2:$P$27),ISNUMBER(Table1[[#This Row],[Column4]]),Table1[[#This Row],[Column4]],Table1[[#This Row],[Column4]]="",I16*(1+Table1[[#This Row],[Ávöxtun]]))</f>
        <v>165.85782455279784</v>
      </c>
      <c r="L17" s="33">
        <v>157.0550534362834</v>
      </c>
      <c r="M17" s="33">
        <v>178.63991696425185</v>
      </c>
      <c r="N17">
        <v>2011</v>
      </c>
      <c r="O17" s="27">
        <f>SUMIFS(Table1[Column2],Table1[Year],N17)</f>
        <v>2.8525332201232476E-2</v>
      </c>
      <c r="P17">
        <f t="shared" si="0"/>
        <v>159.33570375387797</v>
      </c>
      <c r="Q17" s="26" cm="1">
        <f t="array" ref="Q17">_xlfn.QUARTILE.EXC(IF($B$2:$B$939 = N17, $I$2:$I$939), 3)</f>
        <v>167.99290446627262</v>
      </c>
      <c r="R17" s="26" cm="1">
        <f t="array" ref="R17">_xlfn.QUARTILE.EXC(IF($B$2:$B$939 = N17, $I$2:$I$939), 1)</f>
        <v>132.96765898531527</v>
      </c>
      <c r="S17" s="26" cm="1">
        <f t="array" ref="S17">_xlfn.QUARTILE.EXC(IF($B$2:$B$939 = N17, $I$2:$I$939), 2)</f>
        <v>150.92940215396337</v>
      </c>
      <c r="T17" s="17" cm="1">
        <f t="array" ref="T17">_xlfn.QUARTILE.EXC(IF($B$2:$B$939 = N17, $C$2:$C$939), 3)</f>
        <v>3.3000000000000002E-2</v>
      </c>
      <c r="U17" s="17" cm="1">
        <f t="array" ref="U17">_xlfn.QUARTILE.EXC(IF($B$2:$B$939 = N17, $C$2:$C$939), 1)</f>
        <v>1.0000000000000002E-2</v>
      </c>
      <c r="V17" s="17" cm="1">
        <f t="array" ref="V17">_xlfn.QUARTILE.EXC(IF($B$2:$B$939 = N17, $C$2:$C$939), 2)</f>
        <v>2.3E-2</v>
      </c>
    </row>
    <row r="18" spans="1:22">
      <c r="A18" t="s">
        <v>54</v>
      </c>
      <c r="B18">
        <v>2019</v>
      </c>
      <c r="C18" s="16">
        <v>0.10400000000000001</v>
      </c>
      <c r="D18" s="1">
        <v>127971866.76000001</v>
      </c>
      <c r="E18" s="29">
        <f>Table1[[#This Row],[Ávöxtun]]*Table1[[#This Row],[Eignir]]/SUMIFS(Table1[Eignir],Table1[Year],Table1[[#This Row],[Year]])</f>
        <v>3.0064236889993483E-3</v>
      </c>
      <c r="F18" s="23" t="e">
        <f>IF(B18=1997, 100, IF(COUNTIF(A$1:A17,A18)=0, "NEW", F17*(1+Table1[[#This Row],[Ávöxtun]])))</f>
        <v>#VALUE!</v>
      </c>
      <c r="G18" s="18" t="str" cm="1">
        <f t="array" ref="G18">IFERROR(_xlfn.IFS(ISNUMBER(Table1[[#This Row],[Column3]]),Table1[[#This Row],[Column3]],Table1[[#This Row],[Column3]]="NEW",Table1[[#This Row],[Column3]]),"")</f>
        <v/>
      </c>
      <c r="H18" s="15" cm="1">
        <f t="array" ref="H18">_xlfn.IFS(Table1[[#This Row],[Column4]]="NEW",AVERAGEIFS(Table1[Column4],Table1[Year],Table1[[#This Row],[Year]]),ISNUMBER(Table1[[#This Row],[Column4]]),Table1[[#This Row],[Column4]],Table1[[#This Row],[Column4]]="",H17*(1+Table1[[#This Row],[Ávöxtun]]))</f>
        <v>173.3887789936569</v>
      </c>
      <c r="I18" cm="1">
        <f t="array" ref="I18">_xlfn.IFS(Table1[[#This Row],[Column4]]="NEW",_xlfn.XLOOKUP(Table1[[#This Row],[Year]],$N$2:$N$27,$P$2:$P$27),ISNUMBER(Table1[[#This Row],[Column4]]),Table1[[#This Row],[Column4]],Table1[[#This Row],[Column4]]="",I17*(1+Table1[[#This Row],[Ávöxtun]]))</f>
        <v>183.10703830628881</v>
      </c>
      <c r="L18" s="33">
        <v>173.3887789936569</v>
      </c>
      <c r="M18" s="33">
        <v>197.21846832853407</v>
      </c>
      <c r="N18">
        <v>2012</v>
      </c>
      <c r="O18" s="27">
        <f>SUMIFS(Table1[Column2],Table1[Year],N18)</f>
        <v>9.5533906610380512E-2</v>
      </c>
      <c r="P18">
        <f t="shared" si="0"/>
        <v>174.5576659960002</v>
      </c>
      <c r="Q18" s="26" cm="1">
        <f t="array" ref="Q18">_xlfn.QUARTILE.EXC(IF($B$2:$B$939 = N18, $I$2:$I$939), 3)</f>
        <v>177.65076305559847</v>
      </c>
      <c r="R18" s="26" cm="1">
        <f t="array" ref="R18">_xlfn.QUARTILE.EXC(IF($B$2:$B$939 = N18, $I$2:$I$939), 1)</f>
        <v>136.53219311404001</v>
      </c>
      <c r="S18" s="26" cm="1">
        <f t="array" ref="S18">_xlfn.QUARTILE.EXC(IF($B$2:$B$939 = N18, $I$2:$I$939), 2)</f>
        <v>160.68274679963258</v>
      </c>
      <c r="T18" s="17" cm="1">
        <f t="array" ref="T18">_xlfn.QUARTILE.EXC(IF($B$2:$B$939 = N18, $C$2:$C$939), 3)</f>
        <v>7.9749999999999988E-2</v>
      </c>
      <c r="U18" s="17" cm="1">
        <f t="array" ref="U18">_xlfn.QUARTILE.EXC(IF($B$2:$B$939 = N18, $C$2:$C$939), 1)</f>
        <v>3.5500000000000004E-2</v>
      </c>
      <c r="V18" s="17" cm="1">
        <f t="array" ref="V18">_xlfn.QUARTILE.EXC(IF($B$2:$B$939 = N18, $C$2:$C$939), 2)</f>
        <v>5.9499999999999997E-2</v>
      </c>
    </row>
    <row r="19" spans="1:22">
      <c r="A19" t="s">
        <v>54</v>
      </c>
      <c r="B19">
        <v>2020</v>
      </c>
      <c r="C19" s="16">
        <v>8.199999999999999E-2</v>
      </c>
      <c r="D19" s="1">
        <v>147342690.66999999</v>
      </c>
      <c r="E19" s="29">
        <f>Table1[[#This Row],[Ávöxtun]]*Table1[[#This Row],[Eignir]]/SUMIFS(Table1[Eignir],Table1[Year],Table1[[#This Row],[Year]])</f>
        <v>2.3521529047223879E-3</v>
      </c>
      <c r="F19" s="23" t="e">
        <f>IF(B19=1997, 100, IF(COUNTIF(A$1:A18,A19)=0, "NEW", F18*(1+Table1[[#This Row],[Ávöxtun]])))</f>
        <v>#VALUE!</v>
      </c>
      <c r="G19" s="18" t="str" cm="1">
        <f t="array" ref="G19">IFERROR(_xlfn.IFS(ISNUMBER(Table1[[#This Row],[Column3]]),Table1[[#This Row],[Column3]],Table1[[#This Row],[Column3]]="NEW",Table1[[#This Row],[Column3]]),"")</f>
        <v/>
      </c>
      <c r="H19" s="15" cm="1">
        <f t="array" ref="H19">_xlfn.IFS(Table1[[#This Row],[Column4]]="NEW",AVERAGEIFS(Table1[Column4],Table1[Year],Table1[[#This Row],[Year]]),ISNUMBER(Table1[[#This Row],[Column4]]),Table1[[#This Row],[Column4]],Table1[[#This Row],[Column4]]="",H18*(1+Table1[[#This Row],[Ávöxtun]]))</f>
        <v>187.60665887113677</v>
      </c>
      <c r="I19" cm="1">
        <f t="array" ref="I19">_xlfn.IFS(Table1[[#This Row],[Column4]]="NEW",_xlfn.XLOOKUP(Table1[[#This Row],[Year]],$N$2:$N$27,$P$2:$P$27),ISNUMBER(Table1[[#This Row],[Column4]]),Table1[[#This Row],[Column4]],Table1[[#This Row],[Column4]]="",I18*(1+Table1[[#This Row],[Ávöxtun]]))</f>
        <v>198.12181544740451</v>
      </c>
      <c r="L19" s="33">
        <v>187.60665887113677</v>
      </c>
      <c r="M19" s="33">
        <v>213.39038273147389</v>
      </c>
      <c r="N19">
        <v>2013</v>
      </c>
      <c r="O19" s="27">
        <f>SUMIFS(Table1[Column2],Table1[Year],N19)</f>
        <v>7.2897100202312173E-2</v>
      </c>
      <c r="P19">
        <f t="shared" si="0"/>
        <v>187.28241366519237</v>
      </c>
      <c r="Q19" s="26" cm="1">
        <f t="array" ref="Q19">_xlfn.QUARTILE.EXC(IF($B$2:$B$939 = N19, $I$2:$I$939), 3)</f>
        <v>185.90699324921815</v>
      </c>
      <c r="R19" s="26" cm="1">
        <f t="array" ref="R19">_xlfn.QUARTILE.EXC(IF($B$2:$B$939 = N19, $I$2:$I$939), 1)</f>
        <v>147.0644394412349</v>
      </c>
      <c r="S19" s="26" cm="1">
        <f t="array" ref="S19">_xlfn.QUARTILE.EXC(IF($B$2:$B$939 = N19, $I$2:$I$939), 2)</f>
        <v>170.36918628437635</v>
      </c>
      <c r="T19" s="17" cm="1">
        <f t="array" ref="T19">_xlfn.QUARTILE.EXC(IF($B$2:$B$939 = N19, $C$2:$C$939), 3)</f>
        <v>7.2000000000000008E-2</v>
      </c>
      <c r="U19" s="17" cm="1">
        <f t="array" ref="U19">_xlfn.QUARTILE.EXC(IF($B$2:$B$939 = N19, $C$2:$C$939), 1)</f>
        <v>4.5999999999999999E-2</v>
      </c>
      <c r="V19" s="17" cm="1">
        <f t="array" ref="V19">_xlfn.QUARTILE.EXC(IF($B$2:$B$939 = N19, $C$2:$C$939), 2)</f>
        <v>5.7000000000000002E-2</v>
      </c>
    </row>
    <row r="20" spans="1:22">
      <c r="A20" t="s">
        <v>54</v>
      </c>
      <c r="B20">
        <v>2021</v>
      </c>
      <c r="C20" s="16">
        <v>0.10199999999999999</v>
      </c>
      <c r="D20" s="1">
        <v>175142574.49000001</v>
      </c>
      <c r="E20" s="29">
        <f>Table1[[#This Row],[Ávöxtun]]*Table1[[#This Row],[Eignir]]/SUMIFS(Table1[Eignir],Table1[Year],Table1[[#This Row],[Year]])</f>
        <v>2.9579514674073284E-3</v>
      </c>
      <c r="F20" s="23" t="e">
        <f>IF(B20=1997, 100, IF(COUNTIF(A$1:A19,A20)=0, "NEW", F19*(1+Table1[[#This Row],[Ávöxtun]])))</f>
        <v>#VALUE!</v>
      </c>
      <c r="G20" s="18" t="str" cm="1">
        <f t="array" ref="G20">IFERROR(_xlfn.IFS(ISNUMBER(Table1[[#This Row],[Column3]]),Table1[[#This Row],[Column3]],Table1[[#This Row],[Column3]]="NEW",Table1[[#This Row],[Column3]]),"")</f>
        <v/>
      </c>
      <c r="H20" s="15" cm="1">
        <f t="array" ref="H20">_xlfn.IFS(Table1[[#This Row],[Column4]]="NEW",AVERAGEIFS(Table1[Column4],Table1[Year],Table1[[#This Row],[Year]]),ISNUMBER(Table1[[#This Row],[Column4]]),Table1[[#This Row],[Column4]],Table1[[#This Row],[Column4]]="",H19*(1+Table1[[#This Row],[Ávöxtun]]))</f>
        <v>206.74253807599274</v>
      </c>
      <c r="I20" cm="1">
        <f t="array" ref="I20">_xlfn.IFS(Table1[[#This Row],[Column4]]="NEW",_xlfn.XLOOKUP(Table1[[#This Row],[Year]],$N$2:$N$27,$P$2:$P$27),ISNUMBER(Table1[[#This Row],[Column4]]),Table1[[#This Row],[Column4]],Table1[[#This Row],[Column4]]="",I19*(1+Table1[[#This Row],[Ávöxtun]]))</f>
        <v>218.3302406230398</v>
      </c>
      <c r="L20" s="33">
        <v>206.74253807599274</v>
      </c>
      <c r="M20" s="33">
        <v>235.15620177008424</v>
      </c>
      <c r="N20">
        <v>2014</v>
      </c>
      <c r="O20" s="27">
        <f>SUMIFS(Table1[Column2],Table1[Year],N20)</f>
        <v>9.8898741851879191E-2</v>
      </c>
      <c r="P20">
        <f t="shared" si="0"/>
        <v>205.80440874766308</v>
      </c>
      <c r="Q20" s="26" cm="1">
        <f t="array" ref="Q20">_xlfn.QUARTILE.EXC(IF($B$2:$B$939 = N20, $I$2:$I$939), 3)</f>
        <v>199.63815398615762</v>
      </c>
      <c r="R20" s="26" cm="1">
        <f t="array" ref="R20">_xlfn.QUARTILE.EXC(IF($B$2:$B$939 = N20, $I$2:$I$939), 1)</f>
        <v>159.89249645543379</v>
      </c>
      <c r="S20" s="26" cm="1">
        <f t="array" ref="S20">_xlfn.QUARTILE.EXC(IF($B$2:$B$939 = N20, $I$2:$I$939), 2)</f>
        <v>184.19597378387382</v>
      </c>
      <c r="T20" s="17" cm="1">
        <f t="array" ref="T20">_xlfn.QUARTILE.EXC(IF($B$2:$B$939 = N20, $C$2:$C$939), 3)</f>
        <v>7.8E-2</v>
      </c>
      <c r="U20" s="17" cm="1">
        <f t="array" ref="U20">_xlfn.QUARTILE.EXC(IF($B$2:$B$939 = N20, $C$2:$C$939), 1)</f>
        <v>4.9000000000000002E-2</v>
      </c>
      <c r="V20" s="17" cm="1">
        <f t="array" ref="V20">_xlfn.QUARTILE.EXC(IF($B$2:$B$939 = N20, $C$2:$C$939), 2)</f>
        <v>6.2000000000000006E-2</v>
      </c>
    </row>
    <row r="21" spans="1:22">
      <c r="A21" t="s">
        <v>55</v>
      </c>
      <c r="B21">
        <v>1999</v>
      </c>
      <c r="C21" s="16">
        <v>0.08</v>
      </c>
      <c r="D21" s="1">
        <v>6618608.3600000003</v>
      </c>
      <c r="E21" s="29">
        <f>Table1[[#This Row],[Ávöxtun]]*Table1[[#This Row],[Eignir]]/SUMIFS(Table1[Eignir],Table1[Year],Table1[[#This Row],[Year]])</f>
        <v>1.0168459791862179E-3</v>
      </c>
      <c r="F21" s="23" t="str">
        <f>IF(B21=1997, 100, IF(COUNTIF(A$1:A20,A21)=0, "NEW", F20*(1+Table1[[#This Row],[Ávöxtun]])))</f>
        <v>NEW</v>
      </c>
      <c r="G21" s="18" t="str" cm="1">
        <f t="array" ref="G21">IFERROR(_xlfn.IFS(ISNUMBER(Table1[[#This Row],[Column3]]),Table1[[#This Row],[Column3]],Table1[[#This Row],[Column3]]="NEW",Table1[[#This Row],[Column3]]),"")</f>
        <v>NEW</v>
      </c>
      <c r="H21" s="15" cm="1">
        <f t="array" ref="H21">_xlfn.IFS(Table1[[#This Row],[Column4]]="NEW",AVERAGEIFS(Table1[Column4],Table1[Year],Table1[[#This Row],[Year]]),ISNUMBER(Table1[[#This Row],[Column4]]),Table1[[#This Row],[Column4]],Table1[[#This Row],[Column4]]="",H20*(1+Table1[[#This Row],[Ávöxtun]]))</f>
        <v>117.05306122448981</v>
      </c>
      <c r="I21" cm="1">
        <f t="array" ref="I21">_xlfn.IFS(Table1[[#This Row],[Column4]]="NEW",_xlfn.XLOOKUP(Table1[[#This Row],[Year]],$N$2:$N$27,$P$2:$P$27),ISNUMBER(Table1[[#This Row],[Column4]]),Table1[[#This Row],[Column4]],Table1[[#This Row],[Column4]]="",I20*(1+Table1[[#This Row],[Ávöxtun]]))</f>
        <v>120.02032965757705</v>
      </c>
      <c r="L21" s="33">
        <v>117.05306122448981</v>
      </c>
      <c r="M21" s="33">
        <v>129.26988390123572</v>
      </c>
      <c r="N21">
        <v>2015</v>
      </c>
      <c r="O21" s="27">
        <f>SUMIFS(Table1[Column2],Table1[Year],N21)</f>
        <v>0.10025072126171815</v>
      </c>
      <c r="P21">
        <f t="shared" si="0"/>
        <v>226.43644916345775</v>
      </c>
      <c r="Q21" s="26" cm="1">
        <f t="array" ref="Q21">_xlfn.QUARTILE.EXC(IF($B$2:$B$939 = N21, $I$2:$I$939), 3)</f>
        <v>218.11188343832825</v>
      </c>
      <c r="R21" s="26" cm="1">
        <f t="array" ref="R21">_xlfn.QUARTILE.EXC(IF($B$2:$B$939 = N21, $I$2:$I$939), 1)</f>
        <v>171.88294927424707</v>
      </c>
      <c r="S21" s="26" cm="1">
        <f t="array" ref="S21">_xlfn.QUARTILE.EXC(IF($B$2:$B$939 = N21, $I$2:$I$939), 2)</f>
        <v>199.55214546169304</v>
      </c>
      <c r="T21" s="17" cm="1">
        <f t="array" ref="T21">_xlfn.QUARTILE.EXC(IF($B$2:$B$939 = N21, $C$2:$C$939), 3)</f>
        <v>0.10375</v>
      </c>
      <c r="U21" s="17" cm="1">
        <f t="array" ref="U21">_xlfn.QUARTILE.EXC(IF($B$2:$B$939 = N21, $C$2:$C$939), 1)</f>
        <v>6.6500000000000004E-2</v>
      </c>
      <c r="V21" s="17" cm="1">
        <f t="array" ref="V21">_xlfn.QUARTILE.EXC(IF($B$2:$B$939 = N21, $C$2:$C$939), 2)</f>
        <v>8.299999999999999E-2</v>
      </c>
    </row>
    <row r="22" spans="1:22">
      <c r="A22" t="s">
        <v>55</v>
      </c>
      <c r="B22">
        <v>2000</v>
      </c>
      <c r="C22" s="16">
        <v>-0.03</v>
      </c>
      <c r="D22" s="1">
        <v>8504168.3599999994</v>
      </c>
      <c r="E22" s="29">
        <f>Table1[[#This Row],[Ávöxtun]]*Table1[[#This Row],[Eignir]]/SUMIFS(Table1[Eignir],Table1[Year],Table1[[#This Row],[Year]])</f>
        <v>-3.5888133828094213E-4</v>
      </c>
      <c r="F22" s="23" t="e">
        <f>IF(B22=1997, 100, IF(COUNTIF(A$1:A21,A22)=0, "NEW", F21*(1+Table1[[#This Row],[Ávöxtun]])))</f>
        <v>#VALUE!</v>
      </c>
      <c r="G22" s="18" t="str" cm="1">
        <f t="array" ref="G22">IFERROR(_xlfn.IFS(ISNUMBER(Table1[[#This Row],[Column3]]),Table1[[#This Row],[Column3]],Table1[[#This Row],[Column3]]="NEW",Table1[[#This Row],[Column3]]),"")</f>
        <v/>
      </c>
      <c r="H22" s="15" cm="1">
        <f t="array" ref="H22">_xlfn.IFS(Table1[[#This Row],[Column4]]="NEW",AVERAGEIFS(Table1[Column4],Table1[Year],Table1[[#This Row],[Year]]),ISNUMBER(Table1[[#This Row],[Column4]]),Table1[[#This Row],[Column4]],Table1[[#This Row],[Column4]]="",H21*(1+Table1[[#This Row],[Ávöxtun]]))</f>
        <v>113.54146938775511</v>
      </c>
      <c r="I22" cm="1">
        <f t="array" ref="I22">_xlfn.IFS(Table1[[#This Row],[Column4]]="NEW",_xlfn.XLOOKUP(Table1[[#This Row],[Year]],$N$2:$N$27,$P$2:$P$27),ISNUMBER(Table1[[#This Row],[Column4]]),Table1[[#This Row],[Column4]],Table1[[#This Row],[Column4]]="",I21*(1+Table1[[#This Row],[Ávöxtun]]))</f>
        <v>116.41971976784974</v>
      </c>
      <c r="L22" s="33">
        <v>113.54146938775511</v>
      </c>
      <c r="M22" s="33">
        <v>125.39178738419864</v>
      </c>
      <c r="N22">
        <v>2016</v>
      </c>
      <c r="O22" s="27">
        <f>SUMIFS(Table1[Column2],Table1[Year],N22)</f>
        <v>-3.1990753254988354E-3</v>
      </c>
      <c r="P22">
        <f t="shared" si="0"/>
        <v>225.71206190614538</v>
      </c>
      <c r="Q22" s="26" cm="1">
        <f t="array" ref="Q22">_xlfn.QUARTILE.EXC(IF($B$2:$B$939 = N22, $I$2:$I$939), 3)</f>
        <v>225.84021672789038</v>
      </c>
      <c r="R22" s="26" cm="1">
        <f t="array" ref="R22">_xlfn.QUARTILE.EXC(IF($B$2:$B$939 = N22, $I$2:$I$939), 1)</f>
        <v>171.20838212910107</v>
      </c>
      <c r="S22" s="26" cm="1">
        <f t="array" ref="S22">_xlfn.QUARTILE.EXC(IF($B$2:$B$939 = N22, $I$2:$I$939), 2)</f>
        <v>207.20871647622775</v>
      </c>
      <c r="T22" s="17" cm="1">
        <f t="array" ref="T22">_xlfn.QUARTILE.EXC(IF($B$2:$B$939 = N22, $C$2:$C$939), 3)</f>
        <v>7.6500000000000005E-3</v>
      </c>
      <c r="U22" s="17" cm="1">
        <f t="array" ref="U22">_xlfn.QUARTILE.EXC(IF($B$2:$B$939 = N22, $C$2:$C$939), 1)</f>
        <v>-1.3000000000000001E-2</v>
      </c>
      <c r="V22" s="17" cm="1">
        <f t="array" ref="V22">_xlfn.QUARTILE.EXC(IF($B$2:$B$939 = N22, $C$2:$C$939), 2)</f>
        <v>-5.0000000000000001E-4</v>
      </c>
    </row>
    <row r="23" spans="1:22">
      <c r="A23" t="s">
        <v>55</v>
      </c>
      <c r="B23">
        <v>2001</v>
      </c>
      <c r="C23" s="16">
        <v>0</v>
      </c>
      <c r="D23" s="1">
        <v>12565186.439999999</v>
      </c>
      <c r="E23" s="29">
        <f>Table1[[#This Row],[Ávöxtun]]*Table1[[#This Row],[Eignir]]/SUMIFS(Table1[Eignir],Table1[Year],Table1[[#This Row],[Year]])</f>
        <v>0</v>
      </c>
      <c r="F23" s="23" t="e">
        <f>IF(B23=1997, 100, IF(COUNTIF(A$1:A22,A23)=0, "NEW", F22*(1+Table1[[#This Row],[Ávöxtun]])))</f>
        <v>#VALUE!</v>
      </c>
      <c r="G23" s="18" t="str" cm="1">
        <f t="array" ref="G23">IFERROR(_xlfn.IFS(ISNUMBER(Table1[[#This Row],[Column3]]),Table1[[#This Row],[Column3]],Table1[[#This Row],[Column3]]="NEW",Table1[[#This Row],[Column3]]),"")</f>
        <v/>
      </c>
      <c r="H23" s="15" cm="1">
        <f t="array" ref="H23">_xlfn.IFS(Table1[[#This Row],[Column4]]="NEW",AVERAGEIFS(Table1[Column4],Table1[Year],Table1[[#This Row],[Year]]),ISNUMBER(Table1[[#This Row],[Column4]]),Table1[[#This Row],[Column4]],Table1[[#This Row],[Column4]]="",H22*(1+Table1[[#This Row],[Ávöxtun]]))</f>
        <v>113.54146938775511</v>
      </c>
      <c r="I23" cm="1">
        <f t="array" ref="I23">_xlfn.IFS(Table1[[#This Row],[Column4]]="NEW",_xlfn.XLOOKUP(Table1[[#This Row],[Year]],$N$2:$N$27,$P$2:$P$27),ISNUMBER(Table1[[#This Row],[Column4]]),Table1[[#This Row],[Column4]],Table1[[#This Row],[Column4]]="",I22*(1+Table1[[#This Row],[Ávöxtun]]))</f>
        <v>116.41971976784974</v>
      </c>
      <c r="L23" s="33">
        <v>113.54146938775511</v>
      </c>
      <c r="M23" s="33">
        <v>125.39178738419864</v>
      </c>
      <c r="N23">
        <v>2017</v>
      </c>
      <c r="O23" s="27">
        <f>SUMIFS(Table1[Column2],Table1[Year],N23)</f>
        <v>7.5034418664388688E-2</v>
      </c>
      <c r="P23">
        <f t="shared" si="0"/>
        <v>242.64823525681354</v>
      </c>
      <c r="Q23" s="26" cm="1">
        <f t="array" ref="Q23">_xlfn.QUARTILE.EXC(IF($B$2:$B$939 = N23, $I$2:$I$939), 3)</f>
        <v>238.02321425358701</v>
      </c>
      <c r="R23" s="26" cm="1">
        <f t="array" ref="R23">_xlfn.QUARTILE.EXC(IF($B$2:$B$939 = N23, $I$2:$I$939), 1)</f>
        <v>180.9663228071754</v>
      </c>
      <c r="S23" s="26" cm="1">
        <f t="array" ref="S23">_xlfn.QUARTILE.EXC(IF($B$2:$B$939 = N23, $I$2:$I$939), 2)</f>
        <v>218.51653498584605</v>
      </c>
      <c r="T23" s="17" cm="1">
        <f t="array" ref="T23">_xlfn.QUARTILE.EXC(IF($B$2:$B$939 = N23, $C$2:$C$939), 3)</f>
        <v>6.7500000000000004E-2</v>
      </c>
      <c r="U23" s="17" cm="1">
        <f t="array" ref="U23">_xlfn.QUARTILE.EXC(IF($B$2:$B$939 = N23, $C$2:$C$939), 1)</f>
        <v>4.4249999999999998E-2</v>
      </c>
      <c r="V23" s="17" cm="1">
        <f t="array" ref="V23">_xlfn.QUARTILE.EXC(IF($B$2:$B$939 = N23, $C$2:$C$939), 2)</f>
        <v>5.2999999999999999E-2</v>
      </c>
    </row>
    <row r="24" spans="1:22">
      <c r="A24" t="s">
        <v>55</v>
      </c>
      <c r="B24">
        <v>2002</v>
      </c>
      <c r="C24" s="16">
        <v>-7.0000000000000007E-2</v>
      </c>
      <c r="D24" s="1">
        <v>1762963.72</v>
      </c>
      <c r="E24" s="29">
        <f>Table1[[#This Row],[Ávöxtun]]*Table1[[#This Row],[Eignir]]/SUMIFS(Table1[Eignir],Table1[Year],Table1[[#This Row],[Year]])</f>
        <v>-1.9429223038246017E-4</v>
      </c>
      <c r="F24" s="23" t="e">
        <f>IF(B24=1997, 100, IF(COUNTIF(A$1:A23,A24)=0, "NEW", F23*(1+Table1[[#This Row],[Ávöxtun]])))</f>
        <v>#VALUE!</v>
      </c>
      <c r="G24" s="18" t="str" cm="1">
        <f t="array" ref="G24">IFERROR(_xlfn.IFS(ISNUMBER(Table1[[#This Row],[Column3]]),Table1[[#This Row],[Column3]],Table1[[#This Row],[Column3]]="NEW",Table1[[#This Row],[Column3]]),"")</f>
        <v/>
      </c>
      <c r="H24" s="15" cm="1">
        <f t="array" ref="H24">_xlfn.IFS(Table1[[#This Row],[Column4]]="NEW",AVERAGEIFS(Table1[Column4],Table1[Year],Table1[[#This Row],[Year]]),ISNUMBER(Table1[[#This Row],[Column4]]),Table1[[#This Row],[Column4]],Table1[[#This Row],[Column4]]="",H23*(1+Table1[[#This Row],[Ávöxtun]]))</f>
        <v>105.59356653061225</v>
      </c>
      <c r="I24" cm="1">
        <f t="array" ref="I24">_xlfn.IFS(Table1[[#This Row],[Column4]]="NEW",_xlfn.XLOOKUP(Table1[[#This Row],[Year]],$N$2:$N$27,$P$2:$P$27),ISNUMBER(Table1[[#This Row],[Column4]]),Table1[[#This Row],[Column4]],Table1[[#This Row],[Column4]]="",I23*(1+Table1[[#This Row],[Ávöxtun]]))</f>
        <v>108.27033938410025</v>
      </c>
      <c r="L24" s="33">
        <v>105.59356653061225</v>
      </c>
      <c r="M24" s="33">
        <v>116.61436226730473</v>
      </c>
      <c r="N24">
        <v>2018</v>
      </c>
      <c r="O24" s="27">
        <f>SUMIFS(Table1[Column2],Table1[Year],N24)</f>
        <v>2.8816787762600448E-2</v>
      </c>
      <c r="P24">
        <f t="shared" si="0"/>
        <v>249.64057795317868</v>
      </c>
      <c r="Q24" s="26" cm="1">
        <f t="array" ref="Q24">_xlfn.QUARTILE.EXC(IF($B$2:$B$939 = N24, $I$2:$I$939), 3)</f>
        <v>248.56923413369816</v>
      </c>
      <c r="R24" s="26" cm="1">
        <f t="array" ref="R24">_xlfn.QUARTILE.EXC(IF($B$2:$B$939 = N24, $I$2:$I$939), 1)</f>
        <v>186.79816694247367</v>
      </c>
      <c r="S24" s="26" cm="1">
        <f t="array" ref="S24">_xlfn.QUARTILE.EXC(IF($B$2:$B$939 = N24, $I$2:$I$939), 2)</f>
        <v>229.86887246375005</v>
      </c>
      <c r="T24" s="17" cm="1">
        <f t="array" ref="T24">_xlfn.QUARTILE.EXC(IF($B$2:$B$939 = N24, $C$2:$C$939), 3)</f>
        <v>3.7000000000000005E-2</v>
      </c>
      <c r="U24" s="17" cm="1">
        <f t="array" ref="U24">_xlfn.QUARTILE.EXC(IF($B$2:$B$939 = N24, $C$2:$C$939), 1)</f>
        <v>1.35E-2</v>
      </c>
      <c r="V24" s="17" cm="1">
        <f t="array" ref="V24">_xlfn.QUARTILE.EXC(IF($B$2:$B$939 = N24, $C$2:$C$939), 2)</f>
        <v>2.2000000000000002E-2</v>
      </c>
    </row>
    <row r="25" spans="1:22">
      <c r="A25" t="s">
        <v>58</v>
      </c>
      <c r="B25">
        <v>2016</v>
      </c>
      <c r="C25" s="16">
        <v>-1.49E-2</v>
      </c>
      <c r="D25" s="1">
        <v>308270082.58999997</v>
      </c>
      <c r="E25" s="29">
        <f>Table1[[#This Row],[Ávöxtun]]*Table1[[#This Row],[Eignir]]/SUMIFS(Table1[Eignir],Table1[Year],Table1[[#This Row],[Year]])</f>
        <v>-1.4353616436840173E-3</v>
      </c>
      <c r="F25" s="23" t="str">
        <f>IF(B25=1997, 100, IF(COUNTIF(A$1:A24,A25)=0, "NEW", F24*(1+Table1[[#This Row],[Ávöxtun]])))</f>
        <v>NEW</v>
      </c>
      <c r="G25" s="18" t="str" cm="1">
        <f t="array" ref="G25">IFERROR(_xlfn.IFS(ISNUMBER(Table1[[#This Row],[Column3]]),Table1[[#This Row],[Column3]],Table1[[#This Row],[Column3]]="NEW",Table1[[#This Row],[Column3]]),"")</f>
        <v>NEW</v>
      </c>
      <c r="H25" s="15" cm="1">
        <f t="array" ref="H25">_xlfn.IFS(Table1[[#This Row],[Column4]]="NEW",AVERAGEIFS(Table1[Column4],Table1[Year],Table1[[#This Row],[Year]]),ISNUMBER(Table1[[#This Row],[Column4]]),Table1[[#This Row],[Column4]],Table1[[#This Row],[Column4]]="",H24*(1+Table1[[#This Row],[Ávöxtun]]))</f>
        <v>203.54245352961544</v>
      </c>
      <c r="I25" cm="1">
        <f t="array" ref="I25">_xlfn.IFS(Table1[[#This Row],[Column4]]="NEW",_xlfn.XLOOKUP(Table1[[#This Row],[Year]],$N$2:$N$27,$P$2:$P$27),ISNUMBER(Table1[[#This Row],[Column4]]),Table1[[#This Row],[Column4]],Table1[[#This Row],[Column4]]="",I24*(1+Table1[[#This Row],[Ávöxtun]]))</f>
        <v>225.71206190614538</v>
      </c>
      <c r="L25" s="33">
        <v>203.54245352961544</v>
      </c>
      <c r="M25" s="33">
        <v>243.10691464488829</v>
      </c>
      <c r="N25">
        <v>2019</v>
      </c>
      <c r="O25" s="27">
        <f>SUMIFS(Table1[Column2],Table1[Year],N25)</f>
        <v>0.16035282354463598</v>
      </c>
      <c r="P25">
        <f t="shared" si="0"/>
        <v>289.67114949928572</v>
      </c>
      <c r="Q25" s="26" cm="1">
        <f t="array" ref="Q25">_xlfn.QUARTILE.EXC(IF($B$2:$B$939 = N25, $I$2:$I$939), 3)</f>
        <v>270.09247902587356</v>
      </c>
      <c r="R25" s="26" cm="1">
        <f t="array" ref="R25">_xlfn.QUARTILE.EXC(IF($B$2:$B$939 = N25, $I$2:$I$939), 1)</f>
        <v>204.32055545538481</v>
      </c>
      <c r="S25" s="26" cm="1">
        <f t="array" ref="S25">_xlfn.QUARTILE.EXC(IF($B$2:$B$939 = N25, $I$2:$I$939), 2)</f>
        <v>258.86009778955781</v>
      </c>
      <c r="T25" s="17" cm="1">
        <f t="array" ref="T25">_xlfn.QUARTILE.EXC(IF($B$2:$B$939 = N25, $C$2:$C$939), 3)</f>
        <v>0.11854999999999999</v>
      </c>
      <c r="U25" s="17" cm="1">
        <f t="array" ref="U25">_xlfn.QUARTILE.EXC(IF($B$2:$B$939 = N25, $C$2:$C$939), 1)</f>
        <v>0.09</v>
      </c>
      <c r="V25" s="17" cm="1">
        <f t="array" ref="V25">_xlfn.QUARTILE.EXC(IF($B$2:$B$939 = N25, $C$2:$C$939), 2)</f>
        <v>0.10189999999999999</v>
      </c>
    </row>
    <row r="26" spans="1:22">
      <c r="A26" t="s">
        <v>58</v>
      </c>
      <c r="B26">
        <v>2017</v>
      </c>
      <c r="C26" s="16">
        <v>5.2000000000000005E-2</v>
      </c>
      <c r="D26" s="1">
        <v>334817869</v>
      </c>
      <c r="E26" s="29">
        <f>Table1[[#This Row],[Ávöxtun]]*Table1[[#This Row],[Eignir]]/SUMIFS(Table1[Eignir],Table1[Year],Table1[[#This Row],[Year]])</f>
        <v>4.8917642817475314E-3</v>
      </c>
      <c r="F26" s="23" t="e">
        <f>IF(B26=1997, 100, IF(COUNTIF(A$1:A25,A26)=0, "NEW", F25*(1+Table1[[#This Row],[Ávöxtun]])))</f>
        <v>#VALUE!</v>
      </c>
      <c r="G26" s="18" t="str" cm="1">
        <f t="array" ref="G26">IFERROR(_xlfn.IFS(ISNUMBER(Table1[[#This Row],[Column3]]),Table1[[#This Row],[Column3]],Table1[[#This Row],[Column3]]="NEW",Table1[[#This Row],[Column3]]),"")</f>
        <v/>
      </c>
      <c r="H26" s="15" cm="1">
        <f t="array" ref="H26">_xlfn.IFS(Table1[[#This Row],[Column4]]="NEW",AVERAGEIFS(Table1[Column4],Table1[Year],Table1[[#This Row],[Year]]),ISNUMBER(Table1[[#This Row],[Column4]]),Table1[[#This Row],[Column4]],Table1[[#This Row],[Column4]]="",H25*(1+Table1[[#This Row],[Ávöxtun]]))</f>
        <v>214.12666111315545</v>
      </c>
      <c r="I26" cm="1">
        <f t="array" ref="I26">_xlfn.IFS(Table1[[#This Row],[Column4]]="NEW",_xlfn.XLOOKUP(Table1[[#This Row],[Year]],$N$2:$N$27,$P$2:$P$27),ISNUMBER(Table1[[#This Row],[Column4]]),Table1[[#This Row],[Column4]],Table1[[#This Row],[Column4]]="",I25*(1+Table1[[#This Row],[Ávöxtun]]))</f>
        <v>237.44908912526495</v>
      </c>
      <c r="L26" s="33">
        <v>214.12666111315545</v>
      </c>
      <c r="M26" s="33">
        <v>255.74847420642249</v>
      </c>
      <c r="N26">
        <v>2020</v>
      </c>
      <c r="O26" s="27">
        <f>SUMIFS(Table1[Column2],Table1[Year],N26)</f>
        <v>0.13104509362166816</v>
      </c>
      <c r="P26">
        <f t="shared" si="0"/>
        <v>327.63113240491583</v>
      </c>
      <c r="Q26" s="26" cm="1">
        <f t="array" ref="Q26">_xlfn.QUARTILE.EXC(IF($B$2:$B$939 = N26, $I$2:$I$939), 3)</f>
        <v>294.70280783781016</v>
      </c>
      <c r="R26" s="26" cm="1">
        <f t="array" ref="R26">_xlfn.QUARTILE.EXC(IF($B$2:$B$939 = N26, $I$2:$I$939), 1)</f>
        <v>221.14911910888387</v>
      </c>
      <c r="S26" s="26" cm="1">
        <f t="array" ref="S26">_xlfn.QUARTILE.EXC(IF($B$2:$B$939 = N26, $I$2:$I$939), 2)</f>
        <v>282.46813870796547</v>
      </c>
      <c r="T26" s="17" cm="1">
        <f t="array" ref="T26">_xlfn.QUARTILE.EXC(IF($B$2:$B$939 = N26, $C$2:$C$939), 3)</f>
        <v>0.10250000000000001</v>
      </c>
      <c r="U26" s="17" cm="1">
        <f t="array" ref="U26">_xlfn.QUARTILE.EXC(IF($B$2:$B$939 = N26, $C$2:$C$939), 1)</f>
        <v>7.8649999999999998E-2</v>
      </c>
      <c r="V26" s="17" cm="1">
        <f t="array" ref="V26">_xlfn.QUARTILE.EXC(IF($B$2:$B$939 = N26, $C$2:$C$939), 2)</f>
        <v>8.8900000000000007E-2</v>
      </c>
    </row>
    <row r="27" spans="1:22">
      <c r="A27" t="s">
        <v>58</v>
      </c>
      <c r="B27">
        <v>2018</v>
      </c>
      <c r="C27" s="16">
        <v>1.7000000000000001E-2</v>
      </c>
      <c r="D27" s="1">
        <v>357802547</v>
      </c>
      <c r="E27" s="29">
        <f>Table1[[#This Row],[Ávöxtun]]*Table1[[#This Row],[Eignir]]/SUMIFS(Table1[Eignir],Table1[Year],Table1[[#This Row],[Year]])</f>
        <v>1.5930162563367785E-3</v>
      </c>
      <c r="F27" s="23" t="e">
        <f>IF(B27=1997, 100, IF(COUNTIF(A$1:A26,A27)=0, "NEW", F26*(1+Table1[[#This Row],[Ávöxtun]])))</f>
        <v>#VALUE!</v>
      </c>
      <c r="G27" s="18" t="str" cm="1">
        <f t="array" ref="G27">IFERROR(_xlfn.IFS(ISNUMBER(Table1[[#This Row],[Column3]]),Table1[[#This Row],[Column3]],Table1[[#This Row],[Column3]]="NEW",Table1[[#This Row],[Column3]]),"")</f>
        <v/>
      </c>
      <c r="H27" s="15" cm="1">
        <f t="array" ref="H27">_xlfn.IFS(Table1[[#This Row],[Column4]]="NEW",AVERAGEIFS(Table1[Column4],Table1[Year],Table1[[#This Row],[Year]]),ISNUMBER(Table1[[#This Row],[Column4]]),Table1[[#This Row],[Column4]],Table1[[#This Row],[Column4]]="",H26*(1+Table1[[#This Row],[Ávöxtun]]))</f>
        <v>217.76681435207908</v>
      </c>
      <c r="I27" cm="1">
        <f t="array" ref="I27">_xlfn.IFS(Table1[[#This Row],[Column4]]="NEW",_xlfn.XLOOKUP(Table1[[#This Row],[Year]],$N$2:$N$27,$P$2:$P$27),ISNUMBER(Table1[[#This Row],[Column4]]),Table1[[#This Row],[Column4]],Table1[[#This Row],[Column4]]="",I26*(1+Table1[[#This Row],[Ávöxtun]]))</f>
        <v>241.48572364039444</v>
      </c>
      <c r="L27" s="33">
        <v>217.76681435207908</v>
      </c>
      <c r="M27" s="33">
        <v>260.09619826793164</v>
      </c>
      <c r="N27">
        <v>2021</v>
      </c>
      <c r="O27" s="27">
        <f>SUMIFS(Table1[Column2],Table1[Year],N27)</f>
        <v>0.13997775777110577</v>
      </c>
      <c r="P27">
        <f>P26*(1+O27)</f>
        <v>373.49220369496425</v>
      </c>
      <c r="Q27" s="26" cm="1">
        <f t="array" ref="Q27">_xlfn.QUARTILE.EXC(IF($B$2:$B$939 = N27, $I$2:$I$939), 3)</f>
        <v>337.11451854015456</v>
      </c>
      <c r="R27" s="26" cm="1">
        <f t="array" ref="R27">_xlfn.QUARTILE.EXC(IF($B$2:$B$939 = N27, $I$2:$I$939), 1)</f>
        <v>242.11856325170703</v>
      </c>
      <c r="S27" s="26" cm="1">
        <f t="array" ref="S27">_xlfn.QUARTILE.EXC(IF($B$2:$B$939 = N27, $I$2:$I$939), 2)</f>
        <v>313.53963396584169</v>
      </c>
      <c r="T27" s="17" cm="1">
        <f t="array" ref="T27">_xlfn.QUARTILE.EXC(IF($B$2:$B$939 = N27, $C$2:$C$939), 3)</f>
        <v>0.12585000000000002</v>
      </c>
      <c r="U27" s="17" cm="1">
        <f t="array" ref="U27">_xlfn.QUARTILE.EXC(IF($B$2:$B$939 = N27, $C$2:$C$939), 1)</f>
        <v>8.030000000000001E-2</v>
      </c>
      <c r="V27" s="17" cm="1">
        <f t="array" ref="V27">_xlfn.QUARTILE.EXC(IF($B$2:$B$939 = N27, $C$2:$C$939), 2)</f>
        <v>0.11</v>
      </c>
    </row>
    <row r="28" spans="1:22">
      <c r="A28" t="s">
        <v>58</v>
      </c>
      <c r="B28">
        <v>2019</v>
      </c>
      <c r="C28" s="16">
        <v>0.11210000000000001</v>
      </c>
      <c r="D28" s="1">
        <v>415234049.41000003</v>
      </c>
      <c r="E28" s="29">
        <f>Table1[[#This Row],[Ávöxtun]]*Table1[[#This Row],[Eignir]]/SUMIFS(Table1[Eignir],Table1[Year],Table1[[#This Row],[Year]])</f>
        <v>1.0514797460609588E-2</v>
      </c>
      <c r="F28" s="23" t="e">
        <f>IF(B28=1997, 100, IF(COUNTIF(A$1:A27,A28)=0, "NEW", F27*(1+Table1[[#This Row],[Ávöxtun]])))</f>
        <v>#VALUE!</v>
      </c>
      <c r="G28" s="18" t="str" cm="1">
        <f t="array" ref="G28">IFERROR(_xlfn.IFS(ISNUMBER(Table1[[#This Row],[Column3]]),Table1[[#This Row],[Column3]],Table1[[#This Row],[Column3]]="NEW",Table1[[#This Row],[Column3]]),"")</f>
        <v/>
      </c>
      <c r="H28" s="15" cm="1">
        <f t="array" ref="H28">_xlfn.IFS(Table1[[#This Row],[Column4]]="NEW",AVERAGEIFS(Table1[Column4],Table1[Year],Table1[[#This Row],[Year]]),ISNUMBER(Table1[[#This Row],[Column4]]),Table1[[#This Row],[Column4]],Table1[[#This Row],[Column4]]="",H27*(1+Table1[[#This Row],[Ávöxtun]]))</f>
        <v>242.17847424094717</v>
      </c>
      <c r="I28" cm="1">
        <f t="array" ref="I28">_xlfn.IFS(Table1[[#This Row],[Column4]]="NEW",_xlfn.XLOOKUP(Table1[[#This Row],[Year]],$N$2:$N$27,$P$2:$P$27),ISNUMBER(Table1[[#This Row],[Column4]]),Table1[[#This Row],[Column4]],Table1[[#This Row],[Column4]]="",I27*(1+Table1[[#This Row],[Ávöxtun]]))</f>
        <v>268.55627326048267</v>
      </c>
      <c r="L28" s="33">
        <v>242.17847424094717</v>
      </c>
      <c r="M28" s="33">
        <v>289.25298209376678</v>
      </c>
    </row>
    <row r="29" spans="1:22">
      <c r="A29" t="s">
        <v>58</v>
      </c>
      <c r="B29">
        <v>2020</v>
      </c>
      <c r="C29" s="16">
        <v>8.8900000000000007E-2</v>
      </c>
      <c r="D29" s="1">
        <v>472667958.5</v>
      </c>
      <c r="E29" s="29">
        <f>Table1[[#This Row],[Ávöxtun]]*Table1[[#This Row],[Eignir]]/SUMIFS(Table1[Eignir],Table1[Year],Table1[[#This Row],[Year]])</f>
        <v>8.1805221611389294E-3</v>
      </c>
      <c r="F29" s="23" t="e">
        <f>IF(B29=1997, 100, IF(COUNTIF(A$1:A28,A29)=0, "NEW", F28*(1+Table1[[#This Row],[Ávöxtun]])))</f>
        <v>#VALUE!</v>
      </c>
      <c r="G29" s="18" t="str" cm="1">
        <f t="array" ref="G29">IFERROR(_xlfn.IFS(ISNUMBER(Table1[[#This Row],[Column3]]),Table1[[#This Row],[Column3]],Table1[[#This Row],[Column3]]="NEW",Table1[[#This Row],[Column3]]),"")</f>
        <v/>
      </c>
      <c r="H29" s="15" cm="1">
        <f t="array" ref="H29">_xlfn.IFS(Table1[[#This Row],[Column4]]="NEW",AVERAGEIFS(Table1[Column4],Table1[Year],Table1[[#This Row],[Year]]),ISNUMBER(Table1[[#This Row],[Column4]]),Table1[[#This Row],[Column4]],Table1[[#This Row],[Column4]]="",H28*(1+Table1[[#This Row],[Ávöxtun]]))</f>
        <v>263.70814060096734</v>
      </c>
      <c r="I29" cm="1">
        <f t="array" ref="I29">_xlfn.IFS(Table1[[#This Row],[Column4]]="NEW",_xlfn.XLOOKUP(Table1[[#This Row],[Year]],$N$2:$N$27,$P$2:$P$27),ISNUMBER(Table1[[#This Row],[Column4]]),Table1[[#This Row],[Column4]],Table1[[#This Row],[Column4]]="",I28*(1+Table1[[#This Row],[Ávöxtun]]))</f>
        <v>292.43092595333957</v>
      </c>
      <c r="L29" s="33">
        <v>263.70814060096734</v>
      </c>
      <c r="M29" s="33">
        <v>314.96757220190261</v>
      </c>
    </row>
    <row r="30" spans="1:22">
      <c r="A30" t="s">
        <v>58</v>
      </c>
      <c r="B30">
        <v>2021</v>
      </c>
      <c r="C30" s="16">
        <v>0.1011</v>
      </c>
      <c r="D30" s="1">
        <v>550440991.62</v>
      </c>
      <c r="E30" s="29">
        <f>Table1[[#This Row],[Ávöxtun]]*Table1[[#This Row],[Eignir]]/SUMIFS(Table1[Eignir],Table1[Year],Table1[[#This Row],[Year]])</f>
        <v>9.2142728255319058E-3</v>
      </c>
      <c r="F30" s="23" t="e">
        <f>IF(B30=1997, 100, IF(COUNTIF(A$1:A29,A30)=0, "NEW", F29*(1+Table1[[#This Row],[Ávöxtun]])))</f>
        <v>#VALUE!</v>
      </c>
      <c r="G30" s="18" t="str" cm="1">
        <f t="array" ref="G30">IFERROR(_xlfn.IFS(ISNUMBER(Table1[[#This Row],[Column3]]),Table1[[#This Row],[Column3]],Table1[[#This Row],[Column3]]="NEW",Table1[[#This Row],[Column3]]),"")</f>
        <v/>
      </c>
      <c r="H30" s="15" cm="1">
        <f t="array" ref="H30">_xlfn.IFS(Table1[[#This Row],[Column4]]="NEW",AVERAGEIFS(Table1[Column4],Table1[Year],Table1[[#This Row],[Year]]),ISNUMBER(Table1[[#This Row],[Column4]]),Table1[[#This Row],[Column4]],Table1[[#This Row],[Column4]]="",H29*(1+Table1[[#This Row],[Ávöxtun]]))</f>
        <v>290.36903361572513</v>
      </c>
      <c r="I30" cm="1">
        <f t="array" ref="I30">_xlfn.IFS(Table1[[#This Row],[Column4]]="NEW",_xlfn.XLOOKUP(Table1[[#This Row],[Year]],$N$2:$N$27,$P$2:$P$27),ISNUMBER(Table1[[#This Row],[Column4]]),Table1[[#This Row],[Column4]],Table1[[#This Row],[Column4]]="",I29*(1+Table1[[#This Row],[Ávöxtun]]))</f>
        <v>321.99569256722219</v>
      </c>
      <c r="L30" s="33">
        <v>290.36903361572513</v>
      </c>
      <c r="M30" s="33">
        <v>346.81079375151495</v>
      </c>
    </row>
    <row r="31" spans="1:22">
      <c r="A31" t="s">
        <v>59</v>
      </c>
      <c r="B31">
        <v>2016</v>
      </c>
      <c r="C31" s="16">
        <v>0</v>
      </c>
      <c r="D31" s="1">
        <v>0</v>
      </c>
      <c r="E31" s="29">
        <f>Table1[[#This Row],[Ávöxtun]]*Table1[[#This Row],[Eignir]]/SUMIFS(Table1[Eignir],Table1[Year],Table1[[#This Row],[Year]])</f>
        <v>0</v>
      </c>
      <c r="F31" s="23" t="str">
        <f>IF(B31=1997, 100, IF(COUNTIF(A$1:A30,A31)=0, "NEW", F30*(1+Table1[[#This Row],[Ávöxtun]])))</f>
        <v>NEW</v>
      </c>
      <c r="G31" s="18" t="str" cm="1">
        <f t="array" ref="G31">IFERROR(_xlfn.IFS(ISNUMBER(Table1[[#This Row],[Column3]]),Table1[[#This Row],[Column3]],Table1[[#This Row],[Column3]]="NEW",Table1[[#This Row],[Column3]]),"")</f>
        <v>NEW</v>
      </c>
      <c r="H31" s="15" cm="1">
        <f t="array" ref="H31">_xlfn.IFS(Table1[[#This Row],[Column4]]="NEW",AVERAGEIFS(Table1[Column4],Table1[Year],Table1[[#This Row],[Year]]),ISNUMBER(Table1[[#This Row],[Column4]]),Table1[[#This Row],[Column4]],Table1[[#This Row],[Column4]]="",H30*(1+Table1[[#This Row],[Ávöxtun]]))</f>
        <v>203.54245352961544</v>
      </c>
      <c r="I31" cm="1">
        <f t="array" ref="I31">_xlfn.IFS(Table1[[#This Row],[Column4]]="NEW",_xlfn.XLOOKUP(Table1[[#This Row],[Year]],$N$2:$N$27,$P$2:$P$27),ISNUMBER(Table1[[#This Row],[Column4]]),Table1[[#This Row],[Column4]],Table1[[#This Row],[Column4]]="",I30*(1+Table1[[#This Row],[Ávöxtun]]))</f>
        <v>225.71206190614538</v>
      </c>
      <c r="L31" s="33">
        <v>203.54245352961544</v>
      </c>
      <c r="M31" s="33">
        <v>243.10691464488829</v>
      </c>
    </row>
    <row r="32" spans="1:22">
      <c r="A32" t="s">
        <v>59</v>
      </c>
      <c r="B32">
        <v>2017</v>
      </c>
      <c r="C32" s="16">
        <v>0.16500000000000001</v>
      </c>
      <c r="D32" s="1">
        <v>193252610</v>
      </c>
      <c r="E32" s="29">
        <f>Table1[[#This Row],[Ávöxtun]]*Table1[[#This Row],[Eignir]]/SUMIFS(Table1[Eignir],Table1[Year],Table1[[#This Row],[Year]])</f>
        <v>8.9590686062930806E-3</v>
      </c>
      <c r="F32" s="23" t="e">
        <f>IF(B32=1997, 100, IF(COUNTIF(A$1:A31,A32)=0, "NEW", F31*(1+Table1[[#This Row],[Ávöxtun]])))</f>
        <v>#VALUE!</v>
      </c>
      <c r="G32" s="18" t="str" cm="1">
        <f t="array" ref="G32">IFERROR(_xlfn.IFS(ISNUMBER(Table1[[#This Row],[Column3]]),Table1[[#This Row],[Column3]],Table1[[#This Row],[Column3]]="NEW",Table1[[#This Row],[Column3]]),"")</f>
        <v/>
      </c>
      <c r="H32" s="15" cm="1">
        <f t="array" ref="H32">_xlfn.IFS(Table1[[#This Row],[Column4]]="NEW",AVERAGEIFS(Table1[Column4],Table1[Year],Table1[[#This Row],[Year]]),ISNUMBER(Table1[[#This Row],[Column4]]),Table1[[#This Row],[Column4]],Table1[[#This Row],[Column4]]="",H31*(1+Table1[[#This Row],[Ávöxtun]]))</f>
        <v>237.126958362002</v>
      </c>
      <c r="I32" cm="1">
        <f t="array" ref="I32">_xlfn.IFS(Table1[[#This Row],[Column4]]="NEW",_xlfn.XLOOKUP(Table1[[#This Row],[Year]],$N$2:$N$27,$P$2:$P$27),ISNUMBER(Table1[[#This Row],[Column4]]),Table1[[#This Row],[Column4]],Table1[[#This Row],[Column4]]="",I31*(1+Table1[[#This Row],[Ávöxtun]]))</f>
        <v>262.9545521206594</v>
      </c>
      <c r="L32" s="33">
        <v>237.126958362002</v>
      </c>
      <c r="M32" s="33">
        <v>283.2195555612949</v>
      </c>
    </row>
    <row r="33" spans="1:13">
      <c r="A33" t="s">
        <v>59</v>
      </c>
      <c r="B33">
        <v>2018</v>
      </c>
      <c r="C33" s="16">
        <v>7.400000000000001E-2</v>
      </c>
      <c r="D33" s="1">
        <v>216996109</v>
      </c>
      <c r="E33" s="29">
        <f>Table1[[#This Row],[Ávöxtun]]*Table1[[#This Row],[Eignir]]/SUMIFS(Table1[Eignir],Table1[Year],Table1[[#This Row],[Year]])</f>
        <v>4.205440809741166E-3</v>
      </c>
      <c r="F33" s="23" t="e">
        <f>IF(B33=1997, 100, IF(COUNTIF(A$1:A32,A33)=0, "NEW", F32*(1+Table1[[#This Row],[Ávöxtun]])))</f>
        <v>#VALUE!</v>
      </c>
      <c r="G33" s="18" t="str" cm="1">
        <f t="array" ref="G33">IFERROR(_xlfn.IFS(ISNUMBER(Table1[[#This Row],[Column3]]),Table1[[#This Row],[Column3]],Table1[[#This Row],[Column3]]="NEW",Table1[[#This Row],[Column3]]),"")</f>
        <v/>
      </c>
      <c r="H33" s="15" cm="1">
        <f t="array" ref="H33">_xlfn.IFS(Table1[[#This Row],[Column4]]="NEW",AVERAGEIFS(Table1[Column4],Table1[Year],Table1[[#This Row],[Year]]),ISNUMBER(Table1[[#This Row],[Column4]]),Table1[[#This Row],[Column4]],Table1[[#This Row],[Column4]]="",H32*(1+Table1[[#This Row],[Ávöxtun]]))</f>
        <v>254.67435328079017</v>
      </c>
      <c r="I33" cm="1">
        <f t="array" ref="I33">_xlfn.IFS(Table1[[#This Row],[Column4]]="NEW",_xlfn.XLOOKUP(Table1[[#This Row],[Year]],$N$2:$N$27,$P$2:$P$27),ISNUMBER(Table1[[#This Row],[Column4]]),Table1[[#This Row],[Column4]],Table1[[#This Row],[Column4]]="",I32*(1+Table1[[#This Row],[Ávöxtun]]))</f>
        <v>282.41318897758822</v>
      </c>
      <c r="L33" s="33">
        <v>254.67435328079017</v>
      </c>
      <c r="M33" s="33">
        <v>304.17780267283075</v>
      </c>
    </row>
    <row r="34" spans="1:13">
      <c r="A34" t="s">
        <v>59</v>
      </c>
      <c r="B34">
        <v>2019</v>
      </c>
      <c r="C34" s="16">
        <v>0.22600000000000001</v>
      </c>
      <c r="D34" s="1">
        <v>249497222.91999999</v>
      </c>
      <c r="E34" s="29">
        <f>Table1[[#This Row],[Ávöxtun]]*Table1[[#This Row],[Eignir]]/SUMIFS(Table1[Eignir],Table1[Year],Table1[[#This Row],[Year]])</f>
        <v>1.2737274121234154E-2</v>
      </c>
      <c r="F34" s="23" t="e">
        <f>IF(B34=1997, 100, IF(COUNTIF(A$1:A33,A34)=0, "NEW", F33*(1+Table1[[#This Row],[Ávöxtun]])))</f>
        <v>#VALUE!</v>
      </c>
      <c r="G34" s="18" t="str" cm="1">
        <f t="array" ref="G34">IFERROR(_xlfn.IFS(ISNUMBER(Table1[[#This Row],[Column3]]),Table1[[#This Row],[Column3]],Table1[[#This Row],[Column3]]="NEW",Table1[[#This Row],[Column3]]),"")</f>
        <v/>
      </c>
      <c r="H34" s="15" cm="1">
        <f t="array" ref="H34">_xlfn.IFS(Table1[[#This Row],[Column4]]="NEW",AVERAGEIFS(Table1[Column4],Table1[Year],Table1[[#This Row],[Year]]),ISNUMBER(Table1[[#This Row],[Column4]]),Table1[[#This Row],[Column4]],Table1[[#This Row],[Column4]]="",H33*(1+Table1[[#This Row],[Ávöxtun]]))</f>
        <v>312.23075712224875</v>
      </c>
      <c r="I34" cm="1">
        <f t="array" ref="I34">_xlfn.IFS(Table1[[#This Row],[Column4]]="NEW",_xlfn.XLOOKUP(Table1[[#This Row],[Year]],$N$2:$N$27,$P$2:$P$27),ISNUMBER(Table1[[#This Row],[Column4]]),Table1[[#This Row],[Column4]],Table1[[#This Row],[Column4]]="",I33*(1+Table1[[#This Row],[Ávöxtun]]))</f>
        <v>346.23856968652314</v>
      </c>
      <c r="L34" s="33">
        <v>312.23075712224875</v>
      </c>
      <c r="M34" s="33">
        <v>372.92198607689051</v>
      </c>
    </row>
    <row r="35" spans="1:13">
      <c r="A35" t="s">
        <v>59</v>
      </c>
      <c r="B35">
        <v>2020</v>
      </c>
      <c r="C35" s="16">
        <v>0.20800000000000002</v>
      </c>
      <c r="D35" s="1">
        <v>289890993.74000001</v>
      </c>
      <c r="E35" s="29">
        <f>Table1[[#This Row],[Ávöxtun]]*Table1[[#This Row],[Eignir]]/SUMIFS(Table1[Eignir],Table1[Year],Table1[[#This Row],[Year]])</f>
        <v>1.173873123762569E-2</v>
      </c>
      <c r="F35" s="23" t="e">
        <f>IF(B35=1997, 100, IF(COUNTIF(A$1:A34,A35)=0, "NEW", F34*(1+Table1[[#This Row],[Ávöxtun]])))</f>
        <v>#VALUE!</v>
      </c>
      <c r="G35" s="18" t="str" cm="1">
        <f t="array" ref="G35">IFERROR(_xlfn.IFS(ISNUMBER(Table1[[#This Row],[Column3]]),Table1[[#This Row],[Column3]],Table1[[#This Row],[Column3]]="NEW",Table1[[#This Row],[Column3]]),"")</f>
        <v/>
      </c>
      <c r="H35" s="15" cm="1">
        <f t="array" ref="H35">_xlfn.IFS(Table1[[#This Row],[Column4]]="NEW",AVERAGEIFS(Table1[Column4],Table1[Year],Table1[[#This Row],[Year]]),ISNUMBER(Table1[[#This Row],[Column4]]),Table1[[#This Row],[Column4]],Table1[[#This Row],[Column4]]="",H34*(1+Table1[[#This Row],[Ávöxtun]]))</f>
        <v>377.17475460367649</v>
      </c>
      <c r="I35" cm="1">
        <f t="array" ref="I35">_xlfn.IFS(Table1[[#This Row],[Column4]]="NEW",_xlfn.XLOOKUP(Table1[[#This Row],[Year]],$N$2:$N$27,$P$2:$P$27),ISNUMBER(Table1[[#This Row],[Column4]]),Table1[[#This Row],[Column4]],Table1[[#This Row],[Column4]]="",I34*(1+Table1[[#This Row],[Ávöxtun]]))</f>
        <v>418.25619218131993</v>
      </c>
      <c r="L35" s="33">
        <v>377.17475460367649</v>
      </c>
      <c r="M35" s="33">
        <v>450.48975918088371</v>
      </c>
    </row>
    <row r="36" spans="1:13">
      <c r="A36" t="s">
        <v>59</v>
      </c>
      <c r="B36">
        <v>2021</v>
      </c>
      <c r="C36" s="16">
        <v>0.249</v>
      </c>
      <c r="D36" s="1">
        <v>342407199.69999999</v>
      </c>
      <c r="E36" s="29">
        <f>Table1[[#This Row],[Ávöxtun]]*Table1[[#This Row],[Eignir]]/SUMIFS(Table1[Eignir],Table1[Year],Table1[[#This Row],[Year]])</f>
        <v>1.4116966300081767E-2</v>
      </c>
      <c r="F36" s="23" t="e">
        <f>IF(B36=1997, 100, IF(COUNTIF(A$1:A35,A36)=0, "NEW", F35*(1+Table1[[#This Row],[Ávöxtun]])))</f>
        <v>#VALUE!</v>
      </c>
      <c r="G36" s="18" t="str" cm="1">
        <f t="array" ref="G36">IFERROR(_xlfn.IFS(ISNUMBER(Table1[[#This Row],[Column3]]),Table1[[#This Row],[Column3]],Table1[[#This Row],[Column3]]="NEW",Table1[[#This Row],[Column3]]),"")</f>
        <v/>
      </c>
      <c r="H36" s="15" cm="1">
        <f t="array" ref="H36">_xlfn.IFS(Table1[[#This Row],[Column4]]="NEW",AVERAGEIFS(Table1[Column4],Table1[Year],Table1[[#This Row],[Year]]),ISNUMBER(Table1[[#This Row],[Column4]]),Table1[[#This Row],[Column4]],Table1[[#This Row],[Column4]]="",H35*(1+Table1[[#This Row],[Ávöxtun]]))</f>
        <v>471.091268499992</v>
      </c>
      <c r="I36" cm="1">
        <f t="array" ref="I36">_xlfn.IFS(Table1[[#This Row],[Column4]]="NEW",_xlfn.XLOOKUP(Table1[[#This Row],[Year]],$N$2:$N$27,$P$2:$P$27),ISNUMBER(Table1[[#This Row],[Column4]]),Table1[[#This Row],[Column4]],Table1[[#This Row],[Column4]]="",I35*(1+Table1[[#This Row],[Ávöxtun]]))</f>
        <v>522.40198403446868</v>
      </c>
      <c r="L36" s="33">
        <v>471.091268499992</v>
      </c>
      <c r="M36" s="33">
        <v>562.66170921692378</v>
      </c>
    </row>
    <row r="37" spans="1:13">
      <c r="A37" t="s">
        <v>60</v>
      </c>
      <c r="B37">
        <v>1997</v>
      </c>
      <c r="C37" s="16">
        <v>0.05</v>
      </c>
      <c r="D37" s="1">
        <v>7098596.3200000003</v>
      </c>
      <c r="E37" s="29">
        <f>Table1[[#This Row],[Ávöxtun]]*Table1[[#This Row],[Eignir]]/SUMIFS(Table1[Eignir],Table1[Year],Table1[[#This Row],[Year]])</f>
        <v>1.0469123468025729E-3</v>
      </c>
      <c r="F37" s="23">
        <f>IF(B37=1997, 100, IF(COUNTIF(A$1:A36,A37)=0, "NEW", F36*(1+Table1[[#This Row],[Ávöxtun]])))</f>
        <v>100</v>
      </c>
      <c r="G37" s="18" cm="1">
        <f t="array" ref="G37">IFERROR(_xlfn.IFS(ISNUMBER(Table1[[#This Row],[Column3]]),Table1[[#This Row],[Column3]],Table1[[#This Row],[Column3]]="NEW",Table1[[#This Row],[Column3]]),"")</f>
        <v>100</v>
      </c>
      <c r="H37" s="15" cm="1">
        <f t="array" ref="H37">_xlfn.IFS(Table1[[#This Row],[Column4]]="NEW",AVERAGEIFS(Table1[Column4],Table1[Year],Table1[[#This Row],[Year]]),ISNUMBER(Table1[[#This Row],[Column4]]),Table1[[#This Row],[Column4]],Table1[[#This Row],[Column4]]="",H36*(1+Table1[[#This Row],[Ávöxtun]]))</f>
        <v>100</v>
      </c>
      <c r="I37" cm="1">
        <f t="array" ref="I37">_xlfn.IFS(Table1[[#This Row],[Column4]]="NEW",_xlfn.XLOOKUP(Table1[[#This Row],[Year]],$N$2:$N$27,$P$2:$P$27),ISNUMBER(Table1[[#This Row],[Column4]]),Table1[[#This Row],[Column4]],Table1[[#This Row],[Column4]]="",I36*(1+Table1[[#This Row],[Ávöxtun]]))</f>
        <v>100</v>
      </c>
      <c r="L37" s="33">
        <v>100</v>
      </c>
      <c r="M37" s="33">
        <v>100</v>
      </c>
    </row>
    <row r="38" spans="1:13">
      <c r="A38" t="s">
        <v>61</v>
      </c>
      <c r="B38">
        <v>1997</v>
      </c>
      <c r="C38" s="16">
        <v>7.0000000000000007E-2</v>
      </c>
      <c r="D38" s="1">
        <v>620570.21</v>
      </c>
      <c r="E38" s="29">
        <f>Table1[[#This Row],[Ávöxtun]]*Table1[[#This Row],[Eignir]]/SUMIFS(Table1[Eignir],Table1[Year],Table1[[#This Row],[Year]])</f>
        <v>1.2813176293839619E-4</v>
      </c>
      <c r="F38" s="23">
        <f>IF(B38=1997, 100, IF(COUNTIF(A$1:A37,A38)=0, "NEW", F37*(1+Table1[[#This Row],[Ávöxtun]])))</f>
        <v>100</v>
      </c>
      <c r="G38" s="18" cm="1">
        <f t="array" ref="G38">IFERROR(_xlfn.IFS(ISNUMBER(Table1[[#This Row],[Column3]]),Table1[[#This Row],[Column3]],Table1[[#This Row],[Column3]]="NEW",Table1[[#This Row],[Column3]]),"")</f>
        <v>100</v>
      </c>
      <c r="H38" s="15" cm="1">
        <f t="array" ref="H38">_xlfn.IFS(Table1[[#This Row],[Column4]]="NEW",AVERAGEIFS(Table1[Column4],Table1[Year],Table1[[#This Row],[Year]]),ISNUMBER(Table1[[#This Row],[Column4]]),Table1[[#This Row],[Column4]],Table1[[#This Row],[Column4]]="",H37*(1+Table1[[#This Row],[Ávöxtun]]))</f>
        <v>100</v>
      </c>
      <c r="I38" cm="1">
        <f t="array" ref="I38">_xlfn.IFS(Table1[[#This Row],[Column4]]="NEW",_xlfn.XLOOKUP(Table1[[#This Row],[Year]],$N$2:$N$27,$P$2:$P$27),ISNUMBER(Table1[[#This Row],[Column4]]),Table1[[#This Row],[Column4]],Table1[[#This Row],[Column4]]="",I37*(1+Table1[[#This Row],[Ávöxtun]]))</f>
        <v>100</v>
      </c>
      <c r="L38" s="33">
        <v>100</v>
      </c>
      <c r="M38" s="33">
        <v>100</v>
      </c>
    </row>
    <row r="39" spans="1:13">
      <c r="A39" t="s">
        <v>61</v>
      </c>
      <c r="B39">
        <v>1998</v>
      </c>
      <c r="C39" s="16">
        <v>7.0000000000000007E-2</v>
      </c>
      <c r="D39" s="1">
        <v>632094.66</v>
      </c>
      <c r="E39" s="29">
        <f>Table1[[#This Row],[Ávöxtun]]*Table1[[#This Row],[Eignir]]/SUMIFS(Table1[Eignir],Table1[Year],Table1[[#This Row],[Year]])</f>
        <v>1.1297926966561025E-4</v>
      </c>
      <c r="F39" s="23">
        <f>IF(B39=1997, 100, IF(COUNTIF(A$1:A38,A39)=0, "NEW", F38*(1+Table1[[#This Row],[Ávöxtun]])))</f>
        <v>107</v>
      </c>
      <c r="G39" s="18" cm="1">
        <f t="array" ref="G39">IFERROR(_xlfn.IFS(ISNUMBER(Table1[[#This Row],[Column3]]),Table1[[#This Row],[Column3]],Table1[[#This Row],[Column3]]="NEW",Table1[[#This Row],[Column3]]),"")</f>
        <v>107</v>
      </c>
      <c r="H39" s="15" cm="1">
        <f t="array" ref="H39">_xlfn.IFS(Table1[[#This Row],[Column4]]="NEW",AVERAGEIFS(Table1[Column4],Table1[Year],Table1[[#This Row],[Year]]),ISNUMBER(Table1[[#This Row],[Column4]]),Table1[[#This Row],[Column4]],Table1[[#This Row],[Column4]]="",H38*(1+Table1[[#This Row],[Ávöxtun]]))</f>
        <v>107</v>
      </c>
      <c r="I39" cm="1">
        <f t="array" ref="I39">_xlfn.IFS(Table1[[#This Row],[Column4]]="NEW",_xlfn.XLOOKUP(Table1[[#This Row],[Year]],$N$2:$N$27,$P$2:$P$27),ISNUMBER(Table1[[#This Row],[Column4]]),Table1[[#This Row],[Column4]],Table1[[#This Row],[Column4]]="",I38*(1+Table1[[#This Row],[Ávöxtun]]))</f>
        <v>107</v>
      </c>
      <c r="L39" s="33">
        <v>107</v>
      </c>
      <c r="M39" s="33">
        <v>107</v>
      </c>
    </row>
    <row r="40" spans="1:13">
      <c r="A40" t="s">
        <v>61</v>
      </c>
      <c r="B40">
        <v>1999</v>
      </c>
      <c r="C40" s="16">
        <v>0.08</v>
      </c>
      <c r="D40" s="1">
        <v>665400.62</v>
      </c>
      <c r="E40" s="29">
        <f>Table1[[#This Row],[Ávöxtun]]*Table1[[#This Row],[Eignir]]/SUMIFS(Table1[Eignir],Table1[Year],Table1[[#This Row],[Year]])</f>
        <v>1.0222843053898669E-4</v>
      </c>
      <c r="F40" s="23">
        <f>IF(B40=1997, 100, IF(COUNTIF(A$1:A39,A40)=0, "NEW", F39*(1+Table1[[#This Row],[Ávöxtun]])))</f>
        <v>115.56</v>
      </c>
      <c r="G40" s="18" cm="1">
        <f t="array" ref="G40">IFERROR(_xlfn.IFS(ISNUMBER(Table1[[#This Row],[Column3]]),Table1[[#This Row],[Column3]],Table1[[#This Row],[Column3]]="NEW",Table1[[#This Row],[Column3]]),"")</f>
        <v>115.56</v>
      </c>
      <c r="H40" s="15" cm="1">
        <f t="array" ref="H40">_xlfn.IFS(Table1[[#This Row],[Column4]]="NEW",AVERAGEIFS(Table1[Column4],Table1[Year],Table1[[#This Row],[Year]]),ISNUMBER(Table1[[#This Row],[Column4]]),Table1[[#This Row],[Column4]],Table1[[#This Row],[Column4]]="",H39*(1+Table1[[#This Row],[Ávöxtun]]))</f>
        <v>115.56</v>
      </c>
      <c r="I40" cm="1">
        <f t="array" ref="I40">_xlfn.IFS(Table1[[#This Row],[Column4]]="NEW",_xlfn.XLOOKUP(Table1[[#This Row],[Year]],$N$2:$N$27,$P$2:$P$27),ISNUMBER(Table1[[#This Row],[Column4]]),Table1[[#This Row],[Column4]],Table1[[#This Row],[Column4]]="",I39*(1+Table1[[#This Row],[Ávöxtun]]))</f>
        <v>115.56</v>
      </c>
      <c r="L40" s="33">
        <v>115.56</v>
      </c>
      <c r="M40" s="33">
        <v>115.56</v>
      </c>
    </row>
    <row r="41" spans="1:13">
      <c r="A41" t="s">
        <v>61</v>
      </c>
      <c r="B41">
        <v>2000</v>
      </c>
      <c r="C41" s="16">
        <v>-0.02</v>
      </c>
      <c r="D41" s="1">
        <v>638557.34</v>
      </c>
      <c r="E41" s="29">
        <f>Table1[[#This Row],[Ávöxtun]]*Table1[[#This Row],[Eignir]]/SUMIFS(Table1[Eignir],Table1[Year],Table1[[#This Row],[Year]])</f>
        <v>-1.7965018490322129E-5</v>
      </c>
      <c r="F41" s="23">
        <f>IF(B41=1997, 100, IF(COUNTIF(A$1:A40,A41)=0, "NEW", F40*(1+Table1[[#This Row],[Ávöxtun]])))</f>
        <v>113.2488</v>
      </c>
      <c r="G41" s="18" cm="1">
        <f t="array" ref="G41">IFERROR(_xlfn.IFS(ISNUMBER(Table1[[#This Row],[Column3]]),Table1[[#This Row],[Column3]],Table1[[#This Row],[Column3]]="NEW",Table1[[#This Row],[Column3]]),"")</f>
        <v>113.2488</v>
      </c>
      <c r="H41" s="15" cm="1">
        <f t="array" ref="H41">_xlfn.IFS(Table1[[#This Row],[Column4]]="NEW",AVERAGEIFS(Table1[Column4],Table1[Year],Table1[[#This Row],[Year]]),ISNUMBER(Table1[[#This Row],[Column4]]),Table1[[#This Row],[Column4]],Table1[[#This Row],[Column4]]="",H40*(1+Table1[[#This Row],[Ávöxtun]]))</f>
        <v>113.2488</v>
      </c>
      <c r="I41" cm="1">
        <f t="array" ref="I41">_xlfn.IFS(Table1[[#This Row],[Column4]]="NEW",_xlfn.XLOOKUP(Table1[[#This Row],[Year]],$N$2:$N$27,$P$2:$P$27),ISNUMBER(Table1[[#This Row],[Column4]]),Table1[[#This Row],[Column4]],Table1[[#This Row],[Column4]]="",I40*(1+Table1[[#This Row],[Ávöxtun]]))</f>
        <v>113.2488</v>
      </c>
      <c r="L41" s="33">
        <v>113.2488</v>
      </c>
      <c r="M41" s="33">
        <v>113.2488</v>
      </c>
    </row>
    <row r="42" spans="1:13">
      <c r="A42" t="s">
        <v>61</v>
      </c>
      <c r="B42">
        <v>2001</v>
      </c>
      <c r="C42" s="16">
        <v>-0.08</v>
      </c>
      <c r="D42" s="1">
        <v>628263</v>
      </c>
      <c r="E42" s="29">
        <f>Table1[[#This Row],[Ávöxtun]]*Table1[[#This Row],[Eignir]]/SUMIFS(Table1[Eignir],Table1[Year],Table1[[#This Row],[Year]])</f>
        <v>-4.340647507897785E-5</v>
      </c>
      <c r="F42" s="23">
        <f>IF(B42=1997, 100, IF(COUNTIF(A$1:A41,A42)=0, "NEW", F41*(1+Table1[[#This Row],[Ávöxtun]])))</f>
        <v>104.18889600000001</v>
      </c>
      <c r="G42" s="18" cm="1">
        <f t="array" ref="G42">IFERROR(_xlfn.IFS(ISNUMBER(Table1[[#This Row],[Column3]]),Table1[[#This Row],[Column3]],Table1[[#This Row],[Column3]]="NEW",Table1[[#This Row],[Column3]]),"")</f>
        <v>104.18889600000001</v>
      </c>
      <c r="H42" s="15" cm="1">
        <f t="array" ref="H42">_xlfn.IFS(Table1[[#This Row],[Column4]]="NEW",AVERAGEIFS(Table1[Column4],Table1[Year],Table1[[#This Row],[Year]]),ISNUMBER(Table1[[#This Row],[Column4]]),Table1[[#This Row],[Column4]],Table1[[#This Row],[Column4]]="",H41*(1+Table1[[#This Row],[Ávöxtun]]))</f>
        <v>104.18889600000001</v>
      </c>
      <c r="I42" cm="1">
        <f t="array" ref="I42">_xlfn.IFS(Table1[[#This Row],[Column4]]="NEW",_xlfn.XLOOKUP(Table1[[#This Row],[Year]],$N$2:$N$27,$P$2:$P$27),ISNUMBER(Table1[[#This Row],[Column4]]),Table1[[#This Row],[Column4]],Table1[[#This Row],[Column4]]="",I41*(1+Table1[[#This Row],[Ávöxtun]]))</f>
        <v>104.18889600000001</v>
      </c>
      <c r="L42" s="33">
        <v>104.18889600000001</v>
      </c>
      <c r="M42" s="33">
        <v>104.18889600000001</v>
      </c>
    </row>
    <row r="43" spans="1:13">
      <c r="A43" t="s">
        <v>61</v>
      </c>
      <c r="B43">
        <v>2002</v>
      </c>
      <c r="C43" s="16">
        <v>0.03</v>
      </c>
      <c r="D43" s="1">
        <v>582127.9</v>
      </c>
      <c r="E43" s="29">
        <f>Table1[[#This Row],[Ávöxtun]]*Table1[[#This Row],[Eignir]]/SUMIFS(Table1[Eignir],Table1[Year],Table1[[#This Row],[Year]])</f>
        <v>2.7494997715435783E-5</v>
      </c>
      <c r="F43" s="23">
        <f>IF(B43=1997, 100, IF(COUNTIF(A$1:A42,A43)=0, "NEW", F42*(1+Table1[[#This Row],[Ávöxtun]])))</f>
        <v>107.31456288000001</v>
      </c>
      <c r="G43" s="18" cm="1">
        <f t="array" ref="G43">IFERROR(_xlfn.IFS(ISNUMBER(Table1[[#This Row],[Column3]]),Table1[[#This Row],[Column3]],Table1[[#This Row],[Column3]]="NEW",Table1[[#This Row],[Column3]]),"")</f>
        <v>107.31456288000001</v>
      </c>
      <c r="H43" s="15" cm="1">
        <f t="array" ref="H43">_xlfn.IFS(Table1[[#This Row],[Column4]]="NEW",AVERAGEIFS(Table1[Column4],Table1[Year],Table1[[#This Row],[Year]]),ISNUMBER(Table1[[#This Row],[Column4]]),Table1[[#This Row],[Column4]],Table1[[#This Row],[Column4]]="",H42*(1+Table1[[#This Row],[Ávöxtun]]))</f>
        <v>107.31456288000001</v>
      </c>
      <c r="I43" cm="1">
        <f t="array" ref="I43">_xlfn.IFS(Table1[[#This Row],[Column4]]="NEW",_xlfn.XLOOKUP(Table1[[#This Row],[Year]],$N$2:$N$27,$P$2:$P$27),ISNUMBER(Table1[[#This Row],[Column4]]),Table1[[#This Row],[Column4]],Table1[[#This Row],[Column4]]="",I42*(1+Table1[[#This Row],[Ávöxtun]]))</f>
        <v>107.31456288000001</v>
      </c>
      <c r="L43" s="33">
        <v>107.31456288000001</v>
      </c>
      <c r="M43" s="33">
        <v>107.31456288000001</v>
      </c>
    </row>
    <row r="44" spans="1:13">
      <c r="A44" t="s">
        <v>61</v>
      </c>
      <c r="B44">
        <v>2003</v>
      </c>
      <c r="C44" s="16">
        <v>7.0000000000000007E-2</v>
      </c>
      <c r="D44" s="1">
        <v>596996</v>
      </c>
      <c r="E44" s="29">
        <f>Table1[[#This Row],[Ávöxtun]]*Table1[[#This Row],[Eignir]]/SUMIFS(Table1[Eignir],Table1[Year],Table1[[#This Row],[Year]])</f>
        <v>5.4994332456086392E-5</v>
      </c>
      <c r="F44" s="23">
        <f>IF(B44=1997, 100, IF(COUNTIF(A$1:A43,A44)=0, "NEW", F43*(1+Table1[[#This Row],[Ávöxtun]])))</f>
        <v>114.82658228160003</v>
      </c>
      <c r="G44" s="18" cm="1">
        <f t="array" ref="G44">IFERROR(_xlfn.IFS(ISNUMBER(Table1[[#This Row],[Column3]]),Table1[[#This Row],[Column3]],Table1[[#This Row],[Column3]]="NEW",Table1[[#This Row],[Column3]]),"")</f>
        <v>114.82658228160003</v>
      </c>
      <c r="H44" s="15" cm="1">
        <f t="array" ref="H44">_xlfn.IFS(Table1[[#This Row],[Column4]]="NEW",AVERAGEIFS(Table1[Column4],Table1[Year],Table1[[#This Row],[Year]]),ISNUMBER(Table1[[#This Row],[Column4]]),Table1[[#This Row],[Column4]],Table1[[#This Row],[Column4]]="",H43*(1+Table1[[#This Row],[Ávöxtun]]))</f>
        <v>114.82658228160003</v>
      </c>
      <c r="I44" cm="1">
        <f t="array" ref="I44">_xlfn.IFS(Table1[[#This Row],[Column4]]="NEW",_xlfn.XLOOKUP(Table1[[#This Row],[Year]],$N$2:$N$27,$P$2:$P$27),ISNUMBER(Table1[[#This Row],[Column4]]),Table1[[#This Row],[Column4]],Table1[[#This Row],[Column4]]="",I43*(1+Table1[[#This Row],[Ávöxtun]]))</f>
        <v>114.82658228160003</v>
      </c>
      <c r="L44" s="33">
        <v>114.82658228160003</v>
      </c>
      <c r="M44" s="33">
        <v>114.82658228160003</v>
      </c>
    </row>
    <row r="45" spans="1:13">
      <c r="A45" t="s">
        <v>61</v>
      </c>
      <c r="B45">
        <v>2004</v>
      </c>
      <c r="C45" s="16">
        <v>0.06</v>
      </c>
      <c r="D45" s="1">
        <v>614781.72</v>
      </c>
      <c r="E45" s="29">
        <f>Table1[[#This Row],[Ávöxtun]]*Table1[[#This Row],[Eignir]]/SUMIFS(Table1[Eignir],Table1[Year],Table1[[#This Row],[Year]])</f>
        <v>4.0639093421111811E-5</v>
      </c>
      <c r="F45" s="23">
        <f>IF(B45=1997, 100, IF(COUNTIF(A$1:A44,A45)=0, "NEW", F44*(1+Table1[[#This Row],[Ávöxtun]])))</f>
        <v>121.71617721849603</v>
      </c>
      <c r="G45" s="18" cm="1">
        <f t="array" ref="G45">IFERROR(_xlfn.IFS(ISNUMBER(Table1[[#This Row],[Column3]]),Table1[[#This Row],[Column3]],Table1[[#This Row],[Column3]]="NEW",Table1[[#This Row],[Column3]]),"")</f>
        <v>121.71617721849603</v>
      </c>
      <c r="H45" s="15" cm="1">
        <f t="array" ref="H45">_xlfn.IFS(Table1[[#This Row],[Column4]]="NEW",AVERAGEIFS(Table1[Column4],Table1[Year],Table1[[#This Row],[Year]]),ISNUMBER(Table1[[#This Row],[Column4]]),Table1[[#This Row],[Column4]],Table1[[#This Row],[Column4]]="",H44*(1+Table1[[#This Row],[Ávöxtun]]))</f>
        <v>121.71617721849603</v>
      </c>
      <c r="I45" cm="1">
        <f t="array" ref="I45">_xlfn.IFS(Table1[[#This Row],[Column4]]="NEW",_xlfn.XLOOKUP(Table1[[#This Row],[Year]],$N$2:$N$27,$P$2:$P$27),ISNUMBER(Table1[[#This Row],[Column4]]),Table1[[#This Row],[Column4]],Table1[[#This Row],[Column4]]="",I44*(1+Table1[[#This Row],[Ávöxtun]]))</f>
        <v>121.71617721849603</v>
      </c>
      <c r="L45" s="33">
        <v>121.71617721849603</v>
      </c>
      <c r="M45" s="33">
        <v>121.71617721849603</v>
      </c>
    </row>
    <row r="46" spans="1:13">
      <c r="A46" t="s">
        <v>61</v>
      </c>
      <c r="B46">
        <v>2005</v>
      </c>
      <c r="C46" s="16">
        <v>0.08</v>
      </c>
      <c r="D46" s="1">
        <v>648950</v>
      </c>
      <c r="E46" s="29">
        <f>Table1[[#This Row],[Ávöxtun]]*Table1[[#This Row],[Eignir]]/SUMIFS(Table1[Eignir],Table1[Year],Table1[[#This Row],[Year]])</f>
        <v>4.6298272234823493E-5</v>
      </c>
      <c r="F46" s="23">
        <f>IF(B46=1997, 100, IF(COUNTIF(A$1:A45,A46)=0, "NEW", F45*(1+Table1[[#This Row],[Ávöxtun]])))</f>
        <v>131.45347139597573</v>
      </c>
      <c r="G46" s="18" cm="1">
        <f t="array" ref="G46">IFERROR(_xlfn.IFS(ISNUMBER(Table1[[#This Row],[Column3]]),Table1[[#This Row],[Column3]],Table1[[#This Row],[Column3]]="NEW",Table1[[#This Row],[Column3]]),"")</f>
        <v>131.45347139597573</v>
      </c>
      <c r="H46" s="15" cm="1">
        <f t="array" ref="H46">_xlfn.IFS(Table1[[#This Row],[Column4]]="NEW",AVERAGEIFS(Table1[Column4],Table1[Year],Table1[[#This Row],[Year]]),ISNUMBER(Table1[[#This Row],[Column4]]),Table1[[#This Row],[Column4]],Table1[[#This Row],[Column4]]="",H45*(1+Table1[[#This Row],[Ávöxtun]]))</f>
        <v>131.45347139597573</v>
      </c>
      <c r="I46" cm="1">
        <f t="array" ref="I46">_xlfn.IFS(Table1[[#This Row],[Column4]]="NEW",_xlfn.XLOOKUP(Table1[[#This Row],[Year]],$N$2:$N$27,$P$2:$P$27),ISNUMBER(Table1[[#This Row],[Column4]]),Table1[[#This Row],[Column4]],Table1[[#This Row],[Column4]]="",I45*(1+Table1[[#This Row],[Ávöxtun]]))</f>
        <v>131.45347139597573</v>
      </c>
      <c r="L46" s="33">
        <v>131.45347139597573</v>
      </c>
      <c r="M46" s="33">
        <v>131.45347139597573</v>
      </c>
    </row>
    <row r="47" spans="1:13">
      <c r="A47" t="s">
        <v>61</v>
      </c>
      <c r="B47">
        <v>2006</v>
      </c>
      <c r="C47" s="16">
        <v>6.0400000000000002E-2</v>
      </c>
      <c r="D47" s="1">
        <v>723893</v>
      </c>
      <c r="E47" s="29">
        <f>Table1[[#This Row],[Ávöxtun]]*Table1[[#This Row],[Eignir]]/SUMIFS(Table1[Eignir],Table1[Year],Table1[[#This Row],[Year]])</f>
        <v>3.1852490075514125E-5</v>
      </c>
      <c r="F47" s="23">
        <f>IF(B47=1997, 100, IF(COUNTIF(A$1:A46,A47)=0, "NEW", F46*(1+Table1[[#This Row],[Ávöxtun]])))</f>
        <v>139.39326106829267</v>
      </c>
      <c r="G47" s="18" cm="1">
        <f t="array" ref="G47">IFERROR(_xlfn.IFS(ISNUMBER(Table1[[#This Row],[Column3]]),Table1[[#This Row],[Column3]],Table1[[#This Row],[Column3]]="NEW",Table1[[#This Row],[Column3]]),"")</f>
        <v>139.39326106829267</v>
      </c>
      <c r="H47" s="15" cm="1">
        <f t="array" ref="H47">_xlfn.IFS(Table1[[#This Row],[Column4]]="NEW",AVERAGEIFS(Table1[Column4],Table1[Year],Table1[[#This Row],[Year]]),ISNUMBER(Table1[[#This Row],[Column4]]),Table1[[#This Row],[Column4]],Table1[[#This Row],[Column4]]="",H46*(1+Table1[[#This Row],[Ávöxtun]]))</f>
        <v>139.39326106829267</v>
      </c>
      <c r="I47" cm="1">
        <f t="array" ref="I47">_xlfn.IFS(Table1[[#This Row],[Column4]]="NEW",_xlfn.XLOOKUP(Table1[[#This Row],[Year]],$N$2:$N$27,$P$2:$P$27),ISNUMBER(Table1[[#This Row],[Column4]]),Table1[[#This Row],[Column4]],Table1[[#This Row],[Column4]]="",I46*(1+Table1[[#This Row],[Ávöxtun]]))</f>
        <v>139.39326106829267</v>
      </c>
      <c r="L47" s="33">
        <v>139.39326106829267</v>
      </c>
      <c r="M47" s="33">
        <v>139.39326106829267</v>
      </c>
    </row>
    <row r="48" spans="1:13">
      <c r="A48" t="s">
        <v>61</v>
      </c>
      <c r="B48">
        <v>2007</v>
      </c>
      <c r="C48" s="16">
        <v>9.8000000000000004E-2</v>
      </c>
      <c r="D48" s="1">
        <v>762872</v>
      </c>
      <c r="E48" s="29">
        <f>Table1[[#This Row],[Ávöxtun]]*Table1[[#This Row],[Eignir]]/SUMIFS(Table1[Eignir],Table1[Year],Table1[[#This Row],[Year]])</f>
        <v>4.8345233505623554E-5</v>
      </c>
      <c r="F48" s="23">
        <f>IF(B48=1997, 100, IF(COUNTIF(A$1:A47,A48)=0, "NEW", F47*(1+Table1[[#This Row],[Ávöxtun]])))</f>
        <v>153.05380065298536</v>
      </c>
      <c r="G48" s="18" cm="1">
        <f t="array" ref="G48">IFERROR(_xlfn.IFS(ISNUMBER(Table1[[#This Row],[Column3]]),Table1[[#This Row],[Column3]],Table1[[#This Row],[Column3]]="NEW",Table1[[#This Row],[Column3]]),"")</f>
        <v>153.05380065298536</v>
      </c>
      <c r="H48" s="15" cm="1">
        <f t="array" ref="H48">_xlfn.IFS(Table1[[#This Row],[Column4]]="NEW",AVERAGEIFS(Table1[Column4],Table1[Year],Table1[[#This Row],[Year]]),ISNUMBER(Table1[[#This Row],[Column4]]),Table1[[#This Row],[Column4]],Table1[[#This Row],[Column4]]="",H47*(1+Table1[[#This Row],[Ávöxtun]]))</f>
        <v>153.05380065298536</v>
      </c>
      <c r="I48" cm="1">
        <f t="array" ref="I48">_xlfn.IFS(Table1[[#This Row],[Column4]]="NEW",_xlfn.XLOOKUP(Table1[[#This Row],[Year]],$N$2:$N$27,$P$2:$P$27),ISNUMBER(Table1[[#This Row],[Column4]]),Table1[[#This Row],[Column4]],Table1[[#This Row],[Column4]]="",I47*(1+Table1[[#This Row],[Ávöxtun]]))</f>
        <v>153.05380065298536</v>
      </c>
      <c r="L48" s="33">
        <v>153.05380065298536</v>
      </c>
      <c r="M48" s="33">
        <v>153.05380065298536</v>
      </c>
    </row>
    <row r="49" spans="1:13">
      <c r="A49" t="s">
        <v>61</v>
      </c>
      <c r="B49">
        <v>2008</v>
      </c>
      <c r="C49" s="16">
        <v>-0.10310000000000001</v>
      </c>
      <c r="D49" s="1">
        <v>751473</v>
      </c>
      <c r="E49" s="29">
        <f>Table1[[#This Row],[Ávöxtun]]*Table1[[#This Row],[Eignir]]/SUMIFS(Table1[Eignir],Table1[Year],Table1[[#This Row],[Year]])</f>
        <v>-5.174376543318722E-5</v>
      </c>
      <c r="F49" s="23">
        <f>IF(B49=1997, 100, IF(COUNTIF(A$1:A48,A49)=0, "NEW", F48*(1+Table1[[#This Row],[Ávöxtun]])))</f>
        <v>137.27395380566259</v>
      </c>
      <c r="G49" s="18" cm="1">
        <f t="array" ref="G49">IFERROR(_xlfn.IFS(ISNUMBER(Table1[[#This Row],[Column3]]),Table1[[#This Row],[Column3]],Table1[[#This Row],[Column3]]="NEW",Table1[[#This Row],[Column3]]),"")</f>
        <v>137.27395380566259</v>
      </c>
      <c r="H49" s="15" cm="1">
        <f t="array" ref="H49">_xlfn.IFS(Table1[[#This Row],[Column4]]="NEW",AVERAGEIFS(Table1[Column4],Table1[Year],Table1[[#This Row],[Year]]),ISNUMBER(Table1[[#This Row],[Column4]]),Table1[[#This Row],[Column4]],Table1[[#This Row],[Column4]]="",H48*(1+Table1[[#This Row],[Ávöxtun]]))</f>
        <v>137.27395380566259</v>
      </c>
      <c r="I49" cm="1">
        <f t="array" ref="I49">_xlfn.IFS(Table1[[#This Row],[Column4]]="NEW",_xlfn.XLOOKUP(Table1[[#This Row],[Year]],$N$2:$N$27,$P$2:$P$27),ISNUMBER(Table1[[#This Row],[Column4]]),Table1[[#This Row],[Column4]],Table1[[#This Row],[Column4]]="",I48*(1+Table1[[#This Row],[Ávöxtun]]))</f>
        <v>137.27395380566259</v>
      </c>
      <c r="L49" s="33">
        <v>137.27395380566259</v>
      </c>
      <c r="M49" s="33">
        <v>137.27395380566259</v>
      </c>
    </row>
    <row r="50" spans="1:13">
      <c r="A50" t="s">
        <v>61</v>
      </c>
      <c r="B50">
        <v>2009</v>
      </c>
      <c r="C50" s="16">
        <v>5.1799999999999999E-2</v>
      </c>
      <c r="D50" s="1">
        <v>808225</v>
      </c>
      <c r="E50" s="29">
        <f>Table1[[#This Row],[Ávöxtun]]*Table1[[#This Row],[Eignir]]/SUMIFS(Table1[Eignir],Table1[Year],Table1[[#This Row],[Year]])</f>
        <v>2.5095666282341904E-5</v>
      </c>
      <c r="F50" s="23">
        <f>IF(B50=1997, 100, IF(COUNTIF(A$1:A49,A50)=0, "NEW", F49*(1+Table1[[#This Row],[Ávöxtun]])))</f>
        <v>144.38474461279591</v>
      </c>
      <c r="G50" s="18" cm="1">
        <f t="array" ref="G50">IFERROR(_xlfn.IFS(ISNUMBER(Table1[[#This Row],[Column3]]),Table1[[#This Row],[Column3]],Table1[[#This Row],[Column3]]="NEW",Table1[[#This Row],[Column3]]),"")</f>
        <v>144.38474461279591</v>
      </c>
      <c r="H50" s="15" cm="1">
        <f t="array" ref="H50">_xlfn.IFS(Table1[[#This Row],[Column4]]="NEW",AVERAGEIFS(Table1[Column4],Table1[Year],Table1[[#This Row],[Year]]),ISNUMBER(Table1[[#This Row],[Column4]]),Table1[[#This Row],[Column4]],Table1[[#This Row],[Column4]]="",H49*(1+Table1[[#This Row],[Ávöxtun]]))</f>
        <v>144.38474461279591</v>
      </c>
      <c r="I50" cm="1">
        <f t="array" ref="I50">_xlfn.IFS(Table1[[#This Row],[Column4]]="NEW",_xlfn.XLOOKUP(Table1[[#This Row],[Year]],$N$2:$N$27,$P$2:$P$27),ISNUMBER(Table1[[#This Row],[Column4]]),Table1[[#This Row],[Column4]],Table1[[#This Row],[Column4]]="",I49*(1+Table1[[#This Row],[Ávöxtun]]))</f>
        <v>144.38474461279591</v>
      </c>
      <c r="L50" s="33">
        <v>144.38474461279591</v>
      </c>
      <c r="M50" s="33">
        <v>144.38474461279591</v>
      </c>
    </row>
    <row r="51" spans="1:13">
      <c r="A51" t="s">
        <v>62</v>
      </c>
      <c r="B51">
        <v>1997</v>
      </c>
      <c r="C51" s="16">
        <v>0.06</v>
      </c>
      <c r="D51" s="1">
        <v>1926004.47</v>
      </c>
      <c r="E51" s="29">
        <f>Table1[[#This Row],[Ávöxtun]]*Table1[[#This Row],[Eignir]]/SUMIFS(Table1[Eignir],Table1[Year],Table1[[#This Row],[Year]])</f>
        <v>3.4086026624034516E-4</v>
      </c>
      <c r="F51" s="23">
        <f>IF(B51=1997, 100, IF(COUNTIF(A$1:A50,A51)=0, "NEW", F50*(1+Table1[[#This Row],[Ávöxtun]])))</f>
        <v>100</v>
      </c>
      <c r="G51" s="18" cm="1">
        <f t="array" ref="G51">IFERROR(_xlfn.IFS(ISNUMBER(Table1[[#This Row],[Column3]]),Table1[[#This Row],[Column3]],Table1[[#This Row],[Column3]]="NEW",Table1[[#This Row],[Column3]]),"")</f>
        <v>100</v>
      </c>
      <c r="H51" s="15" cm="1">
        <f t="array" ref="H51">_xlfn.IFS(Table1[[#This Row],[Column4]]="NEW",AVERAGEIFS(Table1[Column4],Table1[Year],Table1[[#This Row],[Year]]),ISNUMBER(Table1[[#This Row],[Column4]]),Table1[[#This Row],[Column4]],Table1[[#This Row],[Column4]]="",H50*(1+Table1[[#This Row],[Ávöxtun]]))</f>
        <v>100</v>
      </c>
      <c r="I51" cm="1">
        <f t="array" ref="I51">_xlfn.IFS(Table1[[#This Row],[Column4]]="NEW",_xlfn.XLOOKUP(Table1[[#This Row],[Year]],$N$2:$N$27,$P$2:$P$27),ISNUMBER(Table1[[#This Row],[Column4]]),Table1[[#This Row],[Column4]],Table1[[#This Row],[Column4]]="",I50*(1+Table1[[#This Row],[Ávöxtun]]))</f>
        <v>100</v>
      </c>
      <c r="L51" s="33">
        <v>100</v>
      </c>
      <c r="M51" s="33">
        <v>100</v>
      </c>
    </row>
    <row r="52" spans="1:13">
      <c r="A52" t="s">
        <v>62</v>
      </c>
      <c r="B52">
        <v>1998</v>
      </c>
      <c r="C52" s="16">
        <v>0.1</v>
      </c>
      <c r="D52" s="1">
        <v>2247105.39</v>
      </c>
      <c r="E52" s="29">
        <f>Table1[[#This Row],[Ávöxtun]]*Table1[[#This Row],[Eignir]]/SUMIFS(Table1[Eignir],Table1[Year],Table1[[#This Row],[Year]])</f>
        <v>5.7377555675387575E-4</v>
      </c>
      <c r="F52" s="23">
        <f>IF(B52=1997, 100, IF(COUNTIF(A$1:A51,A52)=0, "NEW", F51*(1+Table1[[#This Row],[Ávöxtun]])))</f>
        <v>110.00000000000001</v>
      </c>
      <c r="G52" s="18" cm="1">
        <f t="array" ref="G52">IFERROR(_xlfn.IFS(ISNUMBER(Table1[[#This Row],[Column3]]),Table1[[#This Row],[Column3]],Table1[[#This Row],[Column3]]="NEW",Table1[[#This Row],[Column3]]),"")</f>
        <v>110.00000000000001</v>
      </c>
      <c r="H52" s="15" cm="1">
        <f t="array" ref="H52">_xlfn.IFS(Table1[[#This Row],[Column4]]="NEW",AVERAGEIFS(Table1[Column4],Table1[Year],Table1[[#This Row],[Year]]),ISNUMBER(Table1[[#This Row],[Column4]]),Table1[[#This Row],[Column4]],Table1[[#This Row],[Column4]]="",H51*(1+Table1[[#This Row],[Ávöxtun]]))</f>
        <v>110.00000000000001</v>
      </c>
      <c r="I52" cm="1">
        <f t="array" ref="I52">_xlfn.IFS(Table1[[#This Row],[Column4]]="NEW",_xlfn.XLOOKUP(Table1[[#This Row],[Year]],$N$2:$N$27,$P$2:$P$27),ISNUMBER(Table1[[#This Row],[Column4]]),Table1[[#This Row],[Column4]],Table1[[#This Row],[Column4]]="",I51*(1+Table1[[#This Row],[Ávöxtun]]))</f>
        <v>110.00000000000001</v>
      </c>
      <c r="L52" s="33">
        <v>110.00000000000001</v>
      </c>
      <c r="M52" s="33">
        <v>110.00000000000001</v>
      </c>
    </row>
    <row r="53" spans="1:13">
      <c r="A53" t="s">
        <v>62</v>
      </c>
      <c r="B53">
        <v>1999</v>
      </c>
      <c r="C53" s="16">
        <v>0.06</v>
      </c>
      <c r="D53" s="1">
        <v>2533834.19</v>
      </c>
      <c r="E53" s="29">
        <f>Table1[[#This Row],[Ávöxtun]]*Table1[[#This Row],[Eignir]]/SUMIFS(Table1[Eignir],Table1[Year],Table1[[#This Row],[Year]])</f>
        <v>2.919630873913124E-4</v>
      </c>
      <c r="F53" s="23">
        <f>IF(B53=1997, 100, IF(COUNTIF(A$1:A52,A53)=0, "NEW", F52*(1+Table1[[#This Row],[Ávöxtun]])))</f>
        <v>116.60000000000002</v>
      </c>
      <c r="G53" s="18" cm="1">
        <f t="array" ref="G53">IFERROR(_xlfn.IFS(ISNUMBER(Table1[[#This Row],[Column3]]),Table1[[#This Row],[Column3]],Table1[[#This Row],[Column3]]="NEW",Table1[[#This Row],[Column3]]),"")</f>
        <v>116.60000000000002</v>
      </c>
      <c r="H53" s="15" cm="1">
        <f t="array" ref="H53">_xlfn.IFS(Table1[[#This Row],[Column4]]="NEW",AVERAGEIFS(Table1[Column4],Table1[Year],Table1[[#This Row],[Year]]),ISNUMBER(Table1[[#This Row],[Column4]]),Table1[[#This Row],[Column4]],Table1[[#This Row],[Column4]]="",H52*(1+Table1[[#This Row],[Ávöxtun]]))</f>
        <v>116.60000000000002</v>
      </c>
      <c r="I53" cm="1">
        <f t="array" ref="I53">_xlfn.IFS(Table1[[#This Row],[Column4]]="NEW",_xlfn.XLOOKUP(Table1[[#This Row],[Year]],$N$2:$N$27,$P$2:$P$27),ISNUMBER(Table1[[#This Row],[Column4]]),Table1[[#This Row],[Column4]],Table1[[#This Row],[Column4]]="",I52*(1+Table1[[#This Row],[Ávöxtun]]))</f>
        <v>116.60000000000002</v>
      </c>
      <c r="L53" s="33">
        <v>116.60000000000002</v>
      </c>
      <c r="M53" s="33">
        <v>116.60000000000002</v>
      </c>
    </row>
    <row r="54" spans="1:13">
      <c r="A54" t="s">
        <v>62</v>
      </c>
      <c r="B54">
        <v>2000</v>
      </c>
      <c r="C54" s="16">
        <v>-0.03</v>
      </c>
      <c r="D54" s="1">
        <v>2371052.36</v>
      </c>
      <c r="E54" s="29">
        <f>Table1[[#This Row],[Ávöxtun]]*Table1[[#This Row],[Eignir]]/SUMIFS(Table1[Eignir],Table1[Year],Table1[[#This Row],[Year]])</f>
        <v>-1.0005992450636128E-4</v>
      </c>
      <c r="F54" s="23">
        <f>IF(B54=1997, 100, IF(COUNTIF(A$1:A53,A54)=0, "NEW", F53*(1+Table1[[#This Row],[Ávöxtun]])))</f>
        <v>113.10200000000002</v>
      </c>
      <c r="G54" s="18" cm="1">
        <f t="array" ref="G54">IFERROR(_xlfn.IFS(ISNUMBER(Table1[[#This Row],[Column3]]),Table1[[#This Row],[Column3]],Table1[[#This Row],[Column3]]="NEW",Table1[[#This Row],[Column3]]),"")</f>
        <v>113.10200000000002</v>
      </c>
      <c r="H54" s="15" cm="1">
        <f t="array" ref="H54">_xlfn.IFS(Table1[[#This Row],[Column4]]="NEW",AVERAGEIFS(Table1[Column4],Table1[Year],Table1[[#This Row],[Year]]),ISNUMBER(Table1[[#This Row],[Column4]]),Table1[[#This Row],[Column4]],Table1[[#This Row],[Column4]]="",H53*(1+Table1[[#This Row],[Ávöxtun]]))</f>
        <v>113.10200000000002</v>
      </c>
      <c r="I54" cm="1">
        <f t="array" ref="I54">_xlfn.IFS(Table1[[#This Row],[Column4]]="NEW",_xlfn.XLOOKUP(Table1[[#This Row],[Year]],$N$2:$N$27,$P$2:$P$27),ISNUMBER(Table1[[#This Row],[Column4]]),Table1[[#This Row],[Column4]],Table1[[#This Row],[Column4]]="",I53*(1+Table1[[#This Row],[Ávöxtun]]))</f>
        <v>113.10200000000002</v>
      </c>
      <c r="L54" s="33">
        <v>113.10200000000002</v>
      </c>
      <c r="M54" s="33">
        <v>113.10200000000002</v>
      </c>
    </row>
    <row r="55" spans="1:13">
      <c r="A55" t="s">
        <v>62</v>
      </c>
      <c r="B55">
        <v>2001</v>
      </c>
      <c r="C55" s="16">
        <v>-0.01</v>
      </c>
      <c r="D55" s="1">
        <v>2568738</v>
      </c>
      <c r="E55" s="29">
        <f>Table1[[#This Row],[Ávöxtun]]*Table1[[#This Row],[Eignir]]/SUMIFS(Table1[Eignir],Table1[Year],Table1[[#This Row],[Year]])</f>
        <v>-2.2184153368379048E-5</v>
      </c>
      <c r="F55" s="23">
        <f>IF(B55=1997, 100, IF(COUNTIF(A$1:A54,A55)=0, "NEW", F54*(1+Table1[[#This Row],[Ávöxtun]])))</f>
        <v>111.97098000000001</v>
      </c>
      <c r="G55" s="18" cm="1">
        <f t="array" ref="G55">IFERROR(_xlfn.IFS(ISNUMBER(Table1[[#This Row],[Column3]]),Table1[[#This Row],[Column3]],Table1[[#This Row],[Column3]]="NEW",Table1[[#This Row],[Column3]]),"")</f>
        <v>111.97098000000001</v>
      </c>
      <c r="H55" s="15" cm="1">
        <f t="array" ref="H55">_xlfn.IFS(Table1[[#This Row],[Column4]]="NEW",AVERAGEIFS(Table1[Column4],Table1[Year],Table1[[#This Row],[Year]]),ISNUMBER(Table1[[#This Row],[Column4]]),Table1[[#This Row],[Column4]],Table1[[#This Row],[Column4]]="",H54*(1+Table1[[#This Row],[Ávöxtun]]))</f>
        <v>111.97098000000001</v>
      </c>
      <c r="I55" cm="1">
        <f t="array" ref="I55">_xlfn.IFS(Table1[[#This Row],[Column4]]="NEW",_xlfn.XLOOKUP(Table1[[#This Row],[Year]],$N$2:$N$27,$P$2:$P$27),ISNUMBER(Table1[[#This Row],[Column4]]),Table1[[#This Row],[Column4]],Table1[[#This Row],[Column4]]="",I54*(1+Table1[[#This Row],[Ávöxtun]]))</f>
        <v>111.97098000000001</v>
      </c>
      <c r="L55" s="33">
        <v>111.97098000000001</v>
      </c>
      <c r="M55" s="33">
        <v>111.97098000000001</v>
      </c>
    </row>
    <row r="56" spans="1:13">
      <c r="A56" t="s">
        <v>62</v>
      </c>
      <c r="B56">
        <v>2002</v>
      </c>
      <c r="C56" s="16">
        <v>-0.03</v>
      </c>
      <c r="D56" s="1">
        <v>2711576</v>
      </c>
      <c r="E56" s="29">
        <f>Table1[[#This Row],[Ávöxtun]]*Table1[[#This Row],[Eignir]]/SUMIFS(Table1[Eignir],Table1[Year],Table1[[#This Row],[Year]])</f>
        <v>-1.2807284434439666E-4</v>
      </c>
      <c r="F56" s="23">
        <f>IF(B56=1997, 100, IF(COUNTIF(A$1:A55,A56)=0, "NEW", F55*(1+Table1[[#This Row],[Ávöxtun]])))</f>
        <v>108.61185060000001</v>
      </c>
      <c r="G56" s="18" cm="1">
        <f t="array" ref="G56">IFERROR(_xlfn.IFS(ISNUMBER(Table1[[#This Row],[Column3]]),Table1[[#This Row],[Column3]],Table1[[#This Row],[Column3]]="NEW",Table1[[#This Row],[Column3]]),"")</f>
        <v>108.61185060000001</v>
      </c>
      <c r="H56" s="15" cm="1">
        <f t="array" ref="H56">_xlfn.IFS(Table1[[#This Row],[Column4]]="NEW",AVERAGEIFS(Table1[Column4],Table1[Year],Table1[[#This Row],[Year]]),ISNUMBER(Table1[[#This Row],[Column4]]),Table1[[#This Row],[Column4]],Table1[[#This Row],[Column4]]="",H55*(1+Table1[[#This Row],[Ávöxtun]]))</f>
        <v>108.61185060000001</v>
      </c>
      <c r="I56" cm="1">
        <f t="array" ref="I56">_xlfn.IFS(Table1[[#This Row],[Column4]]="NEW",_xlfn.XLOOKUP(Table1[[#This Row],[Year]],$N$2:$N$27,$P$2:$P$27),ISNUMBER(Table1[[#This Row],[Column4]]),Table1[[#This Row],[Column4]],Table1[[#This Row],[Column4]]="",I55*(1+Table1[[#This Row],[Ávöxtun]]))</f>
        <v>108.61185060000001</v>
      </c>
      <c r="L56" s="33">
        <v>108.61185060000001</v>
      </c>
      <c r="M56" s="33">
        <v>108.61185060000001</v>
      </c>
    </row>
    <row r="57" spans="1:13">
      <c r="A57" t="s">
        <v>62</v>
      </c>
      <c r="B57">
        <v>2003</v>
      </c>
      <c r="C57" s="16">
        <v>0.09</v>
      </c>
      <c r="D57" s="1">
        <v>3247975</v>
      </c>
      <c r="E57" s="29">
        <f>Table1[[#This Row],[Ávöxtun]]*Table1[[#This Row],[Eignir]]/SUMIFS(Table1[Eignir],Table1[Year],Table1[[#This Row],[Year]])</f>
        <v>3.8468359027806712E-4</v>
      </c>
      <c r="F57" s="23">
        <f>IF(B57=1997, 100, IF(COUNTIF(A$1:A56,A57)=0, "NEW", F56*(1+Table1[[#This Row],[Ávöxtun]])))</f>
        <v>118.38691715400002</v>
      </c>
      <c r="G57" s="18" cm="1">
        <f t="array" ref="G57">IFERROR(_xlfn.IFS(ISNUMBER(Table1[[#This Row],[Column3]]),Table1[[#This Row],[Column3]],Table1[[#This Row],[Column3]]="NEW",Table1[[#This Row],[Column3]]),"")</f>
        <v>118.38691715400002</v>
      </c>
      <c r="H57" s="15" cm="1">
        <f t="array" ref="H57">_xlfn.IFS(Table1[[#This Row],[Column4]]="NEW",AVERAGEIFS(Table1[Column4],Table1[Year],Table1[[#This Row],[Year]]),ISNUMBER(Table1[[#This Row],[Column4]]),Table1[[#This Row],[Column4]],Table1[[#This Row],[Column4]]="",H56*(1+Table1[[#This Row],[Ávöxtun]]))</f>
        <v>118.38691715400002</v>
      </c>
      <c r="I57" cm="1">
        <f t="array" ref="I57">_xlfn.IFS(Table1[[#This Row],[Column4]]="NEW",_xlfn.XLOOKUP(Table1[[#This Row],[Year]],$N$2:$N$27,$P$2:$P$27),ISNUMBER(Table1[[#This Row],[Column4]]),Table1[[#This Row],[Column4]],Table1[[#This Row],[Column4]]="",I56*(1+Table1[[#This Row],[Ávöxtun]]))</f>
        <v>118.38691715400002</v>
      </c>
      <c r="L57" s="33">
        <v>118.38691715400002</v>
      </c>
      <c r="M57" s="33">
        <v>118.38691715400002</v>
      </c>
    </row>
    <row r="58" spans="1:13">
      <c r="A58" t="s">
        <v>62</v>
      </c>
      <c r="B58">
        <v>2004</v>
      </c>
      <c r="C58" s="16">
        <v>0.09</v>
      </c>
      <c r="D58" s="1">
        <v>4096174.72</v>
      </c>
      <c r="E58" s="29">
        <f>Table1[[#This Row],[Ávöxtun]]*Table1[[#This Row],[Eignir]]/SUMIFS(Table1[Eignir],Table1[Year],Table1[[#This Row],[Year]])</f>
        <v>4.0615592908799372E-4</v>
      </c>
      <c r="F58" s="23">
        <f>IF(B58=1997, 100, IF(COUNTIF(A$1:A57,A58)=0, "NEW", F57*(1+Table1[[#This Row],[Ávöxtun]])))</f>
        <v>129.04173969786004</v>
      </c>
      <c r="G58" s="18" cm="1">
        <f t="array" ref="G58">IFERROR(_xlfn.IFS(ISNUMBER(Table1[[#This Row],[Column3]]),Table1[[#This Row],[Column3]],Table1[[#This Row],[Column3]]="NEW",Table1[[#This Row],[Column3]]),"")</f>
        <v>129.04173969786004</v>
      </c>
      <c r="H58" s="15" cm="1">
        <f t="array" ref="H58">_xlfn.IFS(Table1[[#This Row],[Column4]]="NEW",AVERAGEIFS(Table1[Column4],Table1[Year],Table1[[#This Row],[Year]]),ISNUMBER(Table1[[#This Row],[Column4]]),Table1[[#This Row],[Column4]],Table1[[#This Row],[Column4]]="",H57*(1+Table1[[#This Row],[Ávöxtun]]))</f>
        <v>129.04173969786004</v>
      </c>
      <c r="I58" cm="1">
        <f t="array" ref="I58">_xlfn.IFS(Table1[[#This Row],[Column4]]="NEW",_xlfn.XLOOKUP(Table1[[#This Row],[Year]],$N$2:$N$27,$P$2:$P$27),ISNUMBER(Table1[[#This Row],[Column4]]),Table1[[#This Row],[Column4]],Table1[[#This Row],[Column4]]="",I57*(1+Table1[[#This Row],[Ávöxtun]]))</f>
        <v>129.04173969786004</v>
      </c>
      <c r="L58" s="33">
        <v>129.04173969786004</v>
      </c>
      <c r="M58" s="33">
        <v>129.04173969786004</v>
      </c>
    </row>
    <row r="59" spans="1:13">
      <c r="A59" t="s">
        <v>62</v>
      </c>
      <c r="B59">
        <v>2005</v>
      </c>
      <c r="C59" s="16">
        <v>0.01</v>
      </c>
      <c r="D59" s="1">
        <v>6265508</v>
      </c>
      <c r="E59" s="29">
        <f>Table1[[#This Row],[Ávöxtun]]*Table1[[#This Row],[Eignir]]/SUMIFS(Table1[Eignir],Table1[Year],Table1[[#This Row],[Year]])</f>
        <v>5.5875297610267454E-5</v>
      </c>
      <c r="F59" s="23">
        <f>IF(B59=1997, 100, IF(COUNTIF(A$1:A58,A59)=0, "NEW", F58*(1+Table1[[#This Row],[Ávöxtun]])))</f>
        <v>130.33215709483864</v>
      </c>
      <c r="G59" s="18" cm="1">
        <f t="array" ref="G59">IFERROR(_xlfn.IFS(ISNUMBER(Table1[[#This Row],[Column3]]),Table1[[#This Row],[Column3]],Table1[[#This Row],[Column3]]="NEW",Table1[[#This Row],[Column3]]),"")</f>
        <v>130.33215709483864</v>
      </c>
      <c r="H59" s="15" cm="1">
        <f t="array" ref="H59">_xlfn.IFS(Table1[[#This Row],[Column4]]="NEW",AVERAGEIFS(Table1[Column4],Table1[Year],Table1[[#This Row],[Year]]),ISNUMBER(Table1[[#This Row],[Column4]]),Table1[[#This Row],[Column4]],Table1[[#This Row],[Column4]]="",H58*(1+Table1[[#This Row],[Ávöxtun]]))</f>
        <v>130.33215709483864</v>
      </c>
      <c r="I59" cm="1">
        <f t="array" ref="I59">_xlfn.IFS(Table1[[#This Row],[Column4]]="NEW",_xlfn.XLOOKUP(Table1[[#This Row],[Year]],$N$2:$N$27,$P$2:$P$27),ISNUMBER(Table1[[#This Row],[Column4]]),Table1[[#This Row],[Column4]],Table1[[#This Row],[Column4]]="",I58*(1+Table1[[#This Row],[Ávöxtun]]))</f>
        <v>130.33215709483864</v>
      </c>
      <c r="L59" s="33">
        <v>130.33215709483864</v>
      </c>
      <c r="M59" s="33">
        <v>130.33215709483864</v>
      </c>
    </row>
    <row r="60" spans="1:13">
      <c r="A60" t="s">
        <v>63</v>
      </c>
      <c r="B60">
        <v>2006</v>
      </c>
      <c r="C60" s="16">
        <v>1.2500000000000001E-2</v>
      </c>
      <c r="D60" s="1">
        <v>7077174</v>
      </c>
      <c r="E60" s="29">
        <f>Table1[[#This Row],[Ávöxtun]]*Table1[[#This Row],[Eignir]]/SUMIFS(Table1[Eignir],Table1[Year],Table1[[#This Row],[Year]])</f>
        <v>6.4446889288426507E-5</v>
      </c>
      <c r="F60" s="23" t="str">
        <f>IF(B60=1997, 100, IF(COUNTIF(A$1:A59,A60)=0, "NEW", F59*(1+Table1[[#This Row],[Ávöxtun]])))</f>
        <v>NEW</v>
      </c>
      <c r="G60" s="18" t="str" cm="1">
        <f t="array" ref="G60">IFERROR(_xlfn.IFS(ISNUMBER(Table1[[#This Row],[Column3]]),Table1[[#This Row],[Column3]],Table1[[#This Row],[Column3]]="NEW",Table1[[#This Row],[Column3]]),"")</f>
        <v>NEW</v>
      </c>
      <c r="H60" s="15" cm="1">
        <f t="array" ref="H60">_xlfn.IFS(Table1[[#This Row],[Column4]]="NEW",AVERAGEIFS(Table1[Column4],Table1[Year],Table1[[#This Row],[Year]]),ISNUMBER(Table1[[#This Row],[Column4]]),Table1[[#This Row],[Column4]],Table1[[#This Row],[Column4]]="",H59*(1+Table1[[#This Row],[Ávöxtun]]))</f>
        <v>173.57107422928632</v>
      </c>
      <c r="I60" cm="1">
        <f t="array" ref="I60">_xlfn.IFS(Table1[[#This Row],[Column4]]="NEW",_xlfn.XLOOKUP(Table1[[#This Row],[Year]],$N$2:$N$27,$P$2:$P$27),ISNUMBER(Table1[[#This Row],[Column4]]),Table1[[#This Row],[Column4]],Table1[[#This Row],[Column4]]="",I59*(1+Table1[[#This Row],[Ávöxtun]]))</f>
        <v>203.57786186085158</v>
      </c>
      <c r="L60" s="33">
        <v>173.57107422928632</v>
      </c>
      <c r="M60" s="33">
        <v>219.26690788715638</v>
      </c>
    </row>
    <row r="61" spans="1:13">
      <c r="A61" t="s">
        <v>63</v>
      </c>
      <c r="B61">
        <v>2007</v>
      </c>
      <c r="C61" s="16">
        <v>-5.1000000000000004E-3</v>
      </c>
      <c r="D61" s="1">
        <v>7230035</v>
      </c>
      <c r="E61" s="29">
        <f>Table1[[#This Row],[Ávöxtun]]*Table1[[#This Row],[Eignir]]/SUMIFS(Table1[Eignir],Table1[Year],Table1[[#This Row],[Year]])</f>
        <v>-2.3844404858528142E-5</v>
      </c>
      <c r="F61" s="23" t="e">
        <f>IF(B61=1997, 100, IF(COUNTIF(A$1:A60,A61)=0, "NEW", F60*(1+Table1[[#This Row],[Ávöxtun]])))</f>
        <v>#VALUE!</v>
      </c>
      <c r="G61" s="18" t="str" cm="1">
        <f t="array" ref="G61">IFERROR(_xlfn.IFS(ISNUMBER(Table1[[#This Row],[Column3]]),Table1[[#This Row],[Column3]],Table1[[#This Row],[Column3]]="NEW",Table1[[#This Row],[Column3]]),"")</f>
        <v/>
      </c>
      <c r="H61" s="15" cm="1">
        <f t="array" ref="H61">_xlfn.IFS(Table1[[#This Row],[Column4]]="NEW",AVERAGEIFS(Table1[Column4],Table1[Year],Table1[[#This Row],[Year]]),ISNUMBER(Table1[[#This Row],[Column4]]),Table1[[#This Row],[Column4]],Table1[[#This Row],[Column4]]="",H60*(1+Table1[[#This Row],[Ávöxtun]]))</f>
        <v>172.68586175071695</v>
      </c>
      <c r="I61" cm="1">
        <f t="array" ref="I61">_xlfn.IFS(Table1[[#This Row],[Column4]]="NEW",_xlfn.XLOOKUP(Table1[[#This Row],[Year]],$N$2:$N$27,$P$2:$P$27),ISNUMBER(Table1[[#This Row],[Column4]]),Table1[[#This Row],[Column4]],Table1[[#This Row],[Column4]]="",I60*(1+Table1[[#This Row],[Ávöxtun]]))</f>
        <v>202.53961476536125</v>
      </c>
      <c r="L61" s="33">
        <v>172.68586175071695</v>
      </c>
      <c r="M61" s="33">
        <v>218.14864665693187</v>
      </c>
    </row>
    <row r="62" spans="1:13">
      <c r="A62" t="s">
        <v>63</v>
      </c>
      <c r="B62">
        <v>2008</v>
      </c>
      <c r="C62" s="16">
        <v>-0.1128</v>
      </c>
      <c r="D62" s="1">
        <v>6467811</v>
      </c>
      <c r="E62" s="29">
        <f>Table1[[#This Row],[Ávöxtun]]*Table1[[#This Row],[Eignir]]/SUMIFS(Table1[Eignir],Table1[Year],Table1[[#This Row],[Year]])</f>
        <v>-4.872506231478958E-4</v>
      </c>
      <c r="F62" s="23" t="e">
        <f>IF(B62=1997, 100, IF(COUNTIF(A$1:A61,A62)=0, "NEW", F61*(1+Table1[[#This Row],[Ávöxtun]])))</f>
        <v>#VALUE!</v>
      </c>
      <c r="G62" s="18" t="str" cm="1">
        <f t="array" ref="G62">IFERROR(_xlfn.IFS(ISNUMBER(Table1[[#This Row],[Column3]]),Table1[[#This Row],[Column3]],Table1[[#This Row],[Column3]]="NEW",Table1[[#This Row],[Column3]]),"")</f>
        <v/>
      </c>
      <c r="H62" s="15" cm="1">
        <f t="array" ref="H62">_xlfn.IFS(Table1[[#This Row],[Column4]]="NEW",AVERAGEIFS(Table1[Column4],Table1[Year],Table1[[#This Row],[Year]]),ISNUMBER(Table1[[#This Row],[Column4]]),Table1[[#This Row],[Column4]],Table1[[#This Row],[Column4]]="",H61*(1+Table1[[#This Row],[Ávöxtun]]))</f>
        <v>153.20689654523608</v>
      </c>
      <c r="I62" cm="1">
        <f t="array" ref="I62">_xlfn.IFS(Table1[[#This Row],[Column4]]="NEW",_xlfn.XLOOKUP(Table1[[#This Row],[Year]],$N$2:$N$27,$P$2:$P$27),ISNUMBER(Table1[[#This Row],[Column4]]),Table1[[#This Row],[Column4]],Table1[[#This Row],[Column4]]="",I61*(1+Table1[[#This Row],[Ávöxtun]]))</f>
        <v>179.69314621982849</v>
      </c>
      <c r="L62" s="33">
        <v>153.20689654523608</v>
      </c>
      <c r="M62" s="33">
        <v>193.54147931402994</v>
      </c>
    </row>
    <row r="63" spans="1:13">
      <c r="A63" t="s">
        <v>63</v>
      </c>
      <c r="B63">
        <v>2009</v>
      </c>
      <c r="C63" s="16">
        <v>-0.08</v>
      </c>
      <c r="D63" s="1">
        <v>6283951</v>
      </c>
      <c r="E63" s="29">
        <f>Table1[[#This Row],[Ávöxtun]]*Table1[[#This Row],[Eignir]]/SUMIFS(Table1[Eignir],Table1[Year],Table1[[#This Row],[Year]])</f>
        <v>-3.0134186224250396E-4</v>
      </c>
      <c r="F63" s="23" t="e">
        <f>IF(B63=1997, 100, IF(COUNTIF(A$1:A62,A63)=0, "NEW", F62*(1+Table1[[#This Row],[Ávöxtun]])))</f>
        <v>#VALUE!</v>
      </c>
      <c r="G63" s="18" t="str" cm="1">
        <f t="array" ref="G63">IFERROR(_xlfn.IFS(ISNUMBER(Table1[[#This Row],[Column3]]),Table1[[#This Row],[Column3]],Table1[[#This Row],[Column3]]="NEW",Table1[[#This Row],[Column3]]),"")</f>
        <v/>
      </c>
      <c r="H63" s="15" cm="1">
        <f t="array" ref="H63">_xlfn.IFS(Table1[[#This Row],[Column4]]="NEW",AVERAGEIFS(Table1[Column4],Table1[Year],Table1[[#This Row],[Year]]),ISNUMBER(Table1[[#This Row],[Column4]]),Table1[[#This Row],[Column4]],Table1[[#This Row],[Column4]]="",H62*(1+Table1[[#This Row],[Ávöxtun]]))</f>
        <v>140.95034482161719</v>
      </c>
      <c r="I63" cm="1">
        <f t="array" ref="I63">_xlfn.IFS(Table1[[#This Row],[Column4]]="NEW",_xlfn.XLOOKUP(Table1[[#This Row],[Year]],$N$2:$N$27,$P$2:$P$27),ISNUMBER(Table1[[#This Row],[Column4]]),Table1[[#This Row],[Column4]],Table1[[#This Row],[Column4]]="",I62*(1+Table1[[#This Row],[Ávöxtun]]))</f>
        <v>165.31769452224222</v>
      </c>
      <c r="L63" s="33">
        <v>140.95034482161719</v>
      </c>
      <c r="M63" s="33">
        <v>178.05816096890754</v>
      </c>
    </row>
    <row r="64" spans="1:13">
      <c r="A64" t="s">
        <v>64</v>
      </c>
      <c r="B64">
        <v>1997</v>
      </c>
      <c r="C64" s="16">
        <v>0.06</v>
      </c>
      <c r="D64" s="1">
        <v>830178.14</v>
      </c>
      <c r="E64" s="29">
        <f>Table1[[#This Row],[Ávöxtun]]*Table1[[#This Row],[Eignir]]/SUMIFS(Table1[Eignir],Table1[Year],Table1[[#This Row],[Year]])</f>
        <v>1.4692320097643103E-4</v>
      </c>
      <c r="F64" s="23">
        <f>IF(B64=1997, 100, IF(COUNTIF(A$1:A63,A64)=0, "NEW", F63*(1+Table1[[#This Row],[Ávöxtun]])))</f>
        <v>100</v>
      </c>
      <c r="G64" s="18" cm="1">
        <f t="array" ref="G64">IFERROR(_xlfn.IFS(ISNUMBER(Table1[[#This Row],[Column3]]),Table1[[#This Row],[Column3]],Table1[[#This Row],[Column3]]="NEW",Table1[[#This Row],[Column3]]),"")</f>
        <v>100</v>
      </c>
      <c r="H64" s="15" cm="1">
        <f t="array" ref="H64">_xlfn.IFS(Table1[[#This Row],[Column4]]="NEW",AVERAGEIFS(Table1[Column4],Table1[Year],Table1[[#This Row],[Year]]),ISNUMBER(Table1[[#This Row],[Column4]]),Table1[[#This Row],[Column4]],Table1[[#This Row],[Column4]]="",H63*(1+Table1[[#This Row],[Ávöxtun]]))</f>
        <v>100</v>
      </c>
      <c r="I64" cm="1">
        <f t="array" ref="I64">_xlfn.IFS(Table1[[#This Row],[Column4]]="NEW",_xlfn.XLOOKUP(Table1[[#This Row],[Year]],$N$2:$N$27,$P$2:$P$27),ISNUMBER(Table1[[#This Row],[Column4]]),Table1[[#This Row],[Column4]],Table1[[#This Row],[Column4]]="",I63*(1+Table1[[#This Row],[Ávöxtun]]))</f>
        <v>100</v>
      </c>
      <c r="L64" s="33">
        <v>100</v>
      </c>
      <c r="M64" s="33">
        <v>100</v>
      </c>
    </row>
    <row r="65" spans="1:13">
      <c r="A65" t="s">
        <v>64</v>
      </c>
      <c r="B65">
        <v>1998</v>
      </c>
      <c r="C65" s="16">
        <v>0.08</v>
      </c>
      <c r="D65" s="1">
        <v>954109.64</v>
      </c>
      <c r="E65" s="29">
        <f>Table1[[#This Row],[Ávöxtun]]*Table1[[#This Row],[Eignir]]/SUMIFS(Table1[Eignir],Table1[Year],Table1[[#This Row],[Year]])</f>
        <v>1.9489777109038574E-4</v>
      </c>
      <c r="F65" s="23">
        <f>IF(B65=1997, 100, IF(COUNTIF(A$1:A64,A65)=0, "NEW", F64*(1+Table1[[#This Row],[Ávöxtun]])))</f>
        <v>108</v>
      </c>
      <c r="G65" s="18" cm="1">
        <f t="array" ref="G65">IFERROR(_xlfn.IFS(ISNUMBER(Table1[[#This Row],[Column3]]),Table1[[#This Row],[Column3]],Table1[[#This Row],[Column3]]="NEW",Table1[[#This Row],[Column3]]),"")</f>
        <v>108</v>
      </c>
      <c r="H65" s="15" cm="1">
        <f t="array" ref="H65">_xlfn.IFS(Table1[[#This Row],[Column4]]="NEW",AVERAGEIFS(Table1[Column4],Table1[Year],Table1[[#This Row],[Year]]),ISNUMBER(Table1[[#This Row],[Column4]]),Table1[[#This Row],[Column4]],Table1[[#This Row],[Column4]]="",H64*(1+Table1[[#This Row],[Ávöxtun]]))</f>
        <v>108</v>
      </c>
      <c r="I65" cm="1">
        <f t="array" ref="I65">_xlfn.IFS(Table1[[#This Row],[Column4]]="NEW",_xlfn.XLOOKUP(Table1[[#This Row],[Year]],$N$2:$N$27,$P$2:$P$27),ISNUMBER(Table1[[#This Row],[Column4]]),Table1[[#This Row],[Column4]],Table1[[#This Row],[Column4]]="",I64*(1+Table1[[#This Row],[Ávöxtun]]))</f>
        <v>108</v>
      </c>
      <c r="L65" s="33">
        <v>108</v>
      </c>
      <c r="M65" s="33">
        <v>108</v>
      </c>
    </row>
    <row r="66" spans="1:13">
      <c r="A66" t="s">
        <v>64</v>
      </c>
      <c r="B66">
        <v>1999</v>
      </c>
      <c r="C66" s="16">
        <v>0.08</v>
      </c>
      <c r="D66" s="1">
        <v>1153227.56</v>
      </c>
      <c r="E66" s="29">
        <f>Table1[[#This Row],[Ávöxtun]]*Table1[[#This Row],[Eignir]]/SUMIFS(Table1[Eignir],Table1[Year],Table1[[#This Row],[Year]])</f>
        <v>1.7717543382076367E-4</v>
      </c>
      <c r="F66" s="23">
        <f>IF(B66=1997, 100, IF(COUNTIF(A$1:A65,A66)=0, "NEW", F65*(1+Table1[[#This Row],[Ávöxtun]])))</f>
        <v>116.64000000000001</v>
      </c>
      <c r="G66" s="18" cm="1">
        <f t="array" ref="G66">IFERROR(_xlfn.IFS(ISNUMBER(Table1[[#This Row],[Column3]]),Table1[[#This Row],[Column3]],Table1[[#This Row],[Column3]]="NEW",Table1[[#This Row],[Column3]]),"")</f>
        <v>116.64000000000001</v>
      </c>
      <c r="H66" s="15" cm="1">
        <f t="array" ref="H66">_xlfn.IFS(Table1[[#This Row],[Column4]]="NEW",AVERAGEIFS(Table1[Column4],Table1[Year],Table1[[#This Row],[Year]]),ISNUMBER(Table1[[#This Row],[Column4]]),Table1[[#This Row],[Column4]],Table1[[#This Row],[Column4]]="",H65*(1+Table1[[#This Row],[Ávöxtun]]))</f>
        <v>116.64000000000001</v>
      </c>
      <c r="I66" cm="1">
        <f t="array" ref="I66">_xlfn.IFS(Table1[[#This Row],[Column4]]="NEW",_xlfn.XLOOKUP(Table1[[#This Row],[Year]],$N$2:$N$27,$P$2:$P$27),ISNUMBER(Table1[[#This Row],[Column4]]),Table1[[#This Row],[Column4]],Table1[[#This Row],[Column4]]="",I65*(1+Table1[[#This Row],[Ávöxtun]]))</f>
        <v>116.64000000000001</v>
      </c>
      <c r="L66" s="33">
        <v>116.64000000000001</v>
      </c>
      <c r="M66" s="33">
        <v>116.64000000000001</v>
      </c>
    </row>
    <row r="67" spans="1:13">
      <c r="A67" t="s">
        <v>64</v>
      </c>
      <c r="B67">
        <v>2000</v>
      </c>
      <c r="C67" s="16">
        <v>-0.1</v>
      </c>
      <c r="D67" s="1">
        <v>2511894.67</v>
      </c>
      <c r="E67" s="29">
        <f>Table1[[#This Row],[Ávöxtun]]*Table1[[#This Row],[Eignir]]/SUMIFS(Table1[Eignir],Table1[Year],Table1[[#This Row],[Year]])</f>
        <v>-3.5334519991808098E-4</v>
      </c>
      <c r="F67" s="23">
        <f>IF(B67=1997, 100, IF(COUNTIF(A$1:A66,A67)=0, "NEW", F66*(1+Table1[[#This Row],[Ávöxtun]])))</f>
        <v>104.97600000000001</v>
      </c>
      <c r="G67" s="18" cm="1">
        <f t="array" ref="G67">IFERROR(_xlfn.IFS(ISNUMBER(Table1[[#This Row],[Column3]]),Table1[[#This Row],[Column3]],Table1[[#This Row],[Column3]]="NEW",Table1[[#This Row],[Column3]]),"")</f>
        <v>104.97600000000001</v>
      </c>
      <c r="H67" s="15" cm="1">
        <f t="array" ref="H67">_xlfn.IFS(Table1[[#This Row],[Column4]]="NEW",AVERAGEIFS(Table1[Column4],Table1[Year],Table1[[#This Row],[Year]]),ISNUMBER(Table1[[#This Row],[Column4]]),Table1[[#This Row],[Column4]],Table1[[#This Row],[Column4]]="",H66*(1+Table1[[#This Row],[Ávöxtun]]))</f>
        <v>104.97600000000001</v>
      </c>
      <c r="I67" cm="1">
        <f t="array" ref="I67">_xlfn.IFS(Table1[[#This Row],[Column4]]="NEW",_xlfn.XLOOKUP(Table1[[#This Row],[Year]],$N$2:$N$27,$P$2:$P$27),ISNUMBER(Table1[[#This Row],[Column4]]),Table1[[#This Row],[Column4]],Table1[[#This Row],[Column4]]="",I66*(1+Table1[[#This Row],[Ávöxtun]]))</f>
        <v>104.97600000000001</v>
      </c>
      <c r="L67" s="33">
        <v>104.97600000000001</v>
      </c>
      <c r="M67" s="33">
        <v>104.97600000000001</v>
      </c>
    </row>
    <row r="68" spans="1:13">
      <c r="A68" t="s">
        <v>64</v>
      </c>
      <c r="B68">
        <v>2001</v>
      </c>
      <c r="C68" s="16">
        <v>0.02</v>
      </c>
      <c r="D68" s="1">
        <v>1292047</v>
      </c>
      <c r="E68" s="29">
        <f>Table1[[#This Row],[Ávöxtun]]*Table1[[#This Row],[Eignir]]/SUMIFS(Table1[Eignir],Table1[Year],Table1[[#This Row],[Year]])</f>
        <v>2.2316770964694762E-5</v>
      </c>
      <c r="F68" s="23">
        <f>IF(B68=1997, 100, IF(COUNTIF(A$1:A67,A68)=0, "NEW", F67*(1+Table1[[#This Row],[Ávöxtun]])))</f>
        <v>107.07552000000001</v>
      </c>
      <c r="G68" s="18" cm="1">
        <f t="array" ref="G68">IFERROR(_xlfn.IFS(ISNUMBER(Table1[[#This Row],[Column3]]),Table1[[#This Row],[Column3]],Table1[[#This Row],[Column3]]="NEW",Table1[[#This Row],[Column3]]),"")</f>
        <v>107.07552000000001</v>
      </c>
      <c r="H68" s="15" cm="1">
        <f t="array" ref="H68">_xlfn.IFS(Table1[[#This Row],[Column4]]="NEW",AVERAGEIFS(Table1[Column4],Table1[Year],Table1[[#This Row],[Year]]),ISNUMBER(Table1[[#This Row],[Column4]]),Table1[[#This Row],[Column4]],Table1[[#This Row],[Column4]]="",H67*(1+Table1[[#This Row],[Ávöxtun]]))</f>
        <v>107.07552000000001</v>
      </c>
      <c r="I68" cm="1">
        <f t="array" ref="I68">_xlfn.IFS(Table1[[#This Row],[Column4]]="NEW",_xlfn.XLOOKUP(Table1[[#This Row],[Year]],$N$2:$N$27,$P$2:$P$27),ISNUMBER(Table1[[#This Row],[Column4]]),Table1[[#This Row],[Column4]],Table1[[#This Row],[Column4]]="",I67*(1+Table1[[#This Row],[Ávöxtun]]))</f>
        <v>107.07552000000001</v>
      </c>
      <c r="L68" s="33">
        <v>107.07552000000001</v>
      </c>
      <c r="M68" s="33">
        <v>107.07552000000001</v>
      </c>
    </row>
    <row r="69" spans="1:13">
      <c r="A69" t="s">
        <v>64</v>
      </c>
      <c r="B69">
        <v>2002</v>
      </c>
      <c r="C69" s="16">
        <v>-0.02</v>
      </c>
      <c r="D69" s="1">
        <v>1309124.67</v>
      </c>
      <c r="E69" s="29">
        <f>Table1[[#This Row],[Ávöxtun]]*Table1[[#This Row],[Eignir]]/SUMIFS(Table1[Eignir],Table1[Year],Table1[[#This Row],[Year]])</f>
        <v>-4.1221616773989158E-5</v>
      </c>
      <c r="F69" s="23">
        <f>IF(B69=1997, 100, IF(COUNTIF(A$1:A68,A69)=0, "NEW", F68*(1+Table1[[#This Row],[Ávöxtun]])))</f>
        <v>104.93400960000001</v>
      </c>
      <c r="G69" s="18" cm="1">
        <f t="array" ref="G69">IFERROR(_xlfn.IFS(ISNUMBER(Table1[[#This Row],[Column3]]),Table1[[#This Row],[Column3]],Table1[[#This Row],[Column3]]="NEW",Table1[[#This Row],[Column3]]),"")</f>
        <v>104.93400960000001</v>
      </c>
      <c r="H69" s="15" cm="1">
        <f t="array" ref="H69">_xlfn.IFS(Table1[[#This Row],[Column4]]="NEW",AVERAGEIFS(Table1[Column4],Table1[Year],Table1[[#This Row],[Year]]),ISNUMBER(Table1[[#This Row],[Column4]]),Table1[[#This Row],[Column4]],Table1[[#This Row],[Column4]]="",H68*(1+Table1[[#This Row],[Ávöxtun]]))</f>
        <v>104.93400960000001</v>
      </c>
      <c r="I69" cm="1">
        <f t="array" ref="I69">_xlfn.IFS(Table1[[#This Row],[Column4]]="NEW",_xlfn.XLOOKUP(Table1[[#This Row],[Year]],$N$2:$N$27,$P$2:$P$27),ISNUMBER(Table1[[#This Row],[Column4]]),Table1[[#This Row],[Column4]],Table1[[#This Row],[Column4]]="",I68*(1+Table1[[#This Row],[Ávöxtun]]))</f>
        <v>104.93400960000001</v>
      </c>
      <c r="L69" s="33">
        <v>104.93400960000001</v>
      </c>
      <c r="M69" s="33">
        <v>104.93400960000001</v>
      </c>
    </row>
    <row r="70" spans="1:13">
      <c r="A70" t="s">
        <v>64</v>
      </c>
      <c r="B70">
        <v>2003</v>
      </c>
      <c r="C70" s="16">
        <v>0.08</v>
      </c>
      <c r="D70" s="1">
        <v>1476166</v>
      </c>
      <c r="E70" s="29">
        <f>Table1[[#This Row],[Ávöxtun]]*Table1[[#This Row],[Eignir]]/SUMIFS(Table1[Eignir],Table1[Year],Table1[[#This Row],[Year]])</f>
        <v>1.5540810278579751E-4</v>
      </c>
      <c r="F70" s="23">
        <f>IF(B70=1997, 100, IF(COUNTIF(A$1:A69,A70)=0, "NEW", F69*(1+Table1[[#This Row],[Ávöxtun]])))</f>
        <v>113.32873036800002</v>
      </c>
      <c r="G70" s="18" cm="1">
        <f t="array" ref="G70">IFERROR(_xlfn.IFS(ISNUMBER(Table1[[#This Row],[Column3]]),Table1[[#This Row],[Column3]],Table1[[#This Row],[Column3]]="NEW",Table1[[#This Row],[Column3]]),"")</f>
        <v>113.32873036800002</v>
      </c>
      <c r="H70" s="15" cm="1">
        <f t="array" ref="H70">_xlfn.IFS(Table1[[#This Row],[Column4]]="NEW",AVERAGEIFS(Table1[Column4],Table1[Year],Table1[[#This Row],[Year]]),ISNUMBER(Table1[[#This Row],[Column4]]),Table1[[#This Row],[Column4]],Table1[[#This Row],[Column4]]="",H69*(1+Table1[[#This Row],[Ávöxtun]]))</f>
        <v>113.32873036800002</v>
      </c>
      <c r="I70" cm="1">
        <f t="array" ref="I70">_xlfn.IFS(Table1[[#This Row],[Column4]]="NEW",_xlfn.XLOOKUP(Table1[[#This Row],[Year]],$N$2:$N$27,$P$2:$P$27),ISNUMBER(Table1[[#This Row],[Column4]]),Table1[[#This Row],[Column4]],Table1[[#This Row],[Column4]]="",I69*(1+Table1[[#This Row],[Ávöxtun]]))</f>
        <v>113.32873036800002</v>
      </c>
      <c r="L70" s="33">
        <v>113.32873036800002</v>
      </c>
      <c r="M70" s="33">
        <v>113.32873036800002</v>
      </c>
    </row>
    <row r="71" spans="1:13">
      <c r="A71" t="s">
        <v>64</v>
      </c>
      <c r="B71">
        <v>2004</v>
      </c>
      <c r="C71" s="16">
        <v>0.06</v>
      </c>
      <c r="D71" s="1">
        <v>1628355</v>
      </c>
      <c r="E71" s="29">
        <f>Table1[[#This Row],[Ávöxtun]]*Table1[[#This Row],[Eignir]]/SUMIFS(Table1[Eignir],Table1[Year],Table1[[#This Row],[Year]])</f>
        <v>1.0763962039686953E-4</v>
      </c>
      <c r="F71" s="23">
        <f>IF(B71=1997, 100, IF(COUNTIF(A$1:A70,A71)=0, "NEW", F70*(1+Table1[[#This Row],[Ávöxtun]])))</f>
        <v>120.12845419008003</v>
      </c>
      <c r="G71" s="18" cm="1">
        <f t="array" ref="G71">IFERROR(_xlfn.IFS(ISNUMBER(Table1[[#This Row],[Column3]]),Table1[[#This Row],[Column3]],Table1[[#This Row],[Column3]]="NEW",Table1[[#This Row],[Column3]]),"")</f>
        <v>120.12845419008003</v>
      </c>
      <c r="H71" s="15" cm="1">
        <f t="array" ref="H71">_xlfn.IFS(Table1[[#This Row],[Column4]]="NEW",AVERAGEIFS(Table1[Column4],Table1[Year],Table1[[#This Row],[Year]]),ISNUMBER(Table1[[#This Row],[Column4]]),Table1[[#This Row],[Column4]],Table1[[#This Row],[Column4]]="",H70*(1+Table1[[#This Row],[Ávöxtun]]))</f>
        <v>120.12845419008003</v>
      </c>
      <c r="I71" cm="1">
        <f t="array" ref="I71">_xlfn.IFS(Table1[[#This Row],[Column4]]="NEW",_xlfn.XLOOKUP(Table1[[#This Row],[Year]],$N$2:$N$27,$P$2:$P$27),ISNUMBER(Table1[[#This Row],[Column4]]),Table1[[#This Row],[Column4]],Table1[[#This Row],[Column4]]="",I70*(1+Table1[[#This Row],[Ávöxtun]]))</f>
        <v>120.12845419008003</v>
      </c>
      <c r="L71" s="33">
        <v>120.12845419008003</v>
      </c>
      <c r="M71" s="33">
        <v>120.12845419008003</v>
      </c>
    </row>
    <row r="72" spans="1:13">
      <c r="A72" t="s">
        <v>64</v>
      </c>
      <c r="B72">
        <v>2005</v>
      </c>
      <c r="C72" s="16">
        <v>0.1</v>
      </c>
      <c r="D72" s="1">
        <v>1877012</v>
      </c>
      <c r="E72" s="29">
        <f>Table1[[#This Row],[Ávöxtun]]*Table1[[#This Row],[Eignir]]/SUMIFS(Table1[Eignir],Table1[Year],Table1[[#This Row],[Year]])</f>
        <v>1.6739042407741452E-4</v>
      </c>
      <c r="F72" s="23">
        <f>IF(B72=1997, 100, IF(COUNTIF(A$1:A71,A72)=0, "NEW", F71*(1+Table1[[#This Row],[Ávöxtun]])))</f>
        <v>132.14129960908804</v>
      </c>
      <c r="G72" s="18" cm="1">
        <f t="array" ref="G72">IFERROR(_xlfn.IFS(ISNUMBER(Table1[[#This Row],[Column3]]),Table1[[#This Row],[Column3]],Table1[[#This Row],[Column3]]="NEW",Table1[[#This Row],[Column3]]),"")</f>
        <v>132.14129960908804</v>
      </c>
      <c r="H72" s="15" cm="1">
        <f t="array" ref="H72">_xlfn.IFS(Table1[[#This Row],[Column4]]="NEW",AVERAGEIFS(Table1[Column4],Table1[Year],Table1[[#This Row],[Year]]),ISNUMBER(Table1[[#This Row],[Column4]]),Table1[[#This Row],[Column4]],Table1[[#This Row],[Column4]]="",H71*(1+Table1[[#This Row],[Ávöxtun]]))</f>
        <v>132.14129960908804</v>
      </c>
      <c r="I72" cm="1">
        <f t="array" ref="I72">_xlfn.IFS(Table1[[#This Row],[Column4]]="NEW",_xlfn.XLOOKUP(Table1[[#This Row],[Year]],$N$2:$N$27,$P$2:$P$27),ISNUMBER(Table1[[#This Row],[Column4]]),Table1[[#This Row],[Column4]],Table1[[#This Row],[Column4]]="",I71*(1+Table1[[#This Row],[Ávöxtun]]))</f>
        <v>132.14129960908804</v>
      </c>
      <c r="L72" s="33">
        <v>132.14129960908804</v>
      </c>
      <c r="M72" s="33">
        <v>132.14129960908804</v>
      </c>
    </row>
    <row r="73" spans="1:13">
      <c r="A73" t="s">
        <v>64</v>
      </c>
      <c r="B73">
        <v>2006</v>
      </c>
      <c r="C73" s="16">
        <v>0.1082</v>
      </c>
      <c r="D73" s="1">
        <v>2186980</v>
      </c>
      <c r="E73" s="29">
        <f>Table1[[#This Row],[Ávöxtun]]*Table1[[#This Row],[Eignir]]/SUMIFS(Table1[Eignir],Table1[Year],Table1[[#This Row],[Year]])</f>
        <v>1.7238685462502999E-4</v>
      </c>
      <c r="F73" s="23">
        <f>IF(B73=1997, 100, IF(COUNTIF(A$1:A72,A73)=0, "NEW", F72*(1+Table1[[#This Row],[Ávöxtun]])))</f>
        <v>146.43898822679137</v>
      </c>
      <c r="G73" s="18" cm="1">
        <f t="array" ref="G73">IFERROR(_xlfn.IFS(ISNUMBER(Table1[[#This Row],[Column3]]),Table1[[#This Row],[Column3]],Table1[[#This Row],[Column3]]="NEW",Table1[[#This Row],[Column3]]),"")</f>
        <v>146.43898822679137</v>
      </c>
      <c r="H73" s="15" cm="1">
        <f t="array" ref="H73">_xlfn.IFS(Table1[[#This Row],[Column4]]="NEW",AVERAGEIFS(Table1[Column4],Table1[Year],Table1[[#This Row],[Year]]),ISNUMBER(Table1[[#This Row],[Column4]]),Table1[[#This Row],[Column4]],Table1[[#This Row],[Column4]]="",H72*(1+Table1[[#This Row],[Ávöxtun]]))</f>
        <v>146.43898822679137</v>
      </c>
      <c r="I73" cm="1">
        <f t="array" ref="I73">_xlfn.IFS(Table1[[#This Row],[Column4]]="NEW",_xlfn.XLOOKUP(Table1[[#This Row],[Year]],$N$2:$N$27,$P$2:$P$27),ISNUMBER(Table1[[#This Row],[Column4]]),Table1[[#This Row],[Column4]],Table1[[#This Row],[Column4]]="",I72*(1+Table1[[#This Row],[Ávöxtun]]))</f>
        <v>146.43898822679137</v>
      </c>
      <c r="L73" s="33">
        <v>146.43898822679137</v>
      </c>
      <c r="M73" s="33">
        <v>146.43898822679137</v>
      </c>
    </row>
    <row r="74" spans="1:13">
      <c r="A74" t="s">
        <v>64</v>
      </c>
      <c r="B74">
        <v>2007</v>
      </c>
      <c r="C74" s="16">
        <v>-1.38E-2</v>
      </c>
      <c r="D74" s="1">
        <v>2263953</v>
      </c>
      <c r="E74" s="29">
        <f>Table1[[#This Row],[Ávöxtun]]*Table1[[#This Row],[Eignir]]/SUMIFS(Table1[Eignir],Table1[Year],Table1[[#This Row],[Year]])</f>
        <v>-2.0203304263422128E-5</v>
      </c>
      <c r="F74" s="23">
        <f>IF(B74=1997, 100, IF(COUNTIF(A$1:A73,A74)=0, "NEW", F73*(1+Table1[[#This Row],[Ávöxtun]])))</f>
        <v>144.41813018926163</v>
      </c>
      <c r="G74" s="18" cm="1">
        <f t="array" ref="G74">IFERROR(_xlfn.IFS(ISNUMBER(Table1[[#This Row],[Column3]]),Table1[[#This Row],[Column3]],Table1[[#This Row],[Column3]]="NEW",Table1[[#This Row],[Column3]]),"")</f>
        <v>144.41813018926163</v>
      </c>
      <c r="H74" s="15" cm="1">
        <f t="array" ref="H74">_xlfn.IFS(Table1[[#This Row],[Column4]]="NEW",AVERAGEIFS(Table1[Column4],Table1[Year],Table1[[#This Row],[Year]]),ISNUMBER(Table1[[#This Row],[Column4]]),Table1[[#This Row],[Column4]],Table1[[#This Row],[Column4]]="",H73*(1+Table1[[#This Row],[Ávöxtun]]))</f>
        <v>144.41813018926163</v>
      </c>
      <c r="I74" cm="1">
        <f t="array" ref="I74">_xlfn.IFS(Table1[[#This Row],[Column4]]="NEW",_xlfn.XLOOKUP(Table1[[#This Row],[Year]],$N$2:$N$27,$P$2:$P$27),ISNUMBER(Table1[[#This Row],[Column4]]),Table1[[#This Row],[Column4]],Table1[[#This Row],[Column4]]="",I73*(1+Table1[[#This Row],[Ávöxtun]]))</f>
        <v>144.41813018926163</v>
      </c>
      <c r="L74" s="33">
        <v>144.41813018926163</v>
      </c>
      <c r="M74" s="33">
        <v>144.41813018926163</v>
      </c>
    </row>
    <row r="75" spans="1:13">
      <c r="A75" t="s">
        <v>64</v>
      </c>
      <c r="B75">
        <v>2008</v>
      </c>
      <c r="C75" s="16">
        <v>-0.30599999999999999</v>
      </c>
      <c r="D75" s="1">
        <v>1773548</v>
      </c>
      <c r="E75" s="29">
        <f>Table1[[#This Row],[Ávöxtun]]*Table1[[#This Row],[Eignir]]/SUMIFS(Table1[Eignir],Table1[Year],Table1[[#This Row],[Year]])</f>
        <v>-3.6245187964098751E-4</v>
      </c>
      <c r="F75" s="23">
        <f>IF(B75=1997, 100, IF(COUNTIF(A$1:A74,A75)=0, "NEW", F74*(1+Table1[[#This Row],[Ávöxtun]])))</f>
        <v>100.22618235134756</v>
      </c>
      <c r="G75" s="18" cm="1">
        <f t="array" ref="G75">IFERROR(_xlfn.IFS(ISNUMBER(Table1[[#This Row],[Column3]]),Table1[[#This Row],[Column3]],Table1[[#This Row],[Column3]]="NEW",Table1[[#This Row],[Column3]]),"")</f>
        <v>100.22618235134756</v>
      </c>
      <c r="H75" s="15" cm="1">
        <f t="array" ref="H75">_xlfn.IFS(Table1[[#This Row],[Column4]]="NEW",AVERAGEIFS(Table1[Column4],Table1[Year],Table1[[#This Row],[Year]]),ISNUMBER(Table1[[#This Row],[Column4]]),Table1[[#This Row],[Column4]],Table1[[#This Row],[Column4]]="",H74*(1+Table1[[#This Row],[Ávöxtun]]))</f>
        <v>100.22618235134756</v>
      </c>
      <c r="I75" cm="1">
        <f t="array" ref="I75">_xlfn.IFS(Table1[[#This Row],[Column4]]="NEW",_xlfn.XLOOKUP(Table1[[#This Row],[Year]],$N$2:$N$27,$P$2:$P$27),ISNUMBER(Table1[[#This Row],[Column4]]),Table1[[#This Row],[Column4]],Table1[[#This Row],[Column4]]="",I74*(1+Table1[[#This Row],[Ávöxtun]]))</f>
        <v>100.22618235134756</v>
      </c>
      <c r="L75" s="33">
        <v>100.22618235134756</v>
      </c>
      <c r="M75" s="33">
        <v>100.22618235134756</v>
      </c>
    </row>
    <row r="76" spans="1:13">
      <c r="A76" t="s">
        <v>64</v>
      </c>
      <c r="B76">
        <v>2009</v>
      </c>
      <c r="C76" s="16">
        <v>1.1000000000000001E-2</v>
      </c>
      <c r="D76" s="1">
        <v>1875403</v>
      </c>
      <c r="E76" s="29">
        <f>Table1[[#This Row],[Ávöxtun]]*Table1[[#This Row],[Eignir]]/SUMIFS(Table1[Eignir],Table1[Year],Table1[[#This Row],[Year]])</f>
        <v>1.2365850237428183E-5</v>
      </c>
      <c r="F76" s="23">
        <f>IF(B76=1997, 100, IF(COUNTIF(A$1:A75,A76)=0, "NEW", F75*(1+Table1[[#This Row],[Ávöxtun]])))</f>
        <v>101.32867035721237</v>
      </c>
      <c r="G76" s="18" cm="1">
        <f t="array" ref="G76">IFERROR(_xlfn.IFS(ISNUMBER(Table1[[#This Row],[Column3]]),Table1[[#This Row],[Column3]],Table1[[#This Row],[Column3]]="NEW",Table1[[#This Row],[Column3]]),"")</f>
        <v>101.32867035721237</v>
      </c>
      <c r="H76" s="15" cm="1">
        <f t="array" ref="H76">_xlfn.IFS(Table1[[#This Row],[Column4]]="NEW",AVERAGEIFS(Table1[Column4],Table1[Year],Table1[[#This Row],[Year]]),ISNUMBER(Table1[[#This Row],[Column4]]),Table1[[#This Row],[Column4]],Table1[[#This Row],[Column4]]="",H75*(1+Table1[[#This Row],[Ávöxtun]]))</f>
        <v>101.32867035721237</v>
      </c>
      <c r="I76" cm="1">
        <f t="array" ref="I76">_xlfn.IFS(Table1[[#This Row],[Column4]]="NEW",_xlfn.XLOOKUP(Table1[[#This Row],[Year]],$N$2:$N$27,$P$2:$P$27),ISNUMBER(Table1[[#This Row],[Column4]]),Table1[[#This Row],[Column4]],Table1[[#This Row],[Column4]]="",I75*(1+Table1[[#This Row],[Ávöxtun]]))</f>
        <v>101.32867035721237</v>
      </c>
      <c r="L76" s="33">
        <v>101.32867035721237</v>
      </c>
      <c r="M76" s="33">
        <v>101.32867035721237</v>
      </c>
    </row>
    <row r="77" spans="1:13">
      <c r="A77" t="s">
        <v>64</v>
      </c>
      <c r="B77">
        <v>2010</v>
      </c>
      <c r="C77" s="16">
        <v>-1.26E-2</v>
      </c>
      <c r="D77" s="1">
        <v>1834264</v>
      </c>
      <c r="E77" s="29">
        <f>Table1[[#This Row],[Ávöxtun]]*Table1[[#This Row],[Eignir]]/SUMIFS(Table1[Eignir],Table1[Year],Table1[[#This Row],[Year]])</f>
        <v>-1.2927564693700105E-5</v>
      </c>
      <c r="F77" s="23">
        <f>IF(B77=1997, 100, IF(COUNTIF(A$1:A76,A77)=0, "NEW", F76*(1+Table1[[#This Row],[Ávöxtun]])))</f>
        <v>100.0519291107115</v>
      </c>
      <c r="G77" s="18" cm="1">
        <f t="array" ref="G77">IFERROR(_xlfn.IFS(ISNUMBER(Table1[[#This Row],[Column3]]),Table1[[#This Row],[Column3]],Table1[[#This Row],[Column3]]="NEW",Table1[[#This Row],[Column3]]),"")</f>
        <v>100.0519291107115</v>
      </c>
      <c r="H77" s="15" cm="1">
        <f t="array" ref="H77">_xlfn.IFS(Table1[[#This Row],[Column4]]="NEW",AVERAGEIFS(Table1[Column4],Table1[Year],Table1[[#This Row],[Year]]),ISNUMBER(Table1[[#This Row],[Column4]]),Table1[[#This Row],[Column4]],Table1[[#This Row],[Column4]]="",H76*(1+Table1[[#This Row],[Ávöxtun]]))</f>
        <v>100.0519291107115</v>
      </c>
      <c r="I77" cm="1">
        <f t="array" ref="I77">_xlfn.IFS(Table1[[#This Row],[Column4]]="NEW",_xlfn.XLOOKUP(Table1[[#This Row],[Year]],$N$2:$N$27,$P$2:$P$27),ISNUMBER(Table1[[#This Row],[Column4]]),Table1[[#This Row],[Column4]],Table1[[#This Row],[Column4]]="",I76*(1+Table1[[#This Row],[Ávöxtun]]))</f>
        <v>100.0519291107115</v>
      </c>
      <c r="L77" s="33">
        <v>100.0519291107115</v>
      </c>
      <c r="M77" s="33">
        <v>100.0519291107115</v>
      </c>
    </row>
    <row r="78" spans="1:13">
      <c r="A78" t="s">
        <v>64</v>
      </c>
      <c r="B78">
        <v>2011</v>
      </c>
      <c r="C78" s="16">
        <v>-2.7999999999999997E-2</v>
      </c>
      <c r="D78" s="1">
        <v>1807571</v>
      </c>
      <c r="E78" s="29">
        <f>Table1[[#This Row],[Ávöxtun]]*Table1[[#This Row],[Eignir]]/SUMIFS(Table1[Eignir],Table1[Year],Table1[[#This Row],[Year]])</f>
        <v>-2.5947429533525302E-5</v>
      </c>
      <c r="F78" s="23">
        <f>IF(B78=1997, 100, IF(COUNTIF(A$1:A77,A78)=0, "NEW", F77*(1+Table1[[#This Row],[Ávöxtun]])))</f>
        <v>97.250475095611577</v>
      </c>
      <c r="G78" s="18" cm="1">
        <f t="array" ref="G78">IFERROR(_xlfn.IFS(ISNUMBER(Table1[[#This Row],[Column3]]),Table1[[#This Row],[Column3]],Table1[[#This Row],[Column3]]="NEW",Table1[[#This Row],[Column3]]),"")</f>
        <v>97.250475095611577</v>
      </c>
      <c r="H78" s="15" cm="1">
        <f t="array" ref="H78">_xlfn.IFS(Table1[[#This Row],[Column4]]="NEW",AVERAGEIFS(Table1[Column4],Table1[Year],Table1[[#This Row],[Year]]),ISNUMBER(Table1[[#This Row],[Column4]]),Table1[[#This Row],[Column4]],Table1[[#This Row],[Column4]]="",H77*(1+Table1[[#This Row],[Ávöxtun]]))</f>
        <v>97.250475095611577</v>
      </c>
      <c r="I78" cm="1">
        <f t="array" ref="I78">_xlfn.IFS(Table1[[#This Row],[Column4]]="NEW",_xlfn.XLOOKUP(Table1[[#This Row],[Year]],$N$2:$N$27,$P$2:$P$27),ISNUMBER(Table1[[#This Row],[Column4]]),Table1[[#This Row],[Column4]],Table1[[#This Row],[Column4]]="",I77*(1+Table1[[#This Row],[Ávöxtun]]))</f>
        <v>97.250475095611577</v>
      </c>
      <c r="L78" s="33">
        <v>97.250475095611577</v>
      </c>
      <c r="M78" s="33">
        <v>97.250475095611577</v>
      </c>
    </row>
    <row r="79" spans="1:13">
      <c r="A79" t="s">
        <v>64</v>
      </c>
      <c r="B79">
        <v>2012</v>
      </c>
      <c r="C79" s="16">
        <v>8.199999999999999E-2</v>
      </c>
      <c r="D79" s="1">
        <v>2010404</v>
      </c>
      <c r="E79" s="29">
        <f>Table1[[#This Row],[Ávöxtun]]*Table1[[#This Row],[Eignir]]/SUMIFS(Table1[Eignir],Table1[Year],Table1[[#This Row],[Year]])</f>
        <v>7.483653062238994E-5</v>
      </c>
      <c r="F79" s="23">
        <f>IF(B79=1997, 100, IF(COUNTIF(A$1:A78,A79)=0, "NEW", F78*(1+Table1[[#This Row],[Ávöxtun]])))</f>
        <v>105.22501405345173</v>
      </c>
      <c r="G79" s="18" cm="1">
        <f t="array" ref="G79">IFERROR(_xlfn.IFS(ISNUMBER(Table1[[#This Row],[Column3]]),Table1[[#This Row],[Column3]],Table1[[#This Row],[Column3]]="NEW",Table1[[#This Row],[Column3]]),"")</f>
        <v>105.22501405345173</v>
      </c>
      <c r="H79" s="15" cm="1">
        <f t="array" ref="H79">_xlfn.IFS(Table1[[#This Row],[Column4]]="NEW",AVERAGEIFS(Table1[Column4],Table1[Year],Table1[[#This Row],[Year]]),ISNUMBER(Table1[[#This Row],[Column4]]),Table1[[#This Row],[Column4]],Table1[[#This Row],[Column4]]="",H78*(1+Table1[[#This Row],[Ávöxtun]]))</f>
        <v>105.22501405345173</v>
      </c>
      <c r="I79" cm="1">
        <f t="array" ref="I79">_xlfn.IFS(Table1[[#This Row],[Column4]]="NEW",_xlfn.XLOOKUP(Table1[[#This Row],[Year]],$N$2:$N$27,$P$2:$P$27),ISNUMBER(Table1[[#This Row],[Column4]]),Table1[[#This Row],[Column4]],Table1[[#This Row],[Column4]]="",I78*(1+Table1[[#This Row],[Ávöxtun]]))</f>
        <v>105.22501405345173</v>
      </c>
      <c r="L79" s="33">
        <v>105.22501405345173</v>
      </c>
      <c r="M79" s="33">
        <v>105.22501405345173</v>
      </c>
    </row>
    <row r="80" spans="1:13">
      <c r="A80" t="s">
        <v>65</v>
      </c>
      <c r="B80">
        <v>1997</v>
      </c>
      <c r="C80" s="16">
        <v>0.06</v>
      </c>
      <c r="D80" s="1">
        <v>526483.16</v>
      </c>
      <c r="E80" s="29">
        <f>Table1[[#This Row],[Ávöxtun]]*Table1[[#This Row],[Eignir]]/SUMIFS(Table1[Eignir],Table1[Year],Table1[[#This Row],[Year]])</f>
        <v>9.3175894907792322E-5</v>
      </c>
      <c r="F80" s="23">
        <f>IF(B80=1997, 100, IF(COUNTIF(A$1:A79,A80)=0, "NEW", F79*(1+Table1[[#This Row],[Ávöxtun]])))</f>
        <v>100</v>
      </c>
      <c r="G80" s="18" cm="1">
        <f t="array" ref="G80">IFERROR(_xlfn.IFS(ISNUMBER(Table1[[#This Row],[Column3]]),Table1[[#This Row],[Column3]],Table1[[#This Row],[Column3]]="NEW",Table1[[#This Row],[Column3]]),"")</f>
        <v>100</v>
      </c>
      <c r="H80" s="15" cm="1">
        <f t="array" ref="H80">_xlfn.IFS(Table1[[#This Row],[Column4]]="NEW",AVERAGEIFS(Table1[Column4],Table1[Year],Table1[[#This Row],[Year]]),ISNUMBER(Table1[[#This Row],[Column4]]),Table1[[#This Row],[Column4]],Table1[[#This Row],[Column4]]="",H79*(1+Table1[[#This Row],[Ávöxtun]]))</f>
        <v>100</v>
      </c>
      <c r="I80" cm="1">
        <f t="array" ref="I80">_xlfn.IFS(Table1[[#This Row],[Column4]]="NEW",_xlfn.XLOOKUP(Table1[[#This Row],[Year]],$N$2:$N$27,$P$2:$P$27),ISNUMBER(Table1[[#This Row],[Column4]]),Table1[[#This Row],[Column4]],Table1[[#This Row],[Column4]]="",I79*(1+Table1[[#This Row],[Ávöxtun]]))</f>
        <v>100</v>
      </c>
      <c r="L80" s="33">
        <v>100</v>
      </c>
      <c r="M80" s="33">
        <v>100</v>
      </c>
    </row>
    <row r="81" spans="1:13">
      <c r="A81" t="s">
        <v>65</v>
      </c>
      <c r="B81">
        <v>1998</v>
      </c>
      <c r="C81" s="16">
        <v>0.06</v>
      </c>
      <c r="D81" s="1">
        <v>536166.88</v>
      </c>
      <c r="E81" s="29">
        <f>Table1[[#This Row],[Ávöxtun]]*Table1[[#This Row],[Eignir]]/SUMIFS(Table1[Eignir],Table1[Year],Table1[[#This Row],[Year]])</f>
        <v>8.214286293487689E-5</v>
      </c>
      <c r="F81" s="23">
        <f>IF(B81=1997, 100, IF(COUNTIF(A$1:A80,A81)=0, "NEW", F80*(1+Table1[[#This Row],[Ávöxtun]])))</f>
        <v>106</v>
      </c>
      <c r="G81" s="18" cm="1">
        <f t="array" ref="G81">IFERROR(_xlfn.IFS(ISNUMBER(Table1[[#This Row],[Column3]]),Table1[[#This Row],[Column3]],Table1[[#This Row],[Column3]]="NEW",Table1[[#This Row],[Column3]]),"")</f>
        <v>106</v>
      </c>
      <c r="H81" s="15" cm="1">
        <f t="array" ref="H81">_xlfn.IFS(Table1[[#This Row],[Column4]]="NEW",AVERAGEIFS(Table1[Column4],Table1[Year],Table1[[#This Row],[Year]]),ISNUMBER(Table1[[#This Row],[Column4]]),Table1[[#This Row],[Column4]],Table1[[#This Row],[Column4]]="",H80*(1+Table1[[#This Row],[Ávöxtun]]))</f>
        <v>106</v>
      </c>
      <c r="I81" cm="1">
        <f t="array" ref="I81">_xlfn.IFS(Table1[[#This Row],[Column4]]="NEW",_xlfn.XLOOKUP(Table1[[#This Row],[Year]],$N$2:$N$27,$P$2:$P$27),ISNUMBER(Table1[[#This Row],[Column4]]),Table1[[#This Row],[Column4]],Table1[[#This Row],[Column4]]="",I80*(1+Table1[[#This Row],[Ávöxtun]]))</f>
        <v>106</v>
      </c>
      <c r="L81" s="33">
        <v>106</v>
      </c>
      <c r="M81" s="33">
        <v>106</v>
      </c>
    </row>
    <row r="82" spans="1:13">
      <c r="A82" t="s">
        <v>65</v>
      </c>
      <c r="B82">
        <v>1999</v>
      </c>
      <c r="C82" s="16">
        <v>7.0000000000000007E-2</v>
      </c>
      <c r="D82" s="1">
        <v>574450.77</v>
      </c>
      <c r="E82" s="29">
        <f>Table1[[#This Row],[Ávöxtun]]*Table1[[#This Row],[Eignir]]/SUMIFS(Table1[Eignir],Table1[Year],Table1[[#This Row],[Year]])</f>
        <v>7.7223478630266188E-5</v>
      </c>
      <c r="F82" s="23">
        <f>IF(B82=1997, 100, IF(COUNTIF(A$1:A81,A82)=0, "NEW", F81*(1+Table1[[#This Row],[Ávöxtun]])))</f>
        <v>113.42</v>
      </c>
      <c r="G82" s="18" cm="1">
        <f t="array" ref="G82">IFERROR(_xlfn.IFS(ISNUMBER(Table1[[#This Row],[Column3]]),Table1[[#This Row],[Column3]],Table1[[#This Row],[Column3]]="NEW",Table1[[#This Row],[Column3]]),"")</f>
        <v>113.42</v>
      </c>
      <c r="H82" s="15" cm="1">
        <f t="array" ref="H82">_xlfn.IFS(Table1[[#This Row],[Column4]]="NEW",AVERAGEIFS(Table1[Column4],Table1[Year],Table1[[#This Row],[Year]]),ISNUMBER(Table1[[#This Row],[Column4]]),Table1[[#This Row],[Column4]],Table1[[#This Row],[Column4]]="",H81*(1+Table1[[#This Row],[Ávöxtun]]))</f>
        <v>113.42</v>
      </c>
      <c r="I82" cm="1">
        <f t="array" ref="I82">_xlfn.IFS(Table1[[#This Row],[Column4]]="NEW",_xlfn.XLOOKUP(Table1[[#This Row],[Year]],$N$2:$N$27,$P$2:$P$27),ISNUMBER(Table1[[#This Row],[Column4]]),Table1[[#This Row],[Column4]],Table1[[#This Row],[Column4]]="",I81*(1+Table1[[#This Row],[Ávöxtun]]))</f>
        <v>113.42</v>
      </c>
      <c r="L82" s="33">
        <v>113.42</v>
      </c>
      <c r="M82" s="33">
        <v>113.42</v>
      </c>
    </row>
    <row r="83" spans="1:13">
      <c r="A83" t="s">
        <v>65</v>
      </c>
      <c r="B83">
        <v>2000</v>
      </c>
      <c r="C83" s="16">
        <v>0.03</v>
      </c>
      <c r="D83" s="1">
        <v>590126.5</v>
      </c>
      <c r="E83" s="29">
        <f>Table1[[#This Row],[Ávöxtun]]*Table1[[#This Row],[Eignir]]/SUMIFS(Table1[Eignir],Table1[Year],Table1[[#This Row],[Year]])</f>
        <v>2.4903715344018472E-5</v>
      </c>
      <c r="F83" s="23">
        <f>IF(B83=1997, 100, IF(COUNTIF(A$1:A82,A83)=0, "NEW", F82*(1+Table1[[#This Row],[Ávöxtun]])))</f>
        <v>116.82260000000001</v>
      </c>
      <c r="G83" s="18" cm="1">
        <f t="array" ref="G83">IFERROR(_xlfn.IFS(ISNUMBER(Table1[[#This Row],[Column3]]),Table1[[#This Row],[Column3]],Table1[[#This Row],[Column3]]="NEW",Table1[[#This Row],[Column3]]),"")</f>
        <v>116.82260000000001</v>
      </c>
      <c r="H83" s="15" cm="1">
        <f t="array" ref="H83">_xlfn.IFS(Table1[[#This Row],[Column4]]="NEW",AVERAGEIFS(Table1[Column4],Table1[Year],Table1[[#This Row],[Year]]),ISNUMBER(Table1[[#This Row],[Column4]]),Table1[[#This Row],[Column4]],Table1[[#This Row],[Column4]]="",H82*(1+Table1[[#This Row],[Ávöxtun]]))</f>
        <v>116.82260000000001</v>
      </c>
      <c r="I83" cm="1">
        <f t="array" ref="I83">_xlfn.IFS(Table1[[#This Row],[Column4]]="NEW",_xlfn.XLOOKUP(Table1[[#This Row],[Year]],$N$2:$N$27,$P$2:$P$27),ISNUMBER(Table1[[#This Row],[Column4]]),Table1[[#This Row],[Column4]],Table1[[#This Row],[Column4]]="",I82*(1+Table1[[#This Row],[Ávöxtun]]))</f>
        <v>116.82260000000001</v>
      </c>
      <c r="L83" s="33">
        <v>116.82260000000001</v>
      </c>
      <c r="M83" s="33">
        <v>116.82260000000001</v>
      </c>
    </row>
    <row r="84" spans="1:13">
      <c r="A84" t="s">
        <v>65</v>
      </c>
      <c r="B84">
        <v>2001</v>
      </c>
      <c r="C84" s="16">
        <v>0.04</v>
      </c>
      <c r="D84" s="1">
        <v>619900</v>
      </c>
      <c r="E84" s="29">
        <f>Table1[[#This Row],[Ávöxtun]]*Table1[[#This Row],[Eignir]]/SUMIFS(Table1[Eignir],Table1[Year],Table1[[#This Row],[Year]])</f>
        <v>2.1414339139387778E-5</v>
      </c>
      <c r="F84" s="23">
        <f>IF(B84=1997, 100, IF(COUNTIF(A$1:A83,A84)=0, "NEW", F83*(1+Table1[[#This Row],[Ávöxtun]])))</f>
        <v>121.49550400000001</v>
      </c>
      <c r="G84" s="18" cm="1">
        <f t="array" ref="G84">IFERROR(_xlfn.IFS(ISNUMBER(Table1[[#This Row],[Column3]]),Table1[[#This Row],[Column3]],Table1[[#This Row],[Column3]]="NEW",Table1[[#This Row],[Column3]]),"")</f>
        <v>121.49550400000001</v>
      </c>
      <c r="H84" s="15" cm="1">
        <f t="array" ref="H84">_xlfn.IFS(Table1[[#This Row],[Column4]]="NEW",AVERAGEIFS(Table1[Column4],Table1[Year],Table1[[#This Row],[Year]]),ISNUMBER(Table1[[#This Row],[Column4]]),Table1[[#This Row],[Column4]],Table1[[#This Row],[Column4]]="",H83*(1+Table1[[#This Row],[Ávöxtun]]))</f>
        <v>121.49550400000001</v>
      </c>
      <c r="I84" cm="1">
        <f t="array" ref="I84">_xlfn.IFS(Table1[[#This Row],[Column4]]="NEW",_xlfn.XLOOKUP(Table1[[#This Row],[Year]],$N$2:$N$27,$P$2:$P$27),ISNUMBER(Table1[[#This Row],[Column4]]),Table1[[#This Row],[Column4]],Table1[[#This Row],[Column4]]="",I83*(1+Table1[[#This Row],[Ávöxtun]]))</f>
        <v>121.49550400000001</v>
      </c>
      <c r="L84" s="33">
        <v>121.49550400000001</v>
      </c>
      <c r="M84" s="33">
        <v>121.49550400000001</v>
      </c>
    </row>
    <row r="85" spans="1:13">
      <c r="A85" t="s">
        <v>65</v>
      </c>
      <c r="B85">
        <v>2002</v>
      </c>
      <c r="C85" s="16">
        <v>0.06</v>
      </c>
      <c r="D85" s="1">
        <v>631434</v>
      </c>
      <c r="E85" s="29">
        <f>Table1[[#This Row],[Ávöxtun]]*Table1[[#This Row],[Eignir]]/SUMIFS(Table1[Eignir],Table1[Year],Table1[[#This Row],[Year]])</f>
        <v>5.9647635467904832E-5</v>
      </c>
      <c r="F85" s="23">
        <f>IF(B85=1997, 100, IF(COUNTIF(A$1:A84,A85)=0, "NEW", F84*(1+Table1[[#This Row],[Ávöxtun]])))</f>
        <v>128.78523424000002</v>
      </c>
      <c r="G85" s="18" cm="1">
        <f t="array" ref="G85">IFERROR(_xlfn.IFS(ISNUMBER(Table1[[#This Row],[Column3]]),Table1[[#This Row],[Column3]],Table1[[#This Row],[Column3]]="NEW",Table1[[#This Row],[Column3]]),"")</f>
        <v>128.78523424000002</v>
      </c>
      <c r="H85" s="15" cm="1">
        <f t="array" ref="H85">_xlfn.IFS(Table1[[#This Row],[Column4]]="NEW",AVERAGEIFS(Table1[Column4],Table1[Year],Table1[[#This Row],[Year]]),ISNUMBER(Table1[[#This Row],[Column4]]),Table1[[#This Row],[Column4]],Table1[[#This Row],[Column4]]="",H84*(1+Table1[[#This Row],[Ávöxtun]]))</f>
        <v>128.78523424000002</v>
      </c>
      <c r="I85" cm="1">
        <f t="array" ref="I85">_xlfn.IFS(Table1[[#This Row],[Column4]]="NEW",_xlfn.XLOOKUP(Table1[[#This Row],[Year]],$N$2:$N$27,$P$2:$P$27),ISNUMBER(Table1[[#This Row],[Column4]]),Table1[[#This Row],[Column4]],Table1[[#This Row],[Column4]]="",I84*(1+Table1[[#This Row],[Ávöxtun]]))</f>
        <v>128.78523424000002</v>
      </c>
      <c r="L85" s="33">
        <v>128.78523424000002</v>
      </c>
      <c r="M85" s="33">
        <v>128.78523424000002</v>
      </c>
    </row>
    <row r="86" spans="1:13">
      <c r="A86" t="s">
        <v>65</v>
      </c>
      <c r="B86">
        <v>2003</v>
      </c>
      <c r="C86" s="16">
        <v>0.09</v>
      </c>
      <c r="D86" s="1">
        <v>666338</v>
      </c>
      <c r="E86" s="29">
        <f>Table1[[#This Row],[Ávöxtun]]*Table1[[#This Row],[Eignir]]/SUMIFS(Table1[Eignir],Table1[Year],Table1[[#This Row],[Year]])</f>
        <v>7.8919725114481081E-5</v>
      </c>
      <c r="F86" s="23">
        <f>IF(B86=1997, 100, IF(COUNTIF(A$1:A85,A86)=0, "NEW", F85*(1+Table1[[#This Row],[Ávöxtun]])))</f>
        <v>140.37590532160004</v>
      </c>
      <c r="G86" s="18" cm="1">
        <f t="array" ref="G86">IFERROR(_xlfn.IFS(ISNUMBER(Table1[[#This Row],[Column3]]),Table1[[#This Row],[Column3]],Table1[[#This Row],[Column3]]="NEW",Table1[[#This Row],[Column3]]),"")</f>
        <v>140.37590532160004</v>
      </c>
      <c r="H86" s="15" cm="1">
        <f t="array" ref="H86">_xlfn.IFS(Table1[[#This Row],[Column4]]="NEW",AVERAGEIFS(Table1[Column4],Table1[Year],Table1[[#This Row],[Year]]),ISNUMBER(Table1[[#This Row],[Column4]]),Table1[[#This Row],[Column4]],Table1[[#This Row],[Column4]]="",H85*(1+Table1[[#This Row],[Ávöxtun]]))</f>
        <v>140.37590532160004</v>
      </c>
      <c r="I86" cm="1">
        <f t="array" ref="I86">_xlfn.IFS(Table1[[#This Row],[Column4]]="NEW",_xlfn.XLOOKUP(Table1[[#This Row],[Year]],$N$2:$N$27,$P$2:$P$27),ISNUMBER(Table1[[#This Row],[Column4]]),Table1[[#This Row],[Column4]],Table1[[#This Row],[Column4]]="",I85*(1+Table1[[#This Row],[Ávöxtun]]))</f>
        <v>140.37590532160004</v>
      </c>
      <c r="L86" s="33">
        <v>140.37590532160004</v>
      </c>
      <c r="M86" s="33">
        <v>140.37590532160004</v>
      </c>
    </row>
    <row r="87" spans="1:13">
      <c r="A87" t="s">
        <v>65</v>
      </c>
      <c r="B87">
        <v>2004</v>
      </c>
      <c r="C87" s="16">
        <v>0.08</v>
      </c>
      <c r="D87" s="1">
        <v>703719</v>
      </c>
      <c r="E87" s="29">
        <f>Table1[[#This Row],[Ávöxtun]]*Table1[[#This Row],[Eignir]]/SUMIFS(Table1[Eignir],Table1[Year],Table1[[#This Row],[Year]])</f>
        <v>6.2024186802889727E-5</v>
      </c>
      <c r="F87" s="23">
        <f>IF(B87=1997, 100, IF(COUNTIF(A$1:A86,A87)=0, "NEW", F86*(1+Table1[[#This Row],[Ávöxtun]])))</f>
        <v>151.60597774732807</v>
      </c>
      <c r="G87" s="18" cm="1">
        <f t="array" ref="G87">IFERROR(_xlfn.IFS(ISNUMBER(Table1[[#This Row],[Column3]]),Table1[[#This Row],[Column3]],Table1[[#This Row],[Column3]]="NEW",Table1[[#This Row],[Column3]]),"")</f>
        <v>151.60597774732807</v>
      </c>
      <c r="H87" s="15" cm="1">
        <f t="array" ref="H87">_xlfn.IFS(Table1[[#This Row],[Column4]]="NEW",AVERAGEIFS(Table1[Column4],Table1[Year],Table1[[#This Row],[Year]]),ISNUMBER(Table1[[#This Row],[Column4]]),Table1[[#This Row],[Column4]],Table1[[#This Row],[Column4]]="",H86*(1+Table1[[#This Row],[Ávöxtun]]))</f>
        <v>151.60597774732807</v>
      </c>
      <c r="I87" cm="1">
        <f t="array" ref="I87">_xlfn.IFS(Table1[[#This Row],[Column4]]="NEW",_xlfn.XLOOKUP(Table1[[#This Row],[Year]],$N$2:$N$27,$P$2:$P$27),ISNUMBER(Table1[[#This Row],[Column4]]),Table1[[#This Row],[Column4]],Table1[[#This Row],[Column4]]="",I86*(1+Table1[[#This Row],[Ávöxtun]]))</f>
        <v>151.60597774732807</v>
      </c>
      <c r="L87" s="33">
        <v>151.60597774732807</v>
      </c>
      <c r="M87" s="33">
        <v>151.60597774732807</v>
      </c>
    </row>
    <row r="88" spans="1:13">
      <c r="A88" t="s">
        <v>65</v>
      </c>
      <c r="B88">
        <v>2005</v>
      </c>
      <c r="C88" s="16">
        <v>0.06</v>
      </c>
      <c r="D88" s="1">
        <v>734520</v>
      </c>
      <c r="E88" s="29">
        <f>Table1[[#This Row],[Ávöxtun]]*Table1[[#This Row],[Eignir]]/SUMIFS(Table1[Eignir],Table1[Year],Table1[[#This Row],[Year]])</f>
        <v>3.9302342540167831E-5</v>
      </c>
      <c r="F88" s="23">
        <f>IF(B88=1997, 100, IF(COUNTIF(A$1:A87,A88)=0, "NEW", F87*(1+Table1[[#This Row],[Ávöxtun]])))</f>
        <v>160.70233641216777</v>
      </c>
      <c r="G88" s="18" cm="1">
        <f t="array" ref="G88">IFERROR(_xlfn.IFS(ISNUMBER(Table1[[#This Row],[Column3]]),Table1[[#This Row],[Column3]],Table1[[#This Row],[Column3]]="NEW",Table1[[#This Row],[Column3]]),"")</f>
        <v>160.70233641216777</v>
      </c>
      <c r="H88" s="15" cm="1">
        <f t="array" ref="H88">_xlfn.IFS(Table1[[#This Row],[Column4]]="NEW",AVERAGEIFS(Table1[Column4],Table1[Year],Table1[[#This Row],[Year]]),ISNUMBER(Table1[[#This Row],[Column4]]),Table1[[#This Row],[Column4]],Table1[[#This Row],[Column4]]="",H87*(1+Table1[[#This Row],[Ávöxtun]]))</f>
        <v>160.70233641216777</v>
      </c>
      <c r="I88" cm="1">
        <f t="array" ref="I88">_xlfn.IFS(Table1[[#This Row],[Column4]]="NEW",_xlfn.XLOOKUP(Table1[[#This Row],[Year]],$N$2:$N$27,$P$2:$P$27),ISNUMBER(Table1[[#This Row],[Column4]]),Table1[[#This Row],[Column4]],Table1[[#This Row],[Column4]]="",I87*(1+Table1[[#This Row],[Ávöxtun]]))</f>
        <v>160.70233641216777</v>
      </c>
      <c r="L88" s="33">
        <v>160.70233641216777</v>
      </c>
      <c r="M88" s="33">
        <v>160.70233641216777</v>
      </c>
    </row>
    <row r="89" spans="1:13">
      <c r="A89" t="s">
        <v>65</v>
      </c>
      <c r="B89">
        <v>2006</v>
      </c>
      <c r="C89" s="16">
        <v>5.1299999999999998E-2</v>
      </c>
      <c r="D89" s="1">
        <v>778769</v>
      </c>
      <c r="E89" s="29">
        <f>Table1[[#This Row],[Ávöxtun]]*Table1[[#This Row],[Eignir]]/SUMIFS(Table1[Eignir],Table1[Year],Table1[[#This Row],[Year]])</f>
        <v>2.9104362702903361E-5</v>
      </c>
      <c r="F89" s="23">
        <f>IF(B89=1997, 100, IF(COUNTIF(A$1:A88,A89)=0, "NEW", F88*(1+Table1[[#This Row],[Ávöxtun]])))</f>
        <v>168.94636627011195</v>
      </c>
      <c r="G89" s="18" cm="1">
        <f t="array" ref="G89">IFERROR(_xlfn.IFS(ISNUMBER(Table1[[#This Row],[Column3]]),Table1[[#This Row],[Column3]],Table1[[#This Row],[Column3]]="NEW",Table1[[#This Row],[Column3]]),"")</f>
        <v>168.94636627011195</v>
      </c>
      <c r="H89" s="15" cm="1">
        <f t="array" ref="H89">_xlfn.IFS(Table1[[#This Row],[Column4]]="NEW",AVERAGEIFS(Table1[Column4],Table1[Year],Table1[[#This Row],[Year]]),ISNUMBER(Table1[[#This Row],[Column4]]),Table1[[#This Row],[Column4]],Table1[[#This Row],[Column4]]="",H88*(1+Table1[[#This Row],[Ávöxtun]]))</f>
        <v>168.94636627011195</v>
      </c>
      <c r="I89" cm="1">
        <f t="array" ref="I89">_xlfn.IFS(Table1[[#This Row],[Column4]]="NEW",_xlfn.XLOOKUP(Table1[[#This Row],[Year]],$N$2:$N$27,$P$2:$P$27),ISNUMBER(Table1[[#This Row],[Column4]]),Table1[[#This Row],[Column4]],Table1[[#This Row],[Column4]]="",I88*(1+Table1[[#This Row],[Ávöxtun]]))</f>
        <v>168.94636627011195</v>
      </c>
      <c r="L89" s="33">
        <v>168.94636627011195</v>
      </c>
      <c r="M89" s="33">
        <v>168.94636627011195</v>
      </c>
    </row>
    <row r="90" spans="1:13">
      <c r="A90" t="s">
        <v>66</v>
      </c>
      <c r="B90">
        <v>1997</v>
      </c>
      <c r="C90" s="16">
        <v>0.06</v>
      </c>
      <c r="D90" s="1">
        <v>4779686.8</v>
      </c>
      <c r="E90" s="29">
        <f>Table1[[#This Row],[Ávöxtun]]*Table1[[#This Row],[Eignir]]/SUMIFS(Table1[Eignir],Table1[Year],Table1[[#This Row],[Year]])</f>
        <v>8.4589903116552134E-4</v>
      </c>
      <c r="F90" s="23">
        <f>IF(B90=1997, 100, IF(COUNTIF(A$1:A89,A90)=0, "NEW", F89*(1+Table1[[#This Row],[Ávöxtun]])))</f>
        <v>100</v>
      </c>
      <c r="G90" s="18" cm="1">
        <f t="array" ref="G90">IFERROR(_xlfn.IFS(ISNUMBER(Table1[[#This Row],[Column3]]),Table1[[#This Row],[Column3]],Table1[[#This Row],[Column3]]="NEW",Table1[[#This Row],[Column3]]),"")</f>
        <v>100</v>
      </c>
      <c r="H90" s="15" cm="1">
        <f t="array" ref="H90">_xlfn.IFS(Table1[[#This Row],[Column4]]="NEW",AVERAGEIFS(Table1[Column4],Table1[Year],Table1[[#This Row],[Year]]),ISNUMBER(Table1[[#This Row],[Column4]]),Table1[[#This Row],[Column4]],Table1[[#This Row],[Column4]]="",H89*(1+Table1[[#This Row],[Ávöxtun]]))</f>
        <v>100</v>
      </c>
      <c r="I90" cm="1">
        <f t="array" ref="I90">_xlfn.IFS(Table1[[#This Row],[Column4]]="NEW",_xlfn.XLOOKUP(Table1[[#This Row],[Year]],$N$2:$N$27,$P$2:$P$27),ISNUMBER(Table1[[#This Row],[Column4]]),Table1[[#This Row],[Column4]],Table1[[#This Row],[Column4]]="",I89*(1+Table1[[#This Row],[Ávöxtun]]))</f>
        <v>100</v>
      </c>
      <c r="L90" s="33">
        <v>100</v>
      </c>
      <c r="M90" s="33">
        <v>100</v>
      </c>
    </row>
    <row r="91" spans="1:13">
      <c r="A91" t="s">
        <v>66</v>
      </c>
      <c r="B91">
        <v>1998</v>
      </c>
      <c r="C91" s="16">
        <v>7.0000000000000007E-2</v>
      </c>
      <c r="D91" s="1">
        <v>5298845.5</v>
      </c>
      <c r="E91" s="29">
        <f>Table1[[#This Row],[Ávöxtun]]*Table1[[#This Row],[Eignir]]/SUMIFS(Table1[Eignir],Table1[Year],Table1[[#This Row],[Year]])</f>
        <v>9.4710449643872232E-4</v>
      </c>
      <c r="F91" s="23">
        <f>IF(B91=1997, 100, IF(COUNTIF(A$1:A90,A91)=0, "NEW", F90*(1+Table1[[#This Row],[Ávöxtun]])))</f>
        <v>107</v>
      </c>
      <c r="G91" s="18" cm="1">
        <f t="array" ref="G91">IFERROR(_xlfn.IFS(ISNUMBER(Table1[[#This Row],[Column3]]),Table1[[#This Row],[Column3]],Table1[[#This Row],[Column3]]="NEW",Table1[[#This Row],[Column3]]),"")</f>
        <v>107</v>
      </c>
      <c r="H91" s="15" cm="1">
        <f t="array" ref="H91">_xlfn.IFS(Table1[[#This Row],[Column4]]="NEW",AVERAGEIFS(Table1[Column4],Table1[Year],Table1[[#This Row],[Year]]),ISNUMBER(Table1[[#This Row],[Column4]]),Table1[[#This Row],[Column4]],Table1[[#This Row],[Column4]]="",H90*(1+Table1[[#This Row],[Ávöxtun]]))</f>
        <v>107</v>
      </c>
      <c r="I91" cm="1">
        <f t="array" ref="I91">_xlfn.IFS(Table1[[#This Row],[Column4]]="NEW",_xlfn.XLOOKUP(Table1[[#This Row],[Year]],$N$2:$N$27,$P$2:$P$27),ISNUMBER(Table1[[#This Row],[Column4]]),Table1[[#This Row],[Column4]],Table1[[#This Row],[Column4]]="",I90*(1+Table1[[#This Row],[Ávöxtun]]))</f>
        <v>107</v>
      </c>
      <c r="L91" s="33">
        <v>107</v>
      </c>
      <c r="M91" s="33">
        <v>107</v>
      </c>
    </row>
    <row r="92" spans="1:13">
      <c r="A92" t="s">
        <v>66</v>
      </c>
      <c r="B92">
        <v>1999</v>
      </c>
      <c r="C92" s="16">
        <v>0.08</v>
      </c>
      <c r="D92" s="1">
        <v>6193614.6399999997</v>
      </c>
      <c r="E92" s="29">
        <f>Table1[[#This Row],[Ávöxtun]]*Table1[[#This Row],[Eignir]]/SUMIFS(Table1[Eignir],Table1[Year],Table1[[#This Row],[Year]])</f>
        <v>9.5155232048099237E-4</v>
      </c>
      <c r="F92" s="23">
        <f>IF(B92=1997, 100, IF(COUNTIF(A$1:A91,A92)=0, "NEW", F91*(1+Table1[[#This Row],[Ávöxtun]])))</f>
        <v>115.56</v>
      </c>
      <c r="G92" s="18" cm="1">
        <f t="array" ref="G92">IFERROR(_xlfn.IFS(ISNUMBER(Table1[[#This Row],[Column3]]),Table1[[#This Row],[Column3]],Table1[[#This Row],[Column3]]="NEW",Table1[[#This Row],[Column3]]),"")</f>
        <v>115.56</v>
      </c>
      <c r="H92" s="15" cm="1">
        <f t="array" ref="H92">_xlfn.IFS(Table1[[#This Row],[Column4]]="NEW",AVERAGEIFS(Table1[Column4],Table1[Year],Table1[[#This Row],[Year]]),ISNUMBER(Table1[[#This Row],[Column4]]),Table1[[#This Row],[Column4]],Table1[[#This Row],[Column4]]="",H91*(1+Table1[[#This Row],[Ávöxtun]]))</f>
        <v>115.56</v>
      </c>
      <c r="I92" cm="1">
        <f t="array" ref="I92">_xlfn.IFS(Table1[[#This Row],[Column4]]="NEW",_xlfn.XLOOKUP(Table1[[#This Row],[Year]],$N$2:$N$27,$P$2:$P$27),ISNUMBER(Table1[[#This Row],[Column4]]),Table1[[#This Row],[Column4]],Table1[[#This Row],[Column4]]="",I91*(1+Table1[[#This Row],[Ávöxtun]]))</f>
        <v>115.56</v>
      </c>
      <c r="L92" s="33">
        <v>115.56</v>
      </c>
      <c r="M92" s="33">
        <v>115.56</v>
      </c>
    </row>
    <row r="93" spans="1:13">
      <c r="A93" t="s">
        <v>66</v>
      </c>
      <c r="B93">
        <v>2000</v>
      </c>
      <c r="C93" s="16">
        <v>0.03</v>
      </c>
      <c r="D93" s="1">
        <v>6782032.7699999996</v>
      </c>
      <c r="E93" s="29">
        <f>Table1[[#This Row],[Ávöxtun]]*Table1[[#This Row],[Eignir]]/SUMIFS(Table1[Eignir],Table1[Year],Table1[[#This Row],[Year]])</f>
        <v>2.8620611607491802E-4</v>
      </c>
      <c r="F93" s="23">
        <f>IF(B93=1997, 100, IF(COUNTIF(A$1:A92,A93)=0, "NEW", F92*(1+Table1[[#This Row],[Ávöxtun]])))</f>
        <v>119.02680000000001</v>
      </c>
      <c r="G93" s="18" cm="1">
        <f t="array" ref="G93">IFERROR(_xlfn.IFS(ISNUMBER(Table1[[#This Row],[Column3]]),Table1[[#This Row],[Column3]],Table1[[#This Row],[Column3]]="NEW",Table1[[#This Row],[Column3]]),"")</f>
        <v>119.02680000000001</v>
      </c>
      <c r="H93" s="15" cm="1">
        <f t="array" ref="H93">_xlfn.IFS(Table1[[#This Row],[Column4]]="NEW",AVERAGEIFS(Table1[Column4],Table1[Year],Table1[[#This Row],[Year]]),ISNUMBER(Table1[[#This Row],[Column4]]),Table1[[#This Row],[Column4]],Table1[[#This Row],[Column4]]="",H92*(1+Table1[[#This Row],[Ávöxtun]]))</f>
        <v>119.02680000000001</v>
      </c>
      <c r="I93" cm="1">
        <f t="array" ref="I93">_xlfn.IFS(Table1[[#This Row],[Column4]]="NEW",_xlfn.XLOOKUP(Table1[[#This Row],[Year]],$N$2:$N$27,$P$2:$P$27),ISNUMBER(Table1[[#This Row],[Column4]]),Table1[[#This Row],[Column4]],Table1[[#This Row],[Column4]]="",I92*(1+Table1[[#This Row],[Ávöxtun]]))</f>
        <v>119.02680000000001</v>
      </c>
      <c r="L93" s="33">
        <v>119.02680000000001</v>
      </c>
      <c r="M93" s="33">
        <v>119.02680000000001</v>
      </c>
    </row>
    <row r="94" spans="1:13">
      <c r="A94" t="s">
        <v>66</v>
      </c>
      <c r="B94">
        <v>2001</v>
      </c>
      <c r="C94" s="16">
        <v>7.0000000000000007E-2</v>
      </c>
      <c r="D94" s="1">
        <v>15679219</v>
      </c>
      <c r="E94" s="29">
        <f>Table1[[#This Row],[Ávöxtun]]*Table1[[#This Row],[Eignir]]/SUMIFS(Table1[Eignir],Table1[Year],Table1[[#This Row],[Year]])</f>
        <v>9.4786287778154856E-4</v>
      </c>
      <c r="F94" s="23">
        <f>IF(B94=1997, 100, IF(COUNTIF(A$1:A93,A94)=0, "NEW", F93*(1+Table1[[#This Row],[Ávöxtun]])))</f>
        <v>127.35867600000002</v>
      </c>
      <c r="G94" s="18" cm="1">
        <f t="array" ref="G94">IFERROR(_xlfn.IFS(ISNUMBER(Table1[[#This Row],[Column3]]),Table1[[#This Row],[Column3]],Table1[[#This Row],[Column3]]="NEW",Table1[[#This Row],[Column3]]),"")</f>
        <v>127.35867600000002</v>
      </c>
      <c r="H94" s="15" cm="1">
        <f t="array" ref="H94">_xlfn.IFS(Table1[[#This Row],[Column4]]="NEW",AVERAGEIFS(Table1[Column4],Table1[Year],Table1[[#This Row],[Year]]),ISNUMBER(Table1[[#This Row],[Column4]]),Table1[[#This Row],[Column4]],Table1[[#This Row],[Column4]]="",H93*(1+Table1[[#This Row],[Ávöxtun]]))</f>
        <v>127.35867600000002</v>
      </c>
      <c r="I94" cm="1">
        <f t="array" ref="I94">_xlfn.IFS(Table1[[#This Row],[Column4]]="NEW",_xlfn.XLOOKUP(Table1[[#This Row],[Year]],$N$2:$N$27,$P$2:$P$27),ISNUMBER(Table1[[#This Row],[Column4]]),Table1[[#This Row],[Column4]],Table1[[#This Row],[Column4]]="",I93*(1+Table1[[#This Row],[Ávöxtun]]))</f>
        <v>127.35867600000002</v>
      </c>
      <c r="L94" s="33">
        <v>127.35867600000002</v>
      </c>
      <c r="M94" s="33">
        <v>127.35867600000002</v>
      </c>
    </row>
    <row r="95" spans="1:13">
      <c r="A95" t="s">
        <v>66</v>
      </c>
      <c r="B95">
        <v>2002</v>
      </c>
      <c r="C95" s="16">
        <v>-0.04</v>
      </c>
      <c r="D95" s="1">
        <v>7831183</v>
      </c>
      <c r="E95" s="29">
        <f>Table1[[#This Row],[Ávöxtun]]*Table1[[#This Row],[Eignir]]/SUMIFS(Table1[Eignir],Table1[Year],Table1[[#This Row],[Year]])</f>
        <v>-4.9317537421852834E-4</v>
      </c>
      <c r="F95" s="23">
        <f>IF(B95=1997, 100, IF(COUNTIF(A$1:A94,A95)=0, "NEW", F94*(1+Table1[[#This Row],[Ávöxtun]])))</f>
        <v>122.26432896000001</v>
      </c>
      <c r="G95" s="18" cm="1">
        <f t="array" ref="G95">IFERROR(_xlfn.IFS(ISNUMBER(Table1[[#This Row],[Column3]]),Table1[[#This Row],[Column3]],Table1[[#This Row],[Column3]]="NEW",Table1[[#This Row],[Column3]]),"")</f>
        <v>122.26432896000001</v>
      </c>
      <c r="H95" s="15" cm="1">
        <f t="array" ref="H95">_xlfn.IFS(Table1[[#This Row],[Column4]]="NEW",AVERAGEIFS(Table1[Column4],Table1[Year],Table1[[#This Row],[Year]]),ISNUMBER(Table1[[#This Row],[Column4]]),Table1[[#This Row],[Column4]],Table1[[#This Row],[Column4]]="",H94*(1+Table1[[#This Row],[Ávöxtun]]))</f>
        <v>122.26432896000001</v>
      </c>
      <c r="I95" cm="1">
        <f t="array" ref="I95">_xlfn.IFS(Table1[[#This Row],[Column4]]="NEW",_xlfn.XLOOKUP(Table1[[#This Row],[Year]],$N$2:$N$27,$P$2:$P$27),ISNUMBER(Table1[[#This Row],[Column4]]),Table1[[#This Row],[Column4]],Table1[[#This Row],[Column4]]="",I94*(1+Table1[[#This Row],[Ávöxtun]]))</f>
        <v>122.26432896000001</v>
      </c>
      <c r="L95" s="33">
        <v>122.26432896000001</v>
      </c>
      <c r="M95" s="33">
        <v>122.26432896000001</v>
      </c>
    </row>
    <row r="96" spans="1:13">
      <c r="A96" t="s">
        <v>66</v>
      </c>
      <c r="B96">
        <v>2003</v>
      </c>
      <c r="C96" s="16">
        <v>0.1</v>
      </c>
      <c r="D96" s="1">
        <v>9043587</v>
      </c>
      <c r="E96" s="29">
        <f>Table1[[#This Row],[Ávöxtun]]*Table1[[#This Row],[Eignir]]/SUMIFS(Table1[Eignir],Table1[Year],Table1[[#This Row],[Year]])</f>
        <v>1.1901157272016683E-3</v>
      </c>
      <c r="F96" s="23">
        <f>IF(B96=1997, 100, IF(COUNTIF(A$1:A95,A96)=0, "NEW", F95*(1+Table1[[#This Row],[Ávöxtun]])))</f>
        <v>134.49076185600003</v>
      </c>
      <c r="G96" s="18" cm="1">
        <f t="array" ref="G96">IFERROR(_xlfn.IFS(ISNUMBER(Table1[[#This Row],[Column3]]),Table1[[#This Row],[Column3]],Table1[[#This Row],[Column3]]="NEW",Table1[[#This Row],[Column3]]),"")</f>
        <v>134.49076185600003</v>
      </c>
      <c r="H96" s="15" cm="1">
        <f t="array" ref="H96">_xlfn.IFS(Table1[[#This Row],[Column4]]="NEW",AVERAGEIFS(Table1[Column4],Table1[Year],Table1[[#This Row],[Year]]),ISNUMBER(Table1[[#This Row],[Column4]]),Table1[[#This Row],[Column4]],Table1[[#This Row],[Column4]]="",H95*(1+Table1[[#This Row],[Ávöxtun]]))</f>
        <v>134.49076185600003</v>
      </c>
      <c r="I96" cm="1">
        <f t="array" ref="I96">_xlfn.IFS(Table1[[#This Row],[Column4]]="NEW",_xlfn.XLOOKUP(Table1[[#This Row],[Year]],$N$2:$N$27,$P$2:$P$27),ISNUMBER(Table1[[#This Row],[Column4]]),Table1[[#This Row],[Column4]],Table1[[#This Row],[Column4]]="",I95*(1+Table1[[#This Row],[Ávöxtun]]))</f>
        <v>134.49076185600003</v>
      </c>
      <c r="L96" s="33">
        <v>134.49076185600003</v>
      </c>
      <c r="M96" s="33">
        <v>134.49076185600003</v>
      </c>
    </row>
    <row r="97" spans="1:13">
      <c r="A97" t="s">
        <v>66</v>
      </c>
      <c r="B97">
        <v>2004</v>
      </c>
      <c r="C97" s="16">
        <v>0.06</v>
      </c>
      <c r="D97" s="1">
        <v>10215286</v>
      </c>
      <c r="E97" s="29">
        <f>Table1[[#This Row],[Ávöxtun]]*Table1[[#This Row],[Eignir]]/SUMIFS(Table1[Eignir],Table1[Year],Table1[[#This Row],[Year]])</f>
        <v>6.7526399789078905E-4</v>
      </c>
      <c r="F97" s="23">
        <f>IF(B97=1997, 100, IF(COUNTIF(A$1:A96,A97)=0, "NEW", F96*(1+Table1[[#This Row],[Ávöxtun]])))</f>
        <v>142.56020756736004</v>
      </c>
      <c r="G97" s="18" cm="1">
        <f t="array" ref="G97">IFERROR(_xlfn.IFS(ISNUMBER(Table1[[#This Row],[Column3]]),Table1[[#This Row],[Column3]],Table1[[#This Row],[Column3]]="NEW",Table1[[#This Row],[Column3]]),"")</f>
        <v>142.56020756736004</v>
      </c>
      <c r="H97" s="15" cm="1">
        <f t="array" ref="H97">_xlfn.IFS(Table1[[#This Row],[Column4]]="NEW",AVERAGEIFS(Table1[Column4],Table1[Year],Table1[[#This Row],[Year]]),ISNUMBER(Table1[[#This Row],[Column4]]),Table1[[#This Row],[Column4]],Table1[[#This Row],[Column4]]="",H96*(1+Table1[[#This Row],[Ávöxtun]]))</f>
        <v>142.56020756736004</v>
      </c>
      <c r="I97" cm="1">
        <f t="array" ref="I97">_xlfn.IFS(Table1[[#This Row],[Column4]]="NEW",_xlfn.XLOOKUP(Table1[[#This Row],[Year]],$N$2:$N$27,$P$2:$P$27),ISNUMBER(Table1[[#This Row],[Column4]]),Table1[[#This Row],[Column4]],Table1[[#This Row],[Column4]]="",I96*(1+Table1[[#This Row],[Ávöxtun]]))</f>
        <v>142.56020756736004</v>
      </c>
      <c r="L97" s="33">
        <v>142.56020756736004</v>
      </c>
      <c r="M97" s="33">
        <v>142.56020756736004</v>
      </c>
    </row>
    <row r="98" spans="1:13">
      <c r="A98" t="s">
        <v>66</v>
      </c>
      <c r="B98">
        <v>2005</v>
      </c>
      <c r="C98" s="16">
        <v>7.0000000000000007E-2</v>
      </c>
      <c r="D98" s="1">
        <v>11749371</v>
      </c>
      <c r="E98" s="29">
        <f>Table1[[#This Row],[Ávöxtun]]*Table1[[#This Row],[Eignir]]/SUMIFS(Table1[Eignir],Table1[Year],Table1[[#This Row],[Year]])</f>
        <v>7.3345963479882559E-4</v>
      </c>
      <c r="F98" s="23">
        <f>IF(B98=1997, 100, IF(COUNTIF(A$1:A97,A98)=0, "NEW", F97*(1+Table1[[#This Row],[Ávöxtun]])))</f>
        <v>152.53942209707526</v>
      </c>
      <c r="G98" s="18" cm="1">
        <f t="array" ref="G98">IFERROR(_xlfn.IFS(ISNUMBER(Table1[[#This Row],[Column3]]),Table1[[#This Row],[Column3]],Table1[[#This Row],[Column3]]="NEW",Table1[[#This Row],[Column3]]),"")</f>
        <v>152.53942209707526</v>
      </c>
      <c r="H98" s="15" cm="1">
        <f t="array" ref="H98">_xlfn.IFS(Table1[[#This Row],[Column4]]="NEW",AVERAGEIFS(Table1[Column4],Table1[Year],Table1[[#This Row],[Year]]),ISNUMBER(Table1[[#This Row],[Column4]]),Table1[[#This Row],[Column4]],Table1[[#This Row],[Column4]]="",H97*(1+Table1[[#This Row],[Ávöxtun]]))</f>
        <v>152.53942209707526</v>
      </c>
      <c r="I98" cm="1">
        <f t="array" ref="I98">_xlfn.IFS(Table1[[#This Row],[Column4]]="NEW",_xlfn.XLOOKUP(Table1[[#This Row],[Year]],$N$2:$N$27,$P$2:$P$27),ISNUMBER(Table1[[#This Row],[Column4]]),Table1[[#This Row],[Column4]],Table1[[#This Row],[Column4]]="",I97*(1+Table1[[#This Row],[Ávöxtun]]))</f>
        <v>152.53942209707526</v>
      </c>
      <c r="L98" s="33">
        <v>152.53942209707526</v>
      </c>
      <c r="M98" s="33">
        <v>152.53942209707526</v>
      </c>
    </row>
    <row r="99" spans="1:13">
      <c r="A99" t="s">
        <v>66</v>
      </c>
      <c r="B99">
        <v>2006</v>
      </c>
      <c r="C99" s="16">
        <v>8.77E-2</v>
      </c>
      <c r="D99" s="1">
        <v>14131890</v>
      </c>
      <c r="E99" s="29">
        <f>Table1[[#This Row],[Ávöxtun]]*Table1[[#This Row],[Eignir]]/SUMIFS(Table1[Eignir],Table1[Year],Table1[[#This Row],[Year]])</f>
        <v>9.028839129104091E-4</v>
      </c>
      <c r="F99" s="23">
        <f>IF(B99=1997, 100, IF(COUNTIF(A$1:A98,A99)=0, "NEW", F98*(1+Table1[[#This Row],[Ávöxtun]])))</f>
        <v>165.91712941498875</v>
      </c>
      <c r="G99" s="18" cm="1">
        <f t="array" ref="G99">IFERROR(_xlfn.IFS(ISNUMBER(Table1[[#This Row],[Column3]]),Table1[[#This Row],[Column3]],Table1[[#This Row],[Column3]]="NEW",Table1[[#This Row],[Column3]]),"")</f>
        <v>165.91712941498875</v>
      </c>
      <c r="H99" s="15" cm="1">
        <f t="array" ref="H99">_xlfn.IFS(Table1[[#This Row],[Column4]]="NEW",AVERAGEIFS(Table1[Column4],Table1[Year],Table1[[#This Row],[Year]]),ISNUMBER(Table1[[#This Row],[Column4]]),Table1[[#This Row],[Column4]],Table1[[#This Row],[Column4]]="",H98*(1+Table1[[#This Row],[Ávöxtun]]))</f>
        <v>165.91712941498875</v>
      </c>
      <c r="I99" cm="1">
        <f t="array" ref="I99">_xlfn.IFS(Table1[[#This Row],[Column4]]="NEW",_xlfn.XLOOKUP(Table1[[#This Row],[Year]],$N$2:$N$27,$P$2:$P$27),ISNUMBER(Table1[[#This Row],[Column4]]),Table1[[#This Row],[Column4]],Table1[[#This Row],[Column4]]="",I98*(1+Table1[[#This Row],[Ávöxtun]]))</f>
        <v>165.91712941498875</v>
      </c>
      <c r="L99" s="33">
        <v>165.91712941498875</v>
      </c>
      <c r="M99" s="33">
        <v>165.91712941498875</v>
      </c>
    </row>
    <row r="100" spans="1:13">
      <c r="A100" t="s">
        <v>66</v>
      </c>
      <c r="B100">
        <v>2007</v>
      </c>
      <c r="C100" s="16">
        <v>1.5700000000000002E-2</v>
      </c>
      <c r="D100" s="1">
        <v>15631046</v>
      </c>
      <c r="E100" s="29">
        <f>Table1[[#This Row],[Ávöxtun]]*Table1[[#This Row],[Eignir]]/SUMIFS(Table1[Eignir],Table1[Year],Table1[[#This Row],[Year]])</f>
        <v>1.5869513202461098E-4</v>
      </c>
      <c r="F100" s="23">
        <f>IF(B100=1997, 100, IF(COUNTIF(A$1:A99,A100)=0, "NEW", F99*(1+Table1[[#This Row],[Ávöxtun]])))</f>
        <v>168.52202834680409</v>
      </c>
      <c r="G100" s="18" cm="1">
        <f t="array" ref="G100">IFERROR(_xlfn.IFS(ISNUMBER(Table1[[#This Row],[Column3]]),Table1[[#This Row],[Column3]],Table1[[#This Row],[Column3]]="NEW",Table1[[#This Row],[Column3]]),"")</f>
        <v>168.52202834680409</v>
      </c>
      <c r="H100" s="15" cm="1">
        <f t="array" ref="H100">_xlfn.IFS(Table1[[#This Row],[Column4]]="NEW",AVERAGEIFS(Table1[Column4],Table1[Year],Table1[[#This Row],[Year]]),ISNUMBER(Table1[[#This Row],[Column4]]),Table1[[#This Row],[Column4]],Table1[[#This Row],[Column4]]="",H99*(1+Table1[[#This Row],[Ávöxtun]]))</f>
        <v>168.52202834680409</v>
      </c>
      <c r="I100" cm="1">
        <f t="array" ref="I100">_xlfn.IFS(Table1[[#This Row],[Column4]]="NEW",_xlfn.XLOOKUP(Table1[[#This Row],[Year]],$N$2:$N$27,$P$2:$P$27),ISNUMBER(Table1[[#This Row],[Column4]]),Table1[[#This Row],[Column4]],Table1[[#This Row],[Column4]]="",I99*(1+Table1[[#This Row],[Ávöxtun]]))</f>
        <v>168.52202834680409</v>
      </c>
      <c r="L100" s="33">
        <v>168.52202834680409</v>
      </c>
      <c r="M100" s="33">
        <v>168.52202834680409</v>
      </c>
    </row>
    <row r="101" spans="1:13">
      <c r="A101" t="s">
        <v>66</v>
      </c>
      <c r="B101">
        <v>2008</v>
      </c>
      <c r="C101" s="16">
        <v>-0.26019999999999999</v>
      </c>
      <c r="D101" s="1">
        <v>14046610</v>
      </c>
      <c r="E101" s="29">
        <f>Table1[[#This Row],[Ávöxtun]]*Table1[[#This Row],[Eignir]]/SUMIFS(Table1[Eignir],Table1[Year],Table1[[#This Row],[Year]])</f>
        <v>-2.4409832521991711E-3</v>
      </c>
      <c r="F101" s="23">
        <f>IF(B101=1997, 100, IF(COUNTIF(A$1:A100,A101)=0, "NEW", F100*(1+Table1[[#This Row],[Ávöxtun]])))</f>
        <v>124.67259657096567</v>
      </c>
      <c r="G101" s="18" cm="1">
        <f t="array" ref="G101">IFERROR(_xlfn.IFS(ISNUMBER(Table1[[#This Row],[Column3]]),Table1[[#This Row],[Column3]],Table1[[#This Row],[Column3]]="NEW",Table1[[#This Row],[Column3]]),"")</f>
        <v>124.67259657096567</v>
      </c>
      <c r="H101" s="15" cm="1">
        <f t="array" ref="H101">_xlfn.IFS(Table1[[#This Row],[Column4]]="NEW",AVERAGEIFS(Table1[Column4],Table1[Year],Table1[[#This Row],[Year]]),ISNUMBER(Table1[[#This Row],[Column4]]),Table1[[#This Row],[Column4]],Table1[[#This Row],[Column4]]="",H100*(1+Table1[[#This Row],[Ávöxtun]]))</f>
        <v>124.67259657096567</v>
      </c>
      <c r="I101" cm="1">
        <f t="array" ref="I101">_xlfn.IFS(Table1[[#This Row],[Column4]]="NEW",_xlfn.XLOOKUP(Table1[[#This Row],[Year]],$N$2:$N$27,$P$2:$P$27),ISNUMBER(Table1[[#This Row],[Column4]]),Table1[[#This Row],[Column4]],Table1[[#This Row],[Column4]]="",I100*(1+Table1[[#This Row],[Ávöxtun]]))</f>
        <v>124.67259657096567</v>
      </c>
      <c r="L101" s="33">
        <v>124.67259657096567</v>
      </c>
      <c r="M101" s="33">
        <v>124.67259657096567</v>
      </c>
    </row>
    <row r="102" spans="1:13">
      <c r="A102" t="s">
        <v>66</v>
      </c>
      <c r="B102">
        <v>2009</v>
      </c>
      <c r="C102" s="16">
        <v>9.5999999999999992E-3</v>
      </c>
      <c r="D102" s="1">
        <v>15283515</v>
      </c>
      <c r="E102" s="29">
        <f>Table1[[#This Row],[Ávöxtun]]*Table1[[#This Row],[Eignir]]/SUMIFS(Table1[Eignir],Table1[Year],Table1[[#This Row],[Year]])</f>
        <v>8.79490538047399E-5</v>
      </c>
      <c r="F102" s="23">
        <f>IF(B102=1997, 100, IF(COUNTIF(A$1:A101,A102)=0, "NEW", F101*(1+Table1[[#This Row],[Ávöxtun]])))</f>
        <v>125.86945349804694</v>
      </c>
      <c r="G102" s="18" cm="1">
        <f t="array" ref="G102">IFERROR(_xlfn.IFS(ISNUMBER(Table1[[#This Row],[Column3]]),Table1[[#This Row],[Column3]],Table1[[#This Row],[Column3]]="NEW",Table1[[#This Row],[Column3]]),"")</f>
        <v>125.86945349804694</v>
      </c>
      <c r="H102" s="15" cm="1">
        <f t="array" ref="H102">_xlfn.IFS(Table1[[#This Row],[Column4]]="NEW",AVERAGEIFS(Table1[Column4],Table1[Year],Table1[[#This Row],[Year]]),ISNUMBER(Table1[[#This Row],[Column4]]),Table1[[#This Row],[Column4]],Table1[[#This Row],[Column4]]="",H101*(1+Table1[[#This Row],[Ávöxtun]]))</f>
        <v>125.86945349804694</v>
      </c>
      <c r="I102" cm="1">
        <f t="array" ref="I102">_xlfn.IFS(Table1[[#This Row],[Column4]]="NEW",_xlfn.XLOOKUP(Table1[[#This Row],[Year]],$N$2:$N$27,$P$2:$P$27),ISNUMBER(Table1[[#This Row],[Column4]]),Table1[[#This Row],[Column4]],Table1[[#This Row],[Column4]]="",I101*(1+Table1[[#This Row],[Ávöxtun]]))</f>
        <v>125.86945349804694</v>
      </c>
      <c r="L102" s="33">
        <v>125.86945349804694</v>
      </c>
      <c r="M102" s="33">
        <v>125.86945349804694</v>
      </c>
    </row>
    <row r="103" spans="1:13">
      <c r="A103" t="s">
        <v>66</v>
      </c>
      <c r="B103">
        <v>2010</v>
      </c>
      <c r="C103" s="16">
        <v>4.6800000000000001E-2</v>
      </c>
      <c r="D103" s="1">
        <v>16601483</v>
      </c>
      <c r="E103" s="29">
        <f>Table1[[#This Row],[Ávöxtun]]*Table1[[#This Row],[Eignir]]/SUMIFS(Table1[Eignir],Table1[Year],Table1[[#This Row],[Year]])</f>
        <v>4.3458733957290035E-4</v>
      </c>
      <c r="F103" s="23">
        <f>IF(B103=1997, 100, IF(COUNTIF(A$1:A102,A103)=0, "NEW", F102*(1+Table1[[#This Row],[Ávöxtun]])))</f>
        <v>131.76014392175551</v>
      </c>
      <c r="G103" s="18" cm="1">
        <f t="array" ref="G103">IFERROR(_xlfn.IFS(ISNUMBER(Table1[[#This Row],[Column3]]),Table1[[#This Row],[Column3]],Table1[[#This Row],[Column3]]="NEW",Table1[[#This Row],[Column3]]),"")</f>
        <v>131.76014392175551</v>
      </c>
      <c r="H103" s="15" cm="1">
        <f t="array" ref="H103">_xlfn.IFS(Table1[[#This Row],[Column4]]="NEW",AVERAGEIFS(Table1[Column4],Table1[Year],Table1[[#This Row],[Year]]),ISNUMBER(Table1[[#This Row],[Column4]]),Table1[[#This Row],[Column4]],Table1[[#This Row],[Column4]]="",H102*(1+Table1[[#This Row],[Ávöxtun]]))</f>
        <v>131.76014392175551</v>
      </c>
      <c r="I103" cm="1">
        <f t="array" ref="I103">_xlfn.IFS(Table1[[#This Row],[Column4]]="NEW",_xlfn.XLOOKUP(Table1[[#This Row],[Year]],$N$2:$N$27,$P$2:$P$27),ISNUMBER(Table1[[#This Row],[Column4]]),Table1[[#This Row],[Column4]],Table1[[#This Row],[Column4]]="",I102*(1+Table1[[#This Row],[Ávöxtun]]))</f>
        <v>131.76014392175551</v>
      </c>
      <c r="L103" s="33">
        <v>131.76014392175551</v>
      </c>
      <c r="M103" s="33">
        <v>131.76014392175551</v>
      </c>
    </row>
    <row r="104" spans="1:13">
      <c r="A104" t="s">
        <v>66</v>
      </c>
      <c r="B104">
        <v>2011</v>
      </c>
      <c r="C104" s="16">
        <v>2.4E-2</v>
      </c>
      <c r="D104" s="1">
        <v>18212500</v>
      </c>
      <c r="E104" s="29">
        <f>Table1[[#This Row],[Ávöxtun]]*Table1[[#This Row],[Eignir]]/SUMIFS(Table1[Eignir],Table1[Year],Table1[[#This Row],[Year]])</f>
        <v>2.24089625744476E-4</v>
      </c>
      <c r="F104" s="23">
        <f>IF(B104=1997, 100, IF(COUNTIF(A$1:A103,A104)=0, "NEW", F103*(1+Table1[[#This Row],[Ávöxtun]])))</f>
        <v>134.92238737587766</v>
      </c>
      <c r="G104" s="18" cm="1">
        <f t="array" ref="G104">IFERROR(_xlfn.IFS(ISNUMBER(Table1[[#This Row],[Column3]]),Table1[[#This Row],[Column3]],Table1[[#This Row],[Column3]]="NEW",Table1[[#This Row],[Column3]]),"")</f>
        <v>134.92238737587766</v>
      </c>
      <c r="H104" s="15" cm="1">
        <f t="array" ref="H104">_xlfn.IFS(Table1[[#This Row],[Column4]]="NEW",AVERAGEIFS(Table1[Column4],Table1[Year],Table1[[#This Row],[Year]]),ISNUMBER(Table1[[#This Row],[Column4]]),Table1[[#This Row],[Column4]],Table1[[#This Row],[Column4]]="",H103*(1+Table1[[#This Row],[Ávöxtun]]))</f>
        <v>134.92238737587766</v>
      </c>
      <c r="I104" cm="1">
        <f t="array" ref="I104">_xlfn.IFS(Table1[[#This Row],[Column4]]="NEW",_xlfn.XLOOKUP(Table1[[#This Row],[Year]],$N$2:$N$27,$P$2:$P$27),ISNUMBER(Table1[[#This Row],[Column4]]),Table1[[#This Row],[Column4]],Table1[[#This Row],[Column4]]="",I103*(1+Table1[[#This Row],[Ávöxtun]]))</f>
        <v>134.92238737587766</v>
      </c>
      <c r="L104" s="33">
        <v>134.92238737587766</v>
      </c>
      <c r="M104" s="33">
        <v>134.92238737587766</v>
      </c>
    </row>
    <row r="105" spans="1:13">
      <c r="A105" t="s">
        <v>66</v>
      </c>
      <c r="B105">
        <v>2012</v>
      </c>
      <c r="C105" s="16">
        <v>5.4000000000000006E-2</v>
      </c>
      <c r="D105" s="1">
        <v>20407313</v>
      </c>
      <c r="E105" s="29">
        <f>Table1[[#This Row],[Ávöxtun]]*Table1[[#This Row],[Eignir]]/SUMIFS(Table1[Eignir],Table1[Year],Table1[[#This Row],[Year]])</f>
        <v>5.0026029975749464E-4</v>
      </c>
      <c r="F105" s="23">
        <f>IF(B105=1997, 100, IF(COUNTIF(A$1:A104,A105)=0, "NEW", F104*(1+Table1[[#This Row],[Ávöxtun]])))</f>
        <v>142.20819629417505</v>
      </c>
      <c r="G105" s="18" cm="1">
        <f t="array" ref="G105">IFERROR(_xlfn.IFS(ISNUMBER(Table1[[#This Row],[Column3]]),Table1[[#This Row],[Column3]],Table1[[#This Row],[Column3]]="NEW",Table1[[#This Row],[Column3]]),"")</f>
        <v>142.20819629417505</v>
      </c>
      <c r="H105" s="15" cm="1">
        <f t="array" ref="H105">_xlfn.IFS(Table1[[#This Row],[Column4]]="NEW",AVERAGEIFS(Table1[Column4],Table1[Year],Table1[[#This Row],[Year]]),ISNUMBER(Table1[[#This Row],[Column4]]),Table1[[#This Row],[Column4]],Table1[[#This Row],[Column4]]="",H104*(1+Table1[[#This Row],[Ávöxtun]]))</f>
        <v>142.20819629417505</v>
      </c>
      <c r="I105" cm="1">
        <f t="array" ref="I105">_xlfn.IFS(Table1[[#This Row],[Column4]]="NEW",_xlfn.XLOOKUP(Table1[[#This Row],[Year]],$N$2:$N$27,$P$2:$P$27),ISNUMBER(Table1[[#This Row],[Column4]]),Table1[[#This Row],[Column4]],Table1[[#This Row],[Column4]]="",I104*(1+Table1[[#This Row],[Ávöxtun]]))</f>
        <v>142.20819629417505</v>
      </c>
      <c r="L105" s="33">
        <v>142.20819629417505</v>
      </c>
      <c r="M105" s="33">
        <v>142.20819629417505</v>
      </c>
    </row>
    <row r="106" spans="1:13">
      <c r="A106" t="s">
        <v>66</v>
      </c>
      <c r="B106">
        <v>2013</v>
      </c>
      <c r="C106" s="16">
        <v>9.6000000000000002E-2</v>
      </c>
      <c r="D106" s="1">
        <v>23503659</v>
      </c>
      <c r="E106" s="29">
        <f>Table1[[#This Row],[Ávöxtun]]*Table1[[#This Row],[Eignir]]/SUMIFS(Table1[Eignir],Table1[Year],Table1[[#This Row],[Year]])</f>
        <v>9.271738335774267E-4</v>
      </c>
      <c r="F106" s="23">
        <f>IF(B106=1997, 100, IF(COUNTIF(A$1:A105,A106)=0, "NEW", F105*(1+Table1[[#This Row],[Ávöxtun]])))</f>
        <v>155.86018313841586</v>
      </c>
      <c r="G106" s="18" cm="1">
        <f t="array" ref="G106">IFERROR(_xlfn.IFS(ISNUMBER(Table1[[#This Row],[Column3]]),Table1[[#This Row],[Column3]],Table1[[#This Row],[Column3]]="NEW",Table1[[#This Row],[Column3]]),"")</f>
        <v>155.86018313841586</v>
      </c>
      <c r="H106" s="15" cm="1">
        <f t="array" ref="H106">_xlfn.IFS(Table1[[#This Row],[Column4]]="NEW",AVERAGEIFS(Table1[Column4],Table1[Year],Table1[[#This Row],[Year]]),ISNUMBER(Table1[[#This Row],[Column4]]),Table1[[#This Row],[Column4]],Table1[[#This Row],[Column4]]="",H105*(1+Table1[[#This Row],[Ávöxtun]]))</f>
        <v>155.86018313841586</v>
      </c>
      <c r="I106" cm="1">
        <f t="array" ref="I106">_xlfn.IFS(Table1[[#This Row],[Column4]]="NEW",_xlfn.XLOOKUP(Table1[[#This Row],[Year]],$N$2:$N$27,$P$2:$P$27),ISNUMBER(Table1[[#This Row],[Column4]]),Table1[[#This Row],[Column4]],Table1[[#This Row],[Column4]]="",I105*(1+Table1[[#This Row],[Ávöxtun]]))</f>
        <v>155.86018313841586</v>
      </c>
      <c r="L106" s="33">
        <v>155.86018313841586</v>
      </c>
      <c r="M106" s="33">
        <v>155.86018313841586</v>
      </c>
    </row>
    <row r="107" spans="1:13">
      <c r="A107" t="s">
        <v>66</v>
      </c>
      <c r="B107">
        <v>2014</v>
      </c>
      <c r="C107" s="16">
        <v>5.2999999999999999E-2</v>
      </c>
      <c r="D107" s="1">
        <v>25426320</v>
      </c>
      <c r="E107" s="29">
        <f>Table1[[#This Row],[Ávöxtun]]*Table1[[#This Row],[Eignir]]/SUMIFS(Table1[Eignir],Table1[Year],Table1[[#This Row],[Year]])</f>
        <v>5.0794782480948787E-4</v>
      </c>
      <c r="F107" s="23">
        <f>IF(B107=1997, 100, IF(COUNTIF(A$1:A106,A107)=0, "NEW", F106*(1+Table1[[#This Row],[Ávöxtun]])))</f>
        <v>164.12077284475188</v>
      </c>
      <c r="G107" s="18" cm="1">
        <f t="array" ref="G107">IFERROR(_xlfn.IFS(ISNUMBER(Table1[[#This Row],[Column3]]),Table1[[#This Row],[Column3]],Table1[[#This Row],[Column3]]="NEW",Table1[[#This Row],[Column3]]),"")</f>
        <v>164.12077284475188</v>
      </c>
      <c r="H107" s="15" cm="1">
        <f t="array" ref="H107">_xlfn.IFS(Table1[[#This Row],[Column4]]="NEW",AVERAGEIFS(Table1[Column4],Table1[Year],Table1[[#This Row],[Year]]),ISNUMBER(Table1[[#This Row],[Column4]]),Table1[[#This Row],[Column4]],Table1[[#This Row],[Column4]]="",H106*(1+Table1[[#This Row],[Ávöxtun]]))</f>
        <v>164.12077284475188</v>
      </c>
      <c r="I107" cm="1">
        <f t="array" ref="I107">_xlfn.IFS(Table1[[#This Row],[Column4]]="NEW",_xlfn.XLOOKUP(Table1[[#This Row],[Year]],$N$2:$N$27,$P$2:$P$27),ISNUMBER(Table1[[#This Row],[Column4]]),Table1[[#This Row],[Column4]],Table1[[#This Row],[Column4]]="",I106*(1+Table1[[#This Row],[Ávöxtun]]))</f>
        <v>164.12077284475188</v>
      </c>
      <c r="L107" s="33">
        <v>164.12077284475188</v>
      </c>
      <c r="M107" s="33">
        <v>164.12077284475188</v>
      </c>
    </row>
    <row r="108" spans="1:13">
      <c r="A108" t="s">
        <v>66</v>
      </c>
      <c r="B108">
        <v>2015</v>
      </c>
      <c r="C108" s="16">
        <v>0.125</v>
      </c>
      <c r="D108" s="1">
        <v>29785809</v>
      </c>
      <c r="E108" s="29">
        <f>Table1[[#This Row],[Ávöxtun]]*Table1[[#This Row],[Eignir]]/SUMIFS(Table1[Eignir],Table1[Year],Table1[[#This Row],[Year]])</f>
        <v>1.2572612602079957E-3</v>
      </c>
      <c r="F108" s="23">
        <f>IF(B108=1997, 100, IF(COUNTIF(A$1:A107,A108)=0, "NEW", F107*(1+Table1[[#This Row],[Ávöxtun]])))</f>
        <v>184.63586945034587</v>
      </c>
      <c r="G108" s="18" cm="1">
        <f t="array" ref="G108">IFERROR(_xlfn.IFS(ISNUMBER(Table1[[#This Row],[Column3]]),Table1[[#This Row],[Column3]],Table1[[#This Row],[Column3]]="NEW",Table1[[#This Row],[Column3]]),"")</f>
        <v>184.63586945034587</v>
      </c>
      <c r="H108" s="15" cm="1">
        <f t="array" ref="H108">_xlfn.IFS(Table1[[#This Row],[Column4]]="NEW",AVERAGEIFS(Table1[Column4],Table1[Year],Table1[[#This Row],[Year]]),ISNUMBER(Table1[[#This Row],[Column4]]),Table1[[#This Row],[Column4]],Table1[[#This Row],[Column4]]="",H107*(1+Table1[[#This Row],[Ávöxtun]]))</f>
        <v>184.63586945034587</v>
      </c>
      <c r="I108" cm="1">
        <f t="array" ref="I108">_xlfn.IFS(Table1[[#This Row],[Column4]]="NEW",_xlfn.XLOOKUP(Table1[[#This Row],[Year]],$N$2:$N$27,$P$2:$P$27),ISNUMBER(Table1[[#This Row],[Column4]]),Table1[[#This Row],[Column4]],Table1[[#This Row],[Column4]]="",I107*(1+Table1[[#This Row],[Ávöxtun]]))</f>
        <v>184.63586945034587</v>
      </c>
      <c r="L108" s="33">
        <v>184.63586945034587</v>
      </c>
      <c r="M108" s="33">
        <v>184.63586945034587</v>
      </c>
    </row>
    <row r="109" spans="1:13">
      <c r="A109" t="s">
        <v>66</v>
      </c>
      <c r="B109">
        <v>2016</v>
      </c>
      <c r="C109" s="16">
        <v>-1.8500000000000003E-2</v>
      </c>
      <c r="D109" s="1">
        <v>31678771</v>
      </c>
      <c r="E109" s="29">
        <f>Table1[[#This Row],[Ávöxtun]]*Table1[[#This Row],[Eignir]]/SUMIFS(Table1[Eignir],Table1[Year],Table1[[#This Row],[Year]])</f>
        <v>-1.8314022455683196E-4</v>
      </c>
      <c r="F109" s="23">
        <f>IF(B109=1997, 100, IF(COUNTIF(A$1:A108,A109)=0, "NEW", F108*(1+Table1[[#This Row],[Ávöxtun]])))</f>
        <v>181.22010586551448</v>
      </c>
      <c r="G109" s="18" cm="1">
        <f t="array" ref="G109">IFERROR(_xlfn.IFS(ISNUMBER(Table1[[#This Row],[Column3]]),Table1[[#This Row],[Column3]],Table1[[#This Row],[Column3]]="NEW",Table1[[#This Row],[Column3]]),"")</f>
        <v>181.22010586551448</v>
      </c>
      <c r="H109" s="15" cm="1">
        <f t="array" ref="H109">_xlfn.IFS(Table1[[#This Row],[Column4]]="NEW",AVERAGEIFS(Table1[Column4],Table1[Year],Table1[[#This Row],[Year]]),ISNUMBER(Table1[[#This Row],[Column4]]),Table1[[#This Row],[Column4]],Table1[[#This Row],[Column4]]="",H108*(1+Table1[[#This Row],[Ávöxtun]]))</f>
        <v>181.22010586551448</v>
      </c>
      <c r="I109" cm="1">
        <f t="array" ref="I109">_xlfn.IFS(Table1[[#This Row],[Column4]]="NEW",_xlfn.XLOOKUP(Table1[[#This Row],[Year]],$N$2:$N$27,$P$2:$P$27),ISNUMBER(Table1[[#This Row],[Column4]]),Table1[[#This Row],[Column4]],Table1[[#This Row],[Column4]]="",I108*(1+Table1[[#This Row],[Ávöxtun]]))</f>
        <v>181.22010586551448</v>
      </c>
      <c r="L109" s="33">
        <v>181.22010586551448</v>
      </c>
      <c r="M109" s="33">
        <v>181.22010586551448</v>
      </c>
    </row>
    <row r="110" spans="1:13">
      <c r="A110" t="s">
        <v>66</v>
      </c>
      <c r="B110">
        <v>2017</v>
      </c>
      <c r="C110" s="16">
        <v>4.2000000000000003E-2</v>
      </c>
      <c r="D110" s="1">
        <v>34622341</v>
      </c>
      <c r="E110" s="29">
        <f>Table1[[#This Row],[Ávöxtun]]*Table1[[#This Row],[Eignir]]/SUMIFS(Table1[Eignir],Table1[Year],Table1[[#This Row],[Year]])</f>
        <v>4.0856322214391104E-4</v>
      </c>
      <c r="F110" s="23">
        <f>IF(B110=1997, 100, IF(COUNTIF(A$1:A109,A110)=0, "NEW", F109*(1+Table1[[#This Row],[Ávöxtun]])))</f>
        <v>188.83135031186609</v>
      </c>
      <c r="G110" s="18" cm="1">
        <f t="array" ref="G110">IFERROR(_xlfn.IFS(ISNUMBER(Table1[[#This Row],[Column3]]),Table1[[#This Row],[Column3]],Table1[[#This Row],[Column3]]="NEW",Table1[[#This Row],[Column3]]),"")</f>
        <v>188.83135031186609</v>
      </c>
      <c r="H110" s="15" cm="1">
        <f t="array" ref="H110">_xlfn.IFS(Table1[[#This Row],[Column4]]="NEW",AVERAGEIFS(Table1[Column4],Table1[Year],Table1[[#This Row],[Year]]),ISNUMBER(Table1[[#This Row],[Column4]]),Table1[[#This Row],[Column4]],Table1[[#This Row],[Column4]]="",H109*(1+Table1[[#This Row],[Ávöxtun]]))</f>
        <v>188.83135031186609</v>
      </c>
      <c r="I110" cm="1">
        <f t="array" ref="I110">_xlfn.IFS(Table1[[#This Row],[Column4]]="NEW",_xlfn.XLOOKUP(Table1[[#This Row],[Year]],$N$2:$N$27,$P$2:$P$27),ISNUMBER(Table1[[#This Row],[Column4]]),Table1[[#This Row],[Column4]],Table1[[#This Row],[Column4]]="",I109*(1+Table1[[#This Row],[Ávöxtun]]))</f>
        <v>188.83135031186609</v>
      </c>
      <c r="L110" s="33">
        <v>188.83135031186609</v>
      </c>
      <c r="M110" s="33">
        <v>188.83135031186609</v>
      </c>
    </row>
    <row r="111" spans="1:13">
      <c r="A111" t="s">
        <v>66</v>
      </c>
      <c r="B111">
        <v>2018</v>
      </c>
      <c r="C111" s="16">
        <v>1.7000000000000001E-2</v>
      </c>
      <c r="D111" s="1">
        <v>37404716</v>
      </c>
      <c r="E111" s="29">
        <f>Table1[[#This Row],[Ávöxtun]]*Table1[[#This Row],[Eignir]]/SUMIFS(Table1[Eignir],Table1[Year],Table1[[#This Row],[Year]])</f>
        <v>1.6653408744924446E-4</v>
      </c>
      <c r="F111" s="23">
        <f>IF(B111=1997, 100, IF(COUNTIF(A$1:A110,A111)=0, "NEW", F110*(1+Table1[[#This Row],[Ávöxtun]])))</f>
        <v>192.04148326716779</v>
      </c>
      <c r="G111" s="18" cm="1">
        <f t="array" ref="G111">IFERROR(_xlfn.IFS(ISNUMBER(Table1[[#This Row],[Column3]]),Table1[[#This Row],[Column3]],Table1[[#This Row],[Column3]]="NEW",Table1[[#This Row],[Column3]]),"")</f>
        <v>192.04148326716779</v>
      </c>
      <c r="H111" s="15" cm="1">
        <f t="array" ref="H111">_xlfn.IFS(Table1[[#This Row],[Column4]]="NEW",AVERAGEIFS(Table1[Column4],Table1[Year],Table1[[#This Row],[Year]]),ISNUMBER(Table1[[#This Row],[Column4]]),Table1[[#This Row],[Column4]],Table1[[#This Row],[Column4]]="",H110*(1+Table1[[#This Row],[Ávöxtun]]))</f>
        <v>192.04148326716779</v>
      </c>
      <c r="I111" cm="1">
        <f t="array" ref="I111">_xlfn.IFS(Table1[[#This Row],[Column4]]="NEW",_xlfn.XLOOKUP(Table1[[#This Row],[Year]],$N$2:$N$27,$P$2:$P$27),ISNUMBER(Table1[[#This Row],[Column4]]),Table1[[#This Row],[Column4]],Table1[[#This Row],[Column4]]="",I110*(1+Table1[[#This Row],[Ávöxtun]]))</f>
        <v>192.04148326716779</v>
      </c>
      <c r="L111" s="33">
        <v>192.04148326716779</v>
      </c>
      <c r="M111" s="33">
        <v>192.04148326716779</v>
      </c>
    </row>
    <row r="112" spans="1:13">
      <c r="A112" t="s">
        <v>66</v>
      </c>
      <c r="B112">
        <v>2019</v>
      </c>
      <c r="C112" s="16">
        <v>9.74E-2</v>
      </c>
      <c r="D112" s="1">
        <v>43590858</v>
      </c>
      <c r="E112" s="29">
        <f>Table1[[#This Row],[Ávöxtun]]*Table1[[#This Row],[Eignir]]/SUMIFS(Table1[Eignir],Table1[Year],Table1[[#This Row],[Year]])</f>
        <v>9.5908415155060813E-4</v>
      </c>
      <c r="F112" s="23">
        <f>IF(B112=1997, 100, IF(COUNTIF(A$1:A111,A112)=0, "NEW", F111*(1+Table1[[#This Row],[Ávöxtun]])))</f>
        <v>210.74632373738993</v>
      </c>
      <c r="G112" s="18" cm="1">
        <f t="array" ref="G112">IFERROR(_xlfn.IFS(ISNUMBER(Table1[[#This Row],[Column3]]),Table1[[#This Row],[Column3]],Table1[[#This Row],[Column3]]="NEW",Table1[[#This Row],[Column3]]),"")</f>
        <v>210.74632373738993</v>
      </c>
      <c r="H112" s="15" cm="1">
        <f t="array" ref="H112">_xlfn.IFS(Table1[[#This Row],[Column4]]="NEW",AVERAGEIFS(Table1[Column4],Table1[Year],Table1[[#This Row],[Year]]),ISNUMBER(Table1[[#This Row],[Column4]]),Table1[[#This Row],[Column4]],Table1[[#This Row],[Column4]]="",H111*(1+Table1[[#This Row],[Ávöxtun]]))</f>
        <v>210.74632373738993</v>
      </c>
      <c r="I112" cm="1">
        <f t="array" ref="I112">_xlfn.IFS(Table1[[#This Row],[Column4]]="NEW",_xlfn.XLOOKUP(Table1[[#This Row],[Year]],$N$2:$N$27,$P$2:$P$27),ISNUMBER(Table1[[#This Row],[Column4]]),Table1[[#This Row],[Column4]],Table1[[#This Row],[Column4]]="",I111*(1+Table1[[#This Row],[Ávöxtun]]))</f>
        <v>210.74632373738993</v>
      </c>
      <c r="L112" s="33">
        <v>210.74632373738993</v>
      </c>
      <c r="M112" s="33">
        <v>210.74632373738993</v>
      </c>
    </row>
    <row r="113" spans="1:13">
      <c r="A113" t="s">
        <v>66</v>
      </c>
      <c r="B113">
        <v>2020</v>
      </c>
      <c r="C113" s="16">
        <v>8.7400000000000005E-2</v>
      </c>
      <c r="D113" s="1">
        <v>49926910</v>
      </c>
      <c r="E113" s="29">
        <f>Table1[[#This Row],[Ávöxtun]]*Table1[[#This Row],[Eignir]]/SUMIFS(Table1[Eignir],Table1[Year],Table1[[#This Row],[Year]])</f>
        <v>8.495114215451451E-4</v>
      </c>
      <c r="F113" s="23">
        <f>IF(B113=1997, 100, IF(COUNTIF(A$1:A112,A113)=0, "NEW", F112*(1+Table1[[#This Row],[Ávöxtun]])))</f>
        <v>229.1655524320378</v>
      </c>
      <c r="G113" s="18" cm="1">
        <f t="array" ref="G113">IFERROR(_xlfn.IFS(ISNUMBER(Table1[[#This Row],[Column3]]),Table1[[#This Row],[Column3]],Table1[[#This Row],[Column3]]="NEW",Table1[[#This Row],[Column3]]),"")</f>
        <v>229.1655524320378</v>
      </c>
      <c r="H113" s="15" cm="1">
        <f t="array" ref="H113">_xlfn.IFS(Table1[[#This Row],[Column4]]="NEW",AVERAGEIFS(Table1[Column4],Table1[Year],Table1[[#This Row],[Year]]),ISNUMBER(Table1[[#This Row],[Column4]]),Table1[[#This Row],[Column4]],Table1[[#This Row],[Column4]]="",H112*(1+Table1[[#This Row],[Ávöxtun]]))</f>
        <v>229.1655524320378</v>
      </c>
      <c r="I113" cm="1">
        <f t="array" ref="I113">_xlfn.IFS(Table1[[#This Row],[Column4]]="NEW",_xlfn.XLOOKUP(Table1[[#This Row],[Year]],$N$2:$N$27,$P$2:$P$27),ISNUMBER(Table1[[#This Row],[Column4]]),Table1[[#This Row],[Column4]],Table1[[#This Row],[Column4]]="",I112*(1+Table1[[#This Row],[Ávöxtun]]))</f>
        <v>229.1655524320378</v>
      </c>
      <c r="L113" s="33">
        <v>229.1655524320378</v>
      </c>
      <c r="M113" s="33">
        <v>229.1655524320378</v>
      </c>
    </row>
    <row r="114" spans="1:13">
      <c r="A114" t="s">
        <v>66</v>
      </c>
      <c r="B114">
        <v>2021</v>
      </c>
      <c r="C114" s="16">
        <v>0.1128</v>
      </c>
      <c r="D114" s="1">
        <v>58615521</v>
      </c>
      <c r="E114" s="29">
        <f>Table1[[#This Row],[Ávöxtun]]*Table1[[#This Row],[Eignir]]/SUMIFS(Table1[Eignir],Table1[Year],Table1[[#This Row],[Year]])</f>
        <v>1.0947649186961164E-3</v>
      </c>
      <c r="F114" s="23">
        <f>IF(B114=1997, 100, IF(COUNTIF(A$1:A113,A114)=0, "NEW", F113*(1+Table1[[#This Row],[Ávöxtun]])))</f>
        <v>255.01542674637167</v>
      </c>
      <c r="G114" s="18" cm="1">
        <f t="array" ref="G114">IFERROR(_xlfn.IFS(ISNUMBER(Table1[[#This Row],[Column3]]),Table1[[#This Row],[Column3]],Table1[[#This Row],[Column3]]="NEW",Table1[[#This Row],[Column3]]),"")</f>
        <v>255.01542674637167</v>
      </c>
      <c r="H114" s="15" cm="1">
        <f t="array" ref="H114">_xlfn.IFS(Table1[[#This Row],[Column4]]="NEW",AVERAGEIFS(Table1[Column4],Table1[Year],Table1[[#This Row],[Year]]),ISNUMBER(Table1[[#This Row],[Column4]]),Table1[[#This Row],[Column4]],Table1[[#This Row],[Column4]]="",H113*(1+Table1[[#This Row],[Ávöxtun]]))</f>
        <v>255.01542674637167</v>
      </c>
      <c r="I114" cm="1">
        <f t="array" ref="I114">_xlfn.IFS(Table1[[#This Row],[Column4]]="NEW",_xlfn.XLOOKUP(Table1[[#This Row],[Year]],$N$2:$N$27,$P$2:$P$27),ISNUMBER(Table1[[#This Row],[Column4]]),Table1[[#This Row],[Column4]],Table1[[#This Row],[Column4]]="",I113*(1+Table1[[#This Row],[Ávöxtun]]))</f>
        <v>255.01542674637167</v>
      </c>
      <c r="L114" s="33">
        <v>255.01542674637167</v>
      </c>
      <c r="M114" s="33">
        <v>255.01542674637167</v>
      </c>
    </row>
    <row r="115" spans="1:13">
      <c r="A115" t="s">
        <v>67</v>
      </c>
      <c r="B115">
        <v>1997</v>
      </c>
      <c r="C115" s="16">
        <v>0.05</v>
      </c>
      <c r="D115" s="1">
        <v>352682.32</v>
      </c>
      <c r="E115" s="29">
        <f>Table1[[#This Row],[Ávöxtun]]*Table1[[#This Row],[Eignir]]/SUMIFS(Table1[Eignir],Table1[Year],Table1[[#This Row],[Year]])</f>
        <v>5.2014153032859883E-5</v>
      </c>
      <c r="F115" s="23">
        <f>IF(B115=1997, 100, IF(COUNTIF(A$1:A114,A115)=0, "NEW", F114*(1+Table1[[#This Row],[Ávöxtun]])))</f>
        <v>100</v>
      </c>
      <c r="G115" s="18" cm="1">
        <f t="array" ref="G115">IFERROR(_xlfn.IFS(ISNUMBER(Table1[[#This Row],[Column3]]),Table1[[#This Row],[Column3]],Table1[[#This Row],[Column3]]="NEW",Table1[[#This Row],[Column3]]),"")</f>
        <v>100</v>
      </c>
      <c r="H115" s="15" cm="1">
        <f t="array" ref="H115">_xlfn.IFS(Table1[[#This Row],[Column4]]="NEW",AVERAGEIFS(Table1[Column4],Table1[Year],Table1[[#This Row],[Year]]),ISNUMBER(Table1[[#This Row],[Column4]]),Table1[[#This Row],[Column4]],Table1[[#This Row],[Column4]]="",H114*(1+Table1[[#This Row],[Ávöxtun]]))</f>
        <v>100</v>
      </c>
      <c r="I115" cm="1">
        <f t="array" ref="I115">_xlfn.IFS(Table1[[#This Row],[Column4]]="NEW",_xlfn.XLOOKUP(Table1[[#This Row],[Year]],$N$2:$N$27,$P$2:$P$27),ISNUMBER(Table1[[#This Row],[Column4]]),Table1[[#This Row],[Column4]],Table1[[#This Row],[Column4]]="",I114*(1+Table1[[#This Row],[Ávöxtun]]))</f>
        <v>100</v>
      </c>
      <c r="L115" s="33">
        <v>100</v>
      </c>
      <c r="M115" s="33">
        <v>100</v>
      </c>
    </row>
    <row r="116" spans="1:13">
      <c r="A116" t="s">
        <v>67</v>
      </c>
      <c r="B116">
        <v>1998</v>
      </c>
      <c r="C116" s="16">
        <v>0.06</v>
      </c>
      <c r="D116" s="1">
        <v>381285.82</v>
      </c>
      <c r="E116" s="29">
        <f>Table1[[#This Row],[Ávöxtun]]*Table1[[#This Row],[Eignir]]/SUMIFS(Table1[Eignir],Table1[Year],Table1[[#This Row],[Year]])</f>
        <v>5.8414478811656814E-5</v>
      </c>
      <c r="F116" s="23">
        <f>IF(B116=1997, 100, IF(COUNTIF(A$1:A115,A116)=0, "NEW", F115*(1+Table1[[#This Row],[Ávöxtun]])))</f>
        <v>106</v>
      </c>
      <c r="G116" s="18" cm="1">
        <f t="array" ref="G116">IFERROR(_xlfn.IFS(ISNUMBER(Table1[[#This Row],[Column3]]),Table1[[#This Row],[Column3]],Table1[[#This Row],[Column3]]="NEW",Table1[[#This Row],[Column3]]),"")</f>
        <v>106</v>
      </c>
      <c r="H116" s="15" cm="1">
        <f t="array" ref="H116">_xlfn.IFS(Table1[[#This Row],[Column4]]="NEW",AVERAGEIFS(Table1[Column4],Table1[Year],Table1[[#This Row],[Year]]),ISNUMBER(Table1[[#This Row],[Column4]]),Table1[[#This Row],[Column4]],Table1[[#This Row],[Column4]]="",H115*(1+Table1[[#This Row],[Ávöxtun]]))</f>
        <v>106</v>
      </c>
      <c r="I116" cm="1">
        <f t="array" ref="I116">_xlfn.IFS(Table1[[#This Row],[Column4]]="NEW",_xlfn.XLOOKUP(Table1[[#This Row],[Year]],$N$2:$N$27,$P$2:$P$27),ISNUMBER(Table1[[#This Row],[Column4]]),Table1[[#This Row],[Column4]],Table1[[#This Row],[Column4]]="",I115*(1+Table1[[#This Row],[Ávöxtun]]))</f>
        <v>106</v>
      </c>
      <c r="L116" s="33">
        <v>106</v>
      </c>
      <c r="M116" s="33">
        <v>106</v>
      </c>
    </row>
    <row r="117" spans="1:13">
      <c r="A117" t="s">
        <v>67</v>
      </c>
      <c r="B117">
        <v>1999</v>
      </c>
      <c r="C117" s="16">
        <v>0.06</v>
      </c>
      <c r="D117" s="1">
        <v>450997.77</v>
      </c>
      <c r="E117" s="29">
        <f>Table1[[#This Row],[Ávöxtun]]*Table1[[#This Row],[Eignir]]/SUMIFS(Table1[Eignir],Table1[Year],Table1[[#This Row],[Year]])</f>
        <v>5.1966581655367517E-5</v>
      </c>
      <c r="F117" s="23">
        <f>IF(B117=1997, 100, IF(COUNTIF(A$1:A116,A117)=0, "NEW", F116*(1+Table1[[#This Row],[Ávöxtun]])))</f>
        <v>112.36</v>
      </c>
      <c r="G117" s="18" cm="1">
        <f t="array" ref="G117">IFERROR(_xlfn.IFS(ISNUMBER(Table1[[#This Row],[Column3]]),Table1[[#This Row],[Column3]],Table1[[#This Row],[Column3]]="NEW",Table1[[#This Row],[Column3]]),"")</f>
        <v>112.36</v>
      </c>
      <c r="H117" s="15" cm="1">
        <f t="array" ref="H117">_xlfn.IFS(Table1[[#This Row],[Column4]]="NEW",AVERAGEIFS(Table1[Column4],Table1[Year],Table1[[#This Row],[Year]]),ISNUMBER(Table1[[#This Row],[Column4]]),Table1[[#This Row],[Column4]],Table1[[#This Row],[Column4]]="",H116*(1+Table1[[#This Row],[Ávöxtun]]))</f>
        <v>112.36</v>
      </c>
      <c r="I117" cm="1">
        <f t="array" ref="I117">_xlfn.IFS(Table1[[#This Row],[Column4]]="NEW",_xlfn.XLOOKUP(Table1[[#This Row],[Year]],$N$2:$N$27,$P$2:$P$27),ISNUMBER(Table1[[#This Row],[Column4]]),Table1[[#This Row],[Column4]],Table1[[#This Row],[Column4]]="",I116*(1+Table1[[#This Row],[Ávöxtun]]))</f>
        <v>112.36</v>
      </c>
      <c r="L117" s="33">
        <v>112.36</v>
      </c>
      <c r="M117" s="33">
        <v>112.36</v>
      </c>
    </row>
    <row r="118" spans="1:13">
      <c r="A118" t="s">
        <v>67</v>
      </c>
      <c r="B118">
        <v>2000</v>
      </c>
      <c r="C118" s="16">
        <v>0</v>
      </c>
      <c r="D118" s="1">
        <v>469089.31</v>
      </c>
      <c r="E118" s="29">
        <f>Table1[[#This Row],[Ávöxtun]]*Table1[[#This Row],[Eignir]]/SUMIFS(Table1[Eignir],Table1[Year],Table1[[#This Row],[Year]])</f>
        <v>0</v>
      </c>
      <c r="F118" s="23">
        <f>IF(B118=1997, 100, IF(COUNTIF(A$1:A117,A118)=0, "NEW", F117*(1+Table1[[#This Row],[Ávöxtun]])))</f>
        <v>112.36</v>
      </c>
      <c r="G118" s="18" cm="1">
        <f t="array" ref="G118">IFERROR(_xlfn.IFS(ISNUMBER(Table1[[#This Row],[Column3]]),Table1[[#This Row],[Column3]],Table1[[#This Row],[Column3]]="NEW",Table1[[#This Row],[Column3]]),"")</f>
        <v>112.36</v>
      </c>
      <c r="H118" s="15" cm="1">
        <f t="array" ref="H118">_xlfn.IFS(Table1[[#This Row],[Column4]]="NEW",AVERAGEIFS(Table1[Column4],Table1[Year],Table1[[#This Row],[Year]]),ISNUMBER(Table1[[#This Row],[Column4]]),Table1[[#This Row],[Column4]],Table1[[#This Row],[Column4]]="",H117*(1+Table1[[#This Row],[Ávöxtun]]))</f>
        <v>112.36</v>
      </c>
      <c r="I118" cm="1">
        <f t="array" ref="I118">_xlfn.IFS(Table1[[#This Row],[Column4]]="NEW",_xlfn.XLOOKUP(Table1[[#This Row],[Year]],$N$2:$N$27,$P$2:$P$27),ISNUMBER(Table1[[#This Row],[Column4]]),Table1[[#This Row],[Column4]],Table1[[#This Row],[Column4]]="",I117*(1+Table1[[#This Row],[Ávöxtun]]))</f>
        <v>112.36</v>
      </c>
      <c r="L118" s="33">
        <v>112.36</v>
      </c>
      <c r="M118" s="33">
        <v>112.36</v>
      </c>
    </row>
    <row r="119" spans="1:13">
      <c r="A119" t="s">
        <v>67</v>
      </c>
      <c r="B119">
        <v>2001</v>
      </c>
      <c r="C119" s="16">
        <v>-0.02</v>
      </c>
      <c r="D119" s="1">
        <v>503671</v>
      </c>
      <c r="E119" s="29">
        <f>Table1[[#This Row],[Ávöxtun]]*Table1[[#This Row],[Eignir]]/SUMIFS(Table1[Eignir],Table1[Year],Table1[[#This Row],[Year]])</f>
        <v>-8.6996141383082615E-6</v>
      </c>
      <c r="F119" s="23">
        <f>IF(B119=1997, 100, IF(COUNTIF(A$1:A118,A119)=0, "NEW", F118*(1+Table1[[#This Row],[Ávöxtun]])))</f>
        <v>110.11279999999999</v>
      </c>
      <c r="G119" s="18" cm="1">
        <f t="array" ref="G119">IFERROR(_xlfn.IFS(ISNUMBER(Table1[[#This Row],[Column3]]),Table1[[#This Row],[Column3]],Table1[[#This Row],[Column3]]="NEW",Table1[[#This Row],[Column3]]),"")</f>
        <v>110.11279999999999</v>
      </c>
      <c r="H119" s="15" cm="1">
        <f t="array" ref="H119">_xlfn.IFS(Table1[[#This Row],[Column4]]="NEW",AVERAGEIFS(Table1[Column4],Table1[Year],Table1[[#This Row],[Year]]),ISNUMBER(Table1[[#This Row],[Column4]]),Table1[[#This Row],[Column4]],Table1[[#This Row],[Column4]]="",H118*(1+Table1[[#This Row],[Ávöxtun]]))</f>
        <v>110.11279999999999</v>
      </c>
      <c r="I119" cm="1">
        <f t="array" ref="I119">_xlfn.IFS(Table1[[#This Row],[Column4]]="NEW",_xlfn.XLOOKUP(Table1[[#This Row],[Year]],$N$2:$N$27,$P$2:$P$27),ISNUMBER(Table1[[#This Row],[Column4]]),Table1[[#This Row],[Column4]],Table1[[#This Row],[Column4]]="",I118*(1+Table1[[#This Row],[Ávöxtun]]))</f>
        <v>110.11279999999999</v>
      </c>
      <c r="L119" s="33">
        <v>110.11279999999999</v>
      </c>
      <c r="M119" s="33">
        <v>110.11279999999999</v>
      </c>
    </row>
    <row r="120" spans="1:13">
      <c r="A120" t="s">
        <v>67</v>
      </c>
      <c r="B120">
        <v>2002</v>
      </c>
      <c r="C120" s="16">
        <v>-0.04</v>
      </c>
      <c r="D120" s="1">
        <v>494839</v>
      </c>
      <c r="E120" s="29">
        <f>Table1[[#This Row],[Ávöxtun]]*Table1[[#This Row],[Eignir]]/SUMIFS(Table1[Eignir],Table1[Year],Table1[[#This Row],[Year]])</f>
        <v>-3.1162904634321836E-5</v>
      </c>
      <c r="F120" s="23">
        <f>IF(B120=1997, 100, IF(COUNTIF(A$1:A119,A120)=0, "NEW", F119*(1+Table1[[#This Row],[Ávöxtun]])))</f>
        <v>105.708288</v>
      </c>
      <c r="G120" s="18" cm="1">
        <f t="array" ref="G120">IFERROR(_xlfn.IFS(ISNUMBER(Table1[[#This Row],[Column3]]),Table1[[#This Row],[Column3]],Table1[[#This Row],[Column3]]="NEW",Table1[[#This Row],[Column3]]),"")</f>
        <v>105.708288</v>
      </c>
      <c r="H120" s="15" cm="1">
        <f t="array" ref="H120">_xlfn.IFS(Table1[[#This Row],[Column4]]="NEW",AVERAGEIFS(Table1[Column4],Table1[Year],Table1[[#This Row],[Year]]),ISNUMBER(Table1[[#This Row],[Column4]]),Table1[[#This Row],[Column4]],Table1[[#This Row],[Column4]]="",H119*(1+Table1[[#This Row],[Ávöxtun]]))</f>
        <v>105.708288</v>
      </c>
      <c r="I120" cm="1">
        <f t="array" ref="I120">_xlfn.IFS(Table1[[#This Row],[Column4]]="NEW",_xlfn.XLOOKUP(Table1[[#This Row],[Year]],$N$2:$N$27,$P$2:$P$27),ISNUMBER(Table1[[#This Row],[Column4]]),Table1[[#This Row],[Column4]],Table1[[#This Row],[Column4]]="",I119*(1+Table1[[#This Row],[Ávöxtun]]))</f>
        <v>105.708288</v>
      </c>
      <c r="L120" s="33">
        <v>105.708288</v>
      </c>
      <c r="M120" s="33">
        <v>105.708288</v>
      </c>
    </row>
    <row r="121" spans="1:13">
      <c r="A121" t="s">
        <v>67</v>
      </c>
      <c r="B121">
        <v>2003</v>
      </c>
      <c r="C121" s="16">
        <v>0.08</v>
      </c>
      <c r="D121" s="1">
        <v>553008</v>
      </c>
      <c r="E121" s="29">
        <f>Table1[[#This Row],[Ávöxtun]]*Table1[[#This Row],[Eignir]]/SUMIFS(Table1[Eignir],Table1[Year],Table1[[#This Row],[Year]])</f>
        <v>5.8219688101045753E-5</v>
      </c>
      <c r="F121" s="23">
        <f>IF(B121=1997, 100, IF(COUNTIF(A$1:A120,A121)=0, "NEW", F120*(1+Table1[[#This Row],[Ávöxtun]])))</f>
        <v>114.16495104000001</v>
      </c>
      <c r="G121" s="18" cm="1">
        <f t="array" ref="G121">IFERROR(_xlfn.IFS(ISNUMBER(Table1[[#This Row],[Column3]]),Table1[[#This Row],[Column3]],Table1[[#This Row],[Column3]]="NEW",Table1[[#This Row],[Column3]]),"")</f>
        <v>114.16495104000001</v>
      </c>
      <c r="H121" s="15" cm="1">
        <f t="array" ref="H121">_xlfn.IFS(Table1[[#This Row],[Column4]]="NEW",AVERAGEIFS(Table1[Column4],Table1[Year],Table1[[#This Row],[Year]]),ISNUMBER(Table1[[#This Row],[Column4]]),Table1[[#This Row],[Column4]],Table1[[#This Row],[Column4]]="",H120*(1+Table1[[#This Row],[Ávöxtun]]))</f>
        <v>114.16495104000001</v>
      </c>
      <c r="I121" cm="1">
        <f t="array" ref="I121">_xlfn.IFS(Table1[[#This Row],[Column4]]="NEW",_xlfn.XLOOKUP(Table1[[#This Row],[Year]],$N$2:$N$27,$P$2:$P$27),ISNUMBER(Table1[[#This Row],[Column4]]),Table1[[#This Row],[Column4]],Table1[[#This Row],[Column4]]="",I120*(1+Table1[[#This Row],[Ávöxtun]]))</f>
        <v>114.16495104000001</v>
      </c>
      <c r="L121" s="33">
        <v>114.16495104000001</v>
      </c>
      <c r="M121" s="33">
        <v>114.16495104000001</v>
      </c>
    </row>
    <row r="122" spans="1:13">
      <c r="A122" t="s">
        <v>67</v>
      </c>
      <c r="B122">
        <v>2004</v>
      </c>
      <c r="C122" s="16">
        <v>0.06</v>
      </c>
      <c r="D122" s="1">
        <v>610446</v>
      </c>
      <c r="E122" s="29">
        <f>Table1[[#This Row],[Ávöxtun]]*Table1[[#This Row],[Eignir]]/SUMIFS(Table1[Eignir],Table1[Year],Table1[[#This Row],[Year]])</f>
        <v>4.03524880709596E-5</v>
      </c>
      <c r="F122" s="23">
        <f>IF(B122=1997, 100, IF(COUNTIF(A$1:A121,A122)=0, "NEW", F121*(1+Table1[[#This Row],[Ávöxtun]])))</f>
        <v>121.01484810240001</v>
      </c>
      <c r="G122" s="18" cm="1">
        <f t="array" ref="G122">IFERROR(_xlfn.IFS(ISNUMBER(Table1[[#This Row],[Column3]]),Table1[[#This Row],[Column3]],Table1[[#This Row],[Column3]]="NEW",Table1[[#This Row],[Column3]]),"")</f>
        <v>121.01484810240001</v>
      </c>
      <c r="H122" s="15" cm="1">
        <f t="array" ref="H122">_xlfn.IFS(Table1[[#This Row],[Column4]]="NEW",AVERAGEIFS(Table1[Column4],Table1[Year],Table1[[#This Row],[Year]]),ISNUMBER(Table1[[#This Row],[Column4]]),Table1[[#This Row],[Column4]],Table1[[#This Row],[Column4]]="",H121*(1+Table1[[#This Row],[Ávöxtun]]))</f>
        <v>121.01484810240001</v>
      </c>
      <c r="I122" cm="1">
        <f t="array" ref="I122">_xlfn.IFS(Table1[[#This Row],[Column4]]="NEW",_xlfn.XLOOKUP(Table1[[#This Row],[Year]],$N$2:$N$27,$P$2:$P$27),ISNUMBER(Table1[[#This Row],[Column4]]),Table1[[#This Row],[Column4]],Table1[[#This Row],[Column4]]="",I121*(1+Table1[[#This Row],[Ávöxtun]]))</f>
        <v>121.01484810240001</v>
      </c>
      <c r="L122" s="33">
        <v>121.01484810240001</v>
      </c>
      <c r="M122" s="33">
        <v>121.01484810240001</v>
      </c>
    </row>
    <row r="123" spans="1:13">
      <c r="A123" t="s">
        <v>67</v>
      </c>
      <c r="B123">
        <v>2005</v>
      </c>
      <c r="C123" s="16">
        <v>0.08</v>
      </c>
      <c r="D123" s="1">
        <v>683879</v>
      </c>
      <c r="E123" s="29">
        <f>Table1[[#This Row],[Ávöxtun]]*Table1[[#This Row],[Eignir]]/SUMIFS(Table1[Eignir],Table1[Year],Table1[[#This Row],[Year]])</f>
        <v>4.8790224389673867E-5</v>
      </c>
      <c r="F123" s="23">
        <f>IF(B123=1997, 100, IF(COUNTIF(A$1:A122,A123)=0, "NEW", F122*(1+Table1[[#This Row],[Ávöxtun]])))</f>
        <v>130.69603595059201</v>
      </c>
      <c r="G123" s="18" cm="1">
        <f t="array" ref="G123">IFERROR(_xlfn.IFS(ISNUMBER(Table1[[#This Row],[Column3]]),Table1[[#This Row],[Column3]],Table1[[#This Row],[Column3]]="NEW",Table1[[#This Row],[Column3]]),"")</f>
        <v>130.69603595059201</v>
      </c>
      <c r="H123" s="15" cm="1">
        <f t="array" ref="H123">_xlfn.IFS(Table1[[#This Row],[Column4]]="NEW",AVERAGEIFS(Table1[Column4],Table1[Year],Table1[[#This Row],[Year]]),ISNUMBER(Table1[[#This Row],[Column4]]),Table1[[#This Row],[Column4]],Table1[[#This Row],[Column4]]="",H122*(1+Table1[[#This Row],[Ávöxtun]]))</f>
        <v>130.69603595059201</v>
      </c>
      <c r="I123" cm="1">
        <f t="array" ref="I123">_xlfn.IFS(Table1[[#This Row],[Column4]]="NEW",_xlfn.XLOOKUP(Table1[[#This Row],[Year]],$N$2:$N$27,$P$2:$P$27),ISNUMBER(Table1[[#This Row],[Column4]]),Table1[[#This Row],[Column4]],Table1[[#This Row],[Column4]]="",I122*(1+Table1[[#This Row],[Ávöxtun]]))</f>
        <v>130.69603595059201</v>
      </c>
      <c r="L123" s="33">
        <v>130.69603595059201</v>
      </c>
      <c r="M123" s="33">
        <v>130.69603595059201</v>
      </c>
    </row>
    <row r="124" spans="1:13">
      <c r="A124" t="s">
        <v>67</v>
      </c>
      <c r="B124">
        <v>2006</v>
      </c>
      <c r="C124" s="16">
        <v>9.69E-2</v>
      </c>
      <c r="D124" s="1">
        <v>803064</v>
      </c>
      <c r="E124" s="29">
        <f>Table1[[#This Row],[Ávöxtun]]*Table1[[#This Row],[Eignir]]/SUMIFS(Table1[Eignir],Table1[Year],Table1[[#This Row],[Year]])</f>
        <v>5.6689941405239766E-5</v>
      </c>
      <c r="F124" s="23">
        <f>IF(B124=1997, 100, IF(COUNTIF(A$1:A123,A124)=0, "NEW", F123*(1+Table1[[#This Row],[Ávöxtun]])))</f>
        <v>143.36048183420436</v>
      </c>
      <c r="G124" s="18" cm="1">
        <f t="array" ref="G124">IFERROR(_xlfn.IFS(ISNUMBER(Table1[[#This Row],[Column3]]),Table1[[#This Row],[Column3]],Table1[[#This Row],[Column3]]="NEW",Table1[[#This Row],[Column3]]),"")</f>
        <v>143.36048183420436</v>
      </c>
      <c r="H124" s="15" cm="1">
        <f t="array" ref="H124">_xlfn.IFS(Table1[[#This Row],[Column4]]="NEW",AVERAGEIFS(Table1[Column4],Table1[Year],Table1[[#This Row],[Year]]),ISNUMBER(Table1[[#This Row],[Column4]]),Table1[[#This Row],[Column4]],Table1[[#This Row],[Column4]]="",H123*(1+Table1[[#This Row],[Ávöxtun]]))</f>
        <v>143.36048183420436</v>
      </c>
      <c r="I124" cm="1">
        <f t="array" ref="I124">_xlfn.IFS(Table1[[#This Row],[Column4]]="NEW",_xlfn.XLOOKUP(Table1[[#This Row],[Year]],$N$2:$N$27,$P$2:$P$27),ISNUMBER(Table1[[#This Row],[Column4]]),Table1[[#This Row],[Column4]],Table1[[#This Row],[Column4]]="",I123*(1+Table1[[#This Row],[Ávöxtun]]))</f>
        <v>143.36048183420436</v>
      </c>
      <c r="L124" s="33">
        <v>143.36048183420436</v>
      </c>
      <c r="M124" s="33">
        <v>143.36048183420436</v>
      </c>
    </row>
    <row r="125" spans="1:13">
      <c r="A125" t="s">
        <v>67</v>
      </c>
      <c r="B125">
        <v>2007</v>
      </c>
      <c r="C125" s="16">
        <v>5.9299999999999999E-2</v>
      </c>
      <c r="D125" s="1">
        <v>2238036</v>
      </c>
      <c r="E125" s="29">
        <f>Table1[[#This Row],[Ávöxtun]]*Table1[[#This Row],[Eignir]]/SUMIFS(Table1[Eignir],Table1[Year],Table1[[#This Row],[Year]])</f>
        <v>8.5821810636348592E-5</v>
      </c>
      <c r="F125" s="23">
        <f>IF(B125=1997, 100, IF(COUNTIF(A$1:A124,A125)=0, "NEW", F124*(1+Table1[[#This Row],[Ávöxtun]])))</f>
        <v>151.86175840697268</v>
      </c>
      <c r="G125" s="18" cm="1">
        <f t="array" ref="G125">IFERROR(_xlfn.IFS(ISNUMBER(Table1[[#This Row],[Column3]]),Table1[[#This Row],[Column3]],Table1[[#This Row],[Column3]]="NEW",Table1[[#This Row],[Column3]]),"")</f>
        <v>151.86175840697268</v>
      </c>
      <c r="H125" s="15" cm="1">
        <f t="array" ref="H125">_xlfn.IFS(Table1[[#This Row],[Column4]]="NEW",AVERAGEIFS(Table1[Column4],Table1[Year],Table1[[#This Row],[Year]]),ISNUMBER(Table1[[#This Row],[Column4]]),Table1[[#This Row],[Column4]],Table1[[#This Row],[Column4]]="",H124*(1+Table1[[#This Row],[Ávöxtun]]))</f>
        <v>151.86175840697268</v>
      </c>
      <c r="I125" cm="1">
        <f t="array" ref="I125">_xlfn.IFS(Table1[[#This Row],[Column4]]="NEW",_xlfn.XLOOKUP(Table1[[#This Row],[Year]],$N$2:$N$27,$P$2:$P$27),ISNUMBER(Table1[[#This Row],[Column4]]),Table1[[#This Row],[Column4]],Table1[[#This Row],[Column4]]="",I124*(1+Table1[[#This Row],[Ávöxtun]]))</f>
        <v>151.86175840697268</v>
      </c>
      <c r="L125" s="33">
        <v>151.86175840697268</v>
      </c>
      <c r="M125" s="33">
        <v>151.86175840697268</v>
      </c>
    </row>
    <row r="126" spans="1:13">
      <c r="A126" t="s">
        <v>67</v>
      </c>
      <c r="B126">
        <v>2008</v>
      </c>
      <c r="C126" s="16">
        <v>-3.3300000000000003E-2</v>
      </c>
      <c r="D126" s="1">
        <v>2472134</v>
      </c>
      <c r="E126" s="29">
        <f>Table1[[#This Row],[Ávöxtun]]*Table1[[#This Row],[Eignir]]/SUMIFS(Table1[Eignir],Table1[Year],Table1[[#This Row],[Year]])</f>
        <v>-5.4979682063535503E-5</v>
      </c>
      <c r="F126" s="23">
        <f>IF(B126=1997, 100, IF(COUNTIF(A$1:A125,A126)=0, "NEW", F125*(1+Table1[[#This Row],[Ávöxtun]])))</f>
        <v>146.8047618520205</v>
      </c>
      <c r="G126" s="18" cm="1">
        <f t="array" ref="G126">IFERROR(_xlfn.IFS(ISNUMBER(Table1[[#This Row],[Column3]]),Table1[[#This Row],[Column3]],Table1[[#This Row],[Column3]]="NEW",Table1[[#This Row],[Column3]]),"")</f>
        <v>146.8047618520205</v>
      </c>
      <c r="H126" s="15" cm="1">
        <f t="array" ref="H126">_xlfn.IFS(Table1[[#This Row],[Column4]]="NEW",AVERAGEIFS(Table1[Column4],Table1[Year],Table1[[#This Row],[Year]]),ISNUMBER(Table1[[#This Row],[Column4]]),Table1[[#This Row],[Column4]],Table1[[#This Row],[Column4]]="",H125*(1+Table1[[#This Row],[Ávöxtun]]))</f>
        <v>146.8047618520205</v>
      </c>
      <c r="I126" cm="1">
        <f t="array" ref="I126">_xlfn.IFS(Table1[[#This Row],[Column4]]="NEW",_xlfn.XLOOKUP(Table1[[#This Row],[Year]],$N$2:$N$27,$P$2:$P$27),ISNUMBER(Table1[[#This Row],[Column4]]),Table1[[#This Row],[Column4]],Table1[[#This Row],[Column4]]="",I125*(1+Table1[[#This Row],[Ávöxtun]]))</f>
        <v>146.8047618520205</v>
      </c>
      <c r="L126" s="33">
        <v>146.8047618520205</v>
      </c>
      <c r="M126" s="33">
        <v>146.8047618520205</v>
      </c>
    </row>
    <row r="127" spans="1:13">
      <c r="A127" t="s">
        <v>67</v>
      </c>
      <c r="B127">
        <v>2009</v>
      </c>
      <c r="C127" s="16">
        <v>2.3599999999999999E-2</v>
      </c>
      <c r="D127" s="1">
        <v>2820276</v>
      </c>
      <c r="E127" s="29">
        <f>Table1[[#This Row],[Ávöxtun]]*Table1[[#This Row],[Eignir]]/SUMIFS(Table1[Eignir],Table1[Year],Table1[[#This Row],[Year]])</f>
        <v>3.9897005952777619E-5</v>
      </c>
      <c r="F127" s="23">
        <f>IF(B127=1997, 100, IF(COUNTIF(A$1:A126,A127)=0, "NEW", F126*(1+Table1[[#This Row],[Ávöxtun]])))</f>
        <v>150.26935423172819</v>
      </c>
      <c r="G127" s="18" cm="1">
        <f t="array" ref="G127">IFERROR(_xlfn.IFS(ISNUMBER(Table1[[#This Row],[Column3]]),Table1[[#This Row],[Column3]],Table1[[#This Row],[Column3]]="NEW",Table1[[#This Row],[Column3]]),"")</f>
        <v>150.26935423172819</v>
      </c>
      <c r="H127" s="15" cm="1">
        <f t="array" ref="H127">_xlfn.IFS(Table1[[#This Row],[Column4]]="NEW",AVERAGEIFS(Table1[Column4],Table1[Year],Table1[[#This Row],[Year]]),ISNUMBER(Table1[[#This Row],[Column4]]),Table1[[#This Row],[Column4]],Table1[[#This Row],[Column4]]="",H126*(1+Table1[[#This Row],[Ávöxtun]]))</f>
        <v>150.26935423172819</v>
      </c>
      <c r="I127" cm="1">
        <f t="array" ref="I127">_xlfn.IFS(Table1[[#This Row],[Column4]]="NEW",_xlfn.XLOOKUP(Table1[[#This Row],[Year]],$N$2:$N$27,$P$2:$P$27),ISNUMBER(Table1[[#This Row],[Column4]]),Table1[[#This Row],[Column4]],Table1[[#This Row],[Column4]]="",I126*(1+Table1[[#This Row],[Ávöxtun]]))</f>
        <v>150.26935423172819</v>
      </c>
      <c r="L127" s="33">
        <v>150.26935423172819</v>
      </c>
      <c r="M127" s="33">
        <v>150.26935423172819</v>
      </c>
    </row>
    <row r="128" spans="1:13">
      <c r="A128" t="s">
        <v>67</v>
      </c>
      <c r="B128">
        <v>2010</v>
      </c>
      <c r="C128" s="16">
        <v>3.3000000000000002E-2</v>
      </c>
      <c r="D128" s="1">
        <v>2910176</v>
      </c>
      <c r="E128" s="29">
        <f>Table1[[#This Row],[Ávöxtun]]*Table1[[#This Row],[Eignir]]/SUMIFS(Table1[Eignir],Table1[Year],Table1[[#This Row],[Year]])</f>
        <v>5.3717714520528513E-5</v>
      </c>
      <c r="F128" s="23">
        <f>IF(B128=1997, 100, IF(COUNTIF(A$1:A127,A128)=0, "NEW", F127*(1+Table1[[#This Row],[Ávöxtun]])))</f>
        <v>155.2282429213752</v>
      </c>
      <c r="G128" s="18" cm="1">
        <f t="array" ref="G128">IFERROR(_xlfn.IFS(ISNUMBER(Table1[[#This Row],[Column3]]),Table1[[#This Row],[Column3]],Table1[[#This Row],[Column3]]="NEW",Table1[[#This Row],[Column3]]),"")</f>
        <v>155.2282429213752</v>
      </c>
      <c r="H128" s="15" cm="1">
        <f t="array" ref="H128">_xlfn.IFS(Table1[[#This Row],[Column4]]="NEW",AVERAGEIFS(Table1[Column4],Table1[Year],Table1[[#This Row],[Year]]),ISNUMBER(Table1[[#This Row],[Column4]]),Table1[[#This Row],[Column4]],Table1[[#This Row],[Column4]]="",H127*(1+Table1[[#This Row],[Ávöxtun]]))</f>
        <v>155.2282429213752</v>
      </c>
      <c r="I128" cm="1">
        <f t="array" ref="I128">_xlfn.IFS(Table1[[#This Row],[Column4]]="NEW",_xlfn.XLOOKUP(Table1[[#This Row],[Year]],$N$2:$N$27,$P$2:$P$27),ISNUMBER(Table1[[#This Row],[Column4]]),Table1[[#This Row],[Column4]],Table1[[#This Row],[Column4]]="",I127*(1+Table1[[#This Row],[Ávöxtun]]))</f>
        <v>155.2282429213752</v>
      </c>
      <c r="L128" s="33">
        <v>155.2282429213752</v>
      </c>
      <c r="M128" s="33">
        <v>155.2282429213752</v>
      </c>
    </row>
    <row r="129" spans="1:13">
      <c r="A129" t="s">
        <v>67</v>
      </c>
      <c r="B129">
        <v>2011</v>
      </c>
      <c r="C129" s="16">
        <v>4.2000000000000003E-2</v>
      </c>
      <c r="D129" s="1">
        <v>3095568</v>
      </c>
      <c r="E129" s="29">
        <f>Table1[[#This Row],[Ávöxtun]]*Table1[[#This Row],[Eignir]]/SUMIFS(Table1[Eignir],Table1[Year],Table1[[#This Row],[Year]])</f>
        <v>6.6654670173040952E-5</v>
      </c>
      <c r="F129" s="23">
        <f>IF(B129=1997, 100, IF(COUNTIF(A$1:A128,A129)=0, "NEW", F128*(1+Table1[[#This Row],[Ávöxtun]])))</f>
        <v>161.74782912407295</v>
      </c>
      <c r="G129" s="18" cm="1">
        <f t="array" ref="G129">IFERROR(_xlfn.IFS(ISNUMBER(Table1[[#This Row],[Column3]]),Table1[[#This Row],[Column3]],Table1[[#This Row],[Column3]]="NEW",Table1[[#This Row],[Column3]]),"")</f>
        <v>161.74782912407295</v>
      </c>
      <c r="H129" s="15" cm="1">
        <f t="array" ref="H129">_xlfn.IFS(Table1[[#This Row],[Column4]]="NEW",AVERAGEIFS(Table1[Column4],Table1[Year],Table1[[#This Row],[Year]]),ISNUMBER(Table1[[#This Row],[Column4]]),Table1[[#This Row],[Column4]],Table1[[#This Row],[Column4]]="",H128*(1+Table1[[#This Row],[Ávöxtun]]))</f>
        <v>161.74782912407295</v>
      </c>
      <c r="I129" cm="1">
        <f t="array" ref="I129">_xlfn.IFS(Table1[[#This Row],[Column4]]="NEW",_xlfn.XLOOKUP(Table1[[#This Row],[Year]],$N$2:$N$27,$P$2:$P$27),ISNUMBER(Table1[[#This Row],[Column4]]),Table1[[#This Row],[Column4]],Table1[[#This Row],[Column4]]="",I128*(1+Table1[[#This Row],[Ávöxtun]]))</f>
        <v>161.74782912407295</v>
      </c>
      <c r="L129" s="33">
        <v>161.74782912407295</v>
      </c>
      <c r="M129" s="33">
        <v>161.74782912407295</v>
      </c>
    </row>
    <row r="130" spans="1:13">
      <c r="A130" t="s">
        <v>67</v>
      </c>
      <c r="B130">
        <v>2012</v>
      </c>
      <c r="C130" s="16">
        <v>6.5000000000000002E-2</v>
      </c>
      <c r="D130" s="1">
        <v>3321777</v>
      </c>
      <c r="E130" s="29">
        <f>Table1[[#This Row],[Ávöxtun]]*Table1[[#This Row],[Eignir]]/SUMIFS(Table1[Eignir],Table1[Year],Table1[[#This Row],[Year]])</f>
        <v>9.8016746772201319E-5</v>
      </c>
      <c r="F130" s="23">
        <f>IF(B130=1997, 100, IF(COUNTIF(A$1:A129,A130)=0, "NEW", F129*(1+Table1[[#This Row],[Ávöxtun]])))</f>
        <v>172.26143801713769</v>
      </c>
      <c r="G130" s="18" cm="1">
        <f t="array" ref="G130">IFERROR(_xlfn.IFS(ISNUMBER(Table1[[#This Row],[Column3]]),Table1[[#This Row],[Column3]],Table1[[#This Row],[Column3]]="NEW",Table1[[#This Row],[Column3]]),"")</f>
        <v>172.26143801713769</v>
      </c>
      <c r="H130" s="15" cm="1">
        <f t="array" ref="H130">_xlfn.IFS(Table1[[#This Row],[Column4]]="NEW",AVERAGEIFS(Table1[Column4],Table1[Year],Table1[[#This Row],[Year]]),ISNUMBER(Table1[[#This Row],[Column4]]),Table1[[#This Row],[Column4]],Table1[[#This Row],[Column4]]="",H129*(1+Table1[[#This Row],[Ávöxtun]]))</f>
        <v>172.26143801713769</v>
      </c>
      <c r="I130" cm="1">
        <f t="array" ref="I130">_xlfn.IFS(Table1[[#This Row],[Column4]]="NEW",_xlfn.XLOOKUP(Table1[[#This Row],[Year]],$N$2:$N$27,$P$2:$P$27),ISNUMBER(Table1[[#This Row],[Column4]]),Table1[[#This Row],[Column4]],Table1[[#This Row],[Column4]]="",I129*(1+Table1[[#This Row],[Ávöxtun]]))</f>
        <v>172.26143801713769</v>
      </c>
      <c r="L130" s="33">
        <v>172.26143801713769</v>
      </c>
      <c r="M130" s="33">
        <v>172.26143801713769</v>
      </c>
    </row>
    <row r="131" spans="1:13">
      <c r="A131" t="s">
        <v>67</v>
      </c>
      <c r="B131">
        <v>2013</v>
      </c>
      <c r="C131" s="16">
        <v>7.2000000000000008E-2</v>
      </c>
      <c r="D131" s="1">
        <v>3569359</v>
      </c>
      <c r="E131" s="29">
        <f>Table1[[#This Row],[Ávöxtun]]*Table1[[#This Row],[Eignir]]/SUMIFS(Table1[Eignir],Table1[Year],Table1[[#This Row],[Year]])</f>
        <v>1.0560322546302547E-4</v>
      </c>
      <c r="F131" s="23">
        <f>IF(B131=1997, 100, IF(COUNTIF(A$1:A130,A131)=0, "NEW", F130*(1+Table1[[#This Row],[Ávöxtun]])))</f>
        <v>184.66426155437162</v>
      </c>
      <c r="G131" s="18" cm="1">
        <f t="array" ref="G131">IFERROR(_xlfn.IFS(ISNUMBER(Table1[[#This Row],[Column3]]),Table1[[#This Row],[Column3]],Table1[[#This Row],[Column3]]="NEW",Table1[[#This Row],[Column3]]),"")</f>
        <v>184.66426155437162</v>
      </c>
      <c r="H131" s="15" cm="1">
        <f t="array" ref="H131">_xlfn.IFS(Table1[[#This Row],[Column4]]="NEW",AVERAGEIFS(Table1[Column4],Table1[Year],Table1[[#This Row],[Year]]),ISNUMBER(Table1[[#This Row],[Column4]]),Table1[[#This Row],[Column4]],Table1[[#This Row],[Column4]]="",H130*(1+Table1[[#This Row],[Ávöxtun]]))</f>
        <v>184.66426155437162</v>
      </c>
      <c r="I131" cm="1">
        <f t="array" ref="I131">_xlfn.IFS(Table1[[#This Row],[Column4]]="NEW",_xlfn.XLOOKUP(Table1[[#This Row],[Year]],$N$2:$N$27,$P$2:$P$27),ISNUMBER(Table1[[#This Row],[Column4]]),Table1[[#This Row],[Column4]],Table1[[#This Row],[Column4]]="",I130*(1+Table1[[#This Row],[Ávöxtun]]))</f>
        <v>184.66426155437162</v>
      </c>
      <c r="L131" s="33">
        <v>184.66426155437162</v>
      </c>
      <c r="M131" s="33">
        <v>184.66426155437162</v>
      </c>
    </row>
    <row r="132" spans="1:13">
      <c r="A132" t="s">
        <v>67</v>
      </c>
      <c r="B132">
        <v>2014</v>
      </c>
      <c r="C132" s="16">
        <v>5.4000000000000006E-2</v>
      </c>
      <c r="D132" s="1">
        <v>3676993</v>
      </c>
      <c r="E132" s="29">
        <f>Table1[[#This Row],[Ávöxtun]]*Table1[[#This Row],[Eignir]]/SUMIFS(Table1[Eignir],Table1[Year],Table1[[#This Row],[Year]])</f>
        <v>7.4842155980046505E-5</v>
      </c>
      <c r="F132" s="23">
        <f>IF(B132=1997, 100, IF(COUNTIF(A$1:A131,A132)=0, "NEW", F131*(1+Table1[[#This Row],[Ávöxtun]])))</f>
        <v>194.63613167830769</v>
      </c>
      <c r="G132" s="18" cm="1">
        <f t="array" ref="G132">IFERROR(_xlfn.IFS(ISNUMBER(Table1[[#This Row],[Column3]]),Table1[[#This Row],[Column3]],Table1[[#This Row],[Column3]]="NEW",Table1[[#This Row],[Column3]]),"")</f>
        <v>194.63613167830769</v>
      </c>
      <c r="H132" s="15" cm="1">
        <f t="array" ref="H132">_xlfn.IFS(Table1[[#This Row],[Column4]]="NEW",AVERAGEIFS(Table1[Column4],Table1[Year],Table1[[#This Row],[Year]]),ISNUMBER(Table1[[#This Row],[Column4]]),Table1[[#This Row],[Column4]],Table1[[#This Row],[Column4]]="",H131*(1+Table1[[#This Row],[Ávöxtun]]))</f>
        <v>194.63613167830769</v>
      </c>
      <c r="I132" cm="1">
        <f t="array" ref="I132">_xlfn.IFS(Table1[[#This Row],[Column4]]="NEW",_xlfn.XLOOKUP(Table1[[#This Row],[Year]],$N$2:$N$27,$P$2:$P$27),ISNUMBER(Table1[[#This Row],[Column4]]),Table1[[#This Row],[Column4]],Table1[[#This Row],[Column4]]="",I131*(1+Table1[[#This Row],[Ávöxtun]]))</f>
        <v>194.63613167830769</v>
      </c>
      <c r="L132" s="33">
        <v>194.63613167830769</v>
      </c>
      <c r="M132" s="33">
        <v>194.63613167830769</v>
      </c>
    </row>
    <row r="133" spans="1:13">
      <c r="A133" t="s">
        <v>67</v>
      </c>
      <c r="B133">
        <v>2015</v>
      </c>
      <c r="C133" s="16">
        <v>9.9000000000000005E-2</v>
      </c>
      <c r="D133" s="1">
        <v>3954387</v>
      </c>
      <c r="E133" s="29">
        <f>Table1[[#This Row],[Ávöxtun]]*Table1[[#This Row],[Eignir]]/SUMIFS(Table1[Eignir],Table1[Year],Table1[[#This Row],[Year]])</f>
        <v>1.3219666068873038E-4</v>
      </c>
      <c r="F133" s="23">
        <f>IF(B133=1997, 100, IF(COUNTIF(A$1:A132,A133)=0, "NEW", F132*(1+Table1[[#This Row],[Ávöxtun]])))</f>
        <v>213.90510871446014</v>
      </c>
      <c r="G133" s="18" cm="1">
        <f t="array" ref="G133">IFERROR(_xlfn.IFS(ISNUMBER(Table1[[#This Row],[Column3]]),Table1[[#This Row],[Column3]],Table1[[#This Row],[Column3]]="NEW",Table1[[#This Row],[Column3]]),"")</f>
        <v>213.90510871446014</v>
      </c>
      <c r="H133" s="15" cm="1">
        <f t="array" ref="H133">_xlfn.IFS(Table1[[#This Row],[Column4]]="NEW",AVERAGEIFS(Table1[Column4],Table1[Year],Table1[[#This Row],[Year]]),ISNUMBER(Table1[[#This Row],[Column4]]),Table1[[#This Row],[Column4]],Table1[[#This Row],[Column4]]="",H132*(1+Table1[[#This Row],[Ávöxtun]]))</f>
        <v>213.90510871446014</v>
      </c>
      <c r="I133" cm="1">
        <f t="array" ref="I133">_xlfn.IFS(Table1[[#This Row],[Column4]]="NEW",_xlfn.XLOOKUP(Table1[[#This Row],[Year]],$N$2:$N$27,$P$2:$P$27),ISNUMBER(Table1[[#This Row],[Column4]]),Table1[[#This Row],[Column4]],Table1[[#This Row],[Column4]]="",I132*(1+Table1[[#This Row],[Ávöxtun]]))</f>
        <v>213.90510871446014</v>
      </c>
      <c r="L133" s="33">
        <v>213.90510871446014</v>
      </c>
      <c r="M133" s="33">
        <v>213.90510871446014</v>
      </c>
    </row>
    <row r="134" spans="1:13">
      <c r="A134" t="s">
        <v>67</v>
      </c>
      <c r="B134">
        <v>2016</v>
      </c>
      <c r="C134" s="16">
        <v>-1.4999999999999999E-2</v>
      </c>
      <c r="D134" s="1">
        <v>4026601.54</v>
      </c>
      <c r="E134" s="29">
        <f>Table1[[#This Row],[Ávöxtun]]*Table1[[#This Row],[Eignir]]/SUMIFS(Table1[Eignir],Table1[Year],Table1[[#This Row],[Year]])</f>
        <v>-1.8874419519155535E-5</v>
      </c>
      <c r="F134" s="23">
        <f>IF(B134=1997, 100, IF(COUNTIF(A$1:A133,A134)=0, "NEW", F133*(1+Table1[[#This Row],[Ávöxtun]])))</f>
        <v>210.69653208374325</v>
      </c>
      <c r="G134" s="18" cm="1">
        <f t="array" ref="G134">IFERROR(_xlfn.IFS(ISNUMBER(Table1[[#This Row],[Column3]]),Table1[[#This Row],[Column3]],Table1[[#This Row],[Column3]]="NEW",Table1[[#This Row],[Column3]]),"")</f>
        <v>210.69653208374325</v>
      </c>
      <c r="H134" s="15" cm="1">
        <f t="array" ref="H134">_xlfn.IFS(Table1[[#This Row],[Column4]]="NEW",AVERAGEIFS(Table1[Column4],Table1[Year],Table1[[#This Row],[Year]]),ISNUMBER(Table1[[#This Row],[Column4]]),Table1[[#This Row],[Column4]],Table1[[#This Row],[Column4]]="",H133*(1+Table1[[#This Row],[Ávöxtun]]))</f>
        <v>210.69653208374325</v>
      </c>
      <c r="I134" cm="1">
        <f t="array" ref="I134">_xlfn.IFS(Table1[[#This Row],[Column4]]="NEW",_xlfn.XLOOKUP(Table1[[#This Row],[Year]],$N$2:$N$27,$P$2:$P$27),ISNUMBER(Table1[[#This Row],[Column4]]),Table1[[#This Row],[Column4]],Table1[[#This Row],[Column4]]="",I133*(1+Table1[[#This Row],[Ávöxtun]]))</f>
        <v>210.69653208374325</v>
      </c>
      <c r="L134" s="33">
        <v>210.69653208374325</v>
      </c>
      <c r="M134" s="33">
        <v>210.69653208374325</v>
      </c>
    </row>
    <row r="135" spans="1:13">
      <c r="A135" t="s">
        <v>68</v>
      </c>
      <c r="B135">
        <v>1997</v>
      </c>
      <c r="C135" s="16">
        <v>7.0000000000000007E-2</v>
      </c>
      <c r="D135" s="1">
        <v>1200321.1299999999</v>
      </c>
      <c r="E135" s="29">
        <f>Table1[[#This Row],[Ávöxtun]]*Table1[[#This Row],[Eignir]]/SUMIFS(Table1[Eignir],Table1[Year],Table1[[#This Row],[Year]])</f>
        <v>2.4783539396631342E-4</v>
      </c>
      <c r="F135" s="23">
        <f>IF(B135=1997, 100, IF(COUNTIF(A$1:A134,A135)=0, "NEW", F134*(1+Table1[[#This Row],[Ávöxtun]])))</f>
        <v>100</v>
      </c>
      <c r="G135" s="18" cm="1">
        <f t="array" ref="G135">IFERROR(_xlfn.IFS(ISNUMBER(Table1[[#This Row],[Column3]]),Table1[[#This Row],[Column3]],Table1[[#This Row],[Column3]]="NEW",Table1[[#This Row],[Column3]]),"")</f>
        <v>100</v>
      </c>
      <c r="H135" s="15" cm="1">
        <f t="array" ref="H135">_xlfn.IFS(Table1[[#This Row],[Column4]]="NEW",AVERAGEIFS(Table1[Column4],Table1[Year],Table1[[#This Row],[Year]]),ISNUMBER(Table1[[#This Row],[Column4]]),Table1[[#This Row],[Column4]],Table1[[#This Row],[Column4]]="",H134*(1+Table1[[#This Row],[Ávöxtun]]))</f>
        <v>100</v>
      </c>
      <c r="I135" cm="1">
        <f t="array" ref="I135">_xlfn.IFS(Table1[[#This Row],[Column4]]="NEW",_xlfn.XLOOKUP(Table1[[#This Row],[Year]],$N$2:$N$27,$P$2:$P$27),ISNUMBER(Table1[[#This Row],[Column4]]),Table1[[#This Row],[Column4]],Table1[[#This Row],[Column4]]="",I134*(1+Table1[[#This Row],[Ávöxtun]]))</f>
        <v>100</v>
      </c>
      <c r="L135" s="33">
        <v>100</v>
      </c>
      <c r="M135" s="33">
        <v>100</v>
      </c>
    </row>
    <row r="136" spans="1:13">
      <c r="A136" t="s">
        <v>68</v>
      </c>
      <c r="B136">
        <v>1998</v>
      </c>
      <c r="C136" s="16">
        <v>0.11</v>
      </c>
      <c r="D136" s="1">
        <v>1395118.5</v>
      </c>
      <c r="E136" s="29">
        <f>Table1[[#This Row],[Ávöxtun]]*Table1[[#This Row],[Eignir]]/SUMIFS(Table1[Eignir],Table1[Year],Table1[[#This Row],[Year]])</f>
        <v>3.9185228579005155E-4</v>
      </c>
      <c r="F136" s="23">
        <f>IF(B136=1997, 100, IF(COUNTIF(A$1:A135,A136)=0, "NEW", F135*(1+Table1[[#This Row],[Ávöxtun]])))</f>
        <v>111.00000000000001</v>
      </c>
      <c r="G136" s="18" cm="1">
        <f t="array" ref="G136">IFERROR(_xlfn.IFS(ISNUMBER(Table1[[#This Row],[Column3]]),Table1[[#This Row],[Column3]],Table1[[#This Row],[Column3]]="NEW",Table1[[#This Row],[Column3]]),"")</f>
        <v>111.00000000000001</v>
      </c>
      <c r="H136" s="15" cm="1">
        <f t="array" ref="H136">_xlfn.IFS(Table1[[#This Row],[Column4]]="NEW",AVERAGEIFS(Table1[Column4],Table1[Year],Table1[[#This Row],[Year]]),ISNUMBER(Table1[[#This Row],[Column4]]),Table1[[#This Row],[Column4]],Table1[[#This Row],[Column4]]="",H135*(1+Table1[[#This Row],[Ávöxtun]]))</f>
        <v>111.00000000000001</v>
      </c>
      <c r="I136" cm="1">
        <f t="array" ref="I136">_xlfn.IFS(Table1[[#This Row],[Column4]]="NEW",_xlfn.XLOOKUP(Table1[[#This Row],[Year]],$N$2:$N$27,$P$2:$P$27),ISNUMBER(Table1[[#This Row],[Column4]]),Table1[[#This Row],[Column4]],Table1[[#This Row],[Column4]]="",I135*(1+Table1[[#This Row],[Ávöxtun]]))</f>
        <v>111.00000000000001</v>
      </c>
      <c r="L136" s="33">
        <v>111.00000000000001</v>
      </c>
      <c r="M136" s="33">
        <v>111.00000000000001</v>
      </c>
    </row>
    <row r="137" spans="1:13">
      <c r="A137" t="s">
        <v>68</v>
      </c>
      <c r="B137">
        <v>1999</v>
      </c>
      <c r="C137" s="16">
        <v>0.08</v>
      </c>
      <c r="D137" s="1">
        <v>1650594.18</v>
      </c>
      <c r="E137" s="29">
        <f>Table1[[#This Row],[Ávöxtun]]*Table1[[#This Row],[Eignir]]/SUMIFS(Table1[Eignir],Table1[Year],Table1[[#This Row],[Year]])</f>
        <v>2.5358806019475257E-4</v>
      </c>
      <c r="F137" s="23">
        <f>IF(B137=1997, 100, IF(COUNTIF(A$1:A136,A137)=0, "NEW", F136*(1+Table1[[#This Row],[Ávöxtun]])))</f>
        <v>119.88000000000002</v>
      </c>
      <c r="G137" s="18" cm="1">
        <f t="array" ref="G137">IFERROR(_xlfn.IFS(ISNUMBER(Table1[[#This Row],[Column3]]),Table1[[#This Row],[Column3]],Table1[[#This Row],[Column3]]="NEW",Table1[[#This Row],[Column3]]),"")</f>
        <v>119.88000000000002</v>
      </c>
      <c r="H137" s="15" cm="1">
        <f t="array" ref="H137">_xlfn.IFS(Table1[[#This Row],[Column4]]="NEW",AVERAGEIFS(Table1[Column4],Table1[Year],Table1[[#This Row],[Year]]),ISNUMBER(Table1[[#This Row],[Column4]]),Table1[[#This Row],[Column4]],Table1[[#This Row],[Column4]]="",H136*(1+Table1[[#This Row],[Ávöxtun]]))</f>
        <v>119.88000000000002</v>
      </c>
      <c r="I137" cm="1">
        <f t="array" ref="I137">_xlfn.IFS(Table1[[#This Row],[Column4]]="NEW",_xlfn.XLOOKUP(Table1[[#This Row],[Year]],$N$2:$N$27,$P$2:$P$27),ISNUMBER(Table1[[#This Row],[Column4]]),Table1[[#This Row],[Column4]],Table1[[#This Row],[Column4]]="",I136*(1+Table1[[#This Row],[Ávöxtun]]))</f>
        <v>119.88000000000002</v>
      </c>
      <c r="L137" s="33">
        <v>119.88000000000002</v>
      </c>
      <c r="M137" s="33">
        <v>119.88000000000002</v>
      </c>
    </row>
    <row r="138" spans="1:13">
      <c r="A138" t="s">
        <v>68</v>
      </c>
      <c r="B138">
        <v>2000</v>
      </c>
      <c r="C138" s="16">
        <v>-0.06</v>
      </c>
      <c r="D138" s="1">
        <v>1697089.07</v>
      </c>
      <c r="E138" s="29">
        <f>Table1[[#This Row],[Ávöxtun]]*Table1[[#This Row],[Eignir]]/SUMIFS(Table1[Eignir],Table1[Year],Table1[[#This Row],[Year]])</f>
        <v>-1.4323648611856964E-4</v>
      </c>
      <c r="F138" s="23">
        <f>IF(B138=1997, 100, IF(COUNTIF(A$1:A137,A138)=0, "NEW", F137*(1+Table1[[#This Row],[Ávöxtun]])))</f>
        <v>112.68720000000002</v>
      </c>
      <c r="G138" s="18" cm="1">
        <f t="array" ref="G138">IFERROR(_xlfn.IFS(ISNUMBER(Table1[[#This Row],[Column3]]),Table1[[#This Row],[Column3]],Table1[[#This Row],[Column3]]="NEW",Table1[[#This Row],[Column3]]),"")</f>
        <v>112.68720000000002</v>
      </c>
      <c r="H138" s="15" cm="1">
        <f t="array" ref="H138">_xlfn.IFS(Table1[[#This Row],[Column4]]="NEW",AVERAGEIFS(Table1[Column4],Table1[Year],Table1[[#This Row],[Year]]),ISNUMBER(Table1[[#This Row],[Column4]]),Table1[[#This Row],[Column4]],Table1[[#This Row],[Column4]]="",H137*(1+Table1[[#This Row],[Ávöxtun]]))</f>
        <v>112.68720000000002</v>
      </c>
      <c r="I138" cm="1">
        <f t="array" ref="I138">_xlfn.IFS(Table1[[#This Row],[Column4]]="NEW",_xlfn.XLOOKUP(Table1[[#This Row],[Year]],$N$2:$N$27,$P$2:$P$27),ISNUMBER(Table1[[#This Row],[Column4]]),Table1[[#This Row],[Column4]],Table1[[#This Row],[Column4]]="",I137*(1+Table1[[#This Row],[Ávöxtun]]))</f>
        <v>112.68720000000002</v>
      </c>
      <c r="L138" s="33">
        <v>112.68720000000002</v>
      </c>
      <c r="M138" s="33">
        <v>112.68720000000002</v>
      </c>
    </row>
    <row r="139" spans="1:13">
      <c r="A139" t="s">
        <v>68</v>
      </c>
      <c r="B139">
        <v>2001</v>
      </c>
      <c r="C139" s="16">
        <v>-7.0000000000000007E-2</v>
      </c>
      <c r="D139" s="1">
        <v>1413860.28</v>
      </c>
      <c r="E139" s="29">
        <f>Table1[[#This Row],[Ávöxtun]]*Table1[[#This Row],[Eignir]]/SUMIFS(Table1[Eignir],Table1[Year],Table1[[#This Row],[Year]])</f>
        <v>-8.5472731376596382E-5</v>
      </c>
      <c r="F139" s="23">
        <f>IF(B139=1997, 100, IF(COUNTIF(A$1:A138,A139)=0, "NEW", F138*(1+Table1[[#This Row],[Ávöxtun]])))</f>
        <v>104.79909600000001</v>
      </c>
      <c r="G139" s="18" cm="1">
        <f t="array" ref="G139">IFERROR(_xlfn.IFS(ISNUMBER(Table1[[#This Row],[Column3]]),Table1[[#This Row],[Column3]],Table1[[#This Row],[Column3]]="NEW",Table1[[#This Row],[Column3]]),"")</f>
        <v>104.79909600000001</v>
      </c>
      <c r="H139" s="15" cm="1">
        <f t="array" ref="H139">_xlfn.IFS(Table1[[#This Row],[Column4]]="NEW",AVERAGEIFS(Table1[Column4],Table1[Year],Table1[[#This Row],[Year]]),ISNUMBER(Table1[[#This Row],[Column4]]),Table1[[#This Row],[Column4]],Table1[[#This Row],[Column4]]="",H138*(1+Table1[[#This Row],[Ávöxtun]]))</f>
        <v>104.79909600000001</v>
      </c>
      <c r="I139" cm="1">
        <f t="array" ref="I139">_xlfn.IFS(Table1[[#This Row],[Column4]]="NEW",_xlfn.XLOOKUP(Table1[[#This Row],[Year]],$N$2:$N$27,$P$2:$P$27),ISNUMBER(Table1[[#This Row],[Column4]]),Table1[[#This Row],[Column4]],Table1[[#This Row],[Column4]]="",I138*(1+Table1[[#This Row],[Ávöxtun]]))</f>
        <v>104.79909600000001</v>
      </c>
      <c r="L139" s="33">
        <v>104.79909600000001</v>
      </c>
      <c r="M139" s="33">
        <v>104.79909600000001</v>
      </c>
    </row>
    <row r="140" spans="1:13">
      <c r="A140" t="s">
        <v>68</v>
      </c>
      <c r="B140">
        <v>2002</v>
      </c>
      <c r="C140" s="16">
        <v>-0.03</v>
      </c>
      <c r="D140" s="1">
        <v>1346720</v>
      </c>
      <c r="E140" s="29">
        <f>Table1[[#This Row],[Ávöxtun]]*Table1[[#This Row],[Eignir]]/SUMIFS(Table1[Eignir],Table1[Year],Table1[[#This Row],[Year]])</f>
        <v>-6.3608123443888661E-5</v>
      </c>
      <c r="F140" s="23">
        <f>IF(B140=1997, 100, IF(COUNTIF(A$1:A139,A140)=0, "NEW", F139*(1+Table1[[#This Row],[Ávöxtun]])))</f>
        <v>101.65512312</v>
      </c>
      <c r="G140" s="18" cm="1">
        <f t="array" ref="G140">IFERROR(_xlfn.IFS(ISNUMBER(Table1[[#This Row],[Column3]]),Table1[[#This Row],[Column3]],Table1[[#This Row],[Column3]]="NEW",Table1[[#This Row],[Column3]]),"")</f>
        <v>101.65512312</v>
      </c>
      <c r="H140" s="15" cm="1">
        <f t="array" ref="H140">_xlfn.IFS(Table1[[#This Row],[Column4]]="NEW",AVERAGEIFS(Table1[Column4],Table1[Year],Table1[[#This Row],[Year]]),ISNUMBER(Table1[[#This Row],[Column4]]),Table1[[#This Row],[Column4]],Table1[[#This Row],[Column4]]="",H139*(1+Table1[[#This Row],[Ávöxtun]]))</f>
        <v>101.65512312</v>
      </c>
      <c r="I140" cm="1">
        <f t="array" ref="I140">_xlfn.IFS(Table1[[#This Row],[Column4]]="NEW",_xlfn.XLOOKUP(Table1[[#This Row],[Year]],$N$2:$N$27,$P$2:$P$27),ISNUMBER(Table1[[#This Row],[Column4]]),Table1[[#This Row],[Column4]],Table1[[#This Row],[Column4]]="",I139*(1+Table1[[#This Row],[Ávöxtun]]))</f>
        <v>101.65512312</v>
      </c>
      <c r="L140" s="33">
        <v>101.65512312</v>
      </c>
      <c r="M140" s="33">
        <v>101.65512312</v>
      </c>
    </row>
    <row r="141" spans="1:13">
      <c r="A141" t="s">
        <v>68</v>
      </c>
      <c r="B141">
        <v>2003</v>
      </c>
      <c r="C141" s="16">
        <v>7.0000000000000007E-2</v>
      </c>
      <c r="D141" s="1">
        <v>1419171.14</v>
      </c>
      <c r="E141" s="29">
        <f>Table1[[#This Row],[Ávöxtun]]*Table1[[#This Row],[Eignir]]/SUMIFS(Table1[Eignir],Table1[Year],Table1[[#This Row],[Year]])</f>
        <v>1.3073181308625707E-4</v>
      </c>
      <c r="F141" s="23">
        <f>IF(B141=1997, 100, IF(COUNTIF(A$1:A140,A141)=0, "NEW", F140*(1+Table1[[#This Row],[Ávöxtun]])))</f>
        <v>108.77098173840001</v>
      </c>
      <c r="G141" s="18" cm="1">
        <f t="array" ref="G141">IFERROR(_xlfn.IFS(ISNUMBER(Table1[[#This Row],[Column3]]),Table1[[#This Row],[Column3]],Table1[[#This Row],[Column3]]="NEW",Table1[[#This Row],[Column3]]),"")</f>
        <v>108.77098173840001</v>
      </c>
      <c r="H141" s="15" cm="1">
        <f t="array" ref="H141">_xlfn.IFS(Table1[[#This Row],[Column4]]="NEW",AVERAGEIFS(Table1[Column4],Table1[Year],Table1[[#This Row],[Year]]),ISNUMBER(Table1[[#This Row],[Column4]]),Table1[[#This Row],[Column4]],Table1[[#This Row],[Column4]]="",H140*(1+Table1[[#This Row],[Ávöxtun]]))</f>
        <v>108.77098173840001</v>
      </c>
      <c r="I141" cm="1">
        <f t="array" ref="I141">_xlfn.IFS(Table1[[#This Row],[Column4]]="NEW",_xlfn.XLOOKUP(Table1[[#This Row],[Year]],$N$2:$N$27,$P$2:$P$27),ISNUMBER(Table1[[#This Row],[Column4]]),Table1[[#This Row],[Column4]],Table1[[#This Row],[Column4]]="",I140*(1+Table1[[#This Row],[Ávöxtun]]))</f>
        <v>108.77098173840001</v>
      </c>
      <c r="L141" s="33">
        <v>108.77098173840001</v>
      </c>
      <c r="M141" s="33">
        <v>108.77098173840001</v>
      </c>
    </row>
    <row r="142" spans="1:13">
      <c r="A142" t="s">
        <v>69</v>
      </c>
      <c r="B142">
        <v>1997</v>
      </c>
      <c r="C142" s="16">
        <v>0.03</v>
      </c>
      <c r="D142" s="1">
        <v>181986.57</v>
      </c>
      <c r="E142" s="29">
        <f>Table1[[#This Row],[Ávöxtun]]*Table1[[#This Row],[Eignir]]/SUMIFS(Table1[Eignir],Table1[Year],Table1[[#This Row],[Year]])</f>
        <v>1.6103802371332819E-5</v>
      </c>
      <c r="F142" s="23">
        <f>IF(B142=1997, 100, IF(COUNTIF(A$1:A141,A142)=0, "NEW", F141*(1+Table1[[#This Row],[Ávöxtun]])))</f>
        <v>100</v>
      </c>
      <c r="G142" s="18" cm="1">
        <f t="array" ref="G142">IFERROR(_xlfn.IFS(ISNUMBER(Table1[[#This Row],[Column3]]),Table1[[#This Row],[Column3]],Table1[[#This Row],[Column3]]="NEW",Table1[[#This Row],[Column3]]),"")</f>
        <v>100</v>
      </c>
      <c r="H142" s="15" cm="1">
        <f t="array" ref="H142">_xlfn.IFS(Table1[[#This Row],[Column4]]="NEW",AVERAGEIFS(Table1[Column4],Table1[Year],Table1[[#This Row],[Year]]),ISNUMBER(Table1[[#This Row],[Column4]]),Table1[[#This Row],[Column4]],Table1[[#This Row],[Column4]]="",H141*(1+Table1[[#This Row],[Ávöxtun]]))</f>
        <v>100</v>
      </c>
      <c r="I142" cm="1">
        <f t="array" ref="I142">_xlfn.IFS(Table1[[#This Row],[Column4]]="NEW",_xlfn.XLOOKUP(Table1[[#This Row],[Year]],$N$2:$N$27,$P$2:$P$27),ISNUMBER(Table1[[#This Row],[Column4]]),Table1[[#This Row],[Column4]],Table1[[#This Row],[Column4]]="",I141*(1+Table1[[#This Row],[Ávöxtun]]))</f>
        <v>100</v>
      </c>
      <c r="L142" s="33">
        <v>100</v>
      </c>
      <c r="M142" s="33">
        <v>100</v>
      </c>
    </row>
    <row r="143" spans="1:13">
      <c r="A143" t="s">
        <v>69</v>
      </c>
      <c r="B143">
        <v>1998</v>
      </c>
      <c r="C143" s="16">
        <v>0.04</v>
      </c>
      <c r="D143" s="1">
        <v>201857.63</v>
      </c>
      <c r="E143" s="29">
        <f>Table1[[#This Row],[Ávöxtun]]*Table1[[#This Row],[Eignir]]/SUMIFS(Table1[Eignir],Table1[Year],Table1[[#This Row],[Year]])</f>
        <v>2.0616918913316807E-5</v>
      </c>
      <c r="F143" s="23">
        <f>IF(B143=1997, 100, IF(COUNTIF(A$1:A142,A143)=0, "NEW", F142*(1+Table1[[#This Row],[Ávöxtun]])))</f>
        <v>104</v>
      </c>
      <c r="G143" s="18" cm="1">
        <f t="array" ref="G143">IFERROR(_xlfn.IFS(ISNUMBER(Table1[[#This Row],[Column3]]),Table1[[#This Row],[Column3]],Table1[[#This Row],[Column3]]="NEW",Table1[[#This Row],[Column3]]),"")</f>
        <v>104</v>
      </c>
      <c r="H143" s="15" cm="1">
        <f t="array" ref="H143">_xlfn.IFS(Table1[[#This Row],[Column4]]="NEW",AVERAGEIFS(Table1[Column4],Table1[Year],Table1[[#This Row],[Year]]),ISNUMBER(Table1[[#This Row],[Column4]]),Table1[[#This Row],[Column4]],Table1[[#This Row],[Column4]]="",H142*(1+Table1[[#This Row],[Ávöxtun]]))</f>
        <v>104</v>
      </c>
      <c r="I143" cm="1">
        <f t="array" ref="I143">_xlfn.IFS(Table1[[#This Row],[Column4]]="NEW",_xlfn.XLOOKUP(Table1[[#This Row],[Year]],$N$2:$N$27,$P$2:$P$27),ISNUMBER(Table1[[#This Row],[Column4]]),Table1[[#This Row],[Column4]],Table1[[#This Row],[Column4]]="",I142*(1+Table1[[#This Row],[Ávöxtun]]))</f>
        <v>104</v>
      </c>
      <c r="L143" s="33">
        <v>104</v>
      </c>
      <c r="M143" s="33">
        <v>104</v>
      </c>
    </row>
    <row r="144" spans="1:13">
      <c r="A144" t="s">
        <v>69</v>
      </c>
      <c r="B144">
        <v>1999</v>
      </c>
      <c r="C144" s="16">
        <v>0</v>
      </c>
      <c r="D144" s="1">
        <v>134620.59</v>
      </c>
      <c r="E144" s="29">
        <f>Table1[[#This Row],[Ávöxtun]]*Table1[[#This Row],[Eignir]]/SUMIFS(Table1[Eignir],Table1[Year],Table1[[#This Row],[Year]])</f>
        <v>0</v>
      </c>
      <c r="F144" s="23">
        <f>IF(B144=1997, 100, IF(COUNTIF(A$1:A143,A144)=0, "NEW", F143*(1+Table1[[#This Row],[Ávöxtun]])))</f>
        <v>104</v>
      </c>
      <c r="G144" s="18" cm="1">
        <f t="array" ref="G144">IFERROR(_xlfn.IFS(ISNUMBER(Table1[[#This Row],[Column3]]),Table1[[#This Row],[Column3]],Table1[[#This Row],[Column3]]="NEW",Table1[[#This Row],[Column3]]),"")</f>
        <v>104</v>
      </c>
      <c r="H144" s="15" cm="1">
        <f t="array" ref="H144">_xlfn.IFS(Table1[[#This Row],[Column4]]="NEW",AVERAGEIFS(Table1[Column4],Table1[Year],Table1[[#This Row],[Year]]),ISNUMBER(Table1[[#This Row],[Column4]]),Table1[[#This Row],[Column4]],Table1[[#This Row],[Column4]]="",H143*(1+Table1[[#This Row],[Ávöxtun]]))</f>
        <v>104</v>
      </c>
      <c r="I144" cm="1">
        <f t="array" ref="I144">_xlfn.IFS(Table1[[#This Row],[Column4]]="NEW",_xlfn.XLOOKUP(Table1[[#This Row],[Year]],$N$2:$N$27,$P$2:$P$27),ISNUMBER(Table1[[#This Row],[Column4]]),Table1[[#This Row],[Column4]],Table1[[#This Row],[Column4]]="",I143*(1+Table1[[#This Row],[Ávöxtun]]))</f>
        <v>104</v>
      </c>
      <c r="L144" s="33">
        <v>104</v>
      </c>
      <c r="M144" s="33">
        <v>104</v>
      </c>
    </row>
    <row r="145" spans="1:13">
      <c r="A145" t="s">
        <v>69</v>
      </c>
      <c r="B145">
        <v>2000</v>
      </c>
      <c r="C145" s="16">
        <v>0.02</v>
      </c>
      <c r="D145" s="1">
        <v>109293.44</v>
      </c>
      <c r="E145" s="29">
        <f>Table1[[#This Row],[Ávöxtun]]*Table1[[#This Row],[Eignir]]/SUMIFS(Table1[Eignir],Table1[Year],Table1[[#This Row],[Year]])</f>
        <v>3.0748353318919055E-6</v>
      </c>
      <c r="F145" s="23">
        <f>IF(B145=1997, 100, IF(COUNTIF(A$1:A144,A145)=0, "NEW", F144*(1+Table1[[#This Row],[Ávöxtun]])))</f>
        <v>106.08</v>
      </c>
      <c r="G145" s="18" cm="1">
        <f t="array" ref="G145">IFERROR(_xlfn.IFS(ISNUMBER(Table1[[#This Row],[Column3]]),Table1[[#This Row],[Column3]],Table1[[#This Row],[Column3]]="NEW",Table1[[#This Row],[Column3]]),"")</f>
        <v>106.08</v>
      </c>
      <c r="H145" s="15" cm="1">
        <f t="array" ref="H145">_xlfn.IFS(Table1[[#This Row],[Column4]]="NEW",AVERAGEIFS(Table1[Column4],Table1[Year],Table1[[#This Row],[Year]]),ISNUMBER(Table1[[#This Row],[Column4]]),Table1[[#This Row],[Column4]],Table1[[#This Row],[Column4]]="",H144*(1+Table1[[#This Row],[Ávöxtun]]))</f>
        <v>106.08</v>
      </c>
      <c r="I145" cm="1">
        <f t="array" ref="I145">_xlfn.IFS(Table1[[#This Row],[Column4]]="NEW",_xlfn.XLOOKUP(Table1[[#This Row],[Year]],$N$2:$N$27,$P$2:$P$27),ISNUMBER(Table1[[#This Row],[Column4]]),Table1[[#This Row],[Column4]],Table1[[#This Row],[Column4]]="",I144*(1+Table1[[#This Row],[Ávöxtun]]))</f>
        <v>106.08</v>
      </c>
      <c r="L145" s="33">
        <v>106.08</v>
      </c>
      <c r="M145" s="33">
        <v>106.08</v>
      </c>
    </row>
    <row r="146" spans="1:13">
      <c r="A146" t="s">
        <v>69</v>
      </c>
      <c r="B146">
        <v>2001</v>
      </c>
      <c r="C146" s="16">
        <v>0</v>
      </c>
      <c r="D146" s="1">
        <v>103756</v>
      </c>
      <c r="E146" s="29">
        <f>Table1[[#This Row],[Ávöxtun]]*Table1[[#This Row],[Eignir]]/SUMIFS(Table1[Eignir],Table1[Year],Table1[[#This Row],[Year]])</f>
        <v>0</v>
      </c>
      <c r="F146" s="23">
        <f>IF(B146=1997, 100, IF(COUNTIF(A$1:A145,A146)=0, "NEW", F145*(1+Table1[[#This Row],[Ávöxtun]])))</f>
        <v>106.08</v>
      </c>
      <c r="G146" s="18" cm="1">
        <f t="array" ref="G146">IFERROR(_xlfn.IFS(ISNUMBER(Table1[[#This Row],[Column3]]),Table1[[#This Row],[Column3]],Table1[[#This Row],[Column3]]="NEW",Table1[[#This Row],[Column3]]),"")</f>
        <v>106.08</v>
      </c>
      <c r="H146" s="15" cm="1">
        <f t="array" ref="H146">_xlfn.IFS(Table1[[#This Row],[Column4]]="NEW",AVERAGEIFS(Table1[Column4],Table1[Year],Table1[[#This Row],[Year]]),ISNUMBER(Table1[[#This Row],[Column4]]),Table1[[#This Row],[Column4]],Table1[[#This Row],[Column4]]="",H145*(1+Table1[[#This Row],[Ávöxtun]]))</f>
        <v>106.08</v>
      </c>
      <c r="I146" cm="1">
        <f t="array" ref="I146">_xlfn.IFS(Table1[[#This Row],[Column4]]="NEW",_xlfn.XLOOKUP(Table1[[#This Row],[Year]],$N$2:$N$27,$P$2:$P$27),ISNUMBER(Table1[[#This Row],[Column4]]),Table1[[#This Row],[Column4]],Table1[[#This Row],[Column4]]="",I145*(1+Table1[[#This Row],[Ávöxtun]]))</f>
        <v>106.08</v>
      </c>
      <c r="L146" s="33">
        <v>106.08</v>
      </c>
      <c r="M146" s="33">
        <v>106.08</v>
      </c>
    </row>
    <row r="147" spans="1:13">
      <c r="A147" t="s">
        <v>69</v>
      </c>
      <c r="B147">
        <v>2002</v>
      </c>
      <c r="C147" s="16">
        <v>0.02</v>
      </c>
      <c r="D147" s="1">
        <v>104163.4</v>
      </c>
      <c r="E147" s="29">
        <f>Table1[[#This Row],[Ávöxtun]]*Table1[[#This Row],[Eignir]]/SUMIFS(Table1[Eignir],Table1[Year],Table1[[#This Row],[Year]])</f>
        <v>3.2798891160425097E-6</v>
      </c>
      <c r="F147" s="23">
        <f>IF(B147=1997, 100, IF(COUNTIF(A$1:A146,A147)=0, "NEW", F146*(1+Table1[[#This Row],[Ávöxtun]])))</f>
        <v>108.2016</v>
      </c>
      <c r="G147" s="18" cm="1">
        <f t="array" ref="G147">IFERROR(_xlfn.IFS(ISNUMBER(Table1[[#This Row],[Column3]]),Table1[[#This Row],[Column3]],Table1[[#This Row],[Column3]]="NEW",Table1[[#This Row],[Column3]]),"")</f>
        <v>108.2016</v>
      </c>
      <c r="H147" s="15" cm="1">
        <f t="array" ref="H147">_xlfn.IFS(Table1[[#This Row],[Column4]]="NEW",AVERAGEIFS(Table1[Column4],Table1[Year],Table1[[#This Row],[Year]]),ISNUMBER(Table1[[#This Row],[Column4]]),Table1[[#This Row],[Column4]],Table1[[#This Row],[Column4]]="",H146*(1+Table1[[#This Row],[Ávöxtun]]))</f>
        <v>108.2016</v>
      </c>
      <c r="I147" cm="1">
        <f t="array" ref="I147">_xlfn.IFS(Table1[[#This Row],[Column4]]="NEW",_xlfn.XLOOKUP(Table1[[#This Row],[Year]],$N$2:$N$27,$P$2:$P$27),ISNUMBER(Table1[[#This Row],[Column4]]),Table1[[#This Row],[Column4]],Table1[[#This Row],[Column4]]="",I146*(1+Table1[[#This Row],[Ávöxtun]]))</f>
        <v>108.2016</v>
      </c>
      <c r="L147" s="33">
        <v>108.2016</v>
      </c>
      <c r="M147" s="33">
        <v>108.2016</v>
      </c>
    </row>
    <row r="148" spans="1:13">
      <c r="A148" t="s">
        <v>69</v>
      </c>
      <c r="B148">
        <v>2003</v>
      </c>
      <c r="C148" s="16">
        <v>0.01</v>
      </c>
      <c r="D148" s="1">
        <v>97770</v>
      </c>
      <c r="E148" s="29">
        <f>Table1[[#This Row],[Ávöxtun]]*Table1[[#This Row],[Eignir]]/SUMIFS(Table1[Eignir],Table1[Year],Table1[[#This Row],[Year]])</f>
        <v>1.2866312299368282E-6</v>
      </c>
      <c r="F148" s="23">
        <f>IF(B148=1997, 100, IF(COUNTIF(A$1:A147,A148)=0, "NEW", F147*(1+Table1[[#This Row],[Ávöxtun]])))</f>
        <v>109.28361599999999</v>
      </c>
      <c r="G148" s="18" cm="1">
        <f t="array" ref="G148">IFERROR(_xlfn.IFS(ISNUMBER(Table1[[#This Row],[Column3]]),Table1[[#This Row],[Column3]],Table1[[#This Row],[Column3]]="NEW",Table1[[#This Row],[Column3]]),"")</f>
        <v>109.28361599999999</v>
      </c>
      <c r="H148" s="15" cm="1">
        <f t="array" ref="H148">_xlfn.IFS(Table1[[#This Row],[Column4]]="NEW",AVERAGEIFS(Table1[Column4],Table1[Year],Table1[[#This Row],[Year]]),ISNUMBER(Table1[[#This Row],[Column4]]),Table1[[#This Row],[Column4]],Table1[[#This Row],[Column4]]="",H147*(1+Table1[[#This Row],[Ávöxtun]]))</f>
        <v>109.28361599999999</v>
      </c>
      <c r="I148" cm="1">
        <f t="array" ref="I148">_xlfn.IFS(Table1[[#This Row],[Column4]]="NEW",_xlfn.XLOOKUP(Table1[[#This Row],[Year]],$N$2:$N$27,$P$2:$P$27),ISNUMBER(Table1[[#This Row],[Column4]]),Table1[[#This Row],[Column4]],Table1[[#This Row],[Column4]]="",I147*(1+Table1[[#This Row],[Ávöxtun]]))</f>
        <v>109.28361599999999</v>
      </c>
      <c r="L148" s="33">
        <v>109.28361599999999</v>
      </c>
      <c r="M148" s="33">
        <v>109.28361599999999</v>
      </c>
    </row>
    <row r="149" spans="1:13">
      <c r="A149" t="s">
        <v>69</v>
      </c>
      <c r="B149">
        <v>2004</v>
      </c>
      <c r="C149" s="16">
        <v>0.01</v>
      </c>
      <c r="D149" s="1">
        <v>90196</v>
      </c>
      <c r="E149" s="29">
        <f>Table1[[#This Row],[Ávöxtun]]*Table1[[#This Row],[Eignir]]/SUMIFS(Table1[Eignir],Table1[Year],Table1[[#This Row],[Year]])</f>
        <v>9.9370870206599543E-7</v>
      </c>
      <c r="F149" s="23">
        <f>IF(B149=1997, 100, IF(COUNTIF(A$1:A148,A149)=0, "NEW", F148*(1+Table1[[#This Row],[Ávöxtun]])))</f>
        <v>110.37645216</v>
      </c>
      <c r="G149" s="18" cm="1">
        <f t="array" ref="G149">IFERROR(_xlfn.IFS(ISNUMBER(Table1[[#This Row],[Column3]]),Table1[[#This Row],[Column3]],Table1[[#This Row],[Column3]]="NEW",Table1[[#This Row],[Column3]]),"")</f>
        <v>110.37645216</v>
      </c>
      <c r="H149" s="15" cm="1">
        <f t="array" ref="H149">_xlfn.IFS(Table1[[#This Row],[Column4]]="NEW",AVERAGEIFS(Table1[Column4],Table1[Year],Table1[[#This Row],[Year]]),ISNUMBER(Table1[[#This Row],[Column4]]),Table1[[#This Row],[Column4]],Table1[[#This Row],[Column4]]="",H148*(1+Table1[[#This Row],[Ávöxtun]]))</f>
        <v>110.37645216</v>
      </c>
      <c r="I149" cm="1">
        <f t="array" ref="I149">_xlfn.IFS(Table1[[#This Row],[Column4]]="NEW",_xlfn.XLOOKUP(Table1[[#This Row],[Year]],$N$2:$N$27,$P$2:$P$27),ISNUMBER(Table1[[#This Row],[Column4]]),Table1[[#This Row],[Column4]],Table1[[#This Row],[Column4]]="",I148*(1+Table1[[#This Row],[Ávöxtun]]))</f>
        <v>110.37645216</v>
      </c>
      <c r="L149" s="33">
        <v>110.37645216</v>
      </c>
      <c r="M149" s="33">
        <v>110.37645216</v>
      </c>
    </row>
    <row r="150" spans="1:13">
      <c r="A150" t="s">
        <v>69</v>
      </c>
      <c r="B150">
        <v>2005</v>
      </c>
      <c r="C150" s="16">
        <v>0</v>
      </c>
      <c r="D150" s="1">
        <v>71767</v>
      </c>
      <c r="E150" s="29">
        <f>Table1[[#This Row],[Ávöxtun]]*Table1[[#This Row],[Eignir]]/SUMIFS(Table1[Eignir],Table1[Year],Table1[[#This Row],[Year]])</f>
        <v>0</v>
      </c>
      <c r="F150" s="23">
        <f>IF(B150=1997, 100, IF(COUNTIF(A$1:A149,A150)=0, "NEW", F149*(1+Table1[[#This Row],[Ávöxtun]])))</f>
        <v>110.37645216</v>
      </c>
      <c r="G150" s="18" cm="1">
        <f t="array" ref="G150">IFERROR(_xlfn.IFS(ISNUMBER(Table1[[#This Row],[Column3]]),Table1[[#This Row],[Column3]],Table1[[#This Row],[Column3]]="NEW",Table1[[#This Row],[Column3]]),"")</f>
        <v>110.37645216</v>
      </c>
      <c r="H150" s="15" cm="1">
        <f t="array" ref="H150">_xlfn.IFS(Table1[[#This Row],[Column4]]="NEW",AVERAGEIFS(Table1[Column4],Table1[Year],Table1[[#This Row],[Year]]),ISNUMBER(Table1[[#This Row],[Column4]]),Table1[[#This Row],[Column4]],Table1[[#This Row],[Column4]]="",H149*(1+Table1[[#This Row],[Ávöxtun]]))</f>
        <v>110.37645216</v>
      </c>
      <c r="I150" cm="1">
        <f t="array" ref="I150">_xlfn.IFS(Table1[[#This Row],[Column4]]="NEW",_xlfn.XLOOKUP(Table1[[#This Row],[Year]],$N$2:$N$27,$P$2:$P$27),ISNUMBER(Table1[[#This Row],[Column4]]),Table1[[#This Row],[Column4]],Table1[[#This Row],[Column4]]="",I149*(1+Table1[[#This Row],[Ávöxtun]]))</f>
        <v>110.37645216</v>
      </c>
      <c r="L150" s="33">
        <v>110.37645216</v>
      </c>
      <c r="M150" s="33">
        <v>110.37645216</v>
      </c>
    </row>
    <row r="151" spans="1:13">
      <c r="A151" t="s">
        <v>69</v>
      </c>
      <c r="B151">
        <v>2006</v>
      </c>
      <c r="C151" s="16">
        <v>-4.7400000000000005E-2</v>
      </c>
      <c r="D151" s="1">
        <v>42744</v>
      </c>
      <c r="E151" s="29">
        <f>Table1[[#This Row],[Ávöxtun]]*Table1[[#This Row],[Eignir]]/SUMIFS(Table1[Eignir],Table1[Year],Table1[[#This Row],[Year]])</f>
        <v>-1.4759973448643703E-6</v>
      </c>
      <c r="F151" s="23">
        <f>IF(B151=1997, 100, IF(COUNTIF(A$1:A150,A151)=0, "NEW", F150*(1+Table1[[#This Row],[Ávöxtun]])))</f>
        <v>105.144608327616</v>
      </c>
      <c r="G151" s="18" cm="1">
        <f t="array" ref="G151">IFERROR(_xlfn.IFS(ISNUMBER(Table1[[#This Row],[Column3]]),Table1[[#This Row],[Column3]],Table1[[#This Row],[Column3]]="NEW",Table1[[#This Row],[Column3]]),"")</f>
        <v>105.144608327616</v>
      </c>
      <c r="H151" s="15" cm="1">
        <f t="array" ref="H151">_xlfn.IFS(Table1[[#This Row],[Column4]]="NEW",AVERAGEIFS(Table1[Column4],Table1[Year],Table1[[#This Row],[Year]]),ISNUMBER(Table1[[#This Row],[Column4]]),Table1[[#This Row],[Column4]],Table1[[#This Row],[Column4]]="",H150*(1+Table1[[#This Row],[Ávöxtun]]))</f>
        <v>105.144608327616</v>
      </c>
      <c r="I151" cm="1">
        <f t="array" ref="I151">_xlfn.IFS(Table1[[#This Row],[Column4]]="NEW",_xlfn.XLOOKUP(Table1[[#This Row],[Year]],$N$2:$N$27,$P$2:$P$27),ISNUMBER(Table1[[#This Row],[Column4]]),Table1[[#This Row],[Column4]],Table1[[#This Row],[Column4]]="",I150*(1+Table1[[#This Row],[Ávöxtun]]))</f>
        <v>105.144608327616</v>
      </c>
      <c r="L151" s="33">
        <v>105.144608327616</v>
      </c>
      <c r="M151" s="33">
        <v>105.144608327616</v>
      </c>
    </row>
    <row r="152" spans="1:13">
      <c r="A152" t="s">
        <v>69</v>
      </c>
      <c r="B152">
        <v>2007</v>
      </c>
      <c r="C152" s="16">
        <v>-3.4599999999999999E-2</v>
      </c>
      <c r="D152" s="1">
        <v>39014</v>
      </c>
      <c r="E152" s="29">
        <f>Table1[[#This Row],[Ávöxtun]]*Table1[[#This Row],[Eignir]]/SUMIFS(Table1[Eignir],Table1[Year],Table1[[#This Row],[Year]])</f>
        <v>-8.7291607220167749E-7</v>
      </c>
      <c r="F152" s="23">
        <f>IF(B152=1997, 100, IF(COUNTIF(A$1:A151,A152)=0, "NEW", F151*(1+Table1[[#This Row],[Ávöxtun]])))</f>
        <v>101.50660487948049</v>
      </c>
      <c r="G152" s="18" cm="1">
        <f t="array" ref="G152">IFERROR(_xlfn.IFS(ISNUMBER(Table1[[#This Row],[Column3]]),Table1[[#This Row],[Column3]],Table1[[#This Row],[Column3]]="NEW",Table1[[#This Row],[Column3]]),"")</f>
        <v>101.50660487948049</v>
      </c>
      <c r="H152" s="15" cm="1">
        <f t="array" ref="H152">_xlfn.IFS(Table1[[#This Row],[Column4]]="NEW",AVERAGEIFS(Table1[Column4],Table1[Year],Table1[[#This Row],[Year]]),ISNUMBER(Table1[[#This Row],[Column4]]),Table1[[#This Row],[Column4]],Table1[[#This Row],[Column4]]="",H151*(1+Table1[[#This Row],[Ávöxtun]]))</f>
        <v>101.50660487948049</v>
      </c>
      <c r="I152" cm="1">
        <f t="array" ref="I152">_xlfn.IFS(Table1[[#This Row],[Column4]]="NEW",_xlfn.XLOOKUP(Table1[[#This Row],[Year]],$N$2:$N$27,$P$2:$P$27),ISNUMBER(Table1[[#This Row],[Column4]]),Table1[[#This Row],[Column4]],Table1[[#This Row],[Column4]]="",I151*(1+Table1[[#This Row],[Ávöxtun]]))</f>
        <v>101.50660487948049</v>
      </c>
      <c r="L152" s="33">
        <v>101.50660487948049</v>
      </c>
      <c r="M152" s="33">
        <v>101.50660487948049</v>
      </c>
    </row>
    <row r="153" spans="1:13">
      <c r="A153" t="s">
        <v>69</v>
      </c>
      <c r="B153">
        <v>2008</v>
      </c>
      <c r="C153" s="16">
        <v>-8.900000000000001E-2</v>
      </c>
      <c r="D153" s="1">
        <v>22083</v>
      </c>
      <c r="E153" s="29">
        <f>Table1[[#This Row],[Ávöxtun]]*Table1[[#This Row],[Eignir]]/SUMIFS(Table1[Eignir],Table1[Year],Table1[[#This Row],[Year]])</f>
        <v>-1.3126050235389493E-6</v>
      </c>
      <c r="F153" s="23">
        <f>IF(B153=1997, 100, IF(COUNTIF(A$1:A152,A153)=0, "NEW", F152*(1+Table1[[#This Row],[Ávöxtun]])))</f>
        <v>92.472517045206729</v>
      </c>
      <c r="G153" s="18" cm="1">
        <f t="array" ref="G153">IFERROR(_xlfn.IFS(ISNUMBER(Table1[[#This Row],[Column3]]),Table1[[#This Row],[Column3]],Table1[[#This Row],[Column3]]="NEW",Table1[[#This Row],[Column3]]),"")</f>
        <v>92.472517045206729</v>
      </c>
      <c r="H153" s="15" cm="1">
        <f t="array" ref="H153">_xlfn.IFS(Table1[[#This Row],[Column4]]="NEW",AVERAGEIFS(Table1[Column4],Table1[Year],Table1[[#This Row],[Year]]),ISNUMBER(Table1[[#This Row],[Column4]]),Table1[[#This Row],[Column4]],Table1[[#This Row],[Column4]]="",H152*(1+Table1[[#This Row],[Ávöxtun]]))</f>
        <v>92.472517045206729</v>
      </c>
      <c r="I153" cm="1">
        <f t="array" ref="I153">_xlfn.IFS(Table1[[#This Row],[Column4]]="NEW",_xlfn.XLOOKUP(Table1[[#This Row],[Year]],$N$2:$N$27,$P$2:$P$27),ISNUMBER(Table1[[#This Row],[Column4]]),Table1[[#This Row],[Column4]],Table1[[#This Row],[Column4]]="",I152*(1+Table1[[#This Row],[Ávöxtun]]))</f>
        <v>92.472517045206729</v>
      </c>
      <c r="L153" s="33">
        <v>92.472517045206729</v>
      </c>
      <c r="M153" s="33">
        <v>92.472517045206729</v>
      </c>
    </row>
    <row r="154" spans="1:13">
      <c r="A154" t="s">
        <v>69</v>
      </c>
      <c r="B154">
        <v>2009</v>
      </c>
      <c r="C154" s="16">
        <v>-7.0999999999999994E-2</v>
      </c>
      <c r="D154" s="1">
        <v>20946</v>
      </c>
      <c r="E154" s="29">
        <f>Table1[[#This Row],[Ávöxtun]]*Table1[[#This Row],[Eignir]]/SUMIFS(Table1[Eignir],Table1[Year],Table1[[#This Row],[Year]])</f>
        <v>-8.9144825425861776E-7</v>
      </c>
      <c r="F154" s="23">
        <f>IF(B154=1997, 100, IF(COUNTIF(A$1:A153,A154)=0, "NEW", F153*(1+Table1[[#This Row],[Ávöxtun]])))</f>
        <v>85.90696833499706</v>
      </c>
      <c r="G154" s="18" cm="1">
        <f t="array" ref="G154">IFERROR(_xlfn.IFS(ISNUMBER(Table1[[#This Row],[Column3]]),Table1[[#This Row],[Column3]],Table1[[#This Row],[Column3]]="NEW",Table1[[#This Row],[Column3]]),"")</f>
        <v>85.90696833499706</v>
      </c>
      <c r="H154" s="15" cm="1">
        <f t="array" ref="H154">_xlfn.IFS(Table1[[#This Row],[Column4]]="NEW",AVERAGEIFS(Table1[Column4],Table1[Year],Table1[[#This Row],[Year]]),ISNUMBER(Table1[[#This Row],[Column4]]),Table1[[#This Row],[Column4]],Table1[[#This Row],[Column4]]="",H153*(1+Table1[[#This Row],[Ávöxtun]]))</f>
        <v>85.90696833499706</v>
      </c>
      <c r="I154" cm="1">
        <f t="array" ref="I154">_xlfn.IFS(Table1[[#This Row],[Column4]]="NEW",_xlfn.XLOOKUP(Table1[[#This Row],[Year]],$N$2:$N$27,$P$2:$P$27),ISNUMBER(Table1[[#This Row],[Column4]]),Table1[[#This Row],[Column4]],Table1[[#This Row],[Column4]]="",I153*(1+Table1[[#This Row],[Ávöxtun]]))</f>
        <v>85.90696833499706</v>
      </c>
      <c r="L154" s="33">
        <v>85.90696833499706</v>
      </c>
      <c r="M154" s="33">
        <v>85.90696833499706</v>
      </c>
    </row>
    <row r="155" spans="1:13">
      <c r="A155" t="s">
        <v>69</v>
      </c>
      <c r="B155">
        <v>2010</v>
      </c>
      <c r="C155" s="16">
        <v>-0.35869999999999996</v>
      </c>
      <c r="D155" s="1">
        <v>32349</v>
      </c>
      <c r="E155" s="29">
        <f>Table1[[#This Row],[Ávöxtun]]*Table1[[#This Row],[Eignir]]/SUMIFS(Table1[Eignir],Table1[Year],Table1[[#This Row],[Year]])</f>
        <v>-6.4904763052310196E-6</v>
      </c>
      <c r="F155" s="23">
        <f>IF(B155=1997, 100, IF(COUNTIF(A$1:A154,A155)=0, "NEW", F154*(1+Table1[[#This Row],[Ávöxtun]])))</f>
        <v>55.092138793233616</v>
      </c>
      <c r="G155" s="18" cm="1">
        <f t="array" ref="G155">IFERROR(_xlfn.IFS(ISNUMBER(Table1[[#This Row],[Column3]]),Table1[[#This Row],[Column3]],Table1[[#This Row],[Column3]]="NEW",Table1[[#This Row],[Column3]]),"")</f>
        <v>55.092138793233616</v>
      </c>
      <c r="H155" s="15" cm="1">
        <f t="array" ref="H155">_xlfn.IFS(Table1[[#This Row],[Column4]]="NEW",AVERAGEIFS(Table1[Column4],Table1[Year],Table1[[#This Row],[Year]]),ISNUMBER(Table1[[#This Row],[Column4]]),Table1[[#This Row],[Column4]],Table1[[#This Row],[Column4]]="",H154*(1+Table1[[#This Row],[Ávöxtun]]))</f>
        <v>55.092138793233616</v>
      </c>
      <c r="I155" cm="1">
        <f t="array" ref="I155">_xlfn.IFS(Table1[[#This Row],[Column4]]="NEW",_xlfn.XLOOKUP(Table1[[#This Row],[Year]],$N$2:$N$27,$P$2:$P$27),ISNUMBER(Table1[[#This Row],[Column4]]),Table1[[#This Row],[Column4]],Table1[[#This Row],[Column4]]="",I154*(1+Table1[[#This Row],[Ávöxtun]]))</f>
        <v>55.092138793233616</v>
      </c>
      <c r="L155" s="33">
        <v>55.092138793233616</v>
      </c>
      <c r="M155" s="33">
        <v>55.092138793233616</v>
      </c>
    </row>
    <row r="156" spans="1:13">
      <c r="A156" t="s">
        <v>69</v>
      </c>
      <c r="B156">
        <v>2011</v>
      </c>
      <c r="C156" s="16">
        <v>-0.33200000000000002</v>
      </c>
      <c r="D156" s="1">
        <v>25992</v>
      </c>
      <c r="E156" s="29">
        <f>Table1[[#This Row],[Ávöxtun]]*Table1[[#This Row],[Eignir]]/SUMIFS(Table1[Eignir],Table1[Year],Table1[[#This Row],[Year]])</f>
        <v>-4.4240367590490504E-6</v>
      </c>
      <c r="F156" s="23">
        <f>IF(B156=1997, 100, IF(COUNTIF(A$1:A155,A156)=0, "NEW", F155*(1+Table1[[#This Row],[Ávöxtun]])))</f>
        <v>36.801548713880052</v>
      </c>
      <c r="G156" s="18" cm="1">
        <f t="array" ref="G156">IFERROR(_xlfn.IFS(ISNUMBER(Table1[[#This Row],[Column3]]),Table1[[#This Row],[Column3]],Table1[[#This Row],[Column3]]="NEW",Table1[[#This Row],[Column3]]),"")</f>
        <v>36.801548713880052</v>
      </c>
      <c r="H156" s="15" cm="1">
        <f t="array" ref="H156">_xlfn.IFS(Table1[[#This Row],[Column4]]="NEW",AVERAGEIFS(Table1[Column4],Table1[Year],Table1[[#This Row],[Year]]),ISNUMBER(Table1[[#This Row],[Column4]]),Table1[[#This Row],[Column4]],Table1[[#This Row],[Column4]]="",H155*(1+Table1[[#This Row],[Ávöxtun]]))</f>
        <v>36.801548713880052</v>
      </c>
      <c r="I156" cm="1">
        <f t="array" ref="I156">_xlfn.IFS(Table1[[#This Row],[Column4]]="NEW",_xlfn.XLOOKUP(Table1[[#This Row],[Year]],$N$2:$N$27,$P$2:$P$27),ISNUMBER(Table1[[#This Row],[Column4]]),Table1[[#This Row],[Column4]],Table1[[#This Row],[Column4]]="",I155*(1+Table1[[#This Row],[Ávöxtun]]))</f>
        <v>36.801548713880052</v>
      </c>
      <c r="L156" s="33">
        <v>36.801548713880052</v>
      </c>
      <c r="M156" s="33">
        <v>36.801548713880052</v>
      </c>
    </row>
    <row r="157" spans="1:13">
      <c r="A157" t="s">
        <v>69</v>
      </c>
      <c r="B157">
        <v>2012</v>
      </c>
      <c r="C157" s="16">
        <v>-0.47500000000000003</v>
      </c>
      <c r="D157" s="1">
        <v>18178</v>
      </c>
      <c r="E157" s="29">
        <f>Table1[[#This Row],[Ávöxtun]]*Table1[[#This Row],[Eignir]]/SUMIFS(Table1[Eignir],Table1[Year],Table1[[#This Row],[Year]])</f>
        <v>-3.9197300853494101E-6</v>
      </c>
      <c r="F157" s="23">
        <f>IF(B157=1997, 100, IF(COUNTIF(A$1:A156,A157)=0, "NEW", F156*(1+Table1[[#This Row],[Ávöxtun]])))</f>
        <v>19.320813074787026</v>
      </c>
      <c r="G157" s="18" cm="1">
        <f t="array" ref="G157">IFERROR(_xlfn.IFS(ISNUMBER(Table1[[#This Row],[Column3]]),Table1[[#This Row],[Column3]],Table1[[#This Row],[Column3]]="NEW",Table1[[#This Row],[Column3]]),"")</f>
        <v>19.320813074787026</v>
      </c>
      <c r="H157" s="15" cm="1">
        <f t="array" ref="H157">_xlfn.IFS(Table1[[#This Row],[Column4]]="NEW",AVERAGEIFS(Table1[Column4],Table1[Year],Table1[[#This Row],[Year]]),ISNUMBER(Table1[[#This Row],[Column4]]),Table1[[#This Row],[Column4]],Table1[[#This Row],[Column4]]="",H156*(1+Table1[[#This Row],[Ávöxtun]]))</f>
        <v>19.320813074787026</v>
      </c>
      <c r="I157" cm="1">
        <f t="array" ref="I157">_xlfn.IFS(Table1[[#This Row],[Column4]]="NEW",_xlfn.XLOOKUP(Table1[[#This Row],[Year]],$N$2:$N$27,$P$2:$P$27),ISNUMBER(Table1[[#This Row],[Column4]]),Table1[[#This Row],[Column4]],Table1[[#This Row],[Column4]]="",I156*(1+Table1[[#This Row],[Ávöxtun]]))</f>
        <v>19.320813074787026</v>
      </c>
      <c r="L157" s="33">
        <v>19.320813074787026</v>
      </c>
      <c r="M157" s="33">
        <v>19.320813074787026</v>
      </c>
    </row>
    <row r="158" spans="1:13">
      <c r="A158" t="s">
        <v>69</v>
      </c>
      <c r="B158">
        <v>2013</v>
      </c>
      <c r="C158" s="16">
        <v>-0.81599999999999995</v>
      </c>
      <c r="D158" s="1">
        <v>9224</v>
      </c>
      <c r="E158" s="29">
        <f>Table1[[#This Row],[Ávöxtun]]*Table1[[#This Row],[Eignir]]/SUMIFS(Table1[Eignir],Table1[Year],Table1[[#This Row],[Year]])</f>
        <v>-3.0928859735330809E-6</v>
      </c>
      <c r="F158" s="23">
        <f>IF(B158=1997, 100, IF(COUNTIF(A$1:A157,A158)=0, "NEW", F157*(1+Table1[[#This Row],[Ávöxtun]])))</f>
        <v>3.5550296057608137</v>
      </c>
      <c r="G158" s="18" cm="1">
        <f t="array" ref="G158">IFERROR(_xlfn.IFS(ISNUMBER(Table1[[#This Row],[Column3]]),Table1[[#This Row],[Column3]],Table1[[#This Row],[Column3]]="NEW",Table1[[#This Row],[Column3]]),"")</f>
        <v>3.5550296057608137</v>
      </c>
      <c r="H158" s="15" cm="1">
        <f t="array" ref="H158">_xlfn.IFS(Table1[[#This Row],[Column4]]="NEW",AVERAGEIFS(Table1[Column4],Table1[Year],Table1[[#This Row],[Year]]),ISNUMBER(Table1[[#This Row],[Column4]]),Table1[[#This Row],[Column4]],Table1[[#This Row],[Column4]]="",H157*(1+Table1[[#This Row],[Ávöxtun]]))</f>
        <v>3.5550296057608137</v>
      </c>
      <c r="I158" cm="1">
        <f t="array" ref="I158">_xlfn.IFS(Table1[[#This Row],[Column4]]="NEW",_xlfn.XLOOKUP(Table1[[#This Row],[Year]],$N$2:$N$27,$P$2:$P$27),ISNUMBER(Table1[[#This Row],[Column4]]),Table1[[#This Row],[Column4]],Table1[[#This Row],[Column4]]="",I157*(1+Table1[[#This Row],[Ávöxtun]]))</f>
        <v>3.5550296057608137</v>
      </c>
      <c r="L158" s="33">
        <v>3.5550296057608137</v>
      </c>
      <c r="M158" s="33">
        <v>3.5550296057608137</v>
      </c>
    </row>
    <row r="159" spans="1:13">
      <c r="A159" t="s">
        <v>69</v>
      </c>
      <c r="B159">
        <v>2014</v>
      </c>
      <c r="C159" s="16">
        <v>-1.4830000000000001</v>
      </c>
      <c r="D159" s="1">
        <v>29907</v>
      </c>
      <c r="E159" s="29">
        <f>Table1[[#This Row],[Ávöxtun]]*Table1[[#This Row],[Eignir]]/SUMIFS(Table1[Eignir],Table1[Year],Table1[[#This Row],[Year]])</f>
        <v>-1.6717592257635204E-5</v>
      </c>
      <c r="F159" s="23">
        <f>IF(B159=1997, 100, IF(COUNTIF(A$1:A158,A159)=0, "NEW", F158*(1+Table1[[#This Row],[Ávöxtun]])))</f>
        <v>-1.7170792995824733</v>
      </c>
      <c r="G159" s="18" cm="1">
        <f t="array" ref="G159">IFERROR(_xlfn.IFS(ISNUMBER(Table1[[#This Row],[Column3]]),Table1[[#This Row],[Column3]],Table1[[#This Row],[Column3]]="NEW",Table1[[#This Row],[Column3]]),"")</f>
        <v>-1.7170792995824733</v>
      </c>
      <c r="H159" s="15" cm="1">
        <f t="array" ref="H159">_xlfn.IFS(Table1[[#This Row],[Column4]]="NEW",AVERAGEIFS(Table1[Column4],Table1[Year],Table1[[#This Row],[Year]]),ISNUMBER(Table1[[#This Row],[Column4]]),Table1[[#This Row],[Column4]],Table1[[#This Row],[Column4]]="",H158*(1+Table1[[#This Row],[Ávöxtun]]))</f>
        <v>-1.7170792995824733</v>
      </c>
      <c r="I159" cm="1">
        <f t="array" ref="I159">_xlfn.IFS(Table1[[#This Row],[Column4]]="NEW",_xlfn.XLOOKUP(Table1[[#This Row],[Year]],$N$2:$N$27,$P$2:$P$27),ISNUMBER(Table1[[#This Row],[Column4]]),Table1[[#This Row],[Column4]],Table1[[#This Row],[Column4]]="",I158*(1+Table1[[#This Row],[Ávöxtun]]))</f>
        <v>-1.7170792995824733</v>
      </c>
      <c r="L159" s="33">
        <v>-1.7170792995824733</v>
      </c>
      <c r="M159" s="33">
        <v>-1.7170792995824733</v>
      </c>
    </row>
    <row r="160" spans="1:13">
      <c r="A160" t="s">
        <v>69</v>
      </c>
      <c r="B160">
        <v>2015</v>
      </c>
      <c r="C160" s="16">
        <v>-0.34899999999999998</v>
      </c>
      <c r="D160" s="1">
        <v>34063</v>
      </c>
      <c r="E160" s="29">
        <f>Table1[[#This Row],[Ávöxtun]]*Table1[[#This Row],[Eignir]]/SUMIFS(Table1[Eignir],Table1[Year],Table1[[#This Row],[Year]])</f>
        <v>-4.0143426735748609E-6</v>
      </c>
      <c r="F160" s="23">
        <f>IF(B160=1997, 100, IF(COUNTIF(A$1:A159,A160)=0, "NEW", F159*(1+Table1[[#This Row],[Ávöxtun]])))</f>
        <v>-1.1178186240281902</v>
      </c>
      <c r="G160" s="18" cm="1">
        <f t="array" ref="G160">IFERROR(_xlfn.IFS(ISNUMBER(Table1[[#This Row],[Column3]]),Table1[[#This Row],[Column3]],Table1[[#This Row],[Column3]]="NEW",Table1[[#This Row],[Column3]]),"")</f>
        <v>-1.1178186240281902</v>
      </c>
      <c r="H160" s="15" cm="1">
        <f t="array" ref="H160">_xlfn.IFS(Table1[[#This Row],[Column4]]="NEW",AVERAGEIFS(Table1[Column4],Table1[Year],Table1[[#This Row],[Year]]),ISNUMBER(Table1[[#This Row],[Column4]]),Table1[[#This Row],[Column4]],Table1[[#This Row],[Column4]]="",H159*(1+Table1[[#This Row],[Ávöxtun]]))</f>
        <v>-1.1178186240281902</v>
      </c>
      <c r="I160" cm="1">
        <f t="array" ref="I160">_xlfn.IFS(Table1[[#This Row],[Column4]]="NEW",_xlfn.XLOOKUP(Table1[[#This Row],[Year]],$N$2:$N$27,$P$2:$P$27),ISNUMBER(Table1[[#This Row],[Column4]]),Table1[[#This Row],[Column4]],Table1[[#This Row],[Column4]]="",I159*(1+Table1[[#This Row],[Ávöxtun]]))</f>
        <v>-1.1178186240281902</v>
      </c>
      <c r="L160" s="33">
        <v>-1.1178186240281902</v>
      </c>
      <c r="M160" s="33">
        <v>-1.1178186240281902</v>
      </c>
    </row>
    <row r="161" spans="1:13">
      <c r="A161" t="s">
        <v>69</v>
      </c>
      <c r="B161">
        <v>2016</v>
      </c>
      <c r="C161" s="16">
        <v>-0.33200000000000002</v>
      </c>
      <c r="D161" s="1">
        <v>38840.51</v>
      </c>
      <c r="E161" s="29">
        <f>Table1[[#This Row],[Ávöxtun]]*Table1[[#This Row],[Eignir]]/SUMIFS(Table1[Eignir],Table1[Year],Table1[[#This Row],[Year]])</f>
        <v>-4.0296441580340946E-6</v>
      </c>
      <c r="F161" s="23">
        <f>IF(B161=1997, 100, IF(COUNTIF(A$1:A160,A161)=0, "NEW", F160*(1+Table1[[#This Row],[Ávöxtun]])))</f>
        <v>-0.74670284085083094</v>
      </c>
      <c r="G161" s="18" cm="1">
        <f t="array" ref="G161">IFERROR(_xlfn.IFS(ISNUMBER(Table1[[#This Row],[Column3]]),Table1[[#This Row],[Column3]],Table1[[#This Row],[Column3]]="NEW",Table1[[#This Row],[Column3]]),"")</f>
        <v>-0.74670284085083094</v>
      </c>
      <c r="H161" s="15" cm="1">
        <f t="array" ref="H161">_xlfn.IFS(Table1[[#This Row],[Column4]]="NEW",AVERAGEIFS(Table1[Column4],Table1[Year],Table1[[#This Row],[Year]]),ISNUMBER(Table1[[#This Row],[Column4]]),Table1[[#This Row],[Column4]],Table1[[#This Row],[Column4]]="",H160*(1+Table1[[#This Row],[Ávöxtun]]))</f>
        <v>-0.74670284085083094</v>
      </c>
      <c r="I161" cm="1">
        <f t="array" ref="I161">_xlfn.IFS(Table1[[#This Row],[Column4]]="NEW",_xlfn.XLOOKUP(Table1[[#This Row],[Year]],$N$2:$N$27,$P$2:$P$27),ISNUMBER(Table1[[#This Row],[Column4]]),Table1[[#This Row],[Column4]],Table1[[#This Row],[Column4]]="",I160*(1+Table1[[#This Row],[Ávöxtun]]))</f>
        <v>-0.74670284085083094</v>
      </c>
      <c r="L161" s="33">
        <v>-0.74670284085083094</v>
      </c>
      <c r="M161" s="33">
        <v>-0.74670284085083094</v>
      </c>
    </row>
    <row r="162" spans="1:13">
      <c r="A162" t="s">
        <v>69</v>
      </c>
      <c r="B162">
        <v>2017</v>
      </c>
      <c r="C162" s="16">
        <v>-0.36499999999999999</v>
      </c>
      <c r="D162" s="1">
        <v>29527</v>
      </c>
      <c r="E162" s="29">
        <f>Table1[[#This Row],[Ávöxtun]]*Table1[[#This Row],[Eignir]]/SUMIFS(Table1[Eignir],Table1[Year],Table1[[#This Row],[Year]])</f>
        <v>-3.0280688008639043E-6</v>
      </c>
      <c r="F162" s="23">
        <f>IF(B162=1997, 100, IF(COUNTIF(A$1:A161,A162)=0, "NEW", F161*(1+Table1[[#This Row],[Ávöxtun]])))</f>
        <v>-0.47415630394027763</v>
      </c>
      <c r="G162" s="18" cm="1">
        <f t="array" ref="G162">IFERROR(_xlfn.IFS(ISNUMBER(Table1[[#This Row],[Column3]]),Table1[[#This Row],[Column3]],Table1[[#This Row],[Column3]]="NEW",Table1[[#This Row],[Column3]]),"")</f>
        <v>-0.47415630394027763</v>
      </c>
      <c r="H162" s="15" cm="1">
        <f t="array" ref="H162">_xlfn.IFS(Table1[[#This Row],[Column4]]="NEW",AVERAGEIFS(Table1[Column4],Table1[Year],Table1[[#This Row],[Year]]),ISNUMBER(Table1[[#This Row],[Column4]]),Table1[[#This Row],[Column4]],Table1[[#This Row],[Column4]]="",H161*(1+Table1[[#This Row],[Ávöxtun]]))</f>
        <v>-0.47415630394027763</v>
      </c>
      <c r="I162" cm="1">
        <f t="array" ref="I162">_xlfn.IFS(Table1[[#This Row],[Column4]]="NEW",_xlfn.XLOOKUP(Table1[[#This Row],[Year]],$N$2:$N$27,$P$2:$P$27),ISNUMBER(Table1[[#This Row],[Column4]]),Table1[[#This Row],[Column4]],Table1[[#This Row],[Column4]]="",I161*(1+Table1[[#This Row],[Ávöxtun]]))</f>
        <v>-0.47415630394027763</v>
      </c>
      <c r="L162" s="33">
        <v>-0.47415630394027763</v>
      </c>
      <c r="M162" s="33">
        <v>-0.47415630394027763</v>
      </c>
    </row>
    <row r="163" spans="1:13">
      <c r="A163" t="s">
        <v>70</v>
      </c>
      <c r="B163">
        <v>2006</v>
      </c>
      <c r="C163" s="16">
        <v>0.1106</v>
      </c>
      <c r="D163" s="1">
        <v>49484781</v>
      </c>
      <c r="E163" s="29">
        <f>Table1[[#This Row],[Ávöxtun]]*Table1[[#This Row],[Eignir]]/SUMIFS(Table1[Eignir],Table1[Year],Table1[[#This Row],[Year]])</f>
        <v>3.9871158335701212E-3</v>
      </c>
      <c r="F163" s="23" t="str">
        <f>IF(B163=1997, 100, IF(COUNTIF(A$1:A162,A163)=0, "NEW", F162*(1+Table1[[#This Row],[Ávöxtun]])))</f>
        <v>NEW</v>
      </c>
      <c r="G163" s="18" t="str" cm="1">
        <f t="array" ref="G163">IFERROR(_xlfn.IFS(ISNUMBER(Table1[[#This Row],[Column3]]),Table1[[#This Row],[Column3]],Table1[[#This Row],[Column3]]="NEW",Table1[[#This Row],[Column3]]),"")</f>
        <v>NEW</v>
      </c>
      <c r="H163" s="15" cm="1">
        <f t="array" ref="H163">_xlfn.IFS(Table1[[#This Row],[Column4]]="NEW",AVERAGEIFS(Table1[Column4],Table1[Year],Table1[[#This Row],[Year]]),ISNUMBER(Table1[[#This Row],[Column4]]),Table1[[#This Row],[Column4]],Table1[[#This Row],[Column4]]="",H162*(1+Table1[[#This Row],[Ávöxtun]]))</f>
        <v>173.57107422928632</v>
      </c>
      <c r="I163" cm="1">
        <f t="array" ref="I163">_xlfn.IFS(Table1[[#This Row],[Column4]]="NEW",_xlfn.XLOOKUP(Table1[[#This Row],[Year]],$N$2:$N$27,$P$2:$P$27),ISNUMBER(Table1[[#This Row],[Column4]]),Table1[[#This Row],[Column4]],Table1[[#This Row],[Column4]]="",I162*(1+Table1[[#This Row],[Ávöxtun]]))</f>
        <v>203.57786186085158</v>
      </c>
      <c r="L163" s="33">
        <v>173.57107422928632</v>
      </c>
      <c r="M163" s="33">
        <v>219.26690788715638</v>
      </c>
    </row>
    <row r="164" spans="1:13">
      <c r="A164" t="s">
        <v>70</v>
      </c>
      <c r="B164">
        <v>2007</v>
      </c>
      <c r="C164" s="16">
        <v>2.7700000000000002E-2</v>
      </c>
      <c r="D164" s="1">
        <v>55430643</v>
      </c>
      <c r="E164" s="29">
        <f>Table1[[#This Row],[Ávöxtun]]*Table1[[#This Row],[Eignir]]/SUMIFS(Table1[Eignir],Table1[Year],Table1[[#This Row],[Year]])</f>
        <v>9.9290019718036851E-4</v>
      </c>
      <c r="F164" s="23" t="e">
        <f>IF(B164=1997, 100, IF(COUNTIF(A$1:A163,A164)=0, "NEW", F163*(1+Table1[[#This Row],[Ávöxtun]])))</f>
        <v>#VALUE!</v>
      </c>
      <c r="G164" s="18" t="str" cm="1">
        <f t="array" ref="G164">IFERROR(_xlfn.IFS(ISNUMBER(Table1[[#This Row],[Column3]]),Table1[[#This Row],[Column3]],Table1[[#This Row],[Column3]]="NEW",Table1[[#This Row],[Column3]]),"")</f>
        <v/>
      </c>
      <c r="H164" s="15" cm="1">
        <f t="array" ref="H164">_xlfn.IFS(Table1[[#This Row],[Column4]]="NEW",AVERAGEIFS(Table1[Column4],Table1[Year],Table1[[#This Row],[Year]]),ISNUMBER(Table1[[#This Row],[Column4]]),Table1[[#This Row],[Column4]],Table1[[#This Row],[Column4]]="",H163*(1+Table1[[#This Row],[Ávöxtun]]))</f>
        <v>178.37899298543758</v>
      </c>
      <c r="I164" cm="1">
        <f t="array" ref="I164">_xlfn.IFS(Table1[[#This Row],[Column4]]="NEW",_xlfn.XLOOKUP(Table1[[#This Row],[Year]],$N$2:$N$27,$P$2:$P$27),ISNUMBER(Table1[[#This Row],[Column4]]),Table1[[#This Row],[Column4]],Table1[[#This Row],[Column4]]="",I163*(1+Table1[[#This Row],[Ávöxtun]]))</f>
        <v>209.21696863439718</v>
      </c>
      <c r="L164" s="33">
        <v>178.37899298543758</v>
      </c>
      <c r="M164" s="33">
        <v>225.34060123563063</v>
      </c>
    </row>
    <row r="165" spans="1:13">
      <c r="A165" t="s">
        <v>70</v>
      </c>
      <c r="B165">
        <v>2008</v>
      </c>
      <c r="C165" s="16">
        <v>-0.18840000000000001</v>
      </c>
      <c r="D165" s="1">
        <v>56941947</v>
      </c>
      <c r="E165" s="29">
        <f>Table1[[#This Row],[Ávöxtun]]*Table1[[#This Row],[Eignir]]/SUMIFS(Table1[Eignir],Table1[Year],Table1[[#This Row],[Year]])</f>
        <v>-7.1647195298143174E-3</v>
      </c>
      <c r="F165" s="23" t="e">
        <f>IF(B165=1997, 100, IF(COUNTIF(A$1:A164,A165)=0, "NEW", F164*(1+Table1[[#This Row],[Ávöxtun]])))</f>
        <v>#VALUE!</v>
      </c>
      <c r="G165" s="18" t="str" cm="1">
        <f t="array" ref="G165">IFERROR(_xlfn.IFS(ISNUMBER(Table1[[#This Row],[Column3]]),Table1[[#This Row],[Column3]],Table1[[#This Row],[Column3]]="NEW",Table1[[#This Row],[Column3]]),"")</f>
        <v/>
      </c>
      <c r="H165" s="15" cm="1">
        <f t="array" ref="H165">_xlfn.IFS(Table1[[#This Row],[Column4]]="NEW",AVERAGEIFS(Table1[Column4],Table1[Year],Table1[[#This Row],[Year]]),ISNUMBER(Table1[[#This Row],[Column4]]),Table1[[#This Row],[Column4]],Table1[[#This Row],[Column4]]="",H164*(1+Table1[[#This Row],[Ávöxtun]]))</f>
        <v>144.77239070698113</v>
      </c>
      <c r="I165" cm="1">
        <f t="array" ref="I165">_xlfn.IFS(Table1[[#This Row],[Column4]]="NEW",_xlfn.XLOOKUP(Table1[[#This Row],[Year]],$N$2:$N$27,$P$2:$P$27),ISNUMBER(Table1[[#This Row],[Column4]]),Table1[[#This Row],[Column4]],Table1[[#This Row],[Column4]]="",I164*(1+Table1[[#This Row],[Ávöxtun]]))</f>
        <v>169.80049174367676</v>
      </c>
      <c r="L165" s="33">
        <v>144.77239070698113</v>
      </c>
      <c r="M165" s="33">
        <v>182.8864319628378</v>
      </c>
    </row>
    <row r="166" spans="1:13">
      <c r="A166" t="s">
        <v>70</v>
      </c>
      <c r="B166">
        <v>2009</v>
      </c>
      <c r="C166" s="16">
        <v>-5.2000000000000005E-2</v>
      </c>
      <c r="D166" s="1">
        <v>61072687</v>
      </c>
      <c r="E166" s="29">
        <f>Table1[[#This Row],[Ávöxtun]]*Table1[[#This Row],[Eignir]]/SUMIFS(Table1[Eignir],Table1[Year],Table1[[#This Row],[Year]])</f>
        <v>-1.9036498217883649E-3</v>
      </c>
      <c r="F166" s="23" t="e">
        <f>IF(B166=1997, 100, IF(COUNTIF(A$1:A165,A166)=0, "NEW", F165*(1+Table1[[#This Row],[Ávöxtun]])))</f>
        <v>#VALUE!</v>
      </c>
      <c r="G166" s="18" t="str" cm="1">
        <f t="array" ref="G166">IFERROR(_xlfn.IFS(ISNUMBER(Table1[[#This Row],[Column3]]),Table1[[#This Row],[Column3]],Table1[[#This Row],[Column3]]="NEW",Table1[[#This Row],[Column3]]),"")</f>
        <v/>
      </c>
      <c r="H166" s="15" cm="1">
        <f t="array" ref="H166">_xlfn.IFS(Table1[[#This Row],[Column4]]="NEW",AVERAGEIFS(Table1[Column4],Table1[Year],Table1[[#This Row],[Year]]),ISNUMBER(Table1[[#This Row],[Column4]]),Table1[[#This Row],[Column4]],Table1[[#This Row],[Column4]]="",H165*(1+Table1[[#This Row],[Ávöxtun]]))</f>
        <v>137.2442263902181</v>
      </c>
      <c r="I166" cm="1">
        <f t="array" ref="I166">_xlfn.IFS(Table1[[#This Row],[Column4]]="NEW",_xlfn.XLOOKUP(Table1[[#This Row],[Year]],$N$2:$N$27,$P$2:$P$27),ISNUMBER(Table1[[#This Row],[Column4]]),Table1[[#This Row],[Column4]],Table1[[#This Row],[Column4]]="",I165*(1+Table1[[#This Row],[Ávöxtun]]))</f>
        <v>160.97086617300556</v>
      </c>
      <c r="L166" s="33">
        <v>137.2442263902181</v>
      </c>
      <c r="M166" s="33">
        <v>173.37633750077023</v>
      </c>
    </row>
    <row r="167" spans="1:13">
      <c r="A167" t="s">
        <v>70</v>
      </c>
      <c r="B167">
        <v>2010</v>
      </c>
      <c r="C167" s="16">
        <v>2.1000000000000001E-2</v>
      </c>
      <c r="D167" s="1">
        <v>66171290</v>
      </c>
      <c r="E167" s="29">
        <f>Table1[[#This Row],[Ávöxtun]]*Table1[[#This Row],[Eignir]]/SUMIFS(Table1[Eignir],Table1[Year],Table1[[#This Row],[Year]])</f>
        <v>7.7727236677362229E-4</v>
      </c>
      <c r="F167" s="23" t="e">
        <f>IF(B167=1997, 100, IF(COUNTIF(A$1:A166,A167)=0, "NEW", F166*(1+Table1[[#This Row],[Ávöxtun]])))</f>
        <v>#VALUE!</v>
      </c>
      <c r="G167" s="18" t="str" cm="1">
        <f t="array" ref="G167">IFERROR(_xlfn.IFS(ISNUMBER(Table1[[#This Row],[Column3]]),Table1[[#This Row],[Column3]],Table1[[#This Row],[Column3]]="NEW",Table1[[#This Row],[Column3]]),"")</f>
        <v/>
      </c>
      <c r="H167" s="15" cm="1">
        <f t="array" ref="H167">_xlfn.IFS(Table1[[#This Row],[Column4]]="NEW",AVERAGEIFS(Table1[Column4],Table1[Year],Table1[[#This Row],[Year]]),ISNUMBER(Table1[[#This Row],[Column4]]),Table1[[#This Row],[Column4]],Table1[[#This Row],[Column4]]="",H166*(1+Table1[[#This Row],[Ávöxtun]]))</f>
        <v>140.12635514441266</v>
      </c>
      <c r="I167" cm="1">
        <f t="array" ref="I167">_xlfn.IFS(Table1[[#This Row],[Column4]]="NEW",_xlfn.XLOOKUP(Table1[[#This Row],[Year]],$N$2:$N$27,$P$2:$P$27),ISNUMBER(Table1[[#This Row],[Column4]]),Table1[[#This Row],[Column4]],Table1[[#This Row],[Column4]]="",I166*(1+Table1[[#This Row],[Ávöxtun]]))</f>
        <v>164.35125436263866</v>
      </c>
      <c r="L167" s="33">
        <v>140.12635514441266</v>
      </c>
      <c r="M167" s="33">
        <v>177.0172405882864</v>
      </c>
    </row>
    <row r="168" spans="1:13">
      <c r="A168" t="s">
        <v>70</v>
      </c>
      <c r="B168">
        <v>2011</v>
      </c>
      <c r="C168" s="16">
        <v>1.8000000000000002E-2</v>
      </c>
      <c r="D168" s="1">
        <v>71442566</v>
      </c>
      <c r="E168" s="29">
        <f>Table1[[#This Row],[Ávöxtun]]*Table1[[#This Row],[Eignir]]/SUMIFS(Table1[Eignir],Table1[Year],Table1[[#This Row],[Year]])</f>
        <v>6.5928090091276707E-4</v>
      </c>
      <c r="F168" s="23" t="e">
        <f>IF(B168=1997, 100, IF(COUNTIF(A$1:A167,A168)=0, "NEW", F167*(1+Table1[[#This Row],[Ávöxtun]])))</f>
        <v>#VALUE!</v>
      </c>
      <c r="G168" s="18" t="str" cm="1">
        <f t="array" ref="G168">IFERROR(_xlfn.IFS(ISNUMBER(Table1[[#This Row],[Column3]]),Table1[[#This Row],[Column3]],Table1[[#This Row],[Column3]]="NEW",Table1[[#This Row],[Column3]]),"")</f>
        <v/>
      </c>
      <c r="H168" s="15" cm="1">
        <f t="array" ref="H168">_xlfn.IFS(Table1[[#This Row],[Column4]]="NEW",AVERAGEIFS(Table1[Column4],Table1[Year],Table1[[#This Row],[Year]]),ISNUMBER(Table1[[#This Row],[Column4]]),Table1[[#This Row],[Column4]],Table1[[#This Row],[Column4]]="",H167*(1+Table1[[#This Row],[Ávöxtun]]))</f>
        <v>142.64862953701208</v>
      </c>
      <c r="I168" cm="1">
        <f t="array" ref="I168">_xlfn.IFS(Table1[[#This Row],[Column4]]="NEW",_xlfn.XLOOKUP(Table1[[#This Row],[Year]],$N$2:$N$27,$P$2:$P$27),ISNUMBER(Table1[[#This Row],[Column4]]),Table1[[#This Row],[Column4]],Table1[[#This Row],[Column4]]="",I167*(1+Table1[[#This Row],[Ávöxtun]]))</f>
        <v>167.30957694116614</v>
      </c>
      <c r="L168" s="33">
        <v>142.64862953701208</v>
      </c>
      <c r="M168" s="33">
        <v>180.20355091887555</v>
      </c>
    </row>
    <row r="169" spans="1:13">
      <c r="A169" t="s">
        <v>70</v>
      </c>
      <c r="B169">
        <v>2012</v>
      </c>
      <c r="C169" s="16">
        <v>0.06</v>
      </c>
      <c r="D169" s="1">
        <v>81175431</v>
      </c>
      <c r="E169" s="29">
        <f>Table1[[#This Row],[Ávöxtun]]*Table1[[#This Row],[Eignir]]/SUMIFS(Table1[Eignir],Table1[Year],Table1[[#This Row],[Year]])</f>
        <v>2.2110181474326173E-3</v>
      </c>
      <c r="F169" s="23" t="e">
        <f>IF(B169=1997, 100, IF(COUNTIF(A$1:A168,A169)=0, "NEW", F168*(1+Table1[[#This Row],[Ávöxtun]])))</f>
        <v>#VALUE!</v>
      </c>
      <c r="G169" s="18" t="str" cm="1">
        <f t="array" ref="G169">IFERROR(_xlfn.IFS(ISNUMBER(Table1[[#This Row],[Column3]]),Table1[[#This Row],[Column3]],Table1[[#This Row],[Column3]]="NEW",Table1[[#This Row],[Column3]]),"")</f>
        <v/>
      </c>
      <c r="H169" s="15" cm="1">
        <f t="array" ref="H169">_xlfn.IFS(Table1[[#This Row],[Column4]]="NEW",AVERAGEIFS(Table1[Column4],Table1[Year],Table1[[#This Row],[Year]]),ISNUMBER(Table1[[#This Row],[Column4]]),Table1[[#This Row],[Column4]],Table1[[#This Row],[Column4]]="",H168*(1+Table1[[#This Row],[Ávöxtun]]))</f>
        <v>151.20754730923281</v>
      </c>
      <c r="I169" cm="1">
        <f t="array" ref="I169">_xlfn.IFS(Table1[[#This Row],[Column4]]="NEW",_xlfn.XLOOKUP(Table1[[#This Row],[Year]],$N$2:$N$27,$P$2:$P$27),ISNUMBER(Table1[[#This Row],[Column4]]),Table1[[#This Row],[Column4]],Table1[[#This Row],[Column4]]="",I168*(1+Table1[[#This Row],[Ávöxtun]]))</f>
        <v>177.34815155763613</v>
      </c>
      <c r="L169" s="33">
        <v>151.20754730923281</v>
      </c>
      <c r="M169" s="33">
        <v>191.01576397400808</v>
      </c>
    </row>
    <row r="170" spans="1:13">
      <c r="A170" t="s">
        <v>70</v>
      </c>
      <c r="B170">
        <v>2013</v>
      </c>
      <c r="C170" s="16">
        <v>5.5E-2</v>
      </c>
      <c r="D170" s="1">
        <v>90629835</v>
      </c>
      <c r="E170" s="29">
        <f>Table1[[#This Row],[Ávöxtun]]*Table1[[#This Row],[Eignir]]/SUMIFS(Table1[Eignir],Table1[Year],Table1[[#This Row],[Year]])</f>
        <v>2.0482753324702107E-3</v>
      </c>
      <c r="F170" s="23" t="e">
        <f>IF(B170=1997, 100, IF(COUNTIF(A$1:A169,A170)=0, "NEW", F169*(1+Table1[[#This Row],[Ávöxtun]])))</f>
        <v>#VALUE!</v>
      </c>
      <c r="G170" s="18" t="str" cm="1">
        <f t="array" ref="G170">IFERROR(_xlfn.IFS(ISNUMBER(Table1[[#This Row],[Column3]]),Table1[[#This Row],[Column3]],Table1[[#This Row],[Column3]]="NEW",Table1[[#This Row],[Column3]]),"")</f>
        <v/>
      </c>
      <c r="H170" s="15" cm="1">
        <f t="array" ref="H170">_xlfn.IFS(Table1[[#This Row],[Column4]]="NEW",AVERAGEIFS(Table1[Column4],Table1[Year],Table1[[#This Row],[Year]]),ISNUMBER(Table1[[#This Row],[Column4]]),Table1[[#This Row],[Column4]],Table1[[#This Row],[Column4]]="",H169*(1+Table1[[#This Row],[Ávöxtun]]))</f>
        <v>159.5239624112406</v>
      </c>
      <c r="I170" cm="1">
        <f t="array" ref="I170">_xlfn.IFS(Table1[[#This Row],[Column4]]="NEW",_xlfn.XLOOKUP(Table1[[#This Row],[Year]],$N$2:$N$27,$P$2:$P$27),ISNUMBER(Table1[[#This Row],[Column4]]),Table1[[#This Row],[Column4]],Table1[[#This Row],[Column4]]="",I169*(1+Table1[[#This Row],[Ávöxtun]]))</f>
        <v>187.10229989330611</v>
      </c>
      <c r="L170" s="33">
        <v>159.5239624112406</v>
      </c>
      <c r="M170" s="33">
        <v>201.52163099257851</v>
      </c>
    </row>
    <row r="171" spans="1:13">
      <c r="A171" t="s">
        <v>70</v>
      </c>
      <c r="B171">
        <v>2014</v>
      </c>
      <c r="C171" s="16">
        <v>6.7000000000000004E-2</v>
      </c>
      <c r="D171" s="1">
        <v>99181133</v>
      </c>
      <c r="E171" s="29">
        <f>Table1[[#This Row],[Ávöxtun]]*Table1[[#This Row],[Eignir]]/SUMIFS(Table1[Eignir],Table1[Year],Table1[[#This Row],[Year]])</f>
        <v>2.5047454403924639E-3</v>
      </c>
      <c r="F171" s="23" t="e">
        <f>IF(B171=1997, 100, IF(COUNTIF(A$1:A170,A171)=0, "NEW", F170*(1+Table1[[#This Row],[Ávöxtun]])))</f>
        <v>#VALUE!</v>
      </c>
      <c r="G171" s="18" t="str" cm="1">
        <f t="array" ref="G171">IFERROR(_xlfn.IFS(ISNUMBER(Table1[[#This Row],[Column3]]),Table1[[#This Row],[Column3]],Table1[[#This Row],[Column3]]="NEW",Table1[[#This Row],[Column3]]),"")</f>
        <v/>
      </c>
      <c r="H171" s="15" cm="1">
        <f t="array" ref="H171">_xlfn.IFS(Table1[[#This Row],[Column4]]="NEW",AVERAGEIFS(Table1[Column4],Table1[Year],Table1[[#This Row],[Year]]),ISNUMBER(Table1[[#This Row],[Column4]]),Table1[[#This Row],[Column4]],Table1[[#This Row],[Column4]]="",H170*(1+Table1[[#This Row],[Ávöxtun]]))</f>
        <v>170.21206789279373</v>
      </c>
      <c r="I171" cm="1">
        <f t="array" ref="I171">_xlfn.IFS(Table1[[#This Row],[Column4]]="NEW",_xlfn.XLOOKUP(Table1[[#This Row],[Year]],$N$2:$N$27,$P$2:$P$27),ISNUMBER(Table1[[#This Row],[Column4]]),Table1[[#This Row],[Column4]],Table1[[#This Row],[Column4]]="",I170*(1+Table1[[#This Row],[Ávöxtun]]))</f>
        <v>199.63815398615762</v>
      </c>
      <c r="L171" s="33">
        <v>170.21206789279373</v>
      </c>
      <c r="M171" s="33">
        <v>215.02358026908126</v>
      </c>
    </row>
    <row r="172" spans="1:13">
      <c r="A172" t="s">
        <v>70</v>
      </c>
      <c r="B172">
        <v>2015</v>
      </c>
      <c r="C172" s="16">
        <v>8.199999999999999E-2</v>
      </c>
      <c r="D172" s="1">
        <v>112149164</v>
      </c>
      <c r="E172" s="29">
        <f>Table1[[#This Row],[Ávöxtun]]*Table1[[#This Row],[Eignir]]/SUMIFS(Table1[Eignir],Table1[Year],Table1[[#This Row],[Year]])</f>
        <v>3.1053890232027957E-3</v>
      </c>
      <c r="F172" s="23" t="e">
        <f>IF(B172=1997, 100, IF(COUNTIF(A$1:A171,A172)=0, "NEW", F171*(1+Table1[[#This Row],[Ávöxtun]])))</f>
        <v>#VALUE!</v>
      </c>
      <c r="G172" s="18" t="str" cm="1">
        <f t="array" ref="G172">IFERROR(_xlfn.IFS(ISNUMBER(Table1[[#This Row],[Column3]]),Table1[[#This Row],[Column3]],Table1[[#This Row],[Column3]]="NEW",Table1[[#This Row],[Column3]]),"")</f>
        <v/>
      </c>
      <c r="H172" s="15" cm="1">
        <f t="array" ref="H172">_xlfn.IFS(Table1[[#This Row],[Column4]]="NEW",AVERAGEIFS(Table1[Column4],Table1[Year],Table1[[#This Row],[Year]]),ISNUMBER(Table1[[#This Row],[Column4]]),Table1[[#This Row],[Column4]],Table1[[#This Row],[Column4]]="",H171*(1+Table1[[#This Row],[Ávöxtun]]))</f>
        <v>184.16945746000283</v>
      </c>
      <c r="I172" cm="1">
        <f t="array" ref="I172">_xlfn.IFS(Table1[[#This Row],[Column4]]="NEW",_xlfn.XLOOKUP(Table1[[#This Row],[Year]],$N$2:$N$27,$P$2:$P$27),ISNUMBER(Table1[[#This Row],[Column4]]),Table1[[#This Row],[Column4]],Table1[[#This Row],[Column4]]="",I171*(1+Table1[[#This Row],[Ávöxtun]]))</f>
        <v>216.00848261302255</v>
      </c>
      <c r="L172" s="33">
        <v>184.16945746000283</v>
      </c>
      <c r="M172" s="33">
        <v>232.65551385114594</v>
      </c>
    </row>
    <row r="173" spans="1:13">
      <c r="A173" t="s">
        <v>70</v>
      </c>
      <c r="B173">
        <v>2016</v>
      </c>
      <c r="C173" s="16">
        <v>5.3E-3</v>
      </c>
      <c r="D173" s="1">
        <v>119454530.14</v>
      </c>
      <c r="E173" s="29">
        <f>Table1[[#This Row],[Ávöxtun]]*Table1[[#This Row],[Eignir]]/SUMIFS(Table1[Eignir],Table1[Year],Table1[[#This Row],[Year]])</f>
        <v>1.978436808728391E-4</v>
      </c>
      <c r="F173" s="23" t="e">
        <f>IF(B173=1997, 100, IF(COUNTIF(A$1:A172,A173)=0, "NEW", F172*(1+Table1[[#This Row],[Ávöxtun]])))</f>
        <v>#VALUE!</v>
      </c>
      <c r="G173" s="18" t="str" cm="1">
        <f t="array" ref="G173">IFERROR(_xlfn.IFS(ISNUMBER(Table1[[#This Row],[Column3]]),Table1[[#This Row],[Column3]],Table1[[#This Row],[Column3]]="NEW",Table1[[#This Row],[Column3]]),"")</f>
        <v/>
      </c>
      <c r="H173" s="15" cm="1">
        <f t="array" ref="H173">_xlfn.IFS(Table1[[#This Row],[Column4]]="NEW",AVERAGEIFS(Table1[Column4],Table1[Year],Table1[[#This Row],[Year]]),ISNUMBER(Table1[[#This Row],[Column4]]),Table1[[#This Row],[Column4]],Table1[[#This Row],[Column4]]="",H172*(1+Table1[[#This Row],[Ávöxtun]]))</f>
        <v>185.14555558454086</v>
      </c>
      <c r="I173" cm="1">
        <f t="array" ref="I173">_xlfn.IFS(Table1[[#This Row],[Column4]]="NEW",_xlfn.XLOOKUP(Table1[[#This Row],[Year]],$N$2:$N$27,$P$2:$P$27),ISNUMBER(Table1[[#This Row],[Column4]]),Table1[[#This Row],[Column4]],Table1[[#This Row],[Column4]]="",I172*(1+Table1[[#This Row],[Ávöxtun]]))</f>
        <v>217.1533275708716</v>
      </c>
      <c r="L173" s="33">
        <v>185.14555558454086</v>
      </c>
      <c r="M173" s="33">
        <v>233.88858807455702</v>
      </c>
    </row>
    <row r="174" spans="1:13">
      <c r="A174" t="s">
        <v>70</v>
      </c>
      <c r="B174">
        <v>2017</v>
      </c>
      <c r="C174" s="16">
        <v>5.2999999999999999E-2</v>
      </c>
      <c r="D174" s="1">
        <v>133123682</v>
      </c>
      <c r="E174" s="29">
        <f>Table1[[#This Row],[Ávöxtun]]*Table1[[#This Row],[Eignir]]/SUMIFS(Table1[Eignir],Table1[Year],Table1[[#This Row],[Year]])</f>
        <v>1.9823701093985833E-3</v>
      </c>
      <c r="F174" s="23" t="e">
        <f>IF(B174=1997, 100, IF(COUNTIF(A$1:A173,A174)=0, "NEW", F173*(1+Table1[[#This Row],[Ávöxtun]])))</f>
        <v>#VALUE!</v>
      </c>
      <c r="G174" s="18" t="str" cm="1">
        <f t="array" ref="G174">IFERROR(_xlfn.IFS(ISNUMBER(Table1[[#This Row],[Column3]]),Table1[[#This Row],[Column3]],Table1[[#This Row],[Column3]]="NEW",Table1[[#This Row],[Column3]]),"")</f>
        <v/>
      </c>
      <c r="H174" s="15" cm="1">
        <f t="array" ref="H174">_xlfn.IFS(Table1[[#This Row],[Column4]]="NEW",AVERAGEIFS(Table1[Column4],Table1[Year],Table1[[#This Row],[Year]]),ISNUMBER(Table1[[#This Row],[Column4]]),Table1[[#This Row],[Column4]],Table1[[#This Row],[Column4]]="",H173*(1+Table1[[#This Row],[Ávöxtun]]))</f>
        <v>194.9582700305215</v>
      </c>
      <c r="I174" cm="1">
        <f t="array" ref="I174">_xlfn.IFS(Table1[[#This Row],[Column4]]="NEW",_xlfn.XLOOKUP(Table1[[#This Row],[Year]],$N$2:$N$27,$P$2:$P$27),ISNUMBER(Table1[[#This Row],[Column4]]),Table1[[#This Row],[Column4]],Table1[[#This Row],[Column4]]="",I173*(1+Table1[[#This Row],[Ávöxtun]]))</f>
        <v>228.66245393212779</v>
      </c>
      <c r="L174" s="33">
        <v>194.9582700305215</v>
      </c>
      <c r="M174" s="33">
        <v>246.28468324250852</v>
      </c>
    </row>
    <row r="175" spans="1:13">
      <c r="A175" t="s">
        <v>70</v>
      </c>
      <c r="B175">
        <v>2018</v>
      </c>
      <c r="C175" s="16">
        <v>2.7000000000000003E-2</v>
      </c>
      <c r="D175" s="1">
        <v>148517074</v>
      </c>
      <c r="E175" s="29">
        <f>Table1[[#This Row],[Ávöxtun]]*Table1[[#This Row],[Eignir]]/SUMIFS(Table1[Eignir],Table1[Year],Table1[[#This Row],[Year]])</f>
        <v>1.0501903108703814E-3</v>
      </c>
      <c r="F175" s="23" t="e">
        <f>IF(B175=1997, 100, IF(COUNTIF(A$1:A174,A175)=0, "NEW", F174*(1+Table1[[#This Row],[Ávöxtun]])))</f>
        <v>#VALUE!</v>
      </c>
      <c r="G175" s="18" t="str" cm="1">
        <f t="array" ref="G175">IFERROR(_xlfn.IFS(ISNUMBER(Table1[[#This Row],[Column3]]),Table1[[#This Row],[Column3]],Table1[[#This Row],[Column3]]="NEW",Table1[[#This Row],[Column3]]),"")</f>
        <v/>
      </c>
      <c r="H175" s="15" cm="1">
        <f t="array" ref="H175">_xlfn.IFS(Table1[[#This Row],[Column4]]="NEW",AVERAGEIFS(Table1[Column4],Table1[Year],Table1[[#This Row],[Year]]),ISNUMBER(Table1[[#This Row],[Column4]]),Table1[[#This Row],[Column4]],Table1[[#This Row],[Column4]]="",H174*(1+Table1[[#This Row],[Ávöxtun]]))</f>
        <v>200.22214332134556</v>
      </c>
      <c r="I175" cm="1">
        <f t="array" ref="I175">_xlfn.IFS(Table1[[#This Row],[Column4]]="NEW",_xlfn.XLOOKUP(Table1[[#This Row],[Year]],$N$2:$N$27,$P$2:$P$27),ISNUMBER(Table1[[#This Row],[Column4]]),Table1[[#This Row],[Column4]],Table1[[#This Row],[Column4]]="",I174*(1+Table1[[#This Row],[Ávöxtun]]))</f>
        <v>234.83634018829522</v>
      </c>
      <c r="L175" s="33">
        <v>200.22214332134556</v>
      </c>
      <c r="M175" s="33">
        <v>252.93436969005623</v>
      </c>
    </row>
    <row r="176" spans="1:13">
      <c r="A176" t="s">
        <v>70</v>
      </c>
      <c r="B176">
        <v>2019</v>
      </c>
      <c r="C176" s="16">
        <v>0.1023</v>
      </c>
      <c r="D176" s="1">
        <v>176025022.56999999</v>
      </c>
      <c r="E176" s="29">
        <f>Table1[[#This Row],[Ávöxtun]]*Table1[[#This Row],[Eignir]]/SUMIFS(Table1[Eignir],Table1[Year],Table1[[#This Row],[Year]])</f>
        <v>4.0677324751516404E-3</v>
      </c>
      <c r="F176" s="23" t="e">
        <f>IF(B176=1997, 100, IF(COUNTIF(A$1:A175,A176)=0, "NEW", F175*(1+Table1[[#This Row],[Ávöxtun]])))</f>
        <v>#VALUE!</v>
      </c>
      <c r="G176" s="18" t="str" cm="1">
        <f t="array" ref="G176">IFERROR(_xlfn.IFS(ISNUMBER(Table1[[#This Row],[Column3]]),Table1[[#This Row],[Column3]],Table1[[#This Row],[Column3]]="NEW",Table1[[#This Row],[Column3]]),"")</f>
        <v/>
      </c>
      <c r="H176" s="15" cm="1">
        <f t="array" ref="H176">_xlfn.IFS(Table1[[#This Row],[Column4]]="NEW",AVERAGEIFS(Table1[Column4],Table1[Year],Table1[[#This Row],[Year]]),ISNUMBER(Table1[[#This Row],[Column4]]),Table1[[#This Row],[Column4]],Table1[[#This Row],[Column4]]="",H175*(1+Table1[[#This Row],[Ávöxtun]]))</f>
        <v>220.70486858311921</v>
      </c>
      <c r="I176" cm="1">
        <f t="array" ref="I176">_xlfn.IFS(Table1[[#This Row],[Column4]]="NEW",_xlfn.XLOOKUP(Table1[[#This Row],[Year]],$N$2:$N$27,$P$2:$P$27),ISNUMBER(Table1[[#This Row],[Column4]]),Table1[[#This Row],[Column4]],Table1[[#This Row],[Column4]]="",I175*(1+Table1[[#This Row],[Ávöxtun]]))</f>
        <v>258.86009778955781</v>
      </c>
      <c r="L176" s="33">
        <v>220.70486858311921</v>
      </c>
      <c r="M176" s="33">
        <v>278.80955570934901</v>
      </c>
    </row>
    <row r="177" spans="1:13">
      <c r="A177" t="s">
        <v>70</v>
      </c>
      <c r="B177">
        <v>2020</v>
      </c>
      <c r="C177" s="16">
        <v>9.1199999999999989E-2</v>
      </c>
      <c r="D177" s="1">
        <v>205752769.16999999</v>
      </c>
      <c r="E177" s="29">
        <f>Table1[[#This Row],[Ávöxtun]]*Table1[[#This Row],[Eignir]]/SUMIFS(Table1[Eignir],Table1[Year],Table1[[#This Row],[Year]])</f>
        <v>3.6531173949966686E-3</v>
      </c>
      <c r="F177" s="23" t="e">
        <f>IF(B177=1997, 100, IF(COUNTIF(A$1:A176,A177)=0, "NEW", F176*(1+Table1[[#This Row],[Ávöxtun]])))</f>
        <v>#VALUE!</v>
      </c>
      <c r="G177" s="18" t="str" cm="1">
        <f t="array" ref="G177">IFERROR(_xlfn.IFS(ISNUMBER(Table1[[#This Row],[Column3]]),Table1[[#This Row],[Column3]],Table1[[#This Row],[Column3]]="NEW",Table1[[#This Row],[Column3]]),"")</f>
        <v/>
      </c>
      <c r="H177" s="15" cm="1">
        <f t="array" ref="H177">_xlfn.IFS(Table1[[#This Row],[Column4]]="NEW",AVERAGEIFS(Table1[Column4],Table1[Year],Table1[[#This Row],[Year]]),ISNUMBER(Table1[[#This Row],[Column4]]),Table1[[#This Row],[Column4]],Table1[[#This Row],[Column4]]="",H176*(1+Table1[[#This Row],[Ávöxtun]]))</f>
        <v>240.83315259789967</v>
      </c>
      <c r="I177" cm="1">
        <f t="array" ref="I177">_xlfn.IFS(Table1[[#This Row],[Column4]]="NEW",_xlfn.XLOOKUP(Table1[[#This Row],[Year]],$N$2:$N$27,$P$2:$P$27),ISNUMBER(Table1[[#This Row],[Column4]]),Table1[[#This Row],[Column4]],Table1[[#This Row],[Column4]]="",I176*(1+Table1[[#This Row],[Ávöxtun]]))</f>
        <v>282.46813870796547</v>
      </c>
      <c r="L177" s="33">
        <v>240.83315259789967</v>
      </c>
      <c r="M177" s="33">
        <v>304.23698719004165</v>
      </c>
    </row>
    <row r="178" spans="1:13">
      <c r="A178" t="s">
        <v>70</v>
      </c>
      <c r="B178">
        <v>2021</v>
      </c>
      <c r="C178" s="16">
        <v>0.11</v>
      </c>
      <c r="D178" s="1">
        <v>246426482.16999999</v>
      </c>
      <c r="E178" s="29">
        <f>Table1[[#This Row],[Ávöxtun]]*Table1[[#This Row],[Eignir]]/SUMIFS(Table1[Eignir],Table1[Year],Table1[[#This Row],[Year]])</f>
        <v>4.4882723842463125E-3</v>
      </c>
      <c r="F178" s="23" t="e">
        <f>IF(B178=1997, 100, IF(COUNTIF(A$1:A177,A178)=0, "NEW", F177*(1+Table1[[#This Row],[Ávöxtun]])))</f>
        <v>#VALUE!</v>
      </c>
      <c r="G178" s="18" t="str" cm="1">
        <f t="array" ref="G178">IFERROR(_xlfn.IFS(ISNUMBER(Table1[[#This Row],[Column3]]),Table1[[#This Row],[Column3]],Table1[[#This Row],[Column3]]="NEW",Table1[[#This Row],[Column3]]),"")</f>
        <v/>
      </c>
      <c r="H178" s="15" cm="1">
        <f t="array" ref="H178">_xlfn.IFS(Table1[[#This Row],[Column4]]="NEW",AVERAGEIFS(Table1[Column4],Table1[Year],Table1[[#This Row],[Year]]),ISNUMBER(Table1[[#This Row],[Column4]]),Table1[[#This Row],[Column4]],Table1[[#This Row],[Column4]]="",H177*(1+Table1[[#This Row],[Ávöxtun]]))</f>
        <v>267.32479938366868</v>
      </c>
      <c r="I178" cm="1">
        <f t="array" ref="I178">_xlfn.IFS(Table1[[#This Row],[Column4]]="NEW",_xlfn.XLOOKUP(Table1[[#This Row],[Year]],$N$2:$N$27,$P$2:$P$27),ISNUMBER(Table1[[#This Row],[Column4]]),Table1[[#This Row],[Column4]],Table1[[#This Row],[Column4]]="",I177*(1+Table1[[#This Row],[Ávöxtun]]))</f>
        <v>313.53963396584169</v>
      </c>
      <c r="L178" s="33">
        <v>267.32479938366868</v>
      </c>
      <c r="M178" s="33">
        <v>337.70305578094627</v>
      </c>
    </row>
    <row r="179" spans="1:13">
      <c r="A179" t="s">
        <v>71</v>
      </c>
      <c r="B179">
        <v>1999</v>
      </c>
      <c r="C179" s="16">
        <v>0.1</v>
      </c>
      <c r="D179" s="1">
        <v>7466280.2000000002</v>
      </c>
      <c r="E179" s="29">
        <f>Table1[[#This Row],[Ávöxtun]]*Table1[[#This Row],[Eignir]]/SUMIFS(Table1[Eignir],Table1[Year],Table1[[#This Row],[Year]])</f>
        <v>1.433846925951E-3</v>
      </c>
      <c r="F179" s="23" t="str">
        <f>IF(B179=1997, 100, IF(COUNTIF(A$1:A178,A179)=0, "NEW", F178*(1+Table1[[#This Row],[Ávöxtun]])))</f>
        <v>NEW</v>
      </c>
      <c r="G179" s="18" t="str" cm="1">
        <f t="array" ref="G179">IFERROR(_xlfn.IFS(ISNUMBER(Table1[[#This Row],[Column3]]),Table1[[#This Row],[Column3]],Table1[[#This Row],[Column3]]="NEW",Table1[[#This Row],[Column3]]),"")</f>
        <v>NEW</v>
      </c>
      <c r="H179" s="15" cm="1">
        <f t="array" ref="H179">_xlfn.IFS(Table1[[#This Row],[Column4]]="NEW",AVERAGEIFS(Table1[Column4],Table1[Year],Table1[[#This Row],[Year]]),ISNUMBER(Table1[[#This Row],[Column4]]),Table1[[#This Row],[Column4]],Table1[[#This Row],[Column4]]="",H178*(1+Table1[[#This Row],[Ávöxtun]]))</f>
        <v>117.05306122448981</v>
      </c>
      <c r="I179" cm="1">
        <f t="array" ref="I179">_xlfn.IFS(Table1[[#This Row],[Column4]]="NEW",_xlfn.XLOOKUP(Table1[[#This Row],[Year]],$N$2:$N$27,$P$2:$P$27),ISNUMBER(Table1[[#This Row],[Column4]]),Table1[[#This Row],[Column4]],Table1[[#This Row],[Column4]]="",I178*(1+Table1[[#This Row],[Ávöxtun]]))</f>
        <v>120.02032965757705</v>
      </c>
      <c r="L179" s="33">
        <v>117.05306122448981</v>
      </c>
      <c r="M179" s="33">
        <v>129.26988390123572</v>
      </c>
    </row>
    <row r="180" spans="1:13">
      <c r="A180" t="s">
        <v>71</v>
      </c>
      <c r="B180">
        <v>2000</v>
      </c>
      <c r="C180" s="16">
        <v>-0.01</v>
      </c>
      <c r="D180" s="1">
        <v>8867305.8699999992</v>
      </c>
      <c r="E180" s="29">
        <f>Table1[[#This Row],[Ávöxtun]]*Table1[[#This Row],[Eignir]]/SUMIFS(Table1[Eignir],Table1[Year],Table1[[#This Row],[Year]])</f>
        <v>-1.247353244063344E-4</v>
      </c>
      <c r="F180" s="23" t="e">
        <f>IF(B180=1997, 100, IF(COUNTIF(A$1:A179,A180)=0, "NEW", F179*(1+Table1[[#This Row],[Ávöxtun]])))</f>
        <v>#VALUE!</v>
      </c>
      <c r="G180" s="18" t="str" cm="1">
        <f t="array" ref="G180">IFERROR(_xlfn.IFS(ISNUMBER(Table1[[#This Row],[Column3]]),Table1[[#This Row],[Column3]],Table1[[#This Row],[Column3]]="NEW",Table1[[#This Row],[Column3]]),"")</f>
        <v/>
      </c>
      <c r="H180" s="15" cm="1">
        <f t="array" ref="H180">_xlfn.IFS(Table1[[#This Row],[Column4]]="NEW",AVERAGEIFS(Table1[Column4],Table1[Year],Table1[[#This Row],[Year]]),ISNUMBER(Table1[[#This Row],[Column4]]),Table1[[#This Row],[Column4]],Table1[[#This Row],[Column4]]="",H179*(1+Table1[[#This Row],[Ávöxtun]]))</f>
        <v>115.88253061224491</v>
      </c>
      <c r="I180" cm="1">
        <f t="array" ref="I180">_xlfn.IFS(Table1[[#This Row],[Column4]]="NEW",_xlfn.XLOOKUP(Table1[[#This Row],[Year]],$N$2:$N$27,$P$2:$P$27),ISNUMBER(Table1[[#This Row],[Column4]]),Table1[[#This Row],[Column4]],Table1[[#This Row],[Column4]]="",I179*(1+Table1[[#This Row],[Ávöxtun]]))</f>
        <v>118.82012636100129</v>
      </c>
      <c r="L180" s="33">
        <v>115.88253061224491</v>
      </c>
      <c r="M180" s="33">
        <v>127.97718506222336</v>
      </c>
    </row>
    <row r="181" spans="1:13">
      <c r="A181" t="s">
        <v>71</v>
      </c>
      <c r="B181">
        <v>2001</v>
      </c>
      <c r="C181" s="16">
        <v>-0.05</v>
      </c>
      <c r="D181" s="1">
        <v>11693253</v>
      </c>
      <c r="E181" s="29">
        <f>Table1[[#This Row],[Ávöxtun]]*Table1[[#This Row],[Eignir]]/SUMIFS(Table1[Eignir],Table1[Year],Table1[[#This Row],[Year]])</f>
        <v>-5.0492677323895707E-4</v>
      </c>
      <c r="F181" s="23" t="e">
        <f>IF(B181=1997, 100, IF(COUNTIF(A$1:A180,A181)=0, "NEW", F180*(1+Table1[[#This Row],[Ávöxtun]])))</f>
        <v>#VALUE!</v>
      </c>
      <c r="G181" s="18" t="str" cm="1">
        <f t="array" ref="G181">IFERROR(_xlfn.IFS(ISNUMBER(Table1[[#This Row],[Column3]]),Table1[[#This Row],[Column3]],Table1[[#This Row],[Column3]]="NEW",Table1[[#This Row],[Column3]]),"")</f>
        <v/>
      </c>
      <c r="H181" s="15" cm="1">
        <f t="array" ref="H181">_xlfn.IFS(Table1[[#This Row],[Column4]]="NEW",AVERAGEIFS(Table1[Column4],Table1[Year],Table1[[#This Row],[Year]]),ISNUMBER(Table1[[#This Row],[Column4]]),Table1[[#This Row],[Column4]],Table1[[#This Row],[Column4]]="",H180*(1+Table1[[#This Row],[Ávöxtun]]))</f>
        <v>110.08840408163266</v>
      </c>
      <c r="I181" cm="1">
        <f t="array" ref="I181">_xlfn.IFS(Table1[[#This Row],[Column4]]="NEW",_xlfn.XLOOKUP(Table1[[#This Row],[Year]],$N$2:$N$27,$P$2:$P$27),ISNUMBER(Table1[[#This Row],[Column4]]),Table1[[#This Row],[Column4]],Table1[[#This Row],[Column4]]="",I180*(1+Table1[[#This Row],[Ávöxtun]]))</f>
        <v>112.87912004295121</v>
      </c>
      <c r="L181" s="33">
        <v>110.08840408163266</v>
      </c>
      <c r="M181" s="33">
        <v>121.57832580911219</v>
      </c>
    </row>
    <row r="182" spans="1:13">
      <c r="A182" t="s">
        <v>71</v>
      </c>
      <c r="B182">
        <v>2002</v>
      </c>
      <c r="C182" s="16">
        <v>-0.09</v>
      </c>
      <c r="D182" s="1">
        <v>1876502</v>
      </c>
      <c r="E182" s="29">
        <f>Table1[[#This Row],[Ávöxtun]]*Table1[[#This Row],[Eignir]]/SUMIFS(Table1[Eignir],Table1[Year],Table1[[#This Row],[Year]])</f>
        <v>-2.6589217697525237E-4</v>
      </c>
      <c r="F182" s="23" t="e">
        <f>IF(B182=1997, 100, IF(COUNTIF(A$1:A181,A182)=0, "NEW", F181*(1+Table1[[#This Row],[Ávöxtun]])))</f>
        <v>#VALUE!</v>
      </c>
      <c r="G182" s="18" t="str" cm="1">
        <f t="array" ref="G182">IFERROR(_xlfn.IFS(ISNUMBER(Table1[[#This Row],[Column3]]),Table1[[#This Row],[Column3]],Table1[[#This Row],[Column3]]="NEW",Table1[[#This Row],[Column3]]),"")</f>
        <v/>
      </c>
      <c r="H182" s="15" cm="1">
        <f t="array" ref="H182">_xlfn.IFS(Table1[[#This Row],[Column4]]="NEW",AVERAGEIFS(Table1[Column4],Table1[Year],Table1[[#This Row],[Year]]),ISNUMBER(Table1[[#This Row],[Column4]]),Table1[[#This Row],[Column4]],Table1[[#This Row],[Column4]]="",H181*(1+Table1[[#This Row],[Ávöxtun]]))</f>
        <v>100.18044771428572</v>
      </c>
      <c r="I182" cm="1">
        <f t="array" ref="I182">_xlfn.IFS(Table1[[#This Row],[Column4]]="NEW",_xlfn.XLOOKUP(Table1[[#This Row],[Year]],$N$2:$N$27,$P$2:$P$27),ISNUMBER(Table1[[#This Row],[Column4]]),Table1[[#This Row],[Column4]],Table1[[#This Row],[Column4]]="",I181*(1+Table1[[#This Row],[Ávöxtun]]))</f>
        <v>102.71999923908561</v>
      </c>
      <c r="L182" s="33">
        <v>100.18044771428572</v>
      </c>
      <c r="M182" s="33">
        <v>110.63627648629209</v>
      </c>
    </row>
    <row r="183" spans="1:13">
      <c r="A183" t="s">
        <v>71</v>
      </c>
      <c r="B183">
        <v>2003</v>
      </c>
      <c r="C183" s="16">
        <v>0.16</v>
      </c>
      <c r="D183" s="1">
        <v>3112396</v>
      </c>
      <c r="E183" s="29">
        <f>Table1[[#This Row],[Ávöxtun]]*Table1[[#This Row],[Eignir]]/SUMIFS(Table1[Eignir],Table1[Year],Table1[[#This Row],[Year]])</f>
        <v>6.5533491149112632E-4</v>
      </c>
      <c r="F183" s="23" t="e">
        <f>IF(B183=1997, 100, IF(COUNTIF(A$1:A182,A183)=0, "NEW", F182*(1+Table1[[#This Row],[Ávöxtun]])))</f>
        <v>#VALUE!</v>
      </c>
      <c r="G183" s="18" t="str" cm="1">
        <f t="array" ref="G183">IFERROR(_xlfn.IFS(ISNUMBER(Table1[[#This Row],[Column3]]),Table1[[#This Row],[Column3]],Table1[[#This Row],[Column3]]="NEW",Table1[[#This Row],[Column3]]),"")</f>
        <v/>
      </c>
      <c r="H183" s="15" cm="1">
        <f t="array" ref="H183">_xlfn.IFS(Table1[[#This Row],[Column4]]="NEW",AVERAGEIFS(Table1[Column4],Table1[Year],Table1[[#This Row],[Year]]),ISNUMBER(Table1[[#This Row],[Column4]]),Table1[[#This Row],[Column4]],Table1[[#This Row],[Column4]]="",H182*(1+Table1[[#This Row],[Ávöxtun]]))</f>
        <v>116.20931934857143</v>
      </c>
      <c r="I183" cm="1">
        <f t="array" ref="I183">_xlfn.IFS(Table1[[#This Row],[Column4]]="NEW",_xlfn.XLOOKUP(Table1[[#This Row],[Year]],$N$2:$N$27,$P$2:$P$27),ISNUMBER(Table1[[#This Row],[Column4]]),Table1[[#This Row],[Column4]],Table1[[#This Row],[Column4]]="",I182*(1+Table1[[#This Row],[Ávöxtun]]))</f>
        <v>119.15519911733929</v>
      </c>
      <c r="L183" s="33">
        <v>116.20931934857143</v>
      </c>
      <c r="M183" s="33">
        <v>128.3380807240988</v>
      </c>
    </row>
    <row r="184" spans="1:13">
      <c r="A184" t="s">
        <v>71</v>
      </c>
      <c r="B184">
        <v>2004</v>
      </c>
      <c r="C184" s="16">
        <v>0.09</v>
      </c>
      <c r="D184" s="1">
        <v>5182588.8</v>
      </c>
      <c r="E184" s="29">
        <f>Table1[[#This Row],[Ávöxtun]]*Table1[[#This Row],[Eignir]]/SUMIFS(Table1[Eignir],Table1[Year],Table1[[#This Row],[Year]])</f>
        <v>5.1387924418053882E-4</v>
      </c>
      <c r="F184" s="23" t="e">
        <f>IF(B184=1997, 100, IF(COUNTIF(A$1:A183,A184)=0, "NEW", F183*(1+Table1[[#This Row],[Ávöxtun]])))</f>
        <v>#VALUE!</v>
      </c>
      <c r="G184" s="18" t="str" cm="1">
        <f t="array" ref="G184">IFERROR(_xlfn.IFS(ISNUMBER(Table1[[#This Row],[Column3]]),Table1[[#This Row],[Column3]],Table1[[#This Row],[Column3]]="NEW",Table1[[#This Row],[Column3]]),"")</f>
        <v/>
      </c>
      <c r="H184" s="15" cm="1">
        <f t="array" ref="H184">_xlfn.IFS(Table1[[#This Row],[Column4]]="NEW",AVERAGEIFS(Table1[Column4],Table1[Year],Table1[[#This Row],[Year]]),ISNUMBER(Table1[[#This Row],[Column4]]),Table1[[#This Row],[Column4]],Table1[[#This Row],[Column4]]="",H183*(1+Table1[[#This Row],[Ávöxtun]]))</f>
        <v>126.66815808994286</v>
      </c>
      <c r="I184" cm="1">
        <f t="array" ref="I184">_xlfn.IFS(Table1[[#This Row],[Column4]]="NEW",_xlfn.XLOOKUP(Table1[[#This Row],[Year]],$N$2:$N$27,$P$2:$P$27),ISNUMBER(Table1[[#This Row],[Column4]]),Table1[[#This Row],[Column4]],Table1[[#This Row],[Column4]]="",I183*(1+Table1[[#This Row],[Ávöxtun]]))</f>
        <v>129.87916703789983</v>
      </c>
      <c r="L184" s="33">
        <v>126.66815808994286</v>
      </c>
      <c r="M184" s="33">
        <v>139.88850798926771</v>
      </c>
    </row>
    <row r="185" spans="1:13">
      <c r="A185" t="s">
        <v>71</v>
      </c>
      <c r="B185">
        <v>2005</v>
      </c>
      <c r="C185" s="16">
        <v>0.12</v>
      </c>
      <c r="D185" s="1">
        <v>7064513</v>
      </c>
      <c r="E185" s="29">
        <f>Table1[[#This Row],[Ávöxtun]]*Table1[[#This Row],[Eignir]]/SUMIFS(Table1[Eignir],Table1[Year],Table1[[#This Row],[Year]])</f>
        <v>7.5600912107354093E-4</v>
      </c>
      <c r="F185" s="23" t="e">
        <f>IF(B185=1997, 100, IF(COUNTIF(A$1:A184,A185)=0, "NEW", F184*(1+Table1[[#This Row],[Ávöxtun]])))</f>
        <v>#VALUE!</v>
      </c>
      <c r="G185" s="18" t="str" cm="1">
        <f t="array" ref="G185">IFERROR(_xlfn.IFS(ISNUMBER(Table1[[#This Row],[Column3]]),Table1[[#This Row],[Column3]],Table1[[#This Row],[Column3]]="NEW",Table1[[#This Row],[Column3]]),"")</f>
        <v/>
      </c>
      <c r="H185" s="15" cm="1">
        <f t="array" ref="H185">_xlfn.IFS(Table1[[#This Row],[Column4]]="NEW",AVERAGEIFS(Table1[Column4],Table1[Year],Table1[[#This Row],[Year]]),ISNUMBER(Table1[[#This Row],[Column4]]),Table1[[#This Row],[Column4]],Table1[[#This Row],[Column4]]="",H184*(1+Table1[[#This Row],[Ávöxtun]]))</f>
        <v>141.86833706073602</v>
      </c>
      <c r="I185" cm="1">
        <f t="array" ref="I185">_xlfn.IFS(Table1[[#This Row],[Column4]]="NEW",_xlfn.XLOOKUP(Table1[[#This Row],[Year]],$N$2:$N$27,$P$2:$P$27),ISNUMBER(Table1[[#This Row],[Column4]]),Table1[[#This Row],[Column4]],Table1[[#This Row],[Column4]]="",I184*(1+Table1[[#This Row],[Ávöxtun]]))</f>
        <v>145.46466708244782</v>
      </c>
      <c r="L185" s="33">
        <v>141.86833706073602</v>
      </c>
      <c r="M185" s="33">
        <v>156.67512894797986</v>
      </c>
    </row>
    <row r="186" spans="1:13">
      <c r="A186" t="s">
        <v>71</v>
      </c>
      <c r="B186">
        <v>2006</v>
      </c>
      <c r="C186" s="16">
        <v>0.11410000000000001</v>
      </c>
      <c r="D186" s="1">
        <v>11594418</v>
      </c>
      <c r="E186" s="29">
        <f>Table1[[#This Row],[Ávöxtun]]*Table1[[#This Row],[Eignir]]/SUMIFS(Table1[Eignir],Table1[Year],Table1[[#This Row],[Year]])</f>
        <v>9.6375506000820419E-4</v>
      </c>
      <c r="F186" s="23" t="e">
        <f>IF(B186=1997, 100, IF(COUNTIF(A$1:A185,A186)=0, "NEW", F185*(1+Table1[[#This Row],[Ávöxtun]])))</f>
        <v>#VALUE!</v>
      </c>
      <c r="G186" s="18" t="str" cm="1">
        <f t="array" ref="G186">IFERROR(_xlfn.IFS(ISNUMBER(Table1[[#This Row],[Column3]]),Table1[[#This Row],[Column3]],Table1[[#This Row],[Column3]]="NEW",Table1[[#This Row],[Column3]]),"")</f>
        <v/>
      </c>
      <c r="H186" s="15" cm="1">
        <f t="array" ref="H186">_xlfn.IFS(Table1[[#This Row],[Column4]]="NEW",AVERAGEIFS(Table1[Column4],Table1[Year],Table1[[#This Row],[Year]]),ISNUMBER(Table1[[#This Row],[Column4]]),Table1[[#This Row],[Column4]],Table1[[#This Row],[Column4]]="",H185*(1+Table1[[#This Row],[Ávöxtun]]))</f>
        <v>158.05551431936601</v>
      </c>
      <c r="I186" cm="1">
        <f t="array" ref="I186">_xlfn.IFS(Table1[[#This Row],[Column4]]="NEW",_xlfn.XLOOKUP(Table1[[#This Row],[Year]],$N$2:$N$27,$P$2:$P$27),ISNUMBER(Table1[[#This Row],[Column4]]),Table1[[#This Row],[Column4]],Table1[[#This Row],[Column4]]="",I185*(1+Table1[[#This Row],[Ávöxtun]]))</f>
        <v>162.06218559655514</v>
      </c>
      <c r="L186" s="33">
        <v>158.05551431936601</v>
      </c>
      <c r="M186" s="33">
        <v>174.55176116094438</v>
      </c>
    </row>
    <row r="187" spans="1:13">
      <c r="A187" t="s">
        <v>71</v>
      </c>
      <c r="B187">
        <v>2007</v>
      </c>
      <c r="C187" s="16">
        <v>-2.35E-2</v>
      </c>
      <c r="D187" s="1">
        <v>12728071</v>
      </c>
      <c r="E187" s="29">
        <f>Table1[[#This Row],[Ávöxtun]]*Table1[[#This Row],[Eignir]]/SUMIFS(Table1[Eignir],Table1[Year],Table1[[#This Row],[Year]])</f>
        <v>-1.9342221969863928E-4</v>
      </c>
      <c r="F187" s="23" t="e">
        <f>IF(B187=1997, 100, IF(COUNTIF(A$1:A186,A187)=0, "NEW", F186*(1+Table1[[#This Row],[Ávöxtun]])))</f>
        <v>#VALUE!</v>
      </c>
      <c r="G187" s="18" t="str" cm="1">
        <f t="array" ref="G187">IFERROR(_xlfn.IFS(ISNUMBER(Table1[[#This Row],[Column3]]),Table1[[#This Row],[Column3]],Table1[[#This Row],[Column3]]="NEW",Table1[[#This Row],[Column3]]),"")</f>
        <v/>
      </c>
      <c r="H187" s="15" cm="1">
        <f t="array" ref="H187">_xlfn.IFS(Table1[[#This Row],[Column4]]="NEW",AVERAGEIFS(Table1[Column4],Table1[Year],Table1[[#This Row],[Year]]),ISNUMBER(Table1[[#This Row],[Column4]]),Table1[[#This Row],[Column4]],Table1[[#This Row],[Column4]]="",H186*(1+Table1[[#This Row],[Ávöxtun]]))</f>
        <v>154.3412097328609</v>
      </c>
      <c r="I187" cm="1">
        <f t="array" ref="I187">_xlfn.IFS(Table1[[#This Row],[Column4]]="NEW",_xlfn.XLOOKUP(Table1[[#This Row],[Year]],$N$2:$N$27,$P$2:$P$27),ISNUMBER(Table1[[#This Row],[Column4]]),Table1[[#This Row],[Column4]],Table1[[#This Row],[Column4]]="",I186*(1+Table1[[#This Row],[Ávöxtun]]))</f>
        <v>158.25372423503609</v>
      </c>
      <c r="L187" s="33">
        <v>154.3412097328609</v>
      </c>
      <c r="M187" s="33">
        <v>170.44979477366221</v>
      </c>
    </row>
    <row r="188" spans="1:13">
      <c r="A188" t="s">
        <v>71</v>
      </c>
      <c r="B188">
        <v>2008</v>
      </c>
      <c r="C188" s="16">
        <v>-0.20620000000000002</v>
      </c>
      <c r="D188" s="1">
        <v>13755504</v>
      </c>
      <c r="E188" s="29">
        <f>Table1[[#This Row],[Ávöxtun]]*Table1[[#This Row],[Eignir]]/SUMIFS(Table1[Eignir],Table1[Year],Table1[[#This Row],[Year]])</f>
        <v>-1.8943104340176386E-3</v>
      </c>
      <c r="F188" s="23" t="e">
        <f>IF(B188=1997, 100, IF(COUNTIF(A$1:A187,A188)=0, "NEW", F187*(1+Table1[[#This Row],[Ávöxtun]])))</f>
        <v>#VALUE!</v>
      </c>
      <c r="G188" s="18" t="str" cm="1">
        <f t="array" ref="G188">IFERROR(_xlfn.IFS(ISNUMBER(Table1[[#This Row],[Column3]]),Table1[[#This Row],[Column3]],Table1[[#This Row],[Column3]]="NEW",Table1[[#This Row],[Column3]]),"")</f>
        <v/>
      </c>
      <c r="H188" s="15" cm="1">
        <f t="array" ref="H188">_xlfn.IFS(Table1[[#This Row],[Column4]]="NEW",AVERAGEIFS(Table1[Column4],Table1[Year],Table1[[#This Row],[Year]]),ISNUMBER(Table1[[#This Row],[Column4]]),Table1[[#This Row],[Column4]],Table1[[#This Row],[Column4]]="",H187*(1+Table1[[#This Row],[Ávöxtun]]))</f>
        <v>122.51605228594498</v>
      </c>
      <c r="I188" cm="1">
        <f t="array" ref="I188">_xlfn.IFS(Table1[[#This Row],[Column4]]="NEW",_xlfn.XLOOKUP(Table1[[#This Row],[Year]],$N$2:$N$27,$P$2:$P$27),ISNUMBER(Table1[[#This Row],[Column4]]),Table1[[#This Row],[Column4]],Table1[[#This Row],[Column4]]="",I187*(1+Table1[[#This Row],[Ávöxtun]]))</f>
        <v>125.62180629777164</v>
      </c>
      <c r="L188" s="33">
        <v>122.51605228594498</v>
      </c>
      <c r="M188" s="33">
        <v>135.30304709133304</v>
      </c>
    </row>
    <row r="189" spans="1:13">
      <c r="A189" t="s">
        <v>71</v>
      </c>
      <c r="B189">
        <v>2009</v>
      </c>
      <c r="C189" s="16">
        <v>5.7999999999999996E-3</v>
      </c>
      <c r="D189" s="1">
        <v>16690404</v>
      </c>
      <c r="E189" s="29">
        <f>Table1[[#This Row],[Ávöxtun]]*Table1[[#This Row],[Eignir]]/SUMIFS(Table1[Eignir],Table1[Year],Table1[[#This Row],[Year]])</f>
        <v>5.8027189130394382E-5</v>
      </c>
      <c r="F189" s="23" t="e">
        <f>IF(B189=1997, 100, IF(COUNTIF(A$1:A188,A189)=0, "NEW", F188*(1+Table1[[#This Row],[Ávöxtun]])))</f>
        <v>#VALUE!</v>
      </c>
      <c r="G189" s="18" t="str" cm="1">
        <f t="array" ref="G189">IFERROR(_xlfn.IFS(ISNUMBER(Table1[[#This Row],[Column3]]),Table1[[#This Row],[Column3]],Table1[[#This Row],[Column3]]="NEW",Table1[[#This Row],[Column3]]),"")</f>
        <v/>
      </c>
      <c r="H189" s="15" cm="1">
        <f t="array" ref="H189">_xlfn.IFS(Table1[[#This Row],[Column4]]="NEW",AVERAGEIFS(Table1[Column4],Table1[Year],Table1[[#This Row],[Year]]),ISNUMBER(Table1[[#This Row],[Column4]]),Table1[[#This Row],[Column4]],Table1[[#This Row],[Column4]]="",H188*(1+Table1[[#This Row],[Ávöxtun]]))</f>
        <v>123.22664538920347</v>
      </c>
      <c r="I189" cm="1">
        <f t="array" ref="I189">_xlfn.IFS(Table1[[#This Row],[Column4]]="NEW",_xlfn.XLOOKUP(Table1[[#This Row],[Year]],$N$2:$N$27,$P$2:$P$27),ISNUMBER(Table1[[#This Row],[Column4]]),Table1[[#This Row],[Column4]],Table1[[#This Row],[Column4]]="",I188*(1+Table1[[#This Row],[Ávöxtun]]))</f>
        <v>126.35041277429872</v>
      </c>
      <c r="L189" s="33">
        <v>123.22664538920347</v>
      </c>
      <c r="M189" s="33">
        <v>136.08780476446279</v>
      </c>
    </row>
    <row r="190" spans="1:13">
      <c r="A190" t="s">
        <v>71</v>
      </c>
      <c r="B190">
        <v>2010</v>
      </c>
      <c r="C190" s="16">
        <v>5.0199999999999995E-2</v>
      </c>
      <c r="D190" s="1">
        <v>19866077</v>
      </c>
      <c r="E190" s="29">
        <f>Table1[[#This Row],[Ávöxtun]]*Table1[[#This Row],[Eignir]]/SUMIFS(Table1[Eignir],Table1[Year],Table1[[#This Row],[Year]])</f>
        <v>5.5782781248664697E-4</v>
      </c>
      <c r="F190" s="23" t="e">
        <f>IF(B190=1997, 100, IF(COUNTIF(A$1:A189,A190)=0, "NEW", F189*(1+Table1[[#This Row],[Ávöxtun]])))</f>
        <v>#VALUE!</v>
      </c>
      <c r="G190" s="18" t="str" cm="1">
        <f t="array" ref="G190">IFERROR(_xlfn.IFS(ISNUMBER(Table1[[#This Row],[Column3]]),Table1[[#This Row],[Column3]],Table1[[#This Row],[Column3]]="NEW",Table1[[#This Row],[Column3]]),"")</f>
        <v/>
      </c>
      <c r="H190" s="15" cm="1">
        <f t="array" ref="H190">_xlfn.IFS(Table1[[#This Row],[Column4]]="NEW",AVERAGEIFS(Table1[Column4],Table1[Year],Table1[[#This Row],[Year]]),ISNUMBER(Table1[[#This Row],[Column4]]),Table1[[#This Row],[Column4]],Table1[[#This Row],[Column4]]="",H189*(1+Table1[[#This Row],[Ávöxtun]]))</f>
        <v>129.41262298774149</v>
      </c>
      <c r="I190" cm="1">
        <f t="array" ref="I190">_xlfn.IFS(Table1[[#This Row],[Column4]]="NEW",_xlfn.XLOOKUP(Table1[[#This Row],[Year]],$N$2:$N$27,$P$2:$P$27),ISNUMBER(Table1[[#This Row],[Column4]]),Table1[[#This Row],[Column4]],Table1[[#This Row],[Column4]]="",I189*(1+Table1[[#This Row],[Ávöxtun]]))</f>
        <v>132.69320349556853</v>
      </c>
      <c r="L190" s="33">
        <v>129.41262298774149</v>
      </c>
      <c r="M190" s="33">
        <v>142.91941256363882</v>
      </c>
    </row>
    <row r="191" spans="1:13">
      <c r="A191" t="s">
        <v>71</v>
      </c>
      <c r="B191">
        <v>2011</v>
      </c>
      <c r="C191" s="16">
        <v>3.6000000000000004E-2</v>
      </c>
      <c r="D191" s="1">
        <v>23879708</v>
      </c>
      <c r="E191" s="29">
        <f>Table1[[#This Row],[Ávöxtun]]*Table1[[#This Row],[Eignir]]/SUMIFS(Table1[Eignir],Table1[Year],Table1[[#This Row],[Year]])</f>
        <v>4.4072984175215133E-4</v>
      </c>
      <c r="F191" s="23" t="e">
        <f>IF(B191=1997, 100, IF(COUNTIF(A$1:A190,A191)=0, "NEW", F190*(1+Table1[[#This Row],[Ávöxtun]])))</f>
        <v>#VALUE!</v>
      </c>
      <c r="G191" s="18" t="str" cm="1">
        <f t="array" ref="G191">IFERROR(_xlfn.IFS(ISNUMBER(Table1[[#This Row],[Column3]]),Table1[[#This Row],[Column3]],Table1[[#This Row],[Column3]]="NEW",Table1[[#This Row],[Column3]]),"")</f>
        <v/>
      </c>
      <c r="H191" s="15" cm="1">
        <f t="array" ref="H191">_xlfn.IFS(Table1[[#This Row],[Column4]]="NEW",AVERAGEIFS(Table1[Column4],Table1[Year],Table1[[#This Row],[Year]]),ISNUMBER(Table1[[#This Row],[Column4]]),Table1[[#This Row],[Column4]],Table1[[#This Row],[Column4]]="",H190*(1+Table1[[#This Row],[Ávöxtun]]))</f>
        <v>134.07147741530019</v>
      </c>
      <c r="I191" cm="1">
        <f t="array" ref="I191">_xlfn.IFS(Table1[[#This Row],[Column4]]="NEW",_xlfn.XLOOKUP(Table1[[#This Row],[Year]],$N$2:$N$27,$P$2:$P$27),ISNUMBER(Table1[[#This Row],[Column4]]),Table1[[#This Row],[Column4]],Table1[[#This Row],[Column4]]="",I190*(1+Table1[[#This Row],[Ávöxtun]]))</f>
        <v>137.470158821409</v>
      </c>
      <c r="L191" s="33">
        <v>134.07147741530019</v>
      </c>
      <c r="M191" s="33">
        <v>148.06451141592981</v>
      </c>
    </row>
    <row r="192" spans="1:13">
      <c r="A192" t="s">
        <v>71</v>
      </c>
      <c r="B192">
        <v>2012</v>
      </c>
      <c r="C192" s="16">
        <v>5.7000000000000002E-2</v>
      </c>
      <c r="D192" s="1">
        <v>29200973</v>
      </c>
      <c r="E192" s="29">
        <f>Table1[[#This Row],[Ávöxtun]]*Table1[[#This Row],[Eignir]]/SUMIFS(Table1[Eignir],Table1[Year],Table1[[#This Row],[Year]])</f>
        <v>7.5559422855919778E-4</v>
      </c>
      <c r="F192" s="23" t="e">
        <f>IF(B192=1997, 100, IF(COUNTIF(A$1:A191,A192)=0, "NEW", F191*(1+Table1[[#This Row],[Ávöxtun]])))</f>
        <v>#VALUE!</v>
      </c>
      <c r="G192" s="18" t="str" cm="1">
        <f t="array" ref="G192">IFERROR(_xlfn.IFS(ISNUMBER(Table1[[#This Row],[Column3]]),Table1[[#This Row],[Column3]],Table1[[#This Row],[Column3]]="NEW",Table1[[#This Row],[Column3]]),"")</f>
        <v/>
      </c>
      <c r="H192" s="15" cm="1">
        <f t="array" ref="H192">_xlfn.IFS(Table1[[#This Row],[Column4]]="NEW",AVERAGEIFS(Table1[Column4],Table1[Year],Table1[[#This Row],[Year]]),ISNUMBER(Table1[[#This Row],[Column4]]),Table1[[#This Row],[Column4]],Table1[[#This Row],[Column4]]="",H191*(1+Table1[[#This Row],[Ávöxtun]]))</f>
        <v>141.71355162797229</v>
      </c>
      <c r="I192" cm="1">
        <f t="array" ref="I192">_xlfn.IFS(Table1[[#This Row],[Column4]]="NEW",_xlfn.XLOOKUP(Table1[[#This Row],[Year]],$N$2:$N$27,$P$2:$P$27),ISNUMBER(Table1[[#This Row],[Column4]]),Table1[[#This Row],[Column4]],Table1[[#This Row],[Column4]]="",I191*(1+Table1[[#This Row],[Ávöxtun]]))</f>
        <v>145.30595787422931</v>
      </c>
      <c r="L192" s="33">
        <v>141.71355162797229</v>
      </c>
      <c r="M192" s="33">
        <v>156.50418856663779</v>
      </c>
    </row>
    <row r="193" spans="1:13">
      <c r="A193" t="s">
        <v>71</v>
      </c>
      <c r="B193">
        <v>2013</v>
      </c>
      <c r="C193" s="16">
        <v>5.2999999999999999E-2</v>
      </c>
      <c r="D193" s="1">
        <v>35016806</v>
      </c>
      <c r="E193" s="29">
        <f>Table1[[#This Row],[Ávöxtun]]*Table1[[#This Row],[Eignir]]/SUMIFS(Table1[Eignir],Table1[Year],Table1[[#This Row],[Year]])</f>
        <v>7.6261765584244724E-4</v>
      </c>
      <c r="F193" s="23" t="e">
        <f>IF(B193=1997, 100, IF(COUNTIF(A$1:A192,A193)=0, "NEW", F192*(1+Table1[[#This Row],[Ávöxtun]])))</f>
        <v>#VALUE!</v>
      </c>
      <c r="G193" s="18" t="str" cm="1">
        <f t="array" ref="G193">IFERROR(_xlfn.IFS(ISNUMBER(Table1[[#This Row],[Column3]]),Table1[[#This Row],[Column3]],Table1[[#This Row],[Column3]]="NEW",Table1[[#This Row],[Column3]]),"")</f>
        <v/>
      </c>
      <c r="H193" s="15" cm="1">
        <f t="array" ref="H193">_xlfn.IFS(Table1[[#This Row],[Column4]]="NEW",AVERAGEIFS(Table1[Column4],Table1[Year],Table1[[#This Row],[Year]]),ISNUMBER(Table1[[#This Row],[Column4]]),Table1[[#This Row],[Column4]],Table1[[#This Row],[Column4]]="",H192*(1+Table1[[#This Row],[Ávöxtun]]))</f>
        <v>149.22436986425481</v>
      </c>
      <c r="I193" cm="1">
        <f t="array" ref="I193">_xlfn.IFS(Table1[[#This Row],[Column4]]="NEW",_xlfn.XLOOKUP(Table1[[#This Row],[Year]],$N$2:$N$27,$P$2:$P$27),ISNUMBER(Table1[[#This Row],[Column4]]),Table1[[#This Row],[Column4]],Table1[[#This Row],[Column4]]="",I192*(1+Table1[[#This Row],[Ávöxtun]]))</f>
        <v>153.00717364156344</v>
      </c>
      <c r="L193" s="33">
        <v>149.22436986425481</v>
      </c>
      <c r="M193" s="33">
        <v>164.79891056066958</v>
      </c>
    </row>
    <row r="194" spans="1:13">
      <c r="A194" t="s">
        <v>71</v>
      </c>
      <c r="B194">
        <v>2014</v>
      </c>
      <c r="C194" s="16">
        <v>4.4999999999999998E-2</v>
      </c>
      <c r="D194" s="1">
        <v>40731963</v>
      </c>
      <c r="E194" s="29">
        <f>Table1[[#This Row],[Ávöxtun]]*Table1[[#This Row],[Eignir]]/SUMIFS(Table1[Eignir],Table1[Year],Table1[[#This Row],[Year]])</f>
        <v>6.9088789132394385E-4</v>
      </c>
      <c r="F194" s="23" t="e">
        <f>IF(B194=1997, 100, IF(COUNTIF(A$1:A193,A194)=0, "NEW", F193*(1+Table1[[#This Row],[Ávöxtun]])))</f>
        <v>#VALUE!</v>
      </c>
      <c r="G194" s="18" t="str" cm="1">
        <f t="array" ref="G194">IFERROR(_xlfn.IFS(ISNUMBER(Table1[[#This Row],[Column3]]),Table1[[#This Row],[Column3]],Table1[[#This Row],[Column3]]="NEW",Table1[[#This Row],[Column3]]),"")</f>
        <v/>
      </c>
      <c r="H194" s="15" cm="1">
        <f t="array" ref="H194">_xlfn.IFS(Table1[[#This Row],[Column4]]="NEW",AVERAGEIFS(Table1[Column4],Table1[Year],Table1[[#This Row],[Year]]),ISNUMBER(Table1[[#This Row],[Column4]]),Table1[[#This Row],[Column4]],Table1[[#This Row],[Column4]]="",H193*(1+Table1[[#This Row],[Ávöxtun]]))</f>
        <v>155.93946650814627</v>
      </c>
      <c r="I194" cm="1">
        <f t="array" ref="I194">_xlfn.IFS(Table1[[#This Row],[Column4]]="NEW",_xlfn.XLOOKUP(Table1[[#This Row],[Year]],$N$2:$N$27,$P$2:$P$27),ISNUMBER(Table1[[#This Row],[Column4]]),Table1[[#This Row],[Column4]],Table1[[#This Row],[Column4]]="",I193*(1+Table1[[#This Row],[Ávöxtun]]))</f>
        <v>159.89249645543379</v>
      </c>
      <c r="L194" s="33">
        <v>155.93946650814627</v>
      </c>
      <c r="M194" s="33">
        <v>172.2148615358997</v>
      </c>
    </row>
    <row r="195" spans="1:13">
      <c r="A195" t="s">
        <v>71</v>
      </c>
      <c r="B195">
        <v>2015</v>
      </c>
      <c r="C195" s="16">
        <v>8.4000000000000005E-2</v>
      </c>
      <c r="D195" s="1">
        <v>49307622</v>
      </c>
      <c r="E195" s="29">
        <f>Table1[[#This Row],[Ávöxtun]]*Table1[[#This Row],[Eignir]]/SUMIFS(Table1[Eignir],Table1[Year],Table1[[#This Row],[Year]])</f>
        <v>1.398619131622224E-3</v>
      </c>
      <c r="F195" s="23" t="e">
        <f>IF(B195=1997, 100, IF(COUNTIF(A$1:A194,A195)=0, "NEW", F194*(1+Table1[[#This Row],[Ávöxtun]])))</f>
        <v>#VALUE!</v>
      </c>
      <c r="G195" s="18" t="str" cm="1">
        <f t="array" ref="G195">IFERROR(_xlfn.IFS(ISNUMBER(Table1[[#This Row],[Column3]]),Table1[[#This Row],[Column3]],Table1[[#This Row],[Column3]]="NEW",Table1[[#This Row],[Column3]]),"")</f>
        <v/>
      </c>
      <c r="H195" s="15" cm="1">
        <f t="array" ref="H195">_xlfn.IFS(Table1[[#This Row],[Column4]]="NEW",AVERAGEIFS(Table1[Column4],Table1[Year],Table1[[#This Row],[Year]]),ISNUMBER(Table1[[#This Row],[Column4]]),Table1[[#This Row],[Column4]],Table1[[#This Row],[Column4]]="",H194*(1+Table1[[#This Row],[Ávöxtun]]))</f>
        <v>169.03838169483058</v>
      </c>
      <c r="I195" cm="1">
        <f t="array" ref="I195">_xlfn.IFS(Table1[[#This Row],[Column4]]="NEW",_xlfn.XLOOKUP(Table1[[#This Row],[Year]],$N$2:$N$27,$P$2:$P$27),ISNUMBER(Table1[[#This Row],[Column4]]),Table1[[#This Row],[Column4]],Table1[[#This Row],[Column4]]="",I194*(1+Table1[[#This Row],[Ávöxtun]]))</f>
        <v>173.32346615769023</v>
      </c>
      <c r="L195" s="33">
        <v>169.03838169483058</v>
      </c>
      <c r="M195" s="33">
        <v>186.6809099049153</v>
      </c>
    </row>
    <row r="196" spans="1:13">
      <c r="A196" t="s">
        <v>71</v>
      </c>
      <c r="B196">
        <v>2016</v>
      </c>
      <c r="C196" s="16">
        <v>-1E-3</v>
      </c>
      <c r="D196" s="1">
        <v>55602567</v>
      </c>
      <c r="E196" s="29">
        <f>Table1[[#This Row],[Ávöxtun]]*Table1[[#This Row],[Eignir]]/SUMIFS(Table1[Eignir],Table1[Year],Table1[[#This Row],[Year]])</f>
        <v>-1.7375548842278434E-5</v>
      </c>
      <c r="F196" s="23" t="e">
        <f>IF(B196=1997, 100, IF(COUNTIF(A$1:A195,A196)=0, "NEW", F195*(1+Table1[[#This Row],[Ávöxtun]])))</f>
        <v>#VALUE!</v>
      </c>
      <c r="G196" s="18" t="str" cm="1">
        <f t="array" ref="G196">IFERROR(_xlfn.IFS(ISNUMBER(Table1[[#This Row],[Column3]]),Table1[[#This Row],[Column3]],Table1[[#This Row],[Column3]]="NEW",Table1[[#This Row],[Column3]]),"")</f>
        <v/>
      </c>
      <c r="H196" s="15" cm="1">
        <f t="array" ref="H196">_xlfn.IFS(Table1[[#This Row],[Column4]]="NEW",AVERAGEIFS(Table1[Column4],Table1[Year],Table1[[#This Row],[Year]]),ISNUMBER(Table1[[#This Row],[Column4]]),Table1[[#This Row],[Column4]],Table1[[#This Row],[Column4]]="",H195*(1+Table1[[#This Row],[Ávöxtun]]))</f>
        <v>168.86934331313574</v>
      </c>
      <c r="I196" cm="1">
        <f t="array" ref="I196">_xlfn.IFS(Table1[[#This Row],[Column4]]="NEW",_xlfn.XLOOKUP(Table1[[#This Row],[Year]],$N$2:$N$27,$P$2:$P$27),ISNUMBER(Table1[[#This Row],[Column4]]),Table1[[#This Row],[Column4]],Table1[[#This Row],[Column4]]="",I195*(1+Table1[[#This Row],[Ávöxtun]]))</f>
        <v>173.15014269153255</v>
      </c>
      <c r="L196" s="33">
        <v>168.86934331313574</v>
      </c>
      <c r="M196" s="33">
        <v>186.49422899501039</v>
      </c>
    </row>
    <row r="197" spans="1:13">
      <c r="A197" t="s">
        <v>71</v>
      </c>
      <c r="B197">
        <v>2017</v>
      </c>
      <c r="C197" s="16">
        <v>0.03</v>
      </c>
      <c r="D197" s="1">
        <v>63913344</v>
      </c>
      <c r="E197" s="29">
        <f>Table1[[#This Row],[Ávöxtun]]*Table1[[#This Row],[Eignir]]/SUMIFS(Table1[Eignir],Table1[Year],Table1[[#This Row],[Year]])</f>
        <v>5.3872402716236651E-4</v>
      </c>
      <c r="F197" s="23" t="e">
        <f>IF(B197=1997, 100, IF(COUNTIF(A$1:A196,A197)=0, "NEW", F196*(1+Table1[[#This Row],[Ávöxtun]])))</f>
        <v>#VALUE!</v>
      </c>
      <c r="G197" s="18" t="str" cm="1">
        <f t="array" ref="G197">IFERROR(_xlfn.IFS(ISNUMBER(Table1[[#This Row],[Column3]]),Table1[[#This Row],[Column3]],Table1[[#This Row],[Column3]]="NEW",Table1[[#This Row],[Column3]]),"")</f>
        <v/>
      </c>
      <c r="H197" s="15" cm="1">
        <f t="array" ref="H197">_xlfn.IFS(Table1[[#This Row],[Column4]]="NEW",AVERAGEIFS(Table1[Column4],Table1[Year],Table1[[#This Row],[Year]]),ISNUMBER(Table1[[#This Row],[Column4]]),Table1[[#This Row],[Column4]],Table1[[#This Row],[Column4]]="",H196*(1+Table1[[#This Row],[Ávöxtun]]))</f>
        <v>173.93542361252983</v>
      </c>
      <c r="I197" cm="1">
        <f t="array" ref="I197">_xlfn.IFS(Table1[[#This Row],[Column4]]="NEW",_xlfn.XLOOKUP(Table1[[#This Row],[Year]],$N$2:$N$27,$P$2:$P$27),ISNUMBER(Table1[[#This Row],[Column4]]),Table1[[#This Row],[Column4]],Table1[[#This Row],[Column4]]="",I196*(1+Table1[[#This Row],[Ávöxtun]]))</f>
        <v>178.34464697227853</v>
      </c>
      <c r="L197" s="33">
        <v>173.93542361252983</v>
      </c>
      <c r="M197" s="33">
        <v>192.08905586486071</v>
      </c>
    </row>
    <row r="198" spans="1:13">
      <c r="A198" t="s">
        <v>71</v>
      </c>
      <c r="B198">
        <v>2018</v>
      </c>
      <c r="C198" s="16">
        <v>1.8000000000000002E-2</v>
      </c>
      <c r="D198" s="1">
        <v>73497172</v>
      </c>
      <c r="E198" s="29">
        <f>Table1[[#This Row],[Ávöxtun]]*Table1[[#This Row],[Eignir]]/SUMIFS(Table1[Eignir],Table1[Year],Table1[[#This Row],[Year]])</f>
        <v>3.4647427321285137E-4</v>
      </c>
      <c r="F198" s="23" t="e">
        <f>IF(B198=1997, 100, IF(COUNTIF(A$1:A197,A198)=0, "NEW", F197*(1+Table1[[#This Row],[Ávöxtun]])))</f>
        <v>#VALUE!</v>
      </c>
      <c r="G198" s="18" t="str" cm="1">
        <f t="array" ref="G198">IFERROR(_xlfn.IFS(ISNUMBER(Table1[[#This Row],[Column3]]),Table1[[#This Row],[Column3]],Table1[[#This Row],[Column3]]="NEW",Table1[[#This Row],[Column3]]),"")</f>
        <v/>
      </c>
      <c r="H198" s="15" cm="1">
        <f t="array" ref="H198">_xlfn.IFS(Table1[[#This Row],[Column4]]="NEW",AVERAGEIFS(Table1[Column4],Table1[Year],Table1[[#This Row],[Year]]),ISNUMBER(Table1[[#This Row],[Column4]]),Table1[[#This Row],[Column4]],Table1[[#This Row],[Column4]]="",H197*(1+Table1[[#This Row],[Ávöxtun]]))</f>
        <v>177.06626123755538</v>
      </c>
      <c r="I198" cm="1">
        <f t="array" ref="I198">_xlfn.IFS(Table1[[#This Row],[Column4]]="NEW",_xlfn.XLOOKUP(Table1[[#This Row],[Year]],$N$2:$N$27,$P$2:$P$27),ISNUMBER(Table1[[#This Row],[Column4]]),Table1[[#This Row],[Column4]],Table1[[#This Row],[Column4]]="",I197*(1+Table1[[#This Row],[Ávöxtun]]))</f>
        <v>181.55485061777955</v>
      </c>
      <c r="L198" s="33">
        <v>177.06626123755538</v>
      </c>
      <c r="M198" s="33">
        <v>195.54665887042822</v>
      </c>
    </row>
    <row r="199" spans="1:13">
      <c r="A199" t="s">
        <v>71</v>
      </c>
      <c r="B199">
        <v>2019</v>
      </c>
      <c r="C199" s="16">
        <v>0.09</v>
      </c>
      <c r="D199" s="1">
        <v>88576442</v>
      </c>
      <c r="E199" s="29">
        <f>Table1[[#This Row],[Ávöxtun]]*Table1[[#This Row],[Eignir]]/SUMIFS(Table1[Eignir],Table1[Year],Table1[[#This Row],[Year]])</f>
        <v>1.8007900443608549E-3</v>
      </c>
      <c r="F199" s="23" t="e">
        <f>IF(B199=1997, 100, IF(COUNTIF(A$1:A198,A199)=0, "NEW", F198*(1+Table1[[#This Row],[Ávöxtun]])))</f>
        <v>#VALUE!</v>
      </c>
      <c r="G199" s="18" t="str" cm="1">
        <f t="array" ref="G199">IFERROR(_xlfn.IFS(ISNUMBER(Table1[[#This Row],[Column3]]),Table1[[#This Row],[Column3]],Table1[[#This Row],[Column3]]="NEW",Table1[[#This Row],[Column3]]),"")</f>
        <v/>
      </c>
      <c r="H199" s="15" cm="1">
        <f t="array" ref="H199">_xlfn.IFS(Table1[[#This Row],[Column4]]="NEW",AVERAGEIFS(Table1[Column4],Table1[Year],Table1[[#This Row],[Year]]),ISNUMBER(Table1[[#This Row],[Column4]]),Table1[[#This Row],[Column4]],Table1[[#This Row],[Column4]]="",H198*(1+Table1[[#This Row],[Ávöxtun]]))</f>
        <v>193.00222474893539</v>
      </c>
      <c r="I199" cm="1">
        <f t="array" ref="I199">_xlfn.IFS(Table1[[#This Row],[Column4]]="NEW",_xlfn.XLOOKUP(Table1[[#This Row],[Year]],$N$2:$N$27,$P$2:$P$27),ISNUMBER(Table1[[#This Row],[Column4]]),Table1[[#This Row],[Column4]],Table1[[#This Row],[Column4]]="",I198*(1+Table1[[#This Row],[Ávöxtun]]))</f>
        <v>197.89478717337971</v>
      </c>
      <c r="L199" s="33">
        <v>193.00222474893539</v>
      </c>
      <c r="M199" s="33">
        <v>213.14585816876678</v>
      </c>
    </row>
    <row r="200" spans="1:13">
      <c r="A200" t="s">
        <v>71</v>
      </c>
      <c r="B200">
        <v>2020</v>
      </c>
      <c r="C200" s="16">
        <v>7.6999999999999999E-2</v>
      </c>
      <c r="D200" s="1">
        <v>105138169</v>
      </c>
      <c r="E200" s="29">
        <f>Table1[[#This Row],[Ávöxtun]]*Table1[[#This Row],[Eignir]]/SUMIFS(Table1[Eignir],Table1[Year],Table1[[#This Row],[Year]])</f>
        <v>1.576065404135446E-3</v>
      </c>
      <c r="F200" s="23" t="e">
        <f>IF(B200=1997, 100, IF(COUNTIF(A$1:A199,A200)=0, "NEW", F199*(1+Table1[[#This Row],[Ávöxtun]])))</f>
        <v>#VALUE!</v>
      </c>
      <c r="G200" s="18" t="str" cm="1">
        <f t="array" ref="G200">IFERROR(_xlfn.IFS(ISNUMBER(Table1[[#This Row],[Column3]]),Table1[[#This Row],[Column3]],Table1[[#This Row],[Column3]]="NEW",Table1[[#This Row],[Column3]]),"")</f>
        <v/>
      </c>
      <c r="H200" s="15" cm="1">
        <f t="array" ref="H200">_xlfn.IFS(Table1[[#This Row],[Column4]]="NEW",AVERAGEIFS(Table1[Column4],Table1[Year],Table1[[#This Row],[Year]]),ISNUMBER(Table1[[#This Row],[Column4]]),Table1[[#This Row],[Column4]],Table1[[#This Row],[Column4]]="",H199*(1+Table1[[#This Row],[Ávöxtun]]))</f>
        <v>207.86339605460341</v>
      </c>
      <c r="I200" cm="1">
        <f t="array" ref="I200">_xlfn.IFS(Table1[[#This Row],[Column4]]="NEW",_xlfn.XLOOKUP(Table1[[#This Row],[Year]],$N$2:$N$27,$P$2:$P$27),ISNUMBER(Table1[[#This Row],[Column4]]),Table1[[#This Row],[Column4]],Table1[[#This Row],[Column4]]="",I199*(1+Table1[[#This Row],[Ávöxtun]]))</f>
        <v>213.13268578572993</v>
      </c>
      <c r="L200" s="33">
        <v>207.86339605460341</v>
      </c>
      <c r="M200" s="33">
        <v>229.55808924776181</v>
      </c>
    </row>
    <row r="201" spans="1:13">
      <c r="A201" t="s">
        <v>71</v>
      </c>
      <c r="B201">
        <v>2021</v>
      </c>
      <c r="C201" s="16">
        <v>8.8000000000000009E-2</v>
      </c>
      <c r="D201" s="1">
        <v>127195421</v>
      </c>
      <c r="E201" s="29">
        <f>Table1[[#This Row],[Ávöxtun]]*Table1[[#This Row],[Eignir]]/SUMIFS(Table1[Eignir],Table1[Year],Table1[[#This Row],[Year]])</f>
        <v>1.8533322894511001E-3</v>
      </c>
      <c r="F201" s="23" t="e">
        <f>IF(B201=1997, 100, IF(COUNTIF(A$1:A200,A201)=0, "NEW", F200*(1+Table1[[#This Row],[Ávöxtun]])))</f>
        <v>#VALUE!</v>
      </c>
      <c r="G201" s="18" t="str" cm="1">
        <f t="array" ref="G201">IFERROR(_xlfn.IFS(ISNUMBER(Table1[[#This Row],[Column3]]),Table1[[#This Row],[Column3]],Table1[[#This Row],[Column3]]="NEW",Table1[[#This Row],[Column3]]),"")</f>
        <v/>
      </c>
      <c r="H201" s="15" cm="1">
        <f t="array" ref="H201">_xlfn.IFS(Table1[[#This Row],[Column4]]="NEW",AVERAGEIFS(Table1[Column4],Table1[Year],Table1[[#This Row],[Year]]),ISNUMBER(Table1[[#This Row],[Column4]]),Table1[[#This Row],[Column4]],Table1[[#This Row],[Column4]]="",H200*(1+Table1[[#This Row],[Ávöxtun]]))</f>
        <v>226.15537490740854</v>
      </c>
      <c r="I201" cm="1">
        <f t="array" ref="I201">_xlfn.IFS(Table1[[#This Row],[Column4]]="NEW",_xlfn.XLOOKUP(Table1[[#This Row],[Year]],$N$2:$N$27,$P$2:$P$27),ISNUMBER(Table1[[#This Row],[Column4]]),Table1[[#This Row],[Column4]],Table1[[#This Row],[Column4]]="",I200*(1+Table1[[#This Row],[Ávöxtun]]))</f>
        <v>231.88836213487417</v>
      </c>
      <c r="L201" s="33">
        <v>226.15537490740854</v>
      </c>
      <c r="M201" s="33">
        <v>249.75920110156488</v>
      </c>
    </row>
    <row r="202" spans="1:13">
      <c r="A202" t="s">
        <v>72</v>
      </c>
      <c r="B202">
        <v>2005</v>
      </c>
      <c r="C202" s="16">
        <v>0.18</v>
      </c>
      <c r="D202" s="1">
        <v>180049302</v>
      </c>
      <c r="E202" s="29">
        <f>Table1[[#This Row],[Ávöxtun]]*Table1[[#This Row],[Eignir]]/SUMIFS(Table1[Eignir],Table1[Year],Table1[[#This Row],[Year]])</f>
        <v>2.8901974110938266E-2</v>
      </c>
      <c r="F202" s="23" t="str">
        <f>IF(B202=1997, 100, IF(COUNTIF(A$1:A201,A202)=0, "NEW", F201*(1+Table1[[#This Row],[Ávöxtun]])))</f>
        <v>NEW</v>
      </c>
      <c r="G202" s="18" t="str" cm="1">
        <f t="array" ref="G202">IFERROR(_xlfn.IFS(ISNUMBER(Table1[[#This Row],[Column3]]),Table1[[#This Row],[Column3]],Table1[[#This Row],[Column3]]="NEW",Table1[[#This Row],[Column3]]),"")</f>
        <v>NEW</v>
      </c>
      <c r="H202" s="15" cm="1">
        <f t="array" ref="H202">_xlfn.IFS(Table1[[#This Row],[Column4]]="NEW",AVERAGEIFS(Table1[Column4],Table1[Year],Table1[[#This Row],[Year]]),ISNUMBER(Table1[[#This Row],[Column4]]),Table1[[#This Row],[Column4]],Table1[[#This Row],[Column4]]="",H201*(1+Table1[[#This Row],[Ávöxtun]]))</f>
        <v>159.65347376579254</v>
      </c>
      <c r="I202" cm="1">
        <f t="array" ref="I202">_xlfn.IFS(Table1[[#This Row],[Column4]]="NEW",_xlfn.XLOOKUP(Table1[[#This Row],[Year]],$N$2:$N$27,$P$2:$P$27),ISNUMBER(Table1[[#This Row],[Column4]]),Table1[[#This Row],[Column4]],Table1[[#This Row],[Column4]]="",I201*(1+Table1[[#This Row],[Ávöxtun]]))</f>
        <v>178.42564385767122</v>
      </c>
      <c r="L202" s="33">
        <v>159.65347376579254</v>
      </c>
      <c r="M202" s="33">
        <v>192.17629490178845</v>
      </c>
    </row>
    <row r="203" spans="1:13">
      <c r="A203" t="s">
        <v>72</v>
      </c>
      <c r="B203">
        <v>2006</v>
      </c>
      <c r="C203" s="16">
        <v>9.3699999999999992E-2</v>
      </c>
      <c r="D203" s="1">
        <v>216080811</v>
      </c>
      <c r="E203" s="29">
        <f>Table1[[#This Row],[Ávöxtun]]*Table1[[#This Row],[Eignir]]/SUMIFS(Table1[Eignir],Table1[Year],Table1[[#This Row],[Year]])</f>
        <v>1.4749858889242035E-2</v>
      </c>
      <c r="F203" s="23" t="e">
        <f>IF(B203=1997, 100, IF(COUNTIF(A$1:A202,A203)=0, "NEW", F202*(1+Table1[[#This Row],[Ávöxtun]])))</f>
        <v>#VALUE!</v>
      </c>
      <c r="G203" s="18" t="str" cm="1">
        <f t="array" ref="G203">IFERROR(_xlfn.IFS(ISNUMBER(Table1[[#This Row],[Column3]]),Table1[[#This Row],[Column3]],Table1[[#This Row],[Column3]]="NEW",Table1[[#This Row],[Column3]]),"")</f>
        <v/>
      </c>
      <c r="H203" s="15" cm="1">
        <f t="array" ref="H203">_xlfn.IFS(Table1[[#This Row],[Column4]]="NEW",AVERAGEIFS(Table1[Column4],Table1[Year],Table1[[#This Row],[Year]]),ISNUMBER(Table1[[#This Row],[Column4]]),Table1[[#This Row],[Column4]],Table1[[#This Row],[Column4]]="",H202*(1+Table1[[#This Row],[Ávöxtun]]))</f>
        <v>174.61300425764728</v>
      </c>
      <c r="I203" cm="1">
        <f t="array" ref="I203">_xlfn.IFS(Table1[[#This Row],[Column4]]="NEW",_xlfn.XLOOKUP(Table1[[#This Row],[Year]],$N$2:$N$27,$P$2:$P$27),ISNUMBER(Table1[[#This Row],[Column4]]),Table1[[#This Row],[Column4]],Table1[[#This Row],[Column4]]="",I202*(1+Table1[[#This Row],[Ávöxtun]]))</f>
        <v>195.14412668713499</v>
      </c>
      <c r="L203" s="33">
        <v>174.61300425764728</v>
      </c>
      <c r="M203" s="33">
        <v>210.183213734086</v>
      </c>
    </row>
    <row r="204" spans="1:13">
      <c r="A204" t="s">
        <v>72</v>
      </c>
      <c r="B204">
        <v>2007</v>
      </c>
      <c r="C204" s="16">
        <v>2.3599999999999999E-2</v>
      </c>
      <c r="D204" s="1">
        <v>236837900</v>
      </c>
      <c r="E204" s="29">
        <f>Table1[[#This Row],[Ávöxtun]]*Table1[[#This Row],[Eignir]]/SUMIFS(Table1[Eignir],Table1[Year],Table1[[#This Row],[Year]])</f>
        <v>3.6144241553048915E-3</v>
      </c>
      <c r="F204" s="23" t="e">
        <f>IF(B204=1997, 100, IF(COUNTIF(A$1:A203,A204)=0, "NEW", F203*(1+Table1[[#This Row],[Ávöxtun]])))</f>
        <v>#VALUE!</v>
      </c>
      <c r="G204" s="18" t="str" cm="1">
        <f t="array" ref="G204">IFERROR(_xlfn.IFS(ISNUMBER(Table1[[#This Row],[Column3]]),Table1[[#This Row],[Column3]],Table1[[#This Row],[Column3]]="NEW",Table1[[#This Row],[Column3]]),"")</f>
        <v/>
      </c>
      <c r="H204" s="15" cm="1">
        <f t="array" ref="H204">_xlfn.IFS(Table1[[#This Row],[Column4]]="NEW",AVERAGEIFS(Table1[Column4],Table1[Year],Table1[[#This Row],[Year]]),ISNUMBER(Table1[[#This Row],[Column4]]),Table1[[#This Row],[Column4]],Table1[[#This Row],[Column4]]="",H203*(1+Table1[[#This Row],[Ávöxtun]]))</f>
        <v>178.73387115812776</v>
      </c>
      <c r="I204" cm="1">
        <f t="array" ref="I204">_xlfn.IFS(Table1[[#This Row],[Column4]]="NEW",_xlfn.XLOOKUP(Table1[[#This Row],[Year]],$N$2:$N$27,$P$2:$P$27),ISNUMBER(Table1[[#This Row],[Column4]]),Table1[[#This Row],[Column4]],Table1[[#This Row],[Column4]]="",I203*(1+Table1[[#This Row],[Ávöxtun]]))</f>
        <v>199.74952807695138</v>
      </c>
      <c r="L204" s="33">
        <v>178.73387115812776</v>
      </c>
      <c r="M204" s="33">
        <v>215.14353757821044</v>
      </c>
    </row>
    <row r="205" spans="1:13">
      <c r="A205" t="s">
        <v>72</v>
      </c>
      <c r="B205">
        <v>2008</v>
      </c>
      <c r="C205" s="16">
        <v>-0.26700000000000002</v>
      </c>
      <c r="D205" s="1">
        <v>211603847</v>
      </c>
      <c r="E205" s="29">
        <f>Table1[[#This Row],[Ávöxtun]]*Table1[[#This Row],[Eignir]]/SUMIFS(Table1[Eignir],Table1[Year],Table1[[#This Row],[Year]])</f>
        <v>-3.7732953752529171E-2</v>
      </c>
      <c r="F205" s="23" t="e">
        <f>IF(B205=1997, 100, IF(COUNTIF(A$1:A204,A205)=0, "NEW", F204*(1+Table1[[#This Row],[Ávöxtun]])))</f>
        <v>#VALUE!</v>
      </c>
      <c r="G205" s="18" t="str" cm="1">
        <f t="array" ref="G205">IFERROR(_xlfn.IFS(ISNUMBER(Table1[[#This Row],[Column3]]),Table1[[#This Row],[Column3]],Table1[[#This Row],[Column3]]="NEW",Table1[[#This Row],[Column3]]),"")</f>
        <v/>
      </c>
      <c r="H205" s="15" cm="1">
        <f t="array" ref="H205">_xlfn.IFS(Table1[[#This Row],[Column4]]="NEW",AVERAGEIFS(Table1[Column4],Table1[Year],Table1[[#This Row],[Year]]),ISNUMBER(Table1[[#This Row],[Column4]]),Table1[[#This Row],[Column4]],Table1[[#This Row],[Column4]]="",H204*(1+Table1[[#This Row],[Ávöxtun]]))</f>
        <v>131.01192755890764</v>
      </c>
      <c r="I205" cm="1">
        <f t="array" ref="I205">_xlfn.IFS(Table1[[#This Row],[Column4]]="NEW",_xlfn.XLOOKUP(Table1[[#This Row],[Year]],$N$2:$N$27,$P$2:$P$27),ISNUMBER(Table1[[#This Row],[Column4]]),Table1[[#This Row],[Column4]],Table1[[#This Row],[Column4]]="",I204*(1+Table1[[#This Row],[Ávöxtun]]))</f>
        <v>146.41640408040536</v>
      </c>
      <c r="L205" s="33">
        <v>131.01192755890764</v>
      </c>
      <c r="M205" s="33">
        <v>157.70021304482825</v>
      </c>
    </row>
    <row r="206" spans="1:13">
      <c r="A206" t="s">
        <v>72</v>
      </c>
      <c r="B206">
        <v>2009</v>
      </c>
      <c r="C206" s="16">
        <v>-1.7000000000000001E-2</v>
      </c>
      <c r="D206" s="1">
        <v>232092994</v>
      </c>
      <c r="E206" s="29">
        <f>Table1[[#This Row],[Ávöxtun]]*Table1[[#This Row],[Eignir]]/SUMIFS(Table1[Eignir],Table1[Year],Table1[[#This Row],[Year]])</f>
        <v>-2.3650898444143088E-3</v>
      </c>
      <c r="F206" s="23" t="e">
        <f>IF(B206=1997, 100, IF(COUNTIF(A$1:A205,A206)=0, "NEW", F205*(1+Table1[[#This Row],[Ávöxtun]])))</f>
        <v>#VALUE!</v>
      </c>
      <c r="G206" s="18" t="str" cm="1">
        <f t="array" ref="G206">IFERROR(_xlfn.IFS(ISNUMBER(Table1[[#This Row],[Column3]]),Table1[[#This Row],[Column3]],Table1[[#This Row],[Column3]]="NEW",Table1[[#This Row],[Column3]]),"")</f>
        <v/>
      </c>
      <c r="H206" s="15" cm="1">
        <f t="array" ref="H206">_xlfn.IFS(Table1[[#This Row],[Column4]]="NEW",AVERAGEIFS(Table1[Column4],Table1[Year],Table1[[#This Row],[Year]]),ISNUMBER(Table1[[#This Row],[Column4]]),Table1[[#This Row],[Column4]],Table1[[#This Row],[Column4]]="",H205*(1+Table1[[#This Row],[Ávöxtun]]))</f>
        <v>128.78472479040622</v>
      </c>
      <c r="I206" cm="1">
        <f t="array" ref="I206">_xlfn.IFS(Table1[[#This Row],[Column4]]="NEW",_xlfn.XLOOKUP(Table1[[#This Row],[Year]],$N$2:$N$27,$P$2:$P$27),ISNUMBER(Table1[[#This Row],[Column4]]),Table1[[#This Row],[Column4]],Table1[[#This Row],[Column4]]="",I205*(1+Table1[[#This Row],[Ávöxtun]]))</f>
        <v>143.92732521103846</v>
      </c>
      <c r="L206" s="33">
        <v>128.78472479040622</v>
      </c>
      <c r="M206" s="33">
        <v>155.01930942306618</v>
      </c>
    </row>
    <row r="207" spans="1:13">
      <c r="A207" t="s">
        <v>72</v>
      </c>
      <c r="B207">
        <v>2010</v>
      </c>
      <c r="C207" s="16">
        <v>1.3700000000000002E-2</v>
      </c>
      <c r="D207" s="1">
        <v>244292253</v>
      </c>
      <c r="E207" s="29">
        <f>Table1[[#This Row],[Ávöxtun]]*Table1[[#This Row],[Eignir]]/SUMIFS(Table1[Eignir],Table1[Year],Table1[[#This Row],[Year]])</f>
        <v>1.8720377157170475E-3</v>
      </c>
      <c r="F207" s="23" t="e">
        <f>IF(B207=1997, 100, IF(COUNTIF(A$1:A206,A207)=0, "NEW", F206*(1+Table1[[#This Row],[Ávöxtun]])))</f>
        <v>#VALUE!</v>
      </c>
      <c r="G207" s="18" t="str" cm="1">
        <f t="array" ref="G207">IFERROR(_xlfn.IFS(ISNUMBER(Table1[[#This Row],[Column3]]),Table1[[#This Row],[Column3]],Table1[[#This Row],[Column3]]="NEW",Table1[[#This Row],[Column3]]),"")</f>
        <v/>
      </c>
      <c r="H207" s="15" cm="1">
        <f t="array" ref="H207">_xlfn.IFS(Table1[[#This Row],[Column4]]="NEW",AVERAGEIFS(Table1[Column4],Table1[Year],Table1[[#This Row],[Year]]),ISNUMBER(Table1[[#This Row],[Column4]]),Table1[[#This Row],[Column4]],Table1[[#This Row],[Column4]]="",H206*(1+Table1[[#This Row],[Ávöxtun]]))</f>
        <v>130.54907552003479</v>
      </c>
      <c r="I207" cm="1">
        <f t="array" ref="I207">_xlfn.IFS(Table1[[#This Row],[Column4]]="NEW",_xlfn.XLOOKUP(Table1[[#This Row],[Year]],$N$2:$N$27,$P$2:$P$27),ISNUMBER(Table1[[#This Row],[Column4]]),Table1[[#This Row],[Column4]],Table1[[#This Row],[Column4]]="",I206*(1+Table1[[#This Row],[Ávöxtun]]))</f>
        <v>145.89912956642971</v>
      </c>
      <c r="L207" s="33">
        <v>130.54907552003479</v>
      </c>
      <c r="M207" s="33">
        <v>157.14307396216219</v>
      </c>
    </row>
    <row r="208" spans="1:13">
      <c r="A208" t="s">
        <v>72</v>
      </c>
      <c r="B208">
        <v>2011</v>
      </c>
      <c r="C208" s="16">
        <v>2.7000000000000003E-2</v>
      </c>
      <c r="D208" s="1">
        <v>266064707</v>
      </c>
      <c r="E208" s="29">
        <f>Table1[[#This Row],[Ávöxtun]]*Table1[[#This Row],[Eignir]]/SUMIFS(Table1[Eignir],Table1[Year],Table1[[#This Row],[Year]])</f>
        <v>3.6829174024639194E-3</v>
      </c>
      <c r="F208" s="23" t="e">
        <f>IF(B208=1997, 100, IF(COUNTIF(A$1:A207,A208)=0, "NEW", F207*(1+Table1[[#This Row],[Ávöxtun]])))</f>
        <v>#VALUE!</v>
      </c>
      <c r="G208" s="18" t="str" cm="1">
        <f t="array" ref="G208">IFERROR(_xlfn.IFS(ISNUMBER(Table1[[#This Row],[Column3]]),Table1[[#This Row],[Column3]],Table1[[#This Row],[Column3]]="NEW",Table1[[#This Row],[Column3]]),"")</f>
        <v/>
      </c>
      <c r="H208" s="15" cm="1">
        <f t="array" ref="H208">_xlfn.IFS(Table1[[#This Row],[Column4]]="NEW",AVERAGEIFS(Table1[Column4],Table1[Year],Table1[[#This Row],[Year]]),ISNUMBER(Table1[[#This Row],[Column4]]),Table1[[#This Row],[Column4]],Table1[[#This Row],[Column4]]="",H207*(1+Table1[[#This Row],[Ávöxtun]]))</f>
        <v>134.07390055907572</v>
      </c>
      <c r="I208" cm="1">
        <f t="array" ref="I208">_xlfn.IFS(Table1[[#This Row],[Column4]]="NEW",_xlfn.XLOOKUP(Table1[[#This Row],[Year]],$N$2:$N$27,$P$2:$P$27),ISNUMBER(Table1[[#This Row],[Column4]]),Table1[[#This Row],[Column4]],Table1[[#This Row],[Column4]]="",I207*(1+Table1[[#This Row],[Ávöxtun]]))</f>
        <v>149.8384060647233</v>
      </c>
      <c r="L208" s="33">
        <v>134.07390055907572</v>
      </c>
      <c r="M208" s="33">
        <v>161.38593695914057</v>
      </c>
    </row>
    <row r="209" spans="1:13">
      <c r="A209" t="s">
        <v>72</v>
      </c>
      <c r="B209">
        <v>2012</v>
      </c>
      <c r="C209" s="16">
        <v>7.2999999999999995E-2</v>
      </c>
      <c r="D209" s="1">
        <v>300817878</v>
      </c>
      <c r="E209" s="29">
        <f>Table1[[#This Row],[Ávöxtun]]*Table1[[#This Row],[Eignir]]/SUMIFS(Table1[Eignir],Table1[Year],Table1[[#This Row],[Year]])</f>
        <v>9.9688017004189531E-3</v>
      </c>
      <c r="F209" s="23" t="e">
        <f>IF(B209=1997, 100, IF(COUNTIF(A$1:A208,A209)=0, "NEW", F208*(1+Table1[[#This Row],[Ávöxtun]])))</f>
        <v>#VALUE!</v>
      </c>
      <c r="G209" s="18" t="str" cm="1">
        <f t="array" ref="G209">IFERROR(_xlfn.IFS(ISNUMBER(Table1[[#This Row],[Column3]]),Table1[[#This Row],[Column3]],Table1[[#This Row],[Column3]]="NEW",Table1[[#This Row],[Column3]]),"")</f>
        <v/>
      </c>
      <c r="H209" s="15" cm="1">
        <f t="array" ref="H209">_xlfn.IFS(Table1[[#This Row],[Column4]]="NEW",AVERAGEIFS(Table1[Column4],Table1[Year],Table1[[#This Row],[Year]]),ISNUMBER(Table1[[#This Row],[Column4]]),Table1[[#This Row],[Column4]],Table1[[#This Row],[Column4]]="",H208*(1+Table1[[#This Row],[Ávöxtun]]))</f>
        <v>143.86129529988824</v>
      </c>
      <c r="I209" cm="1">
        <f t="array" ref="I209">_xlfn.IFS(Table1[[#This Row],[Column4]]="NEW",_xlfn.XLOOKUP(Table1[[#This Row],[Year]],$N$2:$N$27,$P$2:$P$27),ISNUMBER(Table1[[#This Row],[Column4]]),Table1[[#This Row],[Column4]],Table1[[#This Row],[Column4]]="",I208*(1+Table1[[#This Row],[Ávöxtun]]))</f>
        <v>160.7766097074481</v>
      </c>
      <c r="L209" s="33">
        <v>143.86129529988824</v>
      </c>
      <c r="M209" s="33">
        <v>173.16711035715781</v>
      </c>
    </row>
    <row r="210" spans="1:13">
      <c r="A210" t="s">
        <v>72</v>
      </c>
      <c r="B210">
        <v>2013</v>
      </c>
      <c r="C210" s="16">
        <v>5.2999999999999999E-2</v>
      </c>
      <c r="D210" s="1">
        <v>332759686</v>
      </c>
      <c r="E210" s="29">
        <f>Table1[[#This Row],[Ávöxtun]]*Table1[[#This Row],[Eignir]]/SUMIFS(Table1[Eignir],Table1[Year],Table1[[#This Row],[Year]])</f>
        <v>7.2470462239242724E-3</v>
      </c>
      <c r="F210" s="23" t="e">
        <f>IF(B210=1997, 100, IF(COUNTIF(A$1:A209,A210)=0, "NEW", F209*(1+Table1[[#This Row],[Ávöxtun]])))</f>
        <v>#VALUE!</v>
      </c>
      <c r="G210" s="18" t="str" cm="1">
        <f t="array" ref="G210">IFERROR(_xlfn.IFS(ISNUMBER(Table1[[#This Row],[Column3]]),Table1[[#This Row],[Column3]],Table1[[#This Row],[Column3]]="NEW",Table1[[#This Row],[Column3]]),"")</f>
        <v/>
      </c>
      <c r="H210" s="15" cm="1">
        <f t="array" ref="H210">_xlfn.IFS(Table1[[#This Row],[Column4]]="NEW",AVERAGEIFS(Table1[Column4],Table1[Year],Table1[[#This Row],[Year]]),ISNUMBER(Table1[[#This Row],[Column4]]),Table1[[#This Row],[Column4]],Table1[[#This Row],[Column4]]="",H209*(1+Table1[[#This Row],[Ávöxtun]]))</f>
        <v>151.48594395078231</v>
      </c>
      <c r="I210" cm="1">
        <f t="array" ref="I210">_xlfn.IFS(Table1[[#This Row],[Column4]]="NEW",_xlfn.XLOOKUP(Table1[[#This Row],[Year]],$N$2:$N$27,$P$2:$P$27),ISNUMBER(Table1[[#This Row],[Column4]]),Table1[[#This Row],[Column4]],Table1[[#This Row],[Column4]]="",I209*(1+Table1[[#This Row],[Ávöxtun]]))</f>
        <v>169.29777002194285</v>
      </c>
      <c r="L210" s="33">
        <v>151.48594395078231</v>
      </c>
      <c r="M210" s="33">
        <v>182.34496720608718</v>
      </c>
    </row>
    <row r="211" spans="1:13">
      <c r="A211" t="s">
        <v>72</v>
      </c>
      <c r="B211">
        <v>2014</v>
      </c>
      <c r="C211" s="16">
        <v>8.8000000000000009E-2</v>
      </c>
      <c r="D211" s="1">
        <v>368499662</v>
      </c>
      <c r="E211" s="29">
        <f>Table1[[#This Row],[Ávöxtun]]*Table1[[#This Row],[Eignir]]/SUMIFS(Table1[Eignir],Table1[Year],Table1[[#This Row],[Year]])</f>
        <v>1.2223047312763751E-2</v>
      </c>
      <c r="F211" s="23" t="e">
        <f>IF(B211=1997, 100, IF(COUNTIF(A$1:A210,A211)=0, "NEW", F210*(1+Table1[[#This Row],[Ávöxtun]])))</f>
        <v>#VALUE!</v>
      </c>
      <c r="G211" s="18" t="str" cm="1">
        <f t="array" ref="G211">IFERROR(_xlfn.IFS(ISNUMBER(Table1[[#This Row],[Column3]]),Table1[[#This Row],[Column3]],Table1[[#This Row],[Column3]]="NEW",Table1[[#This Row],[Column3]]),"")</f>
        <v/>
      </c>
      <c r="H211" s="15" cm="1">
        <f t="array" ref="H211">_xlfn.IFS(Table1[[#This Row],[Column4]]="NEW",AVERAGEIFS(Table1[Column4],Table1[Year],Table1[[#This Row],[Year]]),ISNUMBER(Table1[[#This Row],[Column4]]),Table1[[#This Row],[Column4]],Table1[[#This Row],[Column4]]="",H210*(1+Table1[[#This Row],[Ávöxtun]]))</f>
        <v>164.81670701845118</v>
      </c>
      <c r="I211" cm="1">
        <f t="array" ref="I211">_xlfn.IFS(Table1[[#This Row],[Column4]]="NEW",_xlfn.XLOOKUP(Table1[[#This Row],[Year]],$N$2:$N$27,$P$2:$P$27),ISNUMBER(Table1[[#This Row],[Column4]]),Table1[[#This Row],[Column4]],Table1[[#This Row],[Column4]]="",I210*(1+Table1[[#This Row],[Ávöxtun]]))</f>
        <v>184.19597378387382</v>
      </c>
      <c r="L211" s="33">
        <v>164.81670701845118</v>
      </c>
      <c r="M211" s="33">
        <v>198.39132432022285</v>
      </c>
    </row>
    <row r="212" spans="1:13">
      <c r="A212" t="s">
        <v>72</v>
      </c>
      <c r="B212">
        <v>2015</v>
      </c>
      <c r="C212" s="16">
        <v>7.6999999999999999E-2</v>
      </c>
      <c r="D212" s="1">
        <v>451441236</v>
      </c>
      <c r="E212" s="29">
        <f>Table1[[#This Row],[Ávöxtun]]*Table1[[#This Row],[Eignir]]/SUMIFS(Table1[Eignir],Table1[Year],Table1[[#This Row],[Year]])</f>
        <v>1.1738107217650545E-2</v>
      </c>
      <c r="F212" s="23" t="e">
        <f>IF(B212=1997, 100, IF(COUNTIF(A$1:A211,A212)=0, "NEW", F211*(1+Table1[[#This Row],[Ávöxtun]])))</f>
        <v>#VALUE!</v>
      </c>
      <c r="G212" s="18" t="str" cm="1">
        <f t="array" ref="G212">IFERROR(_xlfn.IFS(ISNUMBER(Table1[[#This Row],[Column3]]),Table1[[#This Row],[Column3]],Table1[[#This Row],[Column3]]="NEW",Table1[[#This Row],[Column3]]),"")</f>
        <v/>
      </c>
      <c r="H212" s="15" cm="1">
        <f t="array" ref="H212">_xlfn.IFS(Table1[[#This Row],[Column4]]="NEW",AVERAGEIFS(Table1[Column4],Table1[Year],Table1[[#This Row],[Year]]),ISNUMBER(Table1[[#This Row],[Column4]]),Table1[[#This Row],[Column4]],Table1[[#This Row],[Column4]]="",H211*(1+Table1[[#This Row],[Ávöxtun]]))</f>
        <v>177.50759345887192</v>
      </c>
      <c r="I212" cm="1">
        <f t="array" ref="I212">_xlfn.IFS(Table1[[#This Row],[Column4]]="NEW",_xlfn.XLOOKUP(Table1[[#This Row],[Year]],$N$2:$N$27,$P$2:$P$27),ISNUMBER(Table1[[#This Row],[Column4]]),Table1[[#This Row],[Column4]],Table1[[#This Row],[Column4]]="",I211*(1+Table1[[#This Row],[Ávöxtun]]))</f>
        <v>198.3790637652321</v>
      </c>
      <c r="L212" s="33">
        <v>177.50759345887192</v>
      </c>
      <c r="M212" s="33">
        <v>213.66745629287999</v>
      </c>
    </row>
    <row r="213" spans="1:13">
      <c r="A213" t="s">
        <v>72</v>
      </c>
      <c r="B213">
        <v>2016</v>
      </c>
      <c r="C213" s="16">
        <v>-9.0000000000000011E-3</v>
      </c>
      <c r="D213" s="1">
        <v>467906976.25</v>
      </c>
      <c r="E213" s="29">
        <f>Table1[[#This Row],[Ávöxtun]]*Table1[[#This Row],[Eignir]]/SUMIFS(Table1[Eignir],Table1[Year],Table1[[#This Row],[Year]])</f>
        <v>-1.3159691831363151E-3</v>
      </c>
      <c r="F213" s="23" t="e">
        <f>IF(B213=1997, 100, IF(COUNTIF(A$1:A212,A213)=0, "NEW", F212*(1+Table1[[#This Row],[Ávöxtun]])))</f>
        <v>#VALUE!</v>
      </c>
      <c r="G213" s="18" t="str" cm="1">
        <f t="array" ref="G213">IFERROR(_xlfn.IFS(ISNUMBER(Table1[[#This Row],[Column3]]),Table1[[#This Row],[Column3]],Table1[[#This Row],[Column3]]="NEW",Table1[[#This Row],[Column3]]),"")</f>
        <v/>
      </c>
      <c r="H213" s="15" cm="1">
        <f t="array" ref="H213">_xlfn.IFS(Table1[[#This Row],[Column4]]="NEW",AVERAGEIFS(Table1[Column4],Table1[Year],Table1[[#This Row],[Year]]),ISNUMBER(Table1[[#This Row],[Column4]]),Table1[[#This Row],[Column4]],Table1[[#This Row],[Column4]]="",H212*(1+Table1[[#This Row],[Ávöxtun]]))</f>
        <v>175.91002511774207</v>
      </c>
      <c r="I213" cm="1">
        <f t="array" ref="I213">_xlfn.IFS(Table1[[#This Row],[Column4]]="NEW",_xlfn.XLOOKUP(Table1[[#This Row],[Year]],$N$2:$N$27,$P$2:$P$27),ISNUMBER(Table1[[#This Row],[Column4]]),Table1[[#This Row],[Column4]],Table1[[#This Row],[Column4]]="",I212*(1+Table1[[#This Row],[Ávöxtun]]))</f>
        <v>196.593652191345</v>
      </c>
      <c r="L213" s="33">
        <v>175.91002511774207</v>
      </c>
      <c r="M213" s="33">
        <v>211.74444918624405</v>
      </c>
    </row>
    <row r="214" spans="1:13">
      <c r="A214" t="s">
        <v>72</v>
      </c>
      <c r="B214">
        <v>2017</v>
      </c>
      <c r="C214" s="16">
        <v>5.7999999999999996E-2</v>
      </c>
      <c r="D214" s="1">
        <v>513247400</v>
      </c>
      <c r="E214" s="29">
        <f>Table1[[#This Row],[Ávöxtun]]*Table1[[#This Row],[Eignir]]/SUMIFS(Table1[Eignir],Table1[Year],Table1[[#This Row],[Year]])</f>
        <v>8.3638897916735559E-3</v>
      </c>
      <c r="F214" s="23" t="e">
        <f>IF(B214=1997, 100, IF(COUNTIF(A$1:A213,A214)=0, "NEW", F213*(1+Table1[[#This Row],[Ávöxtun]])))</f>
        <v>#VALUE!</v>
      </c>
      <c r="G214" s="18" t="str" cm="1">
        <f t="array" ref="G214">IFERROR(_xlfn.IFS(ISNUMBER(Table1[[#This Row],[Column3]]),Table1[[#This Row],[Column3]],Table1[[#This Row],[Column3]]="NEW",Table1[[#This Row],[Column3]]),"")</f>
        <v/>
      </c>
      <c r="H214" s="15" cm="1">
        <f t="array" ref="H214">_xlfn.IFS(Table1[[#This Row],[Column4]]="NEW",AVERAGEIFS(Table1[Column4],Table1[Year],Table1[[#This Row],[Year]]),ISNUMBER(Table1[[#This Row],[Column4]]),Table1[[#This Row],[Column4]],Table1[[#This Row],[Column4]]="",H213*(1+Table1[[#This Row],[Ávöxtun]]))</f>
        <v>186.11280657457112</v>
      </c>
      <c r="I214" cm="1">
        <f t="array" ref="I214">_xlfn.IFS(Table1[[#This Row],[Column4]]="NEW",_xlfn.XLOOKUP(Table1[[#This Row],[Year]],$N$2:$N$27,$P$2:$P$27),ISNUMBER(Table1[[#This Row],[Column4]]),Table1[[#This Row],[Column4]],Table1[[#This Row],[Column4]]="",I213*(1+Table1[[#This Row],[Ávöxtun]]))</f>
        <v>207.99608401844301</v>
      </c>
      <c r="L214" s="33">
        <v>186.11280657457112</v>
      </c>
      <c r="M214" s="33">
        <v>224.02562723904623</v>
      </c>
    </row>
    <row r="215" spans="1:13">
      <c r="A215" t="s">
        <v>72</v>
      </c>
      <c r="B215">
        <v>2018</v>
      </c>
      <c r="C215" s="16">
        <v>2.4E-2</v>
      </c>
      <c r="D215" s="1">
        <v>556757276</v>
      </c>
      <c r="E215" s="29">
        <f>Table1[[#This Row],[Ávöxtun]]*Table1[[#This Row],[Eignir]]/SUMIFS(Table1[Eignir],Table1[Year],Table1[[#This Row],[Year]])</f>
        <v>3.4994919724361069E-3</v>
      </c>
      <c r="F215" s="23" t="e">
        <f>IF(B215=1997, 100, IF(COUNTIF(A$1:A214,A215)=0, "NEW", F214*(1+Table1[[#This Row],[Ávöxtun]])))</f>
        <v>#VALUE!</v>
      </c>
      <c r="G215" s="18" t="str" cm="1">
        <f t="array" ref="G215">IFERROR(_xlfn.IFS(ISNUMBER(Table1[[#This Row],[Column3]]),Table1[[#This Row],[Column3]],Table1[[#This Row],[Column3]]="NEW",Table1[[#This Row],[Column3]]),"")</f>
        <v/>
      </c>
      <c r="H215" s="15" cm="1">
        <f t="array" ref="H215">_xlfn.IFS(Table1[[#This Row],[Column4]]="NEW",AVERAGEIFS(Table1[Column4],Table1[Year],Table1[[#This Row],[Year]]),ISNUMBER(Table1[[#This Row],[Column4]]),Table1[[#This Row],[Column4]],Table1[[#This Row],[Column4]]="",H214*(1+Table1[[#This Row],[Ávöxtun]]))</f>
        <v>190.57951393236084</v>
      </c>
      <c r="I215" cm="1">
        <f t="array" ref="I215">_xlfn.IFS(Table1[[#This Row],[Column4]]="NEW",_xlfn.XLOOKUP(Table1[[#This Row],[Year]],$N$2:$N$27,$P$2:$P$27),ISNUMBER(Table1[[#This Row],[Column4]]),Table1[[#This Row],[Column4]],Table1[[#This Row],[Column4]]="",I214*(1+Table1[[#This Row],[Ávöxtun]]))</f>
        <v>212.98799003488566</v>
      </c>
      <c r="L215" s="33">
        <v>190.57951393236084</v>
      </c>
      <c r="M215" s="33">
        <v>229.40224229278334</v>
      </c>
    </row>
    <row r="216" spans="1:13">
      <c r="A216" t="s">
        <v>72</v>
      </c>
      <c r="B216">
        <v>2019</v>
      </c>
      <c r="C216" s="16">
        <v>0.121</v>
      </c>
      <c r="D216" s="1">
        <v>655831224.77999997</v>
      </c>
      <c r="E216" s="29">
        <f>Table1[[#This Row],[Ávöxtun]]*Table1[[#This Row],[Eignir]]/SUMIFS(Table1[Eignir],Table1[Year],Table1[[#This Row],[Year]])</f>
        <v>1.7925851759914773E-2</v>
      </c>
      <c r="F216" s="23" t="e">
        <f>IF(B216=1997, 100, IF(COUNTIF(A$1:A215,A216)=0, "NEW", F215*(1+Table1[[#This Row],[Ávöxtun]])))</f>
        <v>#VALUE!</v>
      </c>
      <c r="G216" s="18" t="str" cm="1">
        <f t="array" ref="G216">IFERROR(_xlfn.IFS(ISNUMBER(Table1[[#This Row],[Column3]]),Table1[[#This Row],[Column3]],Table1[[#This Row],[Column3]]="NEW",Table1[[#This Row],[Column3]]),"")</f>
        <v/>
      </c>
      <c r="H216" s="15" cm="1">
        <f t="array" ref="H216">_xlfn.IFS(Table1[[#This Row],[Column4]]="NEW",AVERAGEIFS(Table1[Column4],Table1[Year],Table1[[#This Row],[Year]]),ISNUMBER(Table1[[#This Row],[Column4]]),Table1[[#This Row],[Column4]],Table1[[#This Row],[Column4]]="",H215*(1+Table1[[#This Row],[Ávöxtun]]))</f>
        <v>213.6396351181765</v>
      </c>
      <c r="I216" cm="1">
        <f t="array" ref="I216">_xlfn.IFS(Table1[[#This Row],[Column4]]="NEW",_xlfn.XLOOKUP(Table1[[#This Row],[Year]],$N$2:$N$27,$P$2:$P$27),ISNUMBER(Table1[[#This Row],[Column4]]),Table1[[#This Row],[Column4]],Table1[[#This Row],[Column4]]="",I215*(1+Table1[[#This Row],[Ávöxtun]]))</f>
        <v>238.75953682910682</v>
      </c>
      <c r="L216" s="33">
        <v>213.6396351181765</v>
      </c>
      <c r="M216" s="33">
        <v>257.15991361021014</v>
      </c>
    </row>
    <row r="217" spans="1:13">
      <c r="A217" t="s">
        <v>72</v>
      </c>
      <c r="B217">
        <v>2020</v>
      </c>
      <c r="C217" s="16">
        <v>9.6999999999999989E-2</v>
      </c>
      <c r="D217" s="1">
        <v>758131827.01999998</v>
      </c>
      <c r="E217" s="29">
        <f>Table1[[#This Row],[Ávöxtun]]*Table1[[#This Row],[Eignir]]/SUMIFS(Table1[Eignir],Table1[Year],Table1[[#This Row],[Year]])</f>
        <v>1.4316589242045711E-2</v>
      </c>
      <c r="F217" s="23" t="e">
        <f>IF(B217=1997, 100, IF(COUNTIF(A$1:A216,A217)=0, "NEW", F216*(1+Table1[[#This Row],[Ávöxtun]])))</f>
        <v>#VALUE!</v>
      </c>
      <c r="G217" s="18" t="str" cm="1">
        <f t="array" ref="G217">IFERROR(_xlfn.IFS(ISNUMBER(Table1[[#This Row],[Column3]]),Table1[[#This Row],[Column3]],Table1[[#This Row],[Column3]]="NEW",Table1[[#This Row],[Column3]]),"")</f>
        <v/>
      </c>
      <c r="H217" s="15" cm="1">
        <f t="array" ref="H217">_xlfn.IFS(Table1[[#This Row],[Column4]]="NEW",AVERAGEIFS(Table1[Column4],Table1[Year],Table1[[#This Row],[Year]]),ISNUMBER(Table1[[#This Row],[Column4]]),Table1[[#This Row],[Column4]],Table1[[#This Row],[Column4]]="",H216*(1+Table1[[#This Row],[Ávöxtun]]))</f>
        <v>234.36267972463961</v>
      </c>
      <c r="I217" cm="1">
        <f t="array" ref="I217">_xlfn.IFS(Table1[[#This Row],[Column4]]="NEW",_xlfn.XLOOKUP(Table1[[#This Row],[Year]],$N$2:$N$27,$P$2:$P$27),ISNUMBER(Table1[[#This Row],[Column4]]),Table1[[#This Row],[Column4]],Table1[[#This Row],[Column4]]="",I216*(1+Table1[[#This Row],[Ávöxtun]]))</f>
        <v>261.91921190153016</v>
      </c>
      <c r="L217" s="33">
        <v>234.36267972463961</v>
      </c>
      <c r="M217" s="33">
        <v>282.10442523040052</v>
      </c>
    </row>
    <row r="218" spans="1:13">
      <c r="A218" t="s">
        <v>72</v>
      </c>
      <c r="B218">
        <v>2021</v>
      </c>
      <c r="C218" s="16">
        <v>0.12400000000000001</v>
      </c>
      <c r="D218" s="1">
        <v>908990102.27999997</v>
      </c>
      <c r="E218" s="29">
        <f>Table1[[#This Row],[Ávöxtun]]*Table1[[#This Row],[Eignir]]/SUMIFS(Table1[Eignir],Table1[Year],Table1[[#This Row],[Year]])</f>
        <v>1.8662936676197589E-2</v>
      </c>
      <c r="F218" s="23" t="e">
        <f>IF(B218=1997, 100, IF(COUNTIF(A$1:A217,A218)=0, "NEW", F217*(1+Table1[[#This Row],[Ávöxtun]])))</f>
        <v>#VALUE!</v>
      </c>
      <c r="G218" s="18" t="str" cm="1">
        <f t="array" ref="G218">IFERROR(_xlfn.IFS(ISNUMBER(Table1[[#This Row],[Column3]]),Table1[[#This Row],[Column3]],Table1[[#This Row],[Column3]]="NEW",Table1[[#This Row],[Column3]]),"")</f>
        <v/>
      </c>
      <c r="H218" s="15" cm="1">
        <f t="array" ref="H218">_xlfn.IFS(Table1[[#This Row],[Column4]]="NEW",AVERAGEIFS(Table1[Column4],Table1[Year],Table1[[#This Row],[Year]]),ISNUMBER(Table1[[#This Row],[Column4]]),Table1[[#This Row],[Column4]],Table1[[#This Row],[Column4]]="",H217*(1+Table1[[#This Row],[Ávöxtun]]))</f>
        <v>263.42365201049495</v>
      </c>
      <c r="I218" cm="1">
        <f t="array" ref="I218">_xlfn.IFS(Table1[[#This Row],[Column4]]="NEW",_xlfn.XLOOKUP(Table1[[#This Row],[Year]],$N$2:$N$27,$P$2:$P$27),ISNUMBER(Table1[[#This Row],[Column4]]),Table1[[#This Row],[Column4]],Table1[[#This Row],[Column4]]="",I217*(1+Table1[[#This Row],[Ávöxtun]]))</f>
        <v>294.39719417731993</v>
      </c>
      <c r="L218" s="33">
        <v>263.42365201049495</v>
      </c>
      <c r="M218" s="33">
        <v>317.08537395897019</v>
      </c>
    </row>
    <row r="219" spans="1:13">
      <c r="A219" t="s">
        <v>136</v>
      </c>
      <c r="B219">
        <v>1999</v>
      </c>
      <c r="C219" s="16">
        <v>0.1</v>
      </c>
      <c r="D219" s="1">
        <v>3482771.87</v>
      </c>
      <c r="E219" s="29">
        <f>Table1[[#This Row],[Ávöxtun]]*Table1[[#This Row],[Eignir]]/SUMIFS(Table1[Eignir],Table1[Year],Table1[[#This Row],[Year]])</f>
        <v>6.6884199438270702E-4</v>
      </c>
      <c r="F219" s="23" t="str">
        <f>IF(B219=1997, 100, IF(COUNTIF(A$1:A218,A219)=0, "NEW", F218*(1+Table1[[#This Row],[Ávöxtun]])))</f>
        <v>NEW</v>
      </c>
      <c r="G219" s="18" t="str" cm="1">
        <f t="array" ref="G219">IFERROR(_xlfn.IFS(ISNUMBER(Table1[[#This Row],[Column3]]),Table1[[#This Row],[Column3]],Table1[[#This Row],[Column3]]="NEW",Table1[[#This Row],[Column3]]),"")</f>
        <v>NEW</v>
      </c>
      <c r="H219" s="15" cm="1">
        <f t="array" ref="H219">_xlfn.IFS(Table1[[#This Row],[Column4]]="NEW",AVERAGEIFS(Table1[Column4],Table1[Year],Table1[[#This Row],[Year]]),ISNUMBER(Table1[[#This Row],[Column4]]),Table1[[#This Row],[Column4]],Table1[[#This Row],[Column4]]="",H218*(1+Table1[[#This Row],[Ávöxtun]]))</f>
        <v>117.05306122448981</v>
      </c>
      <c r="I219" cm="1">
        <f t="array" ref="I219">_xlfn.IFS(Table1[[#This Row],[Column4]]="NEW",_xlfn.XLOOKUP(Table1[[#This Row],[Year]],$N$2:$N$27,$P$2:$P$27),ISNUMBER(Table1[[#This Row],[Column4]]),Table1[[#This Row],[Column4]],Table1[[#This Row],[Column4]]="",I218*(1+Table1[[#This Row],[Ávöxtun]]))</f>
        <v>120.02032965757705</v>
      </c>
      <c r="L219" s="33">
        <v>117.05306122448981</v>
      </c>
      <c r="M219" s="33">
        <v>129.26988390123572</v>
      </c>
    </row>
    <row r="220" spans="1:13">
      <c r="A220" t="s">
        <v>136</v>
      </c>
      <c r="B220">
        <v>2000</v>
      </c>
      <c r="C220" s="16">
        <v>-0.05</v>
      </c>
      <c r="D220" s="1">
        <v>4052011.51</v>
      </c>
      <c r="E220" s="29">
        <f>Table1[[#This Row],[Ávöxtun]]*Table1[[#This Row],[Eignir]]/SUMIFS(Table1[Eignir],Table1[Year],Table1[[#This Row],[Year]])</f>
        <v>-2.8499579105984471E-4</v>
      </c>
      <c r="F220" s="23" t="e">
        <f>IF(B220=1997, 100, IF(COUNTIF(A$1:A219,A220)=0, "NEW", F219*(1+Table1[[#This Row],[Ávöxtun]])))</f>
        <v>#VALUE!</v>
      </c>
      <c r="G220" s="18" t="str" cm="1">
        <f t="array" ref="G220">IFERROR(_xlfn.IFS(ISNUMBER(Table1[[#This Row],[Column3]]),Table1[[#This Row],[Column3]],Table1[[#This Row],[Column3]]="NEW",Table1[[#This Row],[Column3]]),"")</f>
        <v/>
      </c>
      <c r="H220" s="15" cm="1">
        <f t="array" ref="H220">_xlfn.IFS(Table1[[#This Row],[Column4]]="NEW",AVERAGEIFS(Table1[Column4],Table1[Year],Table1[[#This Row],[Year]]),ISNUMBER(Table1[[#This Row],[Column4]]),Table1[[#This Row],[Column4]],Table1[[#This Row],[Column4]]="",H219*(1+Table1[[#This Row],[Ávöxtun]]))</f>
        <v>111.20040816326531</v>
      </c>
      <c r="I220" cm="1">
        <f t="array" ref="I220">_xlfn.IFS(Table1[[#This Row],[Column4]]="NEW",_xlfn.XLOOKUP(Table1[[#This Row],[Year]],$N$2:$N$27,$P$2:$P$27),ISNUMBER(Table1[[#This Row],[Column4]]),Table1[[#This Row],[Column4]],Table1[[#This Row],[Column4]]="",I219*(1+Table1[[#This Row],[Ávöxtun]]))</f>
        <v>114.0193131746982</v>
      </c>
      <c r="L220" s="33">
        <v>111.20040816326531</v>
      </c>
      <c r="M220" s="33">
        <v>122.80638970617392</v>
      </c>
    </row>
    <row r="221" spans="1:13">
      <c r="A221" t="s">
        <v>136</v>
      </c>
      <c r="B221">
        <v>2001</v>
      </c>
      <c r="C221" s="16">
        <v>-0.05</v>
      </c>
      <c r="D221" s="1">
        <v>5197072.95</v>
      </c>
      <c r="E221" s="29">
        <f>Table1[[#This Row],[Ávöxtun]]*Table1[[#This Row],[Eignir]]/SUMIFS(Table1[Eignir],Table1[Year],Table1[[#This Row],[Year]])</f>
        <v>-2.2441499169914203E-4</v>
      </c>
      <c r="F221" s="23" t="e">
        <f>IF(B221=1997, 100, IF(COUNTIF(A$1:A220,A221)=0, "NEW", F220*(1+Table1[[#This Row],[Ávöxtun]])))</f>
        <v>#VALUE!</v>
      </c>
      <c r="G221" s="18" t="str" cm="1">
        <f t="array" ref="G221">IFERROR(_xlfn.IFS(ISNUMBER(Table1[[#This Row],[Column3]]),Table1[[#This Row],[Column3]],Table1[[#This Row],[Column3]]="NEW",Table1[[#This Row],[Column3]]),"")</f>
        <v/>
      </c>
      <c r="H221" s="15" cm="1">
        <f t="array" ref="H221">_xlfn.IFS(Table1[[#This Row],[Column4]]="NEW",AVERAGEIFS(Table1[Column4],Table1[Year],Table1[[#This Row],[Year]]),ISNUMBER(Table1[[#This Row],[Column4]]),Table1[[#This Row],[Column4]],Table1[[#This Row],[Column4]]="",H220*(1+Table1[[#This Row],[Ávöxtun]]))</f>
        <v>105.64038775510204</v>
      </c>
      <c r="I221" cm="1">
        <f t="array" ref="I221">_xlfn.IFS(Table1[[#This Row],[Column4]]="NEW",_xlfn.XLOOKUP(Table1[[#This Row],[Year]],$N$2:$N$27,$P$2:$P$27),ISNUMBER(Table1[[#This Row],[Column4]]),Table1[[#This Row],[Column4]],Table1[[#This Row],[Column4]]="",I220*(1+Table1[[#This Row],[Ávöxtun]]))</f>
        <v>108.31834751596328</v>
      </c>
      <c r="L221" s="33">
        <v>105.64038775510204</v>
      </c>
      <c r="M221" s="33">
        <v>116.66607022086522</v>
      </c>
    </row>
    <row r="222" spans="1:13">
      <c r="A222" t="s">
        <v>136</v>
      </c>
      <c r="B222">
        <v>2002</v>
      </c>
      <c r="C222" s="16">
        <v>-0.02</v>
      </c>
      <c r="D222" s="1">
        <v>445857.1</v>
      </c>
      <c r="E222" s="29">
        <f>Table1[[#This Row],[Ávöxtun]]*Table1[[#This Row],[Eignir]]/SUMIFS(Table1[Eignir],Table1[Year],Table1[[#This Row],[Year]])</f>
        <v>-1.4039114022778412E-5</v>
      </c>
      <c r="F222" s="23" t="e">
        <f>IF(B222=1997, 100, IF(COUNTIF(A$1:A221,A222)=0, "NEW", F221*(1+Table1[[#This Row],[Ávöxtun]])))</f>
        <v>#VALUE!</v>
      </c>
      <c r="G222" s="18" t="str" cm="1">
        <f t="array" ref="G222">IFERROR(_xlfn.IFS(ISNUMBER(Table1[[#This Row],[Column3]]),Table1[[#This Row],[Column3]],Table1[[#This Row],[Column3]]="NEW",Table1[[#This Row],[Column3]]),"")</f>
        <v/>
      </c>
      <c r="H222" s="15" cm="1">
        <f t="array" ref="H222">_xlfn.IFS(Table1[[#This Row],[Column4]]="NEW",AVERAGEIFS(Table1[Column4],Table1[Year],Table1[[#This Row],[Year]]),ISNUMBER(Table1[[#This Row],[Column4]]),Table1[[#This Row],[Column4]],Table1[[#This Row],[Column4]]="",H221*(1+Table1[[#This Row],[Ávöxtun]]))</f>
        <v>103.52758</v>
      </c>
      <c r="I222" cm="1">
        <f t="array" ref="I222">_xlfn.IFS(Table1[[#This Row],[Column4]]="NEW",_xlfn.XLOOKUP(Table1[[#This Row],[Year]],$N$2:$N$27,$P$2:$P$27),ISNUMBER(Table1[[#This Row],[Column4]]),Table1[[#This Row],[Column4]],Table1[[#This Row],[Column4]]="",I221*(1+Table1[[#This Row],[Ávöxtun]]))</f>
        <v>106.15198056564401</v>
      </c>
      <c r="L222" s="33">
        <v>103.52758</v>
      </c>
      <c r="M222" s="33">
        <v>114.33274881644792</v>
      </c>
    </row>
    <row r="223" spans="1:13">
      <c r="A223" t="s">
        <v>136</v>
      </c>
      <c r="B223">
        <v>2003</v>
      </c>
      <c r="C223" s="16">
        <v>0.1</v>
      </c>
      <c r="D223" s="1">
        <v>727539.4</v>
      </c>
      <c r="E223" s="29">
        <f>Table1[[#This Row],[Ávöxtun]]*Table1[[#This Row],[Eignir]]/SUMIFS(Table1[Eignir],Table1[Year],Table1[[#This Row],[Year]])</f>
        <v>9.5742550173826533E-5</v>
      </c>
      <c r="F223" s="23" t="e">
        <f>IF(B223=1997, 100, IF(COUNTIF(A$1:A222,A223)=0, "NEW", F222*(1+Table1[[#This Row],[Ávöxtun]])))</f>
        <v>#VALUE!</v>
      </c>
      <c r="G223" s="18" t="str" cm="1">
        <f t="array" ref="G223">IFERROR(_xlfn.IFS(ISNUMBER(Table1[[#This Row],[Column3]]),Table1[[#This Row],[Column3]],Table1[[#This Row],[Column3]]="NEW",Table1[[#This Row],[Column3]]),"")</f>
        <v/>
      </c>
      <c r="H223" s="15" cm="1">
        <f t="array" ref="H223">_xlfn.IFS(Table1[[#This Row],[Column4]]="NEW",AVERAGEIFS(Table1[Column4],Table1[Year],Table1[[#This Row],[Year]]),ISNUMBER(Table1[[#This Row],[Column4]]),Table1[[#This Row],[Column4]],Table1[[#This Row],[Column4]]="",H222*(1+Table1[[#This Row],[Ávöxtun]]))</f>
        <v>113.88033800000001</v>
      </c>
      <c r="I223" cm="1">
        <f t="array" ref="I223">_xlfn.IFS(Table1[[#This Row],[Column4]]="NEW",_xlfn.XLOOKUP(Table1[[#This Row],[Year]],$N$2:$N$27,$P$2:$P$27),ISNUMBER(Table1[[#This Row],[Column4]]),Table1[[#This Row],[Column4]],Table1[[#This Row],[Column4]]="",I222*(1+Table1[[#This Row],[Ávöxtun]]))</f>
        <v>116.76717862220842</v>
      </c>
      <c r="L223" s="33">
        <v>113.88033800000001</v>
      </c>
      <c r="M223" s="33">
        <v>125.76602369809272</v>
      </c>
    </row>
    <row r="224" spans="1:13">
      <c r="A224" t="s">
        <v>136</v>
      </c>
      <c r="B224">
        <v>2004</v>
      </c>
      <c r="C224" s="16">
        <v>0.06</v>
      </c>
      <c r="D224" s="1">
        <v>1055515.8400000001</v>
      </c>
      <c r="E224" s="29">
        <f>Table1[[#This Row],[Ávöxtun]]*Table1[[#This Row],[Eignir]]/SUMIFS(Table1[Eignir],Table1[Year],Table1[[#This Row],[Year]])</f>
        <v>6.977306812119156E-5</v>
      </c>
      <c r="F224" s="23" t="e">
        <f>IF(B224=1997, 100, IF(COUNTIF(A$1:A223,A224)=0, "NEW", F223*(1+Table1[[#This Row],[Ávöxtun]])))</f>
        <v>#VALUE!</v>
      </c>
      <c r="G224" s="18" t="str" cm="1">
        <f t="array" ref="G224">IFERROR(_xlfn.IFS(ISNUMBER(Table1[[#This Row],[Column3]]),Table1[[#This Row],[Column3]],Table1[[#This Row],[Column3]]="NEW",Table1[[#This Row],[Column3]]),"")</f>
        <v/>
      </c>
      <c r="H224" s="15" cm="1">
        <f t="array" ref="H224">_xlfn.IFS(Table1[[#This Row],[Column4]]="NEW",AVERAGEIFS(Table1[Column4],Table1[Year],Table1[[#This Row],[Year]]),ISNUMBER(Table1[[#This Row],[Column4]]),Table1[[#This Row],[Column4]],Table1[[#This Row],[Column4]]="",H223*(1+Table1[[#This Row],[Ávöxtun]]))</f>
        <v>120.71315828000002</v>
      </c>
      <c r="I224" cm="1">
        <f t="array" ref="I224">_xlfn.IFS(Table1[[#This Row],[Column4]]="NEW",_xlfn.XLOOKUP(Table1[[#This Row],[Year]],$N$2:$N$27,$P$2:$P$27),ISNUMBER(Table1[[#This Row],[Column4]]),Table1[[#This Row],[Column4]],Table1[[#This Row],[Column4]]="",I223*(1+Table1[[#This Row],[Ávöxtun]]))</f>
        <v>123.77320933954093</v>
      </c>
      <c r="L224" s="33">
        <v>120.71315828000002</v>
      </c>
      <c r="M224" s="33">
        <v>133.31198511997829</v>
      </c>
    </row>
    <row r="225" spans="1:13">
      <c r="A225" t="s">
        <v>136</v>
      </c>
      <c r="B225">
        <v>2005</v>
      </c>
      <c r="C225" s="16">
        <v>0.1</v>
      </c>
      <c r="D225" s="1">
        <v>1588580</v>
      </c>
      <c r="E225" s="29">
        <f>Table1[[#This Row],[Ávöxtun]]*Table1[[#This Row],[Eignir]]/SUMIFS(Table1[Eignir],Table1[Year],Table1[[#This Row],[Year]])</f>
        <v>1.4166828975035811E-4</v>
      </c>
      <c r="F225" s="23" t="e">
        <f>IF(B225=1997, 100, IF(COUNTIF(A$1:A224,A225)=0, "NEW", F224*(1+Table1[[#This Row],[Ávöxtun]])))</f>
        <v>#VALUE!</v>
      </c>
      <c r="G225" s="18" t="str" cm="1">
        <f t="array" ref="G225">IFERROR(_xlfn.IFS(ISNUMBER(Table1[[#This Row],[Column3]]),Table1[[#This Row],[Column3]],Table1[[#This Row],[Column3]]="NEW",Table1[[#This Row],[Column3]]),"")</f>
        <v/>
      </c>
      <c r="H225" s="15" cm="1">
        <f t="array" ref="H225">_xlfn.IFS(Table1[[#This Row],[Column4]]="NEW",AVERAGEIFS(Table1[Column4],Table1[Year],Table1[[#This Row],[Year]]),ISNUMBER(Table1[[#This Row],[Column4]]),Table1[[#This Row],[Column4]],Table1[[#This Row],[Column4]]="",H224*(1+Table1[[#This Row],[Ávöxtun]]))</f>
        <v>132.78447410800004</v>
      </c>
      <c r="I225" cm="1">
        <f t="array" ref="I225">_xlfn.IFS(Table1[[#This Row],[Column4]]="NEW",_xlfn.XLOOKUP(Table1[[#This Row],[Year]],$N$2:$N$27,$P$2:$P$27),ISNUMBER(Table1[[#This Row],[Column4]]),Table1[[#This Row],[Column4]],Table1[[#This Row],[Column4]]="",I224*(1+Table1[[#This Row],[Ávöxtun]]))</f>
        <v>136.15053027349504</v>
      </c>
      <c r="L225" s="33">
        <v>132.78447410800004</v>
      </c>
      <c r="M225" s="33">
        <v>146.64318363197614</v>
      </c>
    </row>
    <row r="226" spans="1:13">
      <c r="A226" t="s">
        <v>136</v>
      </c>
      <c r="B226">
        <v>2006</v>
      </c>
      <c r="C226" s="16">
        <v>0.11900000000000001</v>
      </c>
      <c r="D226" s="1">
        <v>2384071</v>
      </c>
      <c r="E226" s="29">
        <f>Table1[[#This Row],[Ávöxtun]]*Table1[[#This Row],[Eignir]]/SUMIFS(Table1[Eignir],Table1[Year],Table1[[#This Row],[Year]])</f>
        <v>2.0667988906687381E-4</v>
      </c>
      <c r="F226" s="23" t="e">
        <f>IF(B226=1997, 100, IF(COUNTIF(A$1:A225,A226)=0, "NEW", F225*(1+Table1[[#This Row],[Ávöxtun]])))</f>
        <v>#VALUE!</v>
      </c>
      <c r="G226" s="18" t="str" cm="1">
        <f t="array" ref="G226">IFERROR(_xlfn.IFS(ISNUMBER(Table1[[#This Row],[Column3]]),Table1[[#This Row],[Column3]],Table1[[#This Row],[Column3]]="NEW",Table1[[#This Row],[Column3]]),"")</f>
        <v/>
      </c>
      <c r="H226" s="15" cm="1">
        <f t="array" ref="H226">_xlfn.IFS(Table1[[#This Row],[Column4]]="NEW",AVERAGEIFS(Table1[Column4],Table1[Year],Table1[[#This Row],[Year]]),ISNUMBER(Table1[[#This Row],[Column4]]),Table1[[#This Row],[Column4]],Table1[[#This Row],[Column4]]="",H225*(1+Table1[[#This Row],[Ávöxtun]]))</f>
        <v>148.58582652685203</v>
      </c>
      <c r="I226" cm="1">
        <f t="array" ref="I226">_xlfn.IFS(Table1[[#This Row],[Column4]]="NEW",_xlfn.XLOOKUP(Table1[[#This Row],[Year]],$N$2:$N$27,$P$2:$P$27),ISNUMBER(Table1[[#This Row],[Column4]]),Table1[[#This Row],[Column4]],Table1[[#This Row],[Column4]]="",I225*(1+Table1[[#This Row],[Ávöxtun]]))</f>
        <v>152.35244337604095</v>
      </c>
      <c r="L226" s="33">
        <v>148.58582652685203</v>
      </c>
      <c r="M226" s="33">
        <v>164.09372248418131</v>
      </c>
    </row>
    <row r="227" spans="1:13">
      <c r="A227" t="s">
        <v>136</v>
      </c>
      <c r="B227">
        <v>2007</v>
      </c>
      <c r="C227" s="16">
        <v>1.8000000000000002E-2</v>
      </c>
      <c r="D227" s="1">
        <v>2449600</v>
      </c>
      <c r="E227" s="29">
        <f>Table1[[#This Row],[Ávöxtun]]*Table1[[#This Row],[Eignir]]/SUMIFS(Table1[Eignir],Table1[Year],Table1[[#This Row],[Year]])</f>
        <v>2.8513044367631872E-5</v>
      </c>
      <c r="F227" s="23" t="e">
        <f>IF(B227=1997, 100, IF(COUNTIF(A$1:A226,A227)=0, "NEW", F226*(1+Table1[[#This Row],[Ávöxtun]])))</f>
        <v>#VALUE!</v>
      </c>
      <c r="G227" s="18" t="str" cm="1">
        <f t="array" ref="G227">IFERROR(_xlfn.IFS(ISNUMBER(Table1[[#This Row],[Column3]]),Table1[[#This Row],[Column3]],Table1[[#This Row],[Column3]]="NEW",Table1[[#This Row],[Column3]]),"")</f>
        <v/>
      </c>
      <c r="H227" s="15" cm="1">
        <f t="array" ref="H227">_xlfn.IFS(Table1[[#This Row],[Column4]]="NEW",AVERAGEIFS(Table1[Column4],Table1[Year],Table1[[#This Row],[Year]]),ISNUMBER(Table1[[#This Row],[Column4]]),Table1[[#This Row],[Column4]],Table1[[#This Row],[Column4]]="",H226*(1+Table1[[#This Row],[Ávöxtun]]))</f>
        <v>151.26037140433536</v>
      </c>
      <c r="I227" cm="1">
        <f t="array" ref="I227">_xlfn.IFS(Table1[[#This Row],[Column4]]="NEW",_xlfn.XLOOKUP(Table1[[#This Row],[Year]],$N$2:$N$27,$P$2:$P$27),ISNUMBER(Table1[[#This Row],[Column4]]),Table1[[#This Row],[Column4]],Table1[[#This Row],[Column4]]="",I226*(1+Table1[[#This Row],[Ávöxtun]]))</f>
        <v>155.09478735680969</v>
      </c>
      <c r="L227" s="33">
        <v>151.26037140433536</v>
      </c>
      <c r="M227" s="33">
        <v>167.04740948889659</v>
      </c>
    </row>
    <row r="228" spans="1:13">
      <c r="A228" t="s">
        <v>136</v>
      </c>
      <c r="B228">
        <v>2008</v>
      </c>
      <c r="C228" s="16">
        <v>-0.31209999999999999</v>
      </c>
      <c r="D228" s="1">
        <v>2487181</v>
      </c>
      <c r="E228" s="29">
        <f>Table1[[#This Row],[Ávöxtun]]*Table1[[#This Row],[Eignir]]/SUMIFS(Table1[Eignir],Table1[Year],Table1[[#This Row],[Year]])</f>
        <v>-5.1842644041265199E-4</v>
      </c>
      <c r="F228" s="23" t="e">
        <f>IF(B228=1997, 100, IF(COUNTIF(A$1:A227,A228)=0, "NEW", F227*(1+Table1[[#This Row],[Ávöxtun]])))</f>
        <v>#VALUE!</v>
      </c>
      <c r="G228" s="18" t="str" cm="1">
        <f t="array" ref="G228">IFERROR(_xlfn.IFS(ISNUMBER(Table1[[#This Row],[Column3]]),Table1[[#This Row],[Column3]],Table1[[#This Row],[Column3]]="NEW",Table1[[#This Row],[Column3]]),"")</f>
        <v/>
      </c>
      <c r="H228" s="15" cm="1">
        <f t="array" ref="H228">_xlfn.IFS(Table1[[#This Row],[Column4]]="NEW",AVERAGEIFS(Table1[Column4],Table1[Year],Table1[[#This Row],[Year]]),ISNUMBER(Table1[[#This Row],[Column4]]),Table1[[#This Row],[Column4]],Table1[[#This Row],[Column4]]="",H227*(1+Table1[[#This Row],[Ávöxtun]]))</f>
        <v>104.05200948904229</v>
      </c>
      <c r="I228" cm="1">
        <f t="array" ref="I228">_xlfn.IFS(Table1[[#This Row],[Column4]]="NEW",_xlfn.XLOOKUP(Table1[[#This Row],[Year]],$N$2:$N$27,$P$2:$P$27),ISNUMBER(Table1[[#This Row],[Column4]]),Table1[[#This Row],[Column4]],Table1[[#This Row],[Column4]]="",I227*(1+Table1[[#This Row],[Ávöxtun]]))</f>
        <v>106.68970422274938</v>
      </c>
      <c r="L228" s="33">
        <v>104.05200948904229</v>
      </c>
      <c r="M228" s="33">
        <v>114.91191298741195</v>
      </c>
    </row>
    <row r="229" spans="1:13">
      <c r="A229" t="s">
        <v>136</v>
      </c>
      <c r="B229">
        <v>2009</v>
      </c>
      <c r="C229" s="16">
        <v>3.1800000000000002E-2</v>
      </c>
      <c r="D229" s="1">
        <v>3454109</v>
      </c>
      <c r="E229" s="29">
        <f>Table1[[#This Row],[Ávöxtun]]*Table1[[#This Row],[Eignir]]/SUMIFS(Table1[Eignir],Table1[Year],Table1[[#This Row],[Year]])</f>
        <v>6.5841520133323099E-5</v>
      </c>
      <c r="F229" s="23" t="e">
        <f>IF(B229=1997, 100, IF(COUNTIF(A$1:A228,A229)=0, "NEW", F228*(1+Table1[[#This Row],[Ávöxtun]])))</f>
        <v>#VALUE!</v>
      </c>
      <c r="G229" s="18" t="str" cm="1">
        <f t="array" ref="G229">IFERROR(_xlfn.IFS(ISNUMBER(Table1[[#This Row],[Column3]]),Table1[[#This Row],[Column3]],Table1[[#This Row],[Column3]]="NEW",Table1[[#This Row],[Column3]]),"")</f>
        <v/>
      </c>
      <c r="H229" s="15" cm="1">
        <f t="array" ref="H229">_xlfn.IFS(Table1[[#This Row],[Column4]]="NEW",AVERAGEIFS(Table1[Column4],Table1[Year],Table1[[#This Row],[Year]]),ISNUMBER(Table1[[#This Row],[Column4]]),Table1[[#This Row],[Column4]],Table1[[#This Row],[Column4]]="",H228*(1+Table1[[#This Row],[Ávöxtun]]))</f>
        <v>107.36086339079384</v>
      </c>
      <c r="I229" cm="1">
        <f t="array" ref="I229">_xlfn.IFS(Table1[[#This Row],[Column4]]="NEW",_xlfn.XLOOKUP(Table1[[#This Row],[Year]],$N$2:$N$27,$P$2:$P$27),ISNUMBER(Table1[[#This Row],[Column4]]),Table1[[#This Row],[Column4]],Table1[[#This Row],[Column4]]="",I228*(1+Table1[[#This Row],[Ávöxtun]]))</f>
        <v>110.08243681703281</v>
      </c>
      <c r="L229" s="33">
        <v>107.36086339079384</v>
      </c>
      <c r="M229" s="33">
        <v>118.56611182041166</v>
      </c>
    </row>
    <row r="230" spans="1:13">
      <c r="A230" t="s">
        <v>136</v>
      </c>
      <c r="B230">
        <v>2010</v>
      </c>
      <c r="C230" s="16">
        <v>4.5999999999999999E-2</v>
      </c>
      <c r="D230" s="1">
        <v>4278252</v>
      </c>
      <c r="E230" s="29">
        <f>Table1[[#This Row],[Ávöxtun]]*Table1[[#This Row],[Eignir]]/SUMIFS(Table1[Eignir],Table1[Year],Table1[[#This Row],[Year]])</f>
        <v>1.1008002661686864E-4</v>
      </c>
      <c r="F230" s="23" t="e">
        <f>IF(B230=1997, 100, IF(COUNTIF(A$1:A229,A230)=0, "NEW", F229*(1+Table1[[#This Row],[Ávöxtun]])))</f>
        <v>#VALUE!</v>
      </c>
      <c r="G230" s="18" t="str" cm="1">
        <f t="array" ref="G230">IFERROR(_xlfn.IFS(ISNUMBER(Table1[[#This Row],[Column3]]),Table1[[#This Row],[Column3]],Table1[[#This Row],[Column3]]="NEW",Table1[[#This Row],[Column3]]),"")</f>
        <v/>
      </c>
      <c r="H230" s="15" cm="1">
        <f t="array" ref="H230">_xlfn.IFS(Table1[[#This Row],[Column4]]="NEW",AVERAGEIFS(Table1[Column4],Table1[Year],Table1[[#This Row],[Year]]),ISNUMBER(Table1[[#This Row],[Column4]]),Table1[[#This Row],[Column4]],Table1[[#This Row],[Column4]]="",H229*(1+Table1[[#This Row],[Ávöxtun]]))</f>
        <v>112.29946310677036</v>
      </c>
      <c r="I230" cm="1">
        <f t="array" ref="I230">_xlfn.IFS(Table1[[#This Row],[Column4]]="NEW",_xlfn.XLOOKUP(Table1[[#This Row],[Year]],$N$2:$N$27,$P$2:$P$27),ISNUMBER(Table1[[#This Row],[Column4]]),Table1[[#This Row],[Column4]],Table1[[#This Row],[Column4]]="",I229*(1+Table1[[#This Row],[Ávöxtun]]))</f>
        <v>115.14622891061633</v>
      </c>
      <c r="L230" s="33">
        <v>112.29946310677036</v>
      </c>
      <c r="M230" s="33">
        <v>124.02015296415061</v>
      </c>
    </row>
    <row r="231" spans="1:13">
      <c r="A231" t="s">
        <v>136</v>
      </c>
      <c r="B231">
        <v>2011</v>
      </c>
      <c r="C231" s="16">
        <v>0.02</v>
      </c>
      <c r="D231" s="1">
        <v>5226456</v>
      </c>
      <c r="E231" s="29">
        <f>Table1[[#This Row],[Ávöxtun]]*Table1[[#This Row],[Eignir]]/SUMIFS(Table1[Eignir],Table1[Year],Table1[[#This Row],[Year]])</f>
        <v>5.3589319103636288E-5</v>
      </c>
      <c r="F231" s="23" t="e">
        <f>IF(B231=1997, 100, IF(COUNTIF(A$1:A230,A231)=0, "NEW", F230*(1+Table1[[#This Row],[Ávöxtun]])))</f>
        <v>#VALUE!</v>
      </c>
      <c r="G231" s="18" t="str" cm="1">
        <f t="array" ref="G231">IFERROR(_xlfn.IFS(ISNUMBER(Table1[[#This Row],[Column3]]),Table1[[#This Row],[Column3]],Table1[[#This Row],[Column3]]="NEW",Table1[[#This Row],[Column3]]),"")</f>
        <v/>
      </c>
      <c r="H231" s="15" cm="1">
        <f t="array" ref="H231">_xlfn.IFS(Table1[[#This Row],[Column4]]="NEW",AVERAGEIFS(Table1[Column4],Table1[Year],Table1[[#This Row],[Year]]),ISNUMBER(Table1[[#This Row],[Column4]]),Table1[[#This Row],[Column4]],Table1[[#This Row],[Column4]]="",H230*(1+Table1[[#This Row],[Ávöxtun]]))</f>
        <v>114.54545236890577</v>
      </c>
      <c r="I231" cm="1">
        <f t="array" ref="I231">_xlfn.IFS(Table1[[#This Row],[Column4]]="NEW",_xlfn.XLOOKUP(Table1[[#This Row],[Year]],$N$2:$N$27,$P$2:$P$27),ISNUMBER(Table1[[#This Row],[Column4]]),Table1[[#This Row],[Column4]],Table1[[#This Row],[Column4]]="",I230*(1+Table1[[#This Row],[Ávöxtun]]))</f>
        <v>117.44915348882866</v>
      </c>
      <c r="L231" s="33">
        <v>114.54545236890577</v>
      </c>
      <c r="M231" s="33">
        <v>126.50055602343363</v>
      </c>
    </row>
    <row r="232" spans="1:13">
      <c r="A232" t="s">
        <v>136</v>
      </c>
      <c r="B232">
        <v>2012</v>
      </c>
      <c r="C232" s="16">
        <v>3.2000000000000001E-2</v>
      </c>
      <c r="D232" s="1">
        <v>6254807</v>
      </c>
      <c r="E232" s="29">
        <f>Table1[[#This Row],[Ávöxtun]]*Table1[[#This Row],[Eignir]]/SUMIFS(Table1[Eignir],Table1[Year],Table1[[#This Row],[Year]])</f>
        <v>9.0861592744327237E-5</v>
      </c>
      <c r="F232" s="23" t="e">
        <f>IF(B232=1997, 100, IF(COUNTIF(A$1:A231,A232)=0, "NEW", F231*(1+Table1[[#This Row],[Ávöxtun]])))</f>
        <v>#VALUE!</v>
      </c>
      <c r="G232" s="18" t="str" cm="1">
        <f t="array" ref="G232">IFERROR(_xlfn.IFS(ISNUMBER(Table1[[#This Row],[Column3]]),Table1[[#This Row],[Column3]],Table1[[#This Row],[Column3]]="NEW",Table1[[#This Row],[Column3]]),"")</f>
        <v/>
      </c>
      <c r="H232" s="15" cm="1">
        <f t="array" ref="H232">_xlfn.IFS(Table1[[#This Row],[Column4]]="NEW",AVERAGEIFS(Table1[Column4],Table1[Year],Table1[[#This Row],[Year]]),ISNUMBER(Table1[[#This Row],[Column4]]),Table1[[#This Row],[Column4]],Table1[[#This Row],[Column4]]="",H231*(1+Table1[[#This Row],[Ávöxtun]]))</f>
        <v>118.21090684471076</v>
      </c>
      <c r="I232" cm="1">
        <f t="array" ref="I232">_xlfn.IFS(Table1[[#This Row],[Column4]]="NEW",_xlfn.XLOOKUP(Table1[[#This Row],[Year]],$N$2:$N$27,$P$2:$P$27),ISNUMBER(Table1[[#This Row],[Column4]]),Table1[[#This Row],[Column4]],Table1[[#This Row],[Column4]]="",I231*(1+Table1[[#This Row],[Ávöxtun]]))</f>
        <v>121.20752640047118</v>
      </c>
      <c r="L232" s="33">
        <v>118.21090684471076</v>
      </c>
      <c r="M232" s="33">
        <v>130.54857381618351</v>
      </c>
    </row>
    <row r="233" spans="1:13">
      <c r="A233" t="s">
        <v>136</v>
      </c>
      <c r="B233">
        <v>2013</v>
      </c>
      <c r="C233" s="16">
        <v>5.7000000000000002E-2</v>
      </c>
      <c r="D233" s="1">
        <v>7505895</v>
      </c>
      <c r="E233" s="29">
        <f>Table1[[#This Row],[Ávöxtun]]*Table1[[#This Row],[Eignir]]/SUMIFS(Table1[Eignir],Table1[Year],Table1[[#This Row],[Year]])</f>
        <v>1.758052323230996E-4</v>
      </c>
      <c r="F233" s="23" t="e">
        <f>IF(B233=1997, 100, IF(COUNTIF(A$1:A232,A233)=0, "NEW", F232*(1+Table1[[#This Row],[Ávöxtun]])))</f>
        <v>#VALUE!</v>
      </c>
      <c r="G233" s="18" t="str" cm="1">
        <f t="array" ref="G233">IFERROR(_xlfn.IFS(ISNUMBER(Table1[[#This Row],[Column3]]),Table1[[#This Row],[Column3]],Table1[[#This Row],[Column3]]="NEW",Table1[[#This Row],[Column3]]),"")</f>
        <v/>
      </c>
      <c r="H233" s="15" cm="1">
        <f t="array" ref="H233">_xlfn.IFS(Table1[[#This Row],[Column4]]="NEW",AVERAGEIFS(Table1[Column4],Table1[Year],Table1[[#This Row],[Year]]),ISNUMBER(Table1[[#This Row],[Column4]]),Table1[[#This Row],[Column4]],Table1[[#This Row],[Column4]]="",H232*(1+Table1[[#This Row],[Ávöxtun]]))</f>
        <v>124.94892853485926</v>
      </c>
      <c r="I233" cm="1">
        <f t="array" ref="I233">_xlfn.IFS(Table1[[#This Row],[Column4]]="NEW",_xlfn.XLOOKUP(Table1[[#This Row],[Year]],$N$2:$N$27,$P$2:$P$27),ISNUMBER(Table1[[#This Row],[Column4]]),Table1[[#This Row],[Column4]],Table1[[#This Row],[Column4]]="",I232*(1+Table1[[#This Row],[Ávöxtun]]))</f>
        <v>128.11635540529804</v>
      </c>
      <c r="L233" s="33">
        <v>124.94892853485926</v>
      </c>
      <c r="M233" s="33">
        <v>137.98984252370596</v>
      </c>
    </row>
    <row r="234" spans="1:13">
      <c r="A234" t="s">
        <v>136</v>
      </c>
      <c r="B234">
        <v>2014</v>
      </c>
      <c r="C234" s="16">
        <v>4.9000000000000002E-2</v>
      </c>
      <c r="D234" s="1">
        <v>8566556</v>
      </c>
      <c r="E234" s="29">
        <f>Table1[[#This Row],[Ávöxtun]]*Table1[[#This Row],[Eignir]]/SUMIFS(Table1[Eignir],Table1[Year],Table1[[#This Row],[Year]])</f>
        <v>1.5822024952447485E-4</v>
      </c>
      <c r="F234" s="23" t="e">
        <f>IF(B234=1997, 100, IF(COUNTIF(A$1:A233,A234)=0, "NEW", F233*(1+Table1[[#This Row],[Ávöxtun]])))</f>
        <v>#VALUE!</v>
      </c>
      <c r="G234" s="18" t="str" cm="1">
        <f t="array" ref="G234">IFERROR(_xlfn.IFS(ISNUMBER(Table1[[#This Row],[Column3]]),Table1[[#This Row],[Column3]],Table1[[#This Row],[Column3]]="NEW",Table1[[#This Row],[Column3]]),"")</f>
        <v/>
      </c>
      <c r="H234" s="15" cm="1">
        <f t="array" ref="H234">_xlfn.IFS(Table1[[#This Row],[Column4]]="NEW",AVERAGEIFS(Table1[Column4],Table1[Year],Table1[[#This Row],[Year]]),ISNUMBER(Table1[[#This Row],[Column4]]),Table1[[#This Row],[Column4]],Table1[[#This Row],[Column4]]="",H233*(1+Table1[[#This Row],[Ávöxtun]]))</f>
        <v>131.07142603306735</v>
      </c>
      <c r="I234" cm="1">
        <f t="array" ref="I234">_xlfn.IFS(Table1[[#This Row],[Column4]]="NEW",_xlfn.XLOOKUP(Table1[[#This Row],[Year]],$N$2:$N$27,$P$2:$P$27),ISNUMBER(Table1[[#This Row],[Column4]]),Table1[[#This Row],[Column4]],Table1[[#This Row],[Column4]]="",I233*(1+Table1[[#This Row],[Ávöxtun]]))</f>
        <v>134.39405682015763</v>
      </c>
      <c r="L234" s="33">
        <v>131.07142603306735</v>
      </c>
      <c r="M234" s="33">
        <v>144.75134480736753</v>
      </c>
    </row>
    <row r="235" spans="1:13">
      <c r="A235" t="s">
        <v>136</v>
      </c>
      <c r="B235">
        <v>2015</v>
      </c>
      <c r="C235" s="16">
        <v>0.11599999999999999</v>
      </c>
      <c r="D235" s="1">
        <v>10638652</v>
      </c>
      <c r="E235" s="29">
        <f>Table1[[#This Row],[Ávöxtun]]*Table1[[#This Row],[Eignir]]/SUMIFS(Table1[Eignir],Table1[Year],Table1[[#This Row],[Year]])</f>
        <v>4.167261107114144E-4</v>
      </c>
      <c r="F235" s="23" t="e">
        <f>IF(B235=1997, 100, IF(COUNTIF(A$1:A234,A235)=0, "NEW", F234*(1+Table1[[#This Row],[Ávöxtun]])))</f>
        <v>#VALUE!</v>
      </c>
      <c r="G235" s="18" t="str" cm="1">
        <f t="array" ref="G235">IFERROR(_xlfn.IFS(ISNUMBER(Table1[[#This Row],[Column3]]),Table1[[#This Row],[Column3]],Table1[[#This Row],[Column3]]="NEW",Table1[[#This Row],[Column3]]),"")</f>
        <v/>
      </c>
      <c r="H235" s="15" cm="1">
        <f t="array" ref="H235">_xlfn.IFS(Table1[[#This Row],[Column4]]="NEW",AVERAGEIFS(Table1[Column4],Table1[Year],Table1[[#This Row],[Year]]),ISNUMBER(Table1[[#This Row],[Column4]]),Table1[[#This Row],[Column4]],Table1[[#This Row],[Column4]]="",H234*(1+Table1[[#This Row],[Ávöxtun]]))</f>
        <v>146.27571145290318</v>
      </c>
      <c r="I235" cm="1">
        <f t="array" ref="I235">_xlfn.IFS(Table1[[#This Row],[Column4]]="NEW",_xlfn.XLOOKUP(Table1[[#This Row],[Year]],$N$2:$N$27,$P$2:$P$27),ISNUMBER(Table1[[#This Row],[Column4]]),Table1[[#This Row],[Column4]],Table1[[#This Row],[Column4]]="",I234*(1+Table1[[#This Row],[Ávöxtun]]))</f>
        <v>149.98376741129593</v>
      </c>
      <c r="L235" s="33">
        <v>146.27571145290318</v>
      </c>
      <c r="M235" s="33">
        <v>161.54250080502217</v>
      </c>
    </row>
    <row r="236" spans="1:13">
      <c r="A236" t="s">
        <v>136</v>
      </c>
      <c r="B236">
        <v>2016</v>
      </c>
      <c r="C236" s="16">
        <v>1.26E-2</v>
      </c>
      <c r="D236" s="1">
        <v>12326313.23</v>
      </c>
      <c r="E236" s="29">
        <f>Table1[[#This Row],[Ávöxtun]]*Table1[[#This Row],[Eignir]]/SUMIFS(Table1[Eignir],Table1[Year],Table1[[#This Row],[Year]])</f>
        <v>4.8534150688059192E-5</v>
      </c>
      <c r="F236" s="23" t="e">
        <f>IF(B236=1997, 100, IF(COUNTIF(A$1:A235,A236)=0, "NEW", F235*(1+Table1[[#This Row],[Ávöxtun]])))</f>
        <v>#VALUE!</v>
      </c>
      <c r="G236" s="18" t="str" cm="1">
        <f t="array" ref="G236">IFERROR(_xlfn.IFS(ISNUMBER(Table1[[#This Row],[Column3]]),Table1[[#This Row],[Column3]],Table1[[#This Row],[Column3]]="NEW",Table1[[#This Row],[Column3]]),"")</f>
        <v/>
      </c>
      <c r="H236" s="15" cm="1">
        <f t="array" ref="H236">_xlfn.IFS(Table1[[#This Row],[Column4]]="NEW",AVERAGEIFS(Table1[Column4],Table1[Year],Table1[[#This Row],[Year]]),ISNUMBER(Table1[[#This Row],[Column4]]),Table1[[#This Row],[Column4]],Table1[[#This Row],[Column4]]="",H235*(1+Table1[[#This Row],[Ávöxtun]]))</f>
        <v>148.11878541720975</v>
      </c>
      <c r="I236" cm="1">
        <f t="array" ref="I236">_xlfn.IFS(Table1[[#This Row],[Column4]]="NEW",_xlfn.XLOOKUP(Table1[[#This Row],[Year]],$N$2:$N$27,$P$2:$P$27),ISNUMBER(Table1[[#This Row],[Column4]]),Table1[[#This Row],[Column4]],Table1[[#This Row],[Column4]]="",I235*(1+Table1[[#This Row],[Ávöxtun]]))</f>
        <v>151.87356288067824</v>
      </c>
      <c r="L236" s="33">
        <v>148.11878541720975</v>
      </c>
      <c r="M236" s="33">
        <v>163.57793631516543</v>
      </c>
    </row>
    <row r="237" spans="1:13">
      <c r="A237" t="s">
        <v>136</v>
      </c>
      <c r="B237">
        <v>2017</v>
      </c>
      <c r="C237" s="16">
        <v>4.8000000000000001E-2</v>
      </c>
      <c r="D237" s="1">
        <v>14738104</v>
      </c>
      <c r="E237" s="29">
        <f>Table1[[#This Row],[Ávöxtun]]*Table1[[#This Row],[Eignir]]/SUMIFS(Table1[Eignir],Table1[Year],Table1[[#This Row],[Year]])</f>
        <v>1.987633941260913E-4</v>
      </c>
      <c r="F237" s="23" t="e">
        <f>IF(B237=1997, 100, IF(COUNTIF(A$1:A236,A237)=0, "NEW", F236*(1+Table1[[#This Row],[Ávöxtun]])))</f>
        <v>#VALUE!</v>
      </c>
      <c r="G237" s="18" t="str" cm="1">
        <f t="array" ref="G237">IFERROR(_xlfn.IFS(ISNUMBER(Table1[[#This Row],[Column3]]),Table1[[#This Row],[Column3]],Table1[[#This Row],[Column3]]="NEW",Table1[[#This Row],[Column3]]),"")</f>
        <v/>
      </c>
      <c r="H237" s="15" cm="1">
        <f t="array" ref="H237">_xlfn.IFS(Table1[[#This Row],[Column4]]="NEW",AVERAGEIFS(Table1[Column4],Table1[Year],Table1[[#This Row],[Year]]),ISNUMBER(Table1[[#This Row],[Column4]]),Table1[[#This Row],[Column4]],Table1[[#This Row],[Column4]]="",H236*(1+Table1[[#This Row],[Ávöxtun]]))</f>
        <v>155.22848711723583</v>
      </c>
      <c r="I237" cm="1">
        <f t="array" ref="I237">_xlfn.IFS(Table1[[#This Row],[Column4]]="NEW",_xlfn.XLOOKUP(Table1[[#This Row],[Year]],$N$2:$N$27,$P$2:$P$27),ISNUMBER(Table1[[#This Row],[Column4]]),Table1[[#This Row],[Column4]],Table1[[#This Row],[Column4]]="",I236*(1+Table1[[#This Row],[Ávöxtun]]))</f>
        <v>159.1634938989508</v>
      </c>
      <c r="L237" s="33">
        <v>155.22848711723583</v>
      </c>
      <c r="M237" s="33">
        <v>171.42967725829337</v>
      </c>
    </row>
    <row r="238" spans="1:13">
      <c r="A238" t="s">
        <v>136</v>
      </c>
      <c r="B238">
        <v>2018</v>
      </c>
      <c r="C238" s="16">
        <v>1.1000000000000001E-2</v>
      </c>
      <c r="D238" s="1">
        <v>17195780</v>
      </c>
      <c r="E238" s="29">
        <f>Table1[[#This Row],[Ávöxtun]]*Table1[[#This Row],[Eignir]]/SUMIFS(Table1[Eignir],Table1[Year],Table1[[#This Row],[Year]])</f>
        <v>4.9538451142423196E-5</v>
      </c>
      <c r="F238" s="23" t="e">
        <f>IF(B238=1997, 100, IF(COUNTIF(A$1:A237,A238)=0, "NEW", F237*(1+Table1[[#This Row],[Ávöxtun]])))</f>
        <v>#VALUE!</v>
      </c>
      <c r="G238" s="18" t="str" cm="1">
        <f t="array" ref="G238">IFERROR(_xlfn.IFS(ISNUMBER(Table1[[#This Row],[Column3]]),Table1[[#This Row],[Column3]],Table1[[#This Row],[Column3]]="NEW",Table1[[#This Row],[Column3]]),"")</f>
        <v/>
      </c>
      <c r="H238" s="15" cm="1">
        <f t="array" ref="H238">_xlfn.IFS(Table1[[#This Row],[Column4]]="NEW",AVERAGEIFS(Table1[Column4],Table1[Year],Table1[[#This Row],[Year]]),ISNUMBER(Table1[[#This Row],[Column4]]),Table1[[#This Row],[Column4]],Table1[[#This Row],[Column4]]="",H237*(1+Table1[[#This Row],[Ávöxtun]]))</f>
        <v>156.93600047552542</v>
      </c>
      <c r="I238" cm="1">
        <f t="array" ref="I238">_xlfn.IFS(Table1[[#This Row],[Column4]]="NEW",_xlfn.XLOOKUP(Table1[[#This Row],[Year]],$N$2:$N$27,$P$2:$P$27),ISNUMBER(Table1[[#This Row],[Column4]]),Table1[[#This Row],[Column4]],Table1[[#This Row],[Column4]]="",I237*(1+Table1[[#This Row],[Ávöxtun]]))</f>
        <v>160.91429233183925</v>
      </c>
      <c r="L238" s="33">
        <v>156.93600047552542</v>
      </c>
      <c r="M238" s="33">
        <v>173.31540370813457</v>
      </c>
    </row>
    <row r="239" spans="1:13">
      <c r="A239" t="s">
        <v>136</v>
      </c>
      <c r="B239">
        <v>2019</v>
      </c>
      <c r="C239" s="16">
        <v>0.10189999999999999</v>
      </c>
      <c r="D239" s="1">
        <v>21479748.140000001</v>
      </c>
      <c r="E239" s="29">
        <f>Table1[[#This Row],[Ávöxtun]]*Table1[[#This Row],[Eignir]]/SUMIFS(Table1[Eignir],Table1[Year],Table1[[#This Row],[Year]])</f>
        <v>4.9443101889580315E-4</v>
      </c>
      <c r="F239" s="23" t="e">
        <f>IF(B239=1997, 100, IF(COUNTIF(A$1:A238,A239)=0, "NEW", F238*(1+Table1[[#This Row],[Ávöxtun]])))</f>
        <v>#VALUE!</v>
      </c>
      <c r="G239" s="18" t="str" cm="1">
        <f t="array" ref="G239">IFERROR(_xlfn.IFS(ISNUMBER(Table1[[#This Row],[Column3]]),Table1[[#This Row],[Column3]],Table1[[#This Row],[Column3]]="NEW",Table1[[#This Row],[Column3]]),"")</f>
        <v/>
      </c>
      <c r="H239" s="15" cm="1">
        <f t="array" ref="H239">_xlfn.IFS(Table1[[#This Row],[Column4]]="NEW",AVERAGEIFS(Table1[Column4],Table1[Year],Table1[[#This Row],[Year]]),ISNUMBER(Table1[[#This Row],[Column4]]),Table1[[#This Row],[Column4]],Table1[[#This Row],[Column4]]="",H238*(1+Table1[[#This Row],[Ávöxtun]]))</f>
        <v>172.92777892398146</v>
      </c>
      <c r="I239" cm="1">
        <f t="array" ref="I239">_xlfn.IFS(Table1[[#This Row],[Column4]]="NEW",_xlfn.XLOOKUP(Table1[[#This Row],[Year]],$N$2:$N$27,$P$2:$P$27),ISNUMBER(Table1[[#This Row],[Column4]]),Table1[[#This Row],[Column4]],Table1[[#This Row],[Column4]]="",I238*(1+Table1[[#This Row],[Ávöxtun]]))</f>
        <v>177.31145872045369</v>
      </c>
      <c r="L239" s="33">
        <v>172.92777892398146</v>
      </c>
      <c r="M239" s="33">
        <v>190.97624334599351</v>
      </c>
    </row>
    <row r="240" spans="1:13">
      <c r="A240" t="s">
        <v>136</v>
      </c>
      <c r="B240">
        <v>2020</v>
      </c>
      <c r="C240" s="16">
        <v>8.5900000000000004E-2</v>
      </c>
      <c r="D240" s="1">
        <v>26365091.859999999</v>
      </c>
      <c r="E240" s="29">
        <f>Table1[[#This Row],[Ávöxtun]]*Table1[[#This Row],[Eignir]]/SUMIFS(Table1[Eignir],Table1[Year],Table1[[#This Row],[Year]])</f>
        <v>4.4090553826434294E-4</v>
      </c>
      <c r="F240" s="23" t="e">
        <f>IF(B240=1997, 100, IF(COUNTIF(A$1:A239,A240)=0, "NEW", F239*(1+Table1[[#This Row],[Ávöxtun]])))</f>
        <v>#VALUE!</v>
      </c>
      <c r="G240" s="18" t="str" cm="1">
        <f t="array" ref="G240">IFERROR(_xlfn.IFS(ISNUMBER(Table1[[#This Row],[Column3]]),Table1[[#This Row],[Column3]],Table1[[#This Row],[Column3]]="NEW",Table1[[#This Row],[Column3]]),"")</f>
        <v/>
      </c>
      <c r="H240" s="15" cm="1">
        <f t="array" ref="H240">_xlfn.IFS(Table1[[#This Row],[Column4]]="NEW",AVERAGEIFS(Table1[Column4],Table1[Year],Table1[[#This Row],[Year]]),ISNUMBER(Table1[[#This Row],[Column4]]),Table1[[#This Row],[Column4]],Table1[[#This Row],[Column4]]="",H239*(1+Table1[[#This Row],[Ávöxtun]]))</f>
        <v>187.78227513355148</v>
      </c>
      <c r="I240" cm="1">
        <f t="array" ref="I240">_xlfn.IFS(Table1[[#This Row],[Column4]]="NEW",_xlfn.XLOOKUP(Table1[[#This Row],[Year]],$N$2:$N$27,$P$2:$P$27),ISNUMBER(Table1[[#This Row],[Column4]]),Table1[[#This Row],[Column4]],Table1[[#This Row],[Column4]]="",I239*(1+Table1[[#This Row],[Ávöxtun]]))</f>
        <v>192.54251302454068</v>
      </c>
      <c r="L240" s="33">
        <v>187.78227513355148</v>
      </c>
      <c r="M240" s="33">
        <v>207.38110264941437</v>
      </c>
    </row>
    <row r="241" spans="1:13">
      <c r="A241" t="s">
        <v>136</v>
      </c>
      <c r="B241">
        <v>2021</v>
      </c>
      <c r="C241" s="16">
        <v>7.6999999999999999E-2</v>
      </c>
      <c r="D241" s="1">
        <v>32258649.73</v>
      </c>
      <c r="E241" s="29">
        <f>Table1[[#This Row],[Ávöxtun]]*Table1[[#This Row],[Eignir]]/SUMIFS(Table1[Eignir],Table1[Year],Table1[[#This Row],[Year]])</f>
        <v>4.1127854369745165E-4</v>
      </c>
      <c r="F241" s="23" t="e">
        <f>IF(B241=1997, 100, IF(COUNTIF(A$1:A240,A241)=0, "NEW", F240*(1+Table1[[#This Row],[Ávöxtun]])))</f>
        <v>#VALUE!</v>
      </c>
      <c r="G241" s="18" t="str" cm="1">
        <f t="array" ref="G241">IFERROR(_xlfn.IFS(ISNUMBER(Table1[[#This Row],[Column3]]),Table1[[#This Row],[Column3]],Table1[[#This Row],[Column3]]="NEW",Table1[[#This Row],[Column3]]),"")</f>
        <v/>
      </c>
      <c r="H241" s="15" cm="1">
        <f t="array" ref="H241">_xlfn.IFS(Table1[[#This Row],[Column4]]="NEW",AVERAGEIFS(Table1[Column4],Table1[Year],Table1[[#This Row],[Year]]),ISNUMBER(Table1[[#This Row],[Column4]]),Table1[[#This Row],[Column4]],Table1[[#This Row],[Column4]]="",H240*(1+Table1[[#This Row],[Ávöxtun]]))</f>
        <v>202.24151031883494</v>
      </c>
      <c r="I241" cm="1">
        <f t="array" ref="I241">_xlfn.IFS(Table1[[#This Row],[Column4]]="NEW",_xlfn.XLOOKUP(Table1[[#This Row],[Year]],$N$2:$N$27,$P$2:$P$27),ISNUMBER(Table1[[#This Row],[Column4]]),Table1[[#This Row],[Column4]],Table1[[#This Row],[Column4]]="",I240*(1+Table1[[#This Row],[Ávöxtun]]))</f>
        <v>207.36828652743031</v>
      </c>
      <c r="L241" s="33">
        <v>202.24151031883494</v>
      </c>
      <c r="M241" s="33">
        <v>223.34944755341928</v>
      </c>
    </row>
    <row r="242" spans="1:13">
      <c r="A242" t="s">
        <v>73</v>
      </c>
      <c r="B242">
        <v>2007</v>
      </c>
      <c r="C242" s="16">
        <v>3.1000000000000003E-2</v>
      </c>
      <c r="D242" s="1">
        <v>10148626</v>
      </c>
      <c r="E242" s="29">
        <f>Table1[[#This Row],[Ávöxtun]]*Table1[[#This Row],[Eignir]]/SUMIFS(Table1[Eignir],Table1[Year],Table1[[#This Row],[Year]])</f>
        <v>2.0344398463385347E-4</v>
      </c>
      <c r="F242" s="23" t="str">
        <f>IF(B242=1997, 100, IF(COUNTIF(A$1:A241,A242)=0, "NEW", F241*(1+Table1[[#This Row],[Ávöxtun]])))</f>
        <v>NEW</v>
      </c>
      <c r="G242" s="18" t="str" cm="1">
        <f t="array" ref="G242">IFERROR(_xlfn.IFS(ISNUMBER(Table1[[#This Row],[Column3]]),Table1[[#This Row],[Column3]],Table1[[#This Row],[Column3]]="NEW",Table1[[#This Row],[Column3]]),"")</f>
        <v>NEW</v>
      </c>
      <c r="H242" s="15" cm="1">
        <f t="array" ref="H242">_xlfn.IFS(Table1[[#This Row],[Column4]]="NEW",AVERAGEIFS(Table1[Column4],Table1[Year],Table1[[#This Row],[Year]]),ISNUMBER(Table1[[#This Row],[Column4]]),Table1[[#This Row],[Column4]],Table1[[#This Row],[Column4]]="",H241*(1+Table1[[#This Row],[Ávöxtun]]))</f>
        <v>178.53851178563048</v>
      </c>
      <c r="I242" cm="1">
        <f t="array" ref="I242">_xlfn.IFS(Table1[[#This Row],[Column4]]="NEW",_xlfn.XLOOKUP(Table1[[#This Row],[Year]],$N$2:$N$27,$P$2:$P$27),ISNUMBER(Table1[[#This Row],[Column4]]),Table1[[#This Row],[Column4]],Table1[[#This Row],[Column4]]="",I241*(1+Table1[[#This Row],[Ávöxtun]]))</f>
        <v>205.00759198272704</v>
      </c>
      <c r="L242" s="33">
        <v>178.53851178563048</v>
      </c>
      <c r="M242" s="33">
        <v>220.80682239490886</v>
      </c>
    </row>
    <row r="243" spans="1:13">
      <c r="A243" t="s">
        <v>73</v>
      </c>
      <c r="B243">
        <v>2008</v>
      </c>
      <c r="C243" s="16">
        <v>-0.2772</v>
      </c>
      <c r="D243" s="1">
        <v>8077065</v>
      </c>
      <c r="E243" s="29">
        <f>Table1[[#This Row],[Ávöxtun]]*Table1[[#This Row],[Eignir]]/SUMIFS(Table1[Eignir],Table1[Year],Table1[[#This Row],[Year]])</f>
        <v>-1.4953153335102514E-3</v>
      </c>
      <c r="F243" s="23" t="e">
        <f>IF(B243=1997, 100, IF(COUNTIF(A$1:A242,A243)=0, "NEW", F242*(1+Table1[[#This Row],[Ávöxtun]])))</f>
        <v>#VALUE!</v>
      </c>
      <c r="G243" s="18" t="str" cm="1">
        <f t="array" ref="G243">IFERROR(_xlfn.IFS(ISNUMBER(Table1[[#This Row],[Column3]]),Table1[[#This Row],[Column3]],Table1[[#This Row],[Column3]]="NEW",Table1[[#This Row],[Column3]]),"")</f>
        <v/>
      </c>
      <c r="H243" s="15" cm="1">
        <f t="array" ref="H243">_xlfn.IFS(Table1[[#This Row],[Column4]]="NEW",AVERAGEIFS(Table1[Column4],Table1[Year],Table1[[#This Row],[Year]]),ISNUMBER(Table1[[#This Row],[Column4]]),Table1[[#This Row],[Column4]],Table1[[#This Row],[Column4]]="",H242*(1+Table1[[#This Row],[Ávöxtun]]))</f>
        <v>129.0476363186537</v>
      </c>
      <c r="I243" cm="1">
        <f t="array" ref="I243">_xlfn.IFS(Table1[[#This Row],[Column4]]="NEW",_xlfn.XLOOKUP(Table1[[#This Row],[Year]],$N$2:$N$27,$P$2:$P$27),ISNUMBER(Table1[[#This Row],[Column4]]),Table1[[#This Row],[Column4]],Table1[[#This Row],[Column4]]="",I242*(1+Table1[[#This Row],[Ávöxtun]]))</f>
        <v>148.17948748511509</v>
      </c>
      <c r="L243" s="33">
        <v>129.0476363186537</v>
      </c>
      <c r="M243" s="33">
        <v>159.59917122704013</v>
      </c>
    </row>
    <row r="244" spans="1:13">
      <c r="A244" t="s">
        <v>73</v>
      </c>
      <c r="B244">
        <v>2009</v>
      </c>
      <c r="C244" s="16">
        <v>-8.1000000000000013E-3</v>
      </c>
      <c r="D244" s="1">
        <v>8053248</v>
      </c>
      <c r="E244" s="29">
        <f>Table1[[#This Row],[Ávöxtun]]*Table1[[#This Row],[Eignir]]/SUMIFS(Table1[Eignir],Table1[Year],Table1[[#This Row],[Year]])</f>
        <v>-3.9101442846840786E-5</v>
      </c>
      <c r="F244" s="23" t="e">
        <f>IF(B244=1997, 100, IF(COUNTIF(A$1:A243,A244)=0, "NEW", F243*(1+Table1[[#This Row],[Ávöxtun]])))</f>
        <v>#VALUE!</v>
      </c>
      <c r="G244" s="18" t="str" cm="1">
        <f t="array" ref="G244">IFERROR(_xlfn.IFS(ISNUMBER(Table1[[#This Row],[Column3]]),Table1[[#This Row],[Column3]],Table1[[#This Row],[Column3]]="NEW",Table1[[#This Row],[Column3]]),"")</f>
        <v/>
      </c>
      <c r="H244" s="15" cm="1">
        <f t="array" ref="H244">_xlfn.IFS(Table1[[#This Row],[Column4]]="NEW",AVERAGEIFS(Table1[Column4],Table1[Year],Table1[[#This Row],[Year]]),ISNUMBER(Table1[[#This Row],[Column4]]),Table1[[#This Row],[Column4]],Table1[[#This Row],[Column4]]="",H243*(1+Table1[[#This Row],[Ávöxtun]]))</f>
        <v>128.00235046447261</v>
      </c>
      <c r="I244" cm="1">
        <f t="array" ref="I244">_xlfn.IFS(Table1[[#This Row],[Column4]]="NEW",_xlfn.XLOOKUP(Table1[[#This Row],[Year]],$N$2:$N$27,$P$2:$P$27),ISNUMBER(Table1[[#This Row],[Column4]]),Table1[[#This Row],[Column4]],Table1[[#This Row],[Column4]]="",I243*(1+Table1[[#This Row],[Ávöxtun]]))</f>
        <v>146.97923363648565</v>
      </c>
      <c r="L244" s="33">
        <v>128.00235046447261</v>
      </c>
      <c r="M244" s="33">
        <v>158.30641794010111</v>
      </c>
    </row>
    <row r="245" spans="1:13">
      <c r="A245" t="s">
        <v>73</v>
      </c>
      <c r="B245">
        <v>2010</v>
      </c>
      <c r="C245" s="16">
        <v>0.04</v>
      </c>
      <c r="D245" s="1">
        <v>8089047</v>
      </c>
      <c r="E245" s="29">
        <f>Table1[[#This Row],[Ávöxtun]]*Table1[[#This Row],[Eignir]]/SUMIFS(Table1[Eignir],Table1[Year],Table1[[#This Row],[Year]])</f>
        <v>1.8098462502200746E-4</v>
      </c>
      <c r="F245" s="23" t="e">
        <f>IF(B245=1997, 100, IF(COUNTIF(A$1:A244,A245)=0, "NEW", F244*(1+Table1[[#This Row],[Ávöxtun]])))</f>
        <v>#VALUE!</v>
      </c>
      <c r="G245" s="18" t="str" cm="1">
        <f t="array" ref="G245">IFERROR(_xlfn.IFS(ISNUMBER(Table1[[#This Row],[Column3]]),Table1[[#This Row],[Column3]],Table1[[#This Row],[Column3]]="NEW",Table1[[#This Row],[Column3]]),"")</f>
        <v/>
      </c>
      <c r="H245" s="15" cm="1">
        <f t="array" ref="H245">_xlfn.IFS(Table1[[#This Row],[Column4]]="NEW",AVERAGEIFS(Table1[Column4],Table1[Year],Table1[[#This Row],[Year]]),ISNUMBER(Table1[[#This Row],[Column4]]),Table1[[#This Row],[Column4]],Table1[[#This Row],[Column4]]="",H244*(1+Table1[[#This Row],[Ávöxtun]]))</f>
        <v>133.12244448305151</v>
      </c>
      <c r="I245" cm="1">
        <f t="array" ref="I245">_xlfn.IFS(Table1[[#This Row],[Column4]]="NEW",_xlfn.XLOOKUP(Table1[[#This Row],[Year]],$N$2:$N$27,$P$2:$P$27),ISNUMBER(Table1[[#This Row],[Column4]]),Table1[[#This Row],[Column4]],Table1[[#This Row],[Column4]]="",I244*(1+Table1[[#This Row],[Ávöxtun]]))</f>
        <v>152.85840298194509</v>
      </c>
      <c r="L245" s="33">
        <v>133.12244448305151</v>
      </c>
      <c r="M245" s="33">
        <v>164.63867465770517</v>
      </c>
    </row>
    <row r="246" spans="1:13">
      <c r="A246" t="s">
        <v>73</v>
      </c>
      <c r="B246">
        <v>2011</v>
      </c>
      <c r="C246" s="16">
        <v>0.04</v>
      </c>
      <c r="D246" s="1">
        <v>8352348</v>
      </c>
      <c r="E246" s="29">
        <f>Table1[[#This Row],[Ávöxtun]]*Table1[[#This Row],[Eignir]]/SUMIFS(Table1[Eignir],Table1[Year],Table1[[#This Row],[Year]])</f>
        <v>1.7128112902380441E-4</v>
      </c>
      <c r="F246" s="23" t="e">
        <f>IF(B246=1997, 100, IF(COUNTIF(A$1:A245,A246)=0, "NEW", F245*(1+Table1[[#This Row],[Ávöxtun]])))</f>
        <v>#VALUE!</v>
      </c>
      <c r="G246" s="18" t="str" cm="1">
        <f t="array" ref="G246">IFERROR(_xlfn.IFS(ISNUMBER(Table1[[#This Row],[Column3]]),Table1[[#This Row],[Column3]],Table1[[#This Row],[Column3]]="NEW",Table1[[#This Row],[Column3]]),"")</f>
        <v/>
      </c>
      <c r="H246" s="15" cm="1">
        <f t="array" ref="H246">_xlfn.IFS(Table1[[#This Row],[Column4]]="NEW",AVERAGEIFS(Table1[Column4],Table1[Year],Table1[[#This Row],[Year]]),ISNUMBER(Table1[[#This Row],[Column4]]),Table1[[#This Row],[Column4]],Table1[[#This Row],[Column4]]="",H245*(1+Table1[[#This Row],[Ávöxtun]]))</f>
        <v>138.44734226237358</v>
      </c>
      <c r="I246" cm="1">
        <f t="array" ref="I246">_xlfn.IFS(Table1[[#This Row],[Column4]]="NEW",_xlfn.XLOOKUP(Table1[[#This Row],[Year]],$N$2:$N$27,$P$2:$P$27),ISNUMBER(Table1[[#This Row],[Column4]]),Table1[[#This Row],[Column4]],Table1[[#This Row],[Column4]]="",I245*(1+Table1[[#This Row],[Ávöxtun]]))</f>
        <v>158.97273910122291</v>
      </c>
      <c r="L246" s="33">
        <v>138.44734226237358</v>
      </c>
      <c r="M246" s="33">
        <v>171.22422164401337</v>
      </c>
    </row>
    <row r="247" spans="1:13">
      <c r="A247" t="s">
        <v>77</v>
      </c>
      <c r="B247">
        <v>1997</v>
      </c>
      <c r="C247" s="16">
        <v>0.08</v>
      </c>
      <c r="D247" s="1">
        <v>7673160.8099999996</v>
      </c>
      <c r="E247" s="29">
        <f>Table1[[#This Row],[Ávöxtun]]*Table1[[#This Row],[Eignir]]/SUMIFS(Table1[Eignir],Table1[Year],Table1[[#This Row],[Year]])</f>
        <v>1.8106400598343938E-3</v>
      </c>
      <c r="F247" s="23">
        <f>IF(B247=1997, 100, IF(COUNTIF(A$1:A246,A247)=0, "NEW", F246*(1+Table1[[#This Row],[Ávöxtun]])))</f>
        <v>100</v>
      </c>
      <c r="G247" s="18" cm="1">
        <f t="array" ref="G247">IFERROR(_xlfn.IFS(ISNUMBER(Table1[[#This Row],[Column3]]),Table1[[#This Row],[Column3]],Table1[[#This Row],[Column3]]="NEW",Table1[[#This Row],[Column3]]),"")</f>
        <v>100</v>
      </c>
      <c r="H247" s="15" cm="1">
        <f t="array" ref="H247">_xlfn.IFS(Table1[[#This Row],[Column4]]="NEW",AVERAGEIFS(Table1[Column4],Table1[Year],Table1[[#This Row],[Year]]),ISNUMBER(Table1[[#This Row],[Column4]]),Table1[[#This Row],[Column4]],Table1[[#This Row],[Column4]]="",H246*(1+Table1[[#This Row],[Ávöxtun]]))</f>
        <v>100</v>
      </c>
      <c r="I247" cm="1">
        <f t="array" ref="I247">_xlfn.IFS(Table1[[#This Row],[Column4]]="NEW",_xlfn.XLOOKUP(Table1[[#This Row],[Year]],$N$2:$N$27,$P$2:$P$27),ISNUMBER(Table1[[#This Row],[Column4]]),Table1[[#This Row],[Column4]],Table1[[#This Row],[Column4]]="",I246*(1+Table1[[#This Row],[Ávöxtun]]))</f>
        <v>100</v>
      </c>
      <c r="L247" s="33">
        <v>100</v>
      </c>
      <c r="M247" s="33">
        <v>100</v>
      </c>
    </row>
    <row r="248" spans="1:13">
      <c r="A248" t="s">
        <v>77</v>
      </c>
      <c r="B248">
        <v>1998</v>
      </c>
      <c r="C248" s="16">
        <v>0.08</v>
      </c>
      <c r="D248" s="1">
        <v>8942160.8100000005</v>
      </c>
      <c r="E248" s="29">
        <f>Table1[[#This Row],[Ávöxtun]]*Table1[[#This Row],[Eignir]]/SUMIFS(Table1[Eignir],Table1[Year],Table1[[#This Row],[Year]])</f>
        <v>1.8266320111814387E-3</v>
      </c>
      <c r="F248" s="23">
        <f>IF(B248=1997, 100, IF(COUNTIF(A$1:A247,A248)=0, "NEW", F247*(1+Table1[[#This Row],[Ávöxtun]])))</f>
        <v>108</v>
      </c>
      <c r="G248" s="18" cm="1">
        <f t="array" ref="G248">IFERROR(_xlfn.IFS(ISNUMBER(Table1[[#This Row],[Column3]]),Table1[[#This Row],[Column3]],Table1[[#This Row],[Column3]]="NEW",Table1[[#This Row],[Column3]]),"")</f>
        <v>108</v>
      </c>
      <c r="H248" s="15" cm="1">
        <f t="array" ref="H248">_xlfn.IFS(Table1[[#This Row],[Column4]]="NEW",AVERAGEIFS(Table1[Column4],Table1[Year],Table1[[#This Row],[Year]]),ISNUMBER(Table1[[#This Row],[Column4]]),Table1[[#This Row],[Column4]],Table1[[#This Row],[Column4]]="",H247*(1+Table1[[#This Row],[Ávöxtun]]))</f>
        <v>108</v>
      </c>
      <c r="I248" cm="1">
        <f t="array" ref="I248">_xlfn.IFS(Table1[[#This Row],[Column4]]="NEW",_xlfn.XLOOKUP(Table1[[#This Row],[Year]],$N$2:$N$27,$P$2:$P$27),ISNUMBER(Table1[[#This Row],[Column4]]),Table1[[#This Row],[Column4]],Table1[[#This Row],[Column4]]="",I247*(1+Table1[[#This Row],[Ávöxtun]]))</f>
        <v>108</v>
      </c>
      <c r="L248" s="33">
        <v>108</v>
      </c>
      <c r="M248" s="33">
        <v>108</v>
      </c>
    </row>
    <row r="249" spans="1:13">
      <c r="A249" t="s">
        <v>77</v>
      </c>
      <c r="B249">
        <v>1999</v>
      </c>
      <c r="C249" s="16">
        <v>0.16</v>
      </c>
      <c r="D249" s="1">
        <v>11388315.029999999</v>
      </c>
      <c r="E249" s="29">
        <f>Table1[[#This Row],[Ávöxtun]]*Table1[[#This Row],[Eignir]]/SUMIFS(Table1[Eignir],Table1[Year],Table1[[#This Row],[Year]])</f>
        <v>3.4992740824330852E-3</v>
      </c>
      <c r="F249" s="23">
        <f>IF(B249=1997, 100, IF(COUNTIF(A$1:A248,A249)=0, "NEW", F248*(1+Table1[[#This Row],[Ávöxtun]])))</f>
        <v>125.27999999999999</v>
      </c>
      <c r="G249" s="18" cm="1">
        <f t="array" ref="G249">IFERROR(_xlfn.IFS(ISNUMBER(Table1[[#This Row],[Column3]]),Table1[[#This Row],[Column3]],Table1[[#This Row],[Column3]]="NEW",Table1[[#This Row],[Column3]]),"")</f>
        <v>125.27999999999999</v>
      </c>
      <c r="H249" s="15" cm="1">
        <f t="array" ref="H249">_xlfn.IFS(Table1[[#This Row],[Column4]]="NEW",AVERAGEIFS(Table1[Column4],Table1[Year],Table1[[#This Row],[Year]]),ISNUMBER(Table1[[#This Row],[Column4]]),Table1[[#This Row],[Column4]],Table1[[#This Row],[Column4]]="",H248*(1+Table1[[#This Row],[Ávöxtun]]))</f>
        <v>125.27999999999999</v>
      </c>
      <c r="I249" cm="1">
        <f t="array" ref="I249">_xlfn.IFS(Table1[[#This Row],[Column4]]="NEW",_xlfn.XLOOKUP(Table1[[#This Row],[Year]],$N$2:$N$27,$P$2:$P$27),ISNUMBER(Table1[[#This Row],[Column4]]),Table1[[#This Row],[Column4]],Table1[[#This Row],[Column4]]="",I248*(1+Table1[[#This Row],[Ávöxtun]]))</f>
        <v>125.27999999999999</v>
      </c>
      <c r="L249" s="33">
        <v>125.27999999999999</v>
      </c>
      <c r="M249" s="33">
        <v>125.27999999999999</v>
      </c>
    </row>
    <row r="250" spans="1:13">
      <c r="A250" t="s">
        <v>77</v>
      </c>
      <c r="B250">
        <v>2000</v>
      </c>
      <c r="C250" s="16">
        <v>-0.04</v>
      </c>
      <c r="D250" s="1">
        <v>11743787</v>
      </c>
      <c r="E250" s="29">
        <f>Table1[[#This Row],[Ávöxtun]]*Table1[[#This Row],[Eignir]]/SUMIFS(Table1[Eignir],Table1[Year],Table1[[#This Row],[Year]])</f>
        <v>-6.6079375299767009E-4</v>
      </c>
      <c r="F250" s="23">
        <f>IF(B250=1997, 100, IF(COUNTIF(A$1:A249,A250)=0, "NEW", F249*(1+Table1[[#This Row],[Ávöxtun]])))</f>
        <v>120.26879999999998</v>
      </c>
      <c r="G250" s="18" cm="1">
        <f t="array" ref="G250">IFERROR(_xlfn.IFS(ISNUMBER(Table1[[#This Row],[Column3]]),Table1[[#This Row],[Column3]],Table1[[#This Row],[Column3]]="NEW",Table1[[#This Row],[Column3]]),"")</f>
        <v>120.26879999999998</v>
      </c>
      <c r="H250" s="15" cm="1">
        <f t="array" ref="H250">_xlfn.IFS(Table1[[#This Row],[Column4]]="NEW",AVERAGEIFS(Table1[Column4],Table1[Year],Table1[[#This Row],[Year]]),ISNUMBER(Table1[[#This Row],[Column4]]),Table1[[#This Row],[Column4]],Table1[[#This Row],[Column4]]="",H249*(1+Table1[[#This Row],[Ávöxtun]]))</f>
        <v>120.26879999999998</v>
      </c>
      <c r="I250" cm="1">
        <f t="array" ref="I250">_xlfn.IFS(Table1[[#This Row],[Column4]]="NEW",_xlfn.XLOOKUP(Table1[[#This Row],[Year]],$N$2:$N$27,$P$2:$P$27),ISNUMBER(Table1[[#This Row],[Column4]]),Table1[[#This Row],[Column4]],Table1[[#This Row],[Column4]]="",I249*(1+Table1[[#This Row],[Ávöxtun]]))</f>
        <v>120.26879999999998</v>
      </c>
      <c r="L250" s="33">
        <v>120.26879999999998</v>
      </c>
      <c r="M250" s="33">
        <v>120.26879999999998</v>
      </c>
    </row>
    <row r="251" spans="1:13">
      <c r="A251" t="s">
        <v>77</v>
      </c>
      <c r="B251">
        <v>2001</v>
      </c>
      <c r="C251" s="16">
        <v>-0.03</v>
      </c>
      <c r="D251" s="1">
        <v>12836744</v>
      </c>
      <c r="E251" s="29">
        <f>Table1[[#This Row],[Ávöxtun]]*Table1[[#This Row],[Eignir]]/SUMIFS(Table1[Eignir],Table1[Year],Table1[[#This Row],[Year]])</f>
        <v>-3.3258233924201636E-4</v>
      </c>
      <c r="F251" s="23">
        <f>IF(B251=1997, 100, IF(COUNTIF(A$1:A250,A251)=0, "NEW", F250*(1+Table1[[#This Row],[Ávöxtun]])))</f>
        <v>116.66073599999999</v>
      </c>
      <c r="G251" s="18" cm="1">
        <f t="array" ref="G251">IFERROR(_xlfn.IFS(ISNUMBER(Table1[[#This Row],[Column3]]),Table1[[#This Row],[Column3]],Table1[[#This Row],[Column3]]="NEW",Table1[[#This Row],[Column3]]),"")</f>
        <v>116.66073599999999</v>
      </c>
      <c r="H251" s="15" cm="1">
        <f t="array" ref="H251">_xlfn.IFS(Table1[[#This Row],[Column4]]="NEW",AVERAGEIFS(Table1[Column4],Table1[Year],Table1[[#This Row],[Year]]),ISNUMBER(Table1[[#This Row],[Column4]]),Table1[[#This Row],[Column4]],Table1[[#This Row],[Column4]]="",H250*(1+Table1[[#This Row],[Ávöxtun]]))</f>
        <v>116.66073599999999</v>
      </c>
      <c r="I251" cm="1">
        <f t="array" ref="I251">_xlfn.IFS(Table1[[#This Row],[Column4]]="NEW",_xlfn.XLOOKUP(Table1[[#This Row],[Year]],$N$2:$N$27,$P$2:$P$27),ISNUMBER(Table1[[#This Row],[Column4]]),Table1[[#This Row],[Column4]],Table1[[#This Row],[Column4]]="",I250*(1+Table1[[#This Row],[Ávöxtun]]))</f>
        <v>116.66073599999999</v>
      </c>
      <c r="L251" s="33">
        <v>116.66073599999999</v>
      </c>
      <c r="M251" s="33">
        <v>116.66073599999999</v>
      </c>
    </row>
    <row r="252" spans="1:13">
      <c r="A252" t="s">
        <v>77</v>
      </c>
      <c r="B252">
        <v>2002</v>
      </c>
      <c r="C252" s="16">
        <v>-0.04</v>
      </c>
      <c r="D252" s="1">
        <v>13029503.6</v>
      </c>
      <c r="E252" s="29">
        <f>Table1[[#This Row],[Ávöxtun]]*Table1[[#This Row],[Eignir]]/SUMIFS(Table1[Eignir],Table1[Year],Table1[[#This Row],[Year]])</f>
        <v>-8.2054401152567395E-4</v>
      </c>
      <c r="F252" s="23">
        <f>IF(B252=1997, 100, IF(COUNTIF(A$1:A251,A252)=0, "NEW", F251*(1+Table1[[#This Row],[Ávöxtun]])))</f>
        <v>111.99430655999998</v>
      </c>
      <c r="G252" s="18" cm="1">
        <f t="array" ref="G252">IFERROR(_xlfn.IFS(ISNUMBER(Table1[[#This Row],[Column3]]),Table1[[#This Row],[Column3]],Table1[[#This Row],[Column3]]="NEW",Table1[[#This Row],[Column3]]),"")</f>
        <v>111.99430655999998</v>
      </c>
      <c r="H252" s="15" cm="1">
        <f t="array" ref="H252">_xlfn.IFS(Table1[[#This Row],[Column4]]="NEW",AVERAGEIFS(Table1[Column4],Table1[Year],Table1[[#This Row],[Year]]),ISNUMBER(Table1[[#This Row],[Column4]]),Table1[[#This Row],[Column4]],Table1[[#This Row],[Column4]]="",H251*(1+Table1[[#This Row],[Ávöxtun]]))</f>
        <v>111.99430655999998</v>
      </c>
      <c r="I252" cm="1">
        <f t="array" ref="I252">_xlfn.IFS(Table1[[#This Row],[Column4]]="NEW",_xlfn.XLOOKUP(Table1[[#This Row],[Year]],$N$2:$N$27,$P$2:$P$27),ISNUMBER(Table1[[#This Row],[Column4]]),Table1[[#This Row],[Column4]],Table1[[#This Row],[Column4]]="",I251*(1+Table1[[#This Row],[Ávöxtun]]))</f>
        <v>111.99430655999998</v>
      </c>
      <c r="L252" s="33">
        <v>111.99430655999998</v>
      </c>
      <c r="M252" s="33">
        <v>111.99430655999998</v>
      </c>
    </row>
    <row r="253" spans="1:13">
      <c r="A253" t="s">
        <v>77</v>
      </c>
      <c r="B253">
        <v>2003</v>
      </c>
      <c r="C253" s="16">
        <v>0.13</v>
      </c>
      <c r="D253" s="1">
        <v>15566304</v>
      </c>
      <c r="E253" s="29">
        <f>Table1[[#This Row],[Ávöxtun]]*Table1[[#This Row],[Eignir]]/SUMIFS(Table1[Eignir],Table1[Year],Table1[[#This Row],[Year]])</f>
        <v>2.6630378152212066E-3</v>
      </c>
      <c r="F253" s="23">
        <f>IF(B253=1997, 100, IF(COUNTIF(A$1:A252,A253)=0, "NEW", F252*(1+Table1[[#This Row],[Ávöxtun]])))</f>
        <v>126.55356641279997</v>
      </c>
      <c r="G253" s="18" cm="1">
        <f t="array" ref="G253">IFERROR(_xlfn.IFS(ISNUMBER(Table1[[#This Row],[Column3]]),Table1[[#This Row],[Column3]],Table1[[#This Row],[Column3]]="NEW",Table1[[#This Row],[Column3]]),"")</f>
        <v>126.55356641279997</v>
      </c>
      <c r="H253" s="15" cm="1">
        <f t="array" ref="H253">_xlfn.IFS(Table1[[#This Row],[Column4]]="NEW",AVERAGEIFS(Table1[Column4],Table1[Year],Table1[[#This Row],[Year]]),ISNUMBER(Table1[[#This Row],[Column4]]),Table1[[#This Row],[Column4]],Table1[[#This Row],[Column4]]="",H252*(1+Table1[[#This Row],[Ávöxtun]]))</f>
        <v>126.55356641279997</v>
      </c>
      <c r="I253" cm="1">
        <f t="array" ref="I253">_xlfn.IFS(Table1[[#This Row],[Column4]]="NEW",_xlfn.XLOOKUP(Table1[[#This Row],[Year]],$N$2:$N$27,$P$2:$P$27),ISNUMBER(Table1[[#This Row],[Column4]]),Table1[[#This Row],[Column4]],Table1[[#This Row],[Column4]]="",I252*(1+Table1[[#This Row],[Ávöxtun]]))</f>
        <v>126.55356641279997</v>
      </c>
      <c r="L253" s="33">
        <v>126.55356641279997</v>
      </c>
      <c r="M253" s="33">
        <v>126.55356641279997</v>
      </c>
    </row>
    <row r="254" spans="1:13">
      <c r="A254" t="s">
        <v>77</v>
      </c>
      <c r="B254">
        <v>2004</v>
      </c>
      <c r="C254" s="16">
        <v>0.12</v>
      </c>
      <c r="D254" s="1">
        <v>18636197</v>
      </c>
      <c r="E254" s="29">
        <f>Table1[[#This Row],[Ávöxtun]]*Table1[[#This Row],[Eignir]]/SUMIFS(Table1[Eignir],Table1[Year],Table1[[#This Row],[Year]])</f>
        <v>2.4638278148453856E-3</v>
      </c>
      <c r="F254" s="23">
        <f>IF(B254=1997, 100, IF(COUNTIF(A$1:A253,A254)=0, "NEW", F253*(1+Table1[[#This Row],[Ávöxtun]])))</f>
        <v>141.73999438233596</v>
      </c>
      <c r="G254" s="18" cm="1">
        <f t="array" ref="G254">IFERROR(_xlfn.IFS(ISNUMBER(Table1[[#This Row],[Column3]]),Table1[[#This Row],[Column3]],Table1[[#This Row],[Column3]]="NEW",Table1[[#This Row],[Column3]]),"")</f>
        <v>141.73999438233596</v>
      </c>
      <c r="H254" s="15" cm="1">
        <f t="array" ref="H254">_xlfn.IFS(Table1[[#This Row],[Column4]]="NEW",AVERAGEIFS(Table1[Column4],Table1[Year],Table1[[#This Row],[Year]]),ISNUMBER(Table1[[#This Row],[Column4]]),Table1[[#This Row],[Column4]],Table1[[#This Row],[Column4]]="",H253*(1+Table1[[#This Row],[Ávöxtun]]))</f>
        <v>141.73999438233596</v>
      </c>
      <c r="I254" cm="1">
        <f t="array" ref="I254">_xlfn.IFS(Table1[[#This Row],[Column4]]="NEW",_xlfn.XLOOKUP(Table1[[#This Row],[Year]],$N$2:$N$27,$P$2:$P$27),ISNUMBER(Table1[[#This Row],[Column4]]),Table1[[#This Row],[Column4]],Table1[[#This Row],[Column4]]="",I253*(1+Table1[[#This Row],[Ávöxtun]]))</f>
        <v>141.73999438233596</v>
      </c>
      <c r="L254" s="33">
        <v>141.73999438233596</v>
      </c>
      <c r="M254" s="33">
        <v>141.73999438233596</v>
      </c>
    </row>
    <row r="255" spans="1:13">
      <c r="A255" t="s">
        <v>77</v>
      </c>
      <c r="B255">
        <v>2005</v>
      </c>
      <c r="C255" s="16">
        <v>0.12</v>
      </c>
      <c r="D255" s="1">
        <v>22145651</v>
      </c>
      <c r="E255" s="29">
        <f>Table1[[#This Row],[Ávöxtun]]*Table1[[#This Row],[Eignir]]/SUMIFS(Table1[Eignir],Table1[Year],Table1[[#This Row],[Year]])</f>
        <v>2.3699176642624038E-3</v>
      </c>
      <c r="F255" s="23">
        <f>IF(B255=1997, 100, IF(COUNTIF(A$1:A254,A255)=0, "NEW", F254*(1+Table1[[#This Row],[Ávöxtun]])))</f>
        <v>158.74879370821628</v>
      </c>
      <c r="G255" s="18" cm="1">
        <f t="array" ref="G255">IFERROR(_xlfn.IFS(ISNUMBER(Table1[[#This Row],[Column3]]),Table1[[#This Row],[Column3]],Table1[[#This Row],[Column3]]="NEW",Table1[[#This Row],[Column3]]),"")</f>
        <v>158.74879370821628</v>
      </c>
      <c r="H255" s="15" cm="1">
        <f t="array" ref="H255">_xlfn.IFS(Table1[[#This Row],[Column4]]="NEW",AVERAGEIFS(Table1[Column4],Table1[Year],Table1[[#This Row],[Year]]),ISNUMBER(Table1[[#This Row],[Column4]]),Table1[[#This Row],[Column4]],Table1[[#This Row],[Column4]]="",H254*(1+Table1[[#This Row],[Ávöxtun]]))</f>
        <v>158.74879370821628</v>
      </c>
      <c r="I255" cm="1">
        <f t="array" ref="I255">_xlfn.IFS(Table1[[#This Row],[Column4]]="NEW",_xlfn.XLOOKUP(Table1[[#This Row],[Year]],$N$2:$N$27,$P$2:$P$27),ISNUMBER(Table1[[#This Row],[Column4]]),Table1[[#This Row],[Column4]],Table1[[#This Row],[Column4]]="",I254*(1+Table1[[#This Row],[Ávöxtun]]))</f>
        <v>158.74879370821628</v>
      </c>
      <c r="L255" s="33">
        <v>158.74879370821628</v>
      </c>
      <c r="M255" s="33">
        <v>158.74879370821628</v>
      </c>
    </row>
    <row r="256" spans="1:13">
      <c r="A256" t="s">
        <v>76</v>
      </c>
      <c r="B256">
        <v>1998</v>
      </c>
      <c r="C256" s="16">
        <v>7.0000000000000007E-2</v>
      </c>
      <c r="D256" s="1">
        <v>3921718.43</v>
      </c>
      <c r="E256" s="29">
        <f>Table1[[#This Row],[Ávöxtun]]*Table1[[#This Row],[Eignir]]/SUMIFS(Table1[Eignir],Table1[Year],Table1[[#This Row],[Year]])</f>
        <v>7.0095970128202574E-4</v>
      </c>
      <c r="F256" s="23" t="str">
        <f>IF(B256=1997, 100, IF(COUNTIF(A$1:A255,A256)=0, "NEW", F255*(1+Table1[[#This Row],[Ávöxtun]])))</f>
        <v>NEW</v>
      </c>
      <c r="G256" s="18" t="str" cm="1">
        <f t="array" ref="G256">IFERROR(_xlfn.IFS(ISNUMBER(Table1[[#This Row],[Column3]]),Table1[[#This Row],[Column3]],Table1[[#This Row],[Column3]]="NEW",Table1[[#This Row],[Column3]]),"")</f>
        <v>NEW</v>
      </c>
      <c r="H256" s="15" cm="1">
        <f t="array" ref="H256">_xlfn.IFS(Table1[[#This Row],[Column4]]="NEW",AVERAGEIFS(Table1[Column4],Table1[Year],Table1[[#This Row],[Year]]),ISNUMBER(Table1[[#This Row],[Column4]]),Table1[[#This Row],[Column4]],Table1[[#This Row],[Column4]]="",H255*(1+Table1[[#This Row],[Ávöxtun]]))</f>
        <v>106.70588235294117</v>
      </c>
      <c r="I256" cm="1">
        <f t="array" ref="I256">_xlfn.IFS(Table1[[#This Row],[Column4]]="NEW",_xlfn.XLOOKUP(Table1[[#This Row],[Year]],$N$2:$N$27,$P$2:$P$27),ISNUMBER(Table1[[#This Row],[Column4]]),Table1[[#This Row],[Column4]],Table1[[#This Row],[Column4]]="",I255*(1+Table1[[#This Row],[Ávöxtun]]))</f>
        <v>107.11186565673697</v>
      </c>
      <c r="L256" s="33">
        <v>106.70588235294117</v>
      </c>
      <c r="M256" s="33">
        <v>115.36660895196104</v>
      </c>
    </row>
    <row r="257" spans="1:13">
      <c r="A257" t="s">
        <v>76</v>
      </c>
      <c r="B257">
        <v>1999</v>
      </c>
      <c r="C257" s="16">
        <v>0.14000000000000001</v>
      </c>
      <c r="D257" s="1">
        <v>4937143.1900000004</v>
      </c>
      <c r="E257" s="29">
        <f>Table1[[#This Row],[Ávöxtun]]*Table1[[#This Row],[Eignir]]/SUMIFS(Table1[Eignir],Table1[Year],Table1[[#This Row],[Year]])</f>
        <v>1.3274013772408355E-3</v>
      </c>
      <c r="F257" s="23" t="e">
        <f>IF(B257=1997, 100, IF(COUNTIF(A$1:A256,A257)=0, "NEW", F256*(1+Table1[[#This Row],[Ávöxtun]])))</f>
        <v>#VALUE!</v>
      </c>
      <c r="G257" s="18" t="str" cm="1">
        <f t="array" ref="G257">IFERROR(_xlfn.IFS(ISNUMBER(Table1[[#This Row],[Column3]]),Table1[[#This Row],[Column3]],Table1[[#This Row],[Column3]]="NEW",Table1[[#This Row],[Column3]]),"")</f>
        <v/>
      </c>
      <c r="H257" s="15" cm="1">
        <f t="array" ref="H257">_xlfn.IFS(Table1[[#This Row],[Column4]]="NEW",AVERAGEIFS(Table1[Column4],Table1[Year],Table1[[#This Row],[Year]]),ISNUMBER(Table1[[#This Row],[Column4]]),Table1[[#This Row],[Column4]],Table1[[#This Row],[Column4]]="",H256*(1+Table1[[#This Row],[Ávöxtun]]))</f>
        <v>121.64470588235295</v>
      </c>
      <c r="I257" cm="1">
        <f t="array" ref="I257">_xlfn.IFS(Table1[[#This Row],[Column4]]="NEW",_xlfn.XLOOKUP(Table1[[#This Row],[Year]],$N$2:$N$27,$P$2:$P$27),ISNUMBER(Table1[[#This Row],[Column4]]),Table1[[#This Row],[Column4]],Table1[[#This Row],[Column4]]="",I256*(1+Table1[[#This Row],[Ávöxtun]]))</f>
        <v>122.10752684868015</v>
      </c>
      <c r="L257" s="33">
        <v>121.64470588235295</v>
      </c>
      <c r="M257" s="33">
        <v>131.5179342052356</v>
      </c>
    </row>
    <row r="258" spans="1:13">
      <c r="A258" t="s">
        <v>76</v>
      </c>
      <c r="B258">
        <v>2000</v>
      </c>
      <c r="C258" s="16">
        <v>-0.02</v>
      </c>
      <c r="D258" s="1">
        <v>5213181.3099999996</v>
      </c>
      <c r="E258" s="29">
        <f>Table1[[#This Row],[Ávöxtun]]*Table1[[#This Row],[Eignir]]/SUMIFS(Table1[Eignir],Table1[Year],Table1[[#This Row],[Year]])</f>
        <v>-1.466663880608619E-4</v>
      </c>
      <c r="F258" s="23" t="e">
        <f>IF(B258=1997, 100, IF(COUNTIF(A$1:A257,A258)=0, "NEW", F257*(1+Table1[[#This Row],[Ávöxtun]])))</f>
        <v>#VALUE!</v>
      </c>
      <c r="G258" s="18" t="str" cm="1">
        <f t="array" ref="G258">IFERROR(_xlfn.IFS(ISNUMBER(Table1[[#This Row],[Column3]]),Table1[[#This Row],[Column3]],Table1[[#This Row],[Column3]]="NEW",Table1[[#This Row],[Column3]]),"")</f>
        <v/>
      </c>
      <c r="H258" s="15" cm="1">
        <f t="array" ref="H258">_xlfn.IFS(Table1[[#This Row],[Column4]]="NEW",AVERAGEIFS(Table1[Column4],Table1[Year],Table1[[#This Row],[Year]]),ISNUMBER(Table1[[#This Row],[Column4]]),Table1[[#This Row],[Column4]],Table1[[#This Row],[Column4]]="",H257*(1+Table1[[#This Row],[Ávöxtun]]))</f>
        <v>119.21181176470589</v>
      </c>
      <c r="I258" cm="1">
        <f t="array" ref="I258">_xlfn.IFS(Table1[[#This Row],[Column4]]="NEW",_xlfn.XLOOKUP(Table1[[#This Row],[Year]],$N$2:$N$27,$P$2:$P$27),ISNUMBER(Table1[[#This Row],[Column4]]),Table1[[#This Row],[Column4]],Table1[[#This Row],[Column4]]="",I257*(1+Table1[[#This Row],[Ávöxtun]]))</f>
        <v>119.66537631170655</v>
      </c>
      <c r="L258" s="33">
        <v>119.21181176470589</v>
      </c>
      <c r="M258" s="33">
        <v>128.88757552113088</v>
      </c>
    </row>
    <row r="259" spans="1:13">
      <c r="A259" t="s">
        <v>76</v>
      </c>
      <c r="B259">
        <v>2001</v>
      </c>
      <c r="C259" s="16">
        <v>-0.06</v>
      </c>
      <c r="D259" s="1">
        <v>5542788</v>
      </c>
      <c r="E259" s="29">
        <f>Table1[[#This Row],[Ávöxtun]]*Table1[[#This Row],[Eignir]]/SUMIFS(Table1[Eignir],Table1[Year],Table1[[#This Row],[Year]])</f>
        <v>-2.8721199066719368E-4</v>
      </c>
      <c r="F259" s="23" t="e">
        <f>IF(B259=1997, 100, IF(COUNTIF(A$1:A258,A259)=0, "NEW", F258*(1+Table1[[#This Row],[Ávöxtun]])))</f>
        <v>#VALUE!</v>
      </c>
      <c r="G259" s="18" t="str" cm="1">
        <f t="array" ref="G259">IFERROR(_xlfn.IFS(ISNUMBER(Table1[[#This Row],[Column3]]),Table1[[#This Row],[Column3]],Table1[[#This Row],[Column3]]="NEW",Table1[[#This Row],[Column3]]),"")</f>
        <v/>
      </c>
      <c r="H259" s="15" cm="1">
        <f t="array" ref="H259">_xlfn.IFS(Table1[[#This Row],[Column4]]="NEW",AVERAGEIFS(Table1[Column4],Table1[Year],Table1[[#This Row],[Year]]),ISNUMBER(Table1[[#This Row],[Column4]]),Table1[[#This Row],[Column4]],Table1[[#This Row],[Column4]]="",H258*(1+Table1[[#This Row],[Ávöxtun]]))</f>
        <v>112.05910305882352</v>
      </c>
      <c r="I259" cm="1">
        <f t="array" ref="I259">_xlfn.IFS(Table1[[#This Row],[Column4]]="NEW",_xlfn.XLOOKUP(Table1[[#This Row],[Year]],$N$2:$N$27,$P$2:$P$27),ISNUMBER(Table1[[#This Row],[Column4]]),Table1[[#This Row],[Column4]],Table1[[#This Row],[Column4]]="",I258*(1+Table1[[#This Row],[Ávöxtun]]))</f>
        <v>112.48545373300415</v>
      </c>
      <c r="L259" s="33">
        <v>112.05910305882352</v>
      </c>
      <c r="M259" s="33">
        <v>121.15432098986302</v>
      </c>
    </row>
    <row r="260" spans="1:13">
      <c r="A260" t="s">
        <v>76</v>
      </c>
      <c r="B260">
        <v>2002</v>
      </c>
      <c r="C260" s="16">
        <v>-0.05</v>
      </c>
      <c r="D260" s="1">
        <v>5461028.79</v>
      </c>
      <c r="E260" s="29">
        <f>Table1[[#This Row],[Ávöxtun]]*Table1[[#This Row],[Eignir]]/SUMIFS(Table1[Eignir],Table1[Year],Table1[[#This Row],[Year]])</f>
        <v>-4.2989113476316532E-4</v>
      </c>
      <c r="F260" s="23" t="e">
        <f>IF(B260=1997, 100, IF(COUNTIF(A$1:A259,A260)=0, "NEW", F259*(1+Table1[[#This Row],[Ávöxtun]])))</f>
        <v>#VALUE!</v>
      </c>
      <c r="G260" s="18" t="str" cm="1">
        <f t="array" ref="G260">IFERROR(_xlfn.IFS(ISNUMBER(Table1[[#This Row],[Column3]]),Table1[[#This Row],[Column3]],Table1[[#This Row],[Column3]]="NEW",Table1[[#This Row],[Column3]]),"")</f>
        <v/>
      </c>
      <c r="H260" s="15" cm="1">
        <f t="array" ref="H260">_xlfn.IFS(Table1[[#This Row],[Column4]]="NEW",AVERAGEIFS(Table1[Column4],Table1[Year],Table1[[#This Row],[Year]]),ISNUMBER(Table1[[#This Row],[Column4]]),Table1[[#This Row],[Column4]],Table1[[#This Row],[Column4]]="",H259*(1+Table1[[#This Row],[Ávöxtun]]))</f>
        <v>106.45614790588235</v>
      </c>
      <c r="I260" cm="1">
        <f t="array" ref="I260">_xlfn.IFS(Table1[[#This Row],[Column4]]="NEW",_xlfn.XLOOKUP(Table1[[#This Row],[Year]],$N$2:$N$27,$P$2:$P$27),ISNUMBER(Table1[[#This Row],[Column4]]),Table1[[#This Row],[Column4]],Table1[[#This Row],[Column4]]="",I259*(1+Table1[[#This Row],[Ávöxtun]]))</f>
        <v>106.86118104635393</v>
      </c>
      <c r="L260" s="33">
        <v>106.45614790588235</v>
      </c>
      <c r="M260" s="33">
        <v>115.09660494036987</v>
      </c>
    </row>
    <row r="261" spans="1:13">
      <c r="A261" t="s">
        <v>76</v>
      </c>
      <c r="B261">
        <v>2003</v>
      </c>
      <c r="C261" s="16">
        <v>0.11</v>
      </c>
      <c r="D261" s="1">
        <v>6409499</v>
      </c>
      <c r="E261" s="29">
        <f>Table1[[#This Row],[Ávöxtun]]*Table1[[#This Row],[Eignir]]/SUMIFS(Table1[Eignir],Table1[Year],Table1[[#This Row],[Year]])</f>
        <v>9.2782323205622963E-4</v>
      </c>
      <c r="F261" s="23" t="e">
        <f>IF(B261=1997, 100, IF(COUNTIF(A$1:A260,A261)=0, "NEW", F260*(1+Table1[[#This Row],[Ávöxtun]])))</f>
        <v>#VALUE!</v>
      </c>
      <c r="G261" s="18" t="str" cm="1">
        <f t="array" ref="G261">IFERROR(_xlfn.IFS(ISNUMBER(Table1[[#This Row],[Column3]]),Table1[[#This Row],[Column3]],Table1[[#This Row],[Column3]]="NEW",Table1[[#This Row],[Column3]]),"")</f>
        <v/>
      </c>
      <c r="H261" s="15" cm="1">
        <f t="array" ref="H261">_xlfn.IFS(Table1[[#This Row],[Column4]]="NEW",AVERAGEIFS(Table1[Column4],Table1[Year],Table1[[#This Row],[Year]]),ISNUMBER(Table1[[#This Row],[Column4]]),Table1[[#This Row],[Column4]],Table1[[#This Row],[Column4]]="",H260*(1+Table1[[#This Row],[Ávöxtun]]))</f>
        <v>118.16632417552941</v>
      </c>
      <c r="I261" cm="1">
        <f t="array" ref="I261">_xlfn.IFS(Table1[[#This Row],[Column4]]="NEW",_xlfn.XLOOKUP(Table1[[#This Row],[Year]],$N$2:$N$27,$P$2:$P$27),ISNUMBER(Table1[[#This Row],[Column4]]),Table1[[#This Row],[Column4]],Table1[[#This Row],[Column4]]="",I260*(1+Table1[[#This Row],[Ávöxtun]]))</f>
        <v>118.61591096145288</v>
      </c>
      <c r="L261" s="33">
        <v>118.16632417552941</v>
      </c>
      <c r="M261" s="33">
        <v>127.75723148381057</v>
      </c>
    </row>
    <row r="262" spans="1:13">
      <c r="A262" t="s">
        <v>76</v>
      </c>
      <c r="B262">
        <v>2004</v>
      </c>
      <c r="C262" s="16">
        <v>7.0000000000000007E-2</v>
      </c>
      <c r="D262" s="1">
        <v>7326024</v>
      </c>
      <c r="E262" s="29">
        <f>Table1[[#This Row],[Ávöxtun]]*Table1[[#This Row],[Eignir]]/SUMIFS(Table1[Eignir],Table1[Year],Table1[[#This Row],[Year]])</f>
        <v>5.6498665797164317E-4</v>
      </c>
      <c r="F262" s="23" t="e">
        <f>IF(B262=1997, 100, IF(COUNTIF(A$1:A261,A262)=0, "NEW", F261*(1+Table1[[#This Row],[Ávöxtun]])))</f>
        <v>#VALUE!</v>
      </c>
      <c r="G262" s="18" t="str" cm="1">
        <f t="array" ref="G262">IFERROR(_xlfn.IFS(ISNUMBER(Table1[[#This Row],[Column3]]),Table1[[#This Row],[Column3]],Table1[[#This Row],[Column3]]="NEW",Table1[[#This Row],[Column3]]),"")</f>
        <v/>
      </c>
      <c r="H262" s="15" cm="1">
        <f t="array" ref="H262">_xlfn.IFS(Table1[[#This Row],[Column4]]="NEW",AVERAGEIFS(Table1[Column4],Table1[Year],Table1[[#This Row],[Year]]),ISNUMBER(Table1[[#This Row],[Column4]]),Table1[[#This Row],[Column4]],Table1[[#This Row],[Column4]]="",H261*(1+Table1[[#This Row],[Ávöxtun]]))</f>
        <v>126.43796686781647</v>
      </c>
      <c r="I262" cm="1">
        <f t="array" ref="I262">_xlfn.IFS(Table1[[#This Row],[Column4]]="NEW",_xlfn.XLOOKUP(Table1[[#This Row],[Year]],$N$2:$N$27,$P$2:$P$27),ISNUMBER(Table1[[#This Row],[Column4]]),Table1[[#This Row],[Column4]],Table1[[#This Row],[Column4]]="",I261*(1+Table1[[#This Row],[Ávöxtun]]))</f>
        <v>126.91902472875459</v>
      </c>
      <c r="L262" s="33">
        <v>126.43796686781647</v>
      </c>
      <c r="M262" s="33">
        <v>136.70023768767732</v>
      </c>
    </row>
    <row r="263" spans="1:13">
      <c r="A263" t="s">
        <v>76</v>
      </c>
      <c r="B263">
        <v>2005</v>
      </c>
      <c r="C263" s="16">
        <v>0.06</v>
      </c>
      <c r="D263" s="1">
        <v>26227815</v>
      </c>
      <c r="E263" s="29">
        <f>Table1[[#This Row],[Ávöxtun]]*Table1[[#This Row],[Eignir]]/SUMIFS(Table1[Eignir],Table1[Year],Table1[[#This Row],[Year]])</f>
        <v>1.4033852981677176E-3</v>
      </c>
      <c r="F263" s="23" t="e">
        <f>IF(B263=1997, 100, IF(COUNTIF(A$1:A262,A263)=0, "NEW", F262*(1+Table1[[#This Row],[Ávöxtun]])))</f>
        <v>#VALUE!</v>
      </c>
      <c r="G263" s="18" t="str" cm="1">
        <f t="array" ref="G263">IFERROR(_xlfn.IFS(ISNUMBER(Table1[[#This Row],[Column3]]),Table1[[#This Row],[Column3]],Table1[[#This Row],[Column3]]="NEW",Table1[[#This Row],[Column3]]),"")</f>
        <v/>
      </c>
      <c r="H263" s="15" cm="1">
        <f t="array" ref="H263">_xlfn.IFS(Table1[[#This Row],[Column4]]="NEW",AVERAGEIFS(Table1[Column4],Table1[Year],Table1[[#This Row],[Year]]),ISNUMBER(Table1[[#This Row],[Column4]]),Table1[[#This Row],[Column4]],Table1[[#This Row],[Column4]]="",H262*(1+Table1[[#This Row],[Ávöxtun]]))</f>
        <v>134.02424487988546</v>
      </c>
      <c r="I263" cm="1">
        <f t="array" ref="I263">_xlfn.IFS(Table1[[#This Row],[Column4]]="NEW",_xlfn.XLOOKUP(Table1[[#This Row],[Year]],$N$2:$N$27,$P$2:$P$27),ISNUMBER(Table1[[#This Row],[Column4]]),Table1[[#This Row],[Column4]],Table1[[#This Row],[Column4]]="",I262*(1+Table1[[#This Row],[Ávöxtun]]))</f>
        <v>134.53416621247987</v>
      </c>
      <c r="L263" s="33">
        <v>134.02424487988546</v>
      </c>
      <c r="M263" s="33">
        <v>144.90225194893796</v>
      </c>
    </row>
    <row r="264" spans="1:13">
      <c r="A264" t="s">
        <v>78</v>
      </c>
      <c r="B264">
        <v>1997</v>
      </c>
      <c r="C264" s="16">
        <v>7.0000000000000007E-2</v>
      </c>
      <c r="D264" s="1">
        <v>391064.47</v>
      </c>
      <c r="E264" s="29">
        <f>Table1[[#This Row],[Ávöxtun]]*Table1[[#This Row],[Eignir]]/SUMIFS(Table1[Eignir],Table1[Year],Table1[[#This Row],[Year]])</f>
        <v>8.0744739525394804E-5</v>
      </c>
      <c r="F264" s="23">
        <f>IF(B264=1997, 100, IF(COUNTIF(A$1:A263,A264)=0, "NEW", F263*(1+Table1[[#This Row],[Ávöxtun]])))</f>
        <v>100</v>
      </c>
      <c r="G264" s="18" cm="1">
        <f t="array" ref="G264">IFERROR(_xlfn.IFS(ISNUMBER(Table1[[#This Row],[Column3]]),Table1[[#This Row],[Column3]],Table1[[#This Row],[Column3]]="NEW",Table1[[#This Row],[Column3]]),"")</f>
        <v>100</v>
      </c>
      <c r="H264" s="15" cm="1">
        <f t="array" ref="H264">_xlfn.IFS(Table1[[#This Row],[Column4]]="NEW",AVERAGEIFS(Table1[Column4],Table1[Year],Table1[[#This Row],[Year]]),ISNUMBER(Table1[[#This Row],[Column4]]),Table1[[#This Row],[Column4]],Table1[[#This Row],[Column4]]="",H263*(1+Table1[[#This Row],[Ávöxtun]]))</f>
        <v>100</v>
      </c>
      <c r="I264" cm="1">
        <f t="array" ref="I264">_xlfn.IFS(Table1[[#This Row],[Column4]]="NEW",_xlfn.XLOOKUP(Table1[[#This Row],[Year]],$N$2:$N$27,$P$2:$P$27),ISNUMBER(Table1[[#This Row],[Column4]]),Table1[[#This Row],[Column4]],Table1[[#This Row],[Column4]]="",I263*(1+Table1[[#This Row],[Ávöxtun]]))</f>
        <v>100</v>
      </c>
      <c r="L264" s="33">
        <v>100</v>
      </c>
      <c r="M264" s="33">
        <v>100</v>
      </c>
    </row>
    <row r="265" spans="1:13">
      <c r="A265" t="s">
        <v>78</v>
      </c>
      <c r="B265">
        <v>1998</v>
      </c>
      <c r="C265" s="16">
        <v>0.08</v>
      </c>
      <c r="D265" s="1">
        <v>391511.84</v>
      </c>
      <c r="E265" s="29">
        <f>Table1[[#This Row],[Ávöxtun]]*Table1[[#This Row],[Eignir]]/SUMIFS(Table1[Eignir],Table1[Year],Table1[[#This Row],[Year]])</f>
        <v>7.9974860092070472E-5</v>
      </c>
      <c r="F265" s="23">
        <f>IF(B265=1997, 100, IF(COUNTIF(A$1:A264,A265)=0, "NEW", F264*(1+Table1[[#This Row],[Ávöxtun]])))</f>
        <v>108</v>
      </c>
      <c r="G265" s="18" cm="1">
        <f t="array" ref="G265">IFERROR(_xlfn.IFS(ISNUMBER(Table1[[#This Row],[Column3]]),Table1[[#This Row],[Column3]],Table1[[#This Row],[Column3]]="NEW",Table1[[#This Row],[Column3]]),"")</f>
        <v>108</v>
      </c>
      <c r="H265" s="15" cm="1">
        <f t="array" ref="H265">_xlfn.IFS(Table1[[#This Row],[Column4]]="NEW",AVERAGEIFS(Table1[Column4],Table1[Year],Table1[[#This Row],[Year]]),ISNUMBER(Table1[[#This Row],[Column4]]),Table1[[#This Row],[Column4]],Table1[[#This Row],[Column4]]="",H264*(1+Table1[[#This Row],[Ávöxtun]]))</f>
        <v>108</v>
      </c>
      <c r="I265" cm="1">
        <f t="array" ref="I265">_xlfn.IFS(Table1[[#This Row],[Column4]]="NEW",_xlfn.XLOOKUP(Table1[[#This Row],[Year]],$N$2:$N$27,$P$2:$P$27),ISNUMBER(Table1[[#This Row],[Column4]]),Table1[[#This Row],[Column4]],Table1[[#This Row],[Column4]]="",I264*(1+Table1[[#This Row],[Ávöxtun]]))</f>
        <v>108</v>
      </c>
      <c r="L265" s="33">
        <v>108</v>
      </c>
      <c r="M265" s="33">
        <v>108</v>
      </c>
    </row>
    <row r="266" spans="1:13">
      <c r="A266" t="s">
        <v>78</v>
      </c>
      <c r="B266">
        <v>1999</v>
      </c>
      <c r="C266" s="16">
        <v>7.0000000000000007E-2</v>
      </c>
      <c r="D266" s="1">
        <v>404826.63</v>
      </c>
      <c r="E266" s="29">
        <f>Table1[[#This Row],[Ávöxtun]]*Table1[[#This Row],[Eignir]]/SUMIFS(Table1[Eignir],Table1[Year],Table1[[#This Row],[Year]])</f>
        <v>5.4420887295124829E-5</v>
      </c>
      <c r="F266" s="23">
        <f>IF(B266=1997, 100, IF(COUNTIF(A$1:A265,A266)=0, "NEW", F265*(1+Table1[[#This Row],[Ávöxtun]])))</f>
        <v>115.56</v>
      </c>
      <c r="G266" s="18" cm="1">
        <f t="array" ref="G266">IFERROR(_xlfn.IFS(ISNUMBER(Table1[[#This Row],[Column3]]),Table1[[#This Row],[Column3]],Table1[[#This Row],[Column3]]="NEW",Table1[[#This Row],[Column3]]),"")</f>
        <v>115.56</v>
      </c>
      <c r="H266" s="15" cm="1">
        <f t="array" ref="H266">_xlfn.IFS(Table1[[#This Row],[Column4]]="NEW",AVERAGEIFS(Table1[Column4],Table1[Year],Table1[[#This Row],[Year]]),ISNUMBER(Table1[[#This Row],[Column4]]),Table1[[#This Row],[Column4]],Table1[[#This Row],[Column4]]="",H265*(1+Table1[[#This Row],[Ávöxtun]]))</f>
        <v>115.56</v>
      </c>
      <c r="I266" cm="1">
        <f t="array" ref="I266">_xlfn.IFS(Table1[[#This Row],[Column4]]="NEW",_xlfn.XLOOKUP(Table1[[#This Row],[Year]],$N$2:$N$27,$P$2:$P$27),ISNUMBER(Table1[[#This Row],[Column4]]),Table1[[#This Row],[Column4]],Table1[[#This Row],[Column4]]="",I265*(1+Table1[[#This Row],[Ávöxtun]]))</f>
        <v>115.56</v>
      </c>
      <c r="L266" s="33">
        <v>115.56</v>
      </c>
      <c r="M266" s="33">
        <v>115.56</v>
      </c>
    </row>
    <row r="267" spans="1:13">
      <c r="A267" t="s">
        <v>78</v>
      </c>
      <c r="B267">
        <v>2000</v>
      </c>
      <c r="C267" s="16">
        <v>7.0000000000000007E-2</v>
      </c>
      <c r="D267" s="1">
        <v>417759.47</v>
      </c>
      <c r="E267" s="29">
        <f>Table1[[#This Row],[Ávöxtun]]*Table1[[#This Row],[Eignir]]/SUMIFS(Table1[Eignir],Table1[Year],Table1[[#This Row],[Year]])</f>
        <v>4.1136005281373951E-5</v>
      </c>
      <c r="F267" s="23">
        <f>IF(B267=1997, 100, IF(COUNTIF(A$1:A266,A267)=0, "NEW", F266*(1+Table1[[#This Row],[Ávöxtun]])))</f>
        <v>123.64920000000001</v>
      </c>
      <c r="G267" s="18" cm="1">
        <f t="array" ref="G267">IFERROR(_xlfn.IFS(ISNUMBER(Table1[[#This Row],[Column3]]),Table1[[#This Row],[Column3]],Table1[[#This Row],[Column3]]="NEW",Table1[[#This Row],[Column3]]),"")</f>
        <v>123.64920000000001</v>
      </c>
      <c r="H267" s="15" cm="1">
        <f t="array" ref="H267">_xlfn.IFS(Table1[[#This Row],[Column4]]="NEW",AVERAGEIFS(Table1[Column4],Table1[Year],Table1[[#This Row],[Year]]),ISNUMBER(Table1[[#This Row],[Column4]]),Table1[[#This Row],[Column4]],Table1[[#This Row],[Column4]]="",H266*(1+Table1[[#This Row],[Ávöxtun]]))</f>
        <v>123.64920000000001</v>
      </c>
      <c r="I267" cm="1">
        <f t="array" ref="I267">_xlfn.IFS(Table1[[#This Row],[Column4]]="NEW",_xlfn.XLOOKUP(Table1[[#This Row],[Year]],$N$2:$N$27,$P$2:$P$27),ISNUMBER(Table1[[#This Row],[Column4]]),Table1[[#This Row],[Column4]],Table1[[#This Row],[Column4]]="",I266*(1+Table1[[#This Row],[Ávöxtun]]))</f>
        <v>123.64920000000001</v>
      </c>
      <c r="L267" s="33">
        <v>123.64920000000001</v>
      </c>
      <c r="M267" s="33">
        <v>123.64920000000001</v>
      </c>
    </row>
    <row r="268" spans="1:13">
      <c r="A268" t="s">
        <v>78</v>
      </c>
      <c r="B268">
        <v>2001</v>
      </c>
      <c r="C268" s="16">
        <v>0.06</v>
      </c>
      <c r="D268" s="1">
        <v>445780.39</v>
      </c>
      <c r="E268" s="29">
        <f>Table1[[#This Row],[Ávöxtun]]*Table1[[#This Row],[Eignir]]/SUMIFS(Table1[Eignir],Table1[Year],Table1[[#This Row],[Year]])</f>
        <v>2.3099110630299765E-5</v>
      </c>
      <c r="F268" s="23">
        <f>IF(B268=1997, 100, IF(COUNTIF(A$1:A267,A268)=0, "NEW", F267*(1+Table1[[#This Row],[Ávöxtun]])))</f>
        <v>131.06815200000003</v>
      </c>
      <c r="G268" s="18" cm="1">
        <f t="array" ref="G268">IFERROR(_xlfn.IFS(ISNUMBER(Table1[[#This Row],[Column3]]),Table1[[#This Row],[Column3]],Table1[[#This Row],[Column3]]="NEW",Table1[[#This Row],[Column3]]),"")</f>
        <v>131.06815200000003</v>
      </c>
      <c r="H268" s="15" cm="1">
        <f t="array" ref="H268">_xlfn.IFS(Table1[[#This Row],[Column4]]="NEW",AVERAGEIFS(Table1[Column4],Table1[Year],Table1[[#This Row],[Year]]),ISNUMBER(Table1[[#This Row],[Column4]]),Table1[[#This Row],[Column4]],Table1[[#This Row],[Column4]]="",H267*(1+Table1[[#This Row],[Ávöxtun]]))</f>
        <v>131.06815200000003</v>
      </c>
      <c r="I268" cm="1">
        <f t="array" ref="I268">_xlfn.IFS(Table1[[#This Row],[Column4]]="NEW",_xlfn.XLOOKUP(Table1[[#This Row],[Year]],$N$2:$N$27,$P$2:$P$27),ISNUMBER(Table1[[#This Row],[Column4]]),Table1[[#This Row],[Column4]],Table1[[#This Row],[Column4]]="",I267*(1+Table1[[#This Row],[Ávöxtun]]))</f>
        <v>131.06815200000003</v>
      </c>
      <c r="L268" s="33">
        <v>131.06815200000003</v>
      </c>
      <c r="M268" s="33">
        <v>131.06815200000003</v>
      </c>
    </row>
    <row r="269" spans="1:13">
      <c r="A269" t="s">
        <v>78</v>
      </c>
      <c r="B269">
        <v>2002</v>
      </c>
      <c r="C269" s="16">
        <v>7.0000000000000007E-2</v>
      </c>
      <c r="D269" s="1">
        <v>446348.6</v>
      </c>
      <c r="E269" s="29">
        <f>Table1[[#This Row],[Ávöxtun]]*Table1[[#This Row],[Eignir]]/SUMIFS(Table1[Eignir],Table1[Year],Table1[[#This Row],[Year]])</f>
        <v>4.9191066179222655E-5</v>
      </c>
      <c r="F269" s="23">
        <f>IF(B269=1997, 100, IF(COUNTIF(A$1:A268,A269)=0, "NEW", F268*(1+Table1[[#This Row],[Ávöxtun]])))</f>
        <v>140.24292264000005</v>
      </c>
      <c r="G269" s="18" cm="1">
        <f t="array" ref="G269">IFERROR(_xlfn.IFS(ISNUMBER(Table1[[#This Row],[Column3]]),Table1[[#This Row],[Column3]],Table1[[#This Row],[Column3]]="NEW",Table1[[#This Row],[Column3]]),"")</f>
        <v>140.24292264000005</v>
      </c>
      <c r="H269" s="15" cm="1">
        <f t="array" ref="H269">_xlfn.IFS(Table1[[#This Row],[Column4]]="NEW",AVERAGEIFS(Table1[Column4],Table1[Year],Table1[[#This Row],[Year]]),ISNUMBER(Table1[[#This Row],[Column4]]),Table1[[#This Row],[Column4]],Table1[[#This Row],[Column4]]="",H268*(1+Table1[[#This Row],[Ávöxtun]]))</f>
        <v>140.24292264000005</v>
      </c>
      <c r="I269" cm="1">
        <f t="array" ref="I269">_xlfn.IFS(Table1[[#This Row],[Column4]]="NEW",_xlfn.XLOOKUP(Table1[[#This Row],[Year]],$N$2:$N$27,$P$2:$P$27),ISNUMBER(Table1[[#This Row],[Column4]]),Table1[[#This Row],[Column4]],Table1[[#This Row],[Column4]]="",I268*(1+Table1[[#This Row],[Ávöxtun]]))</f>
        <v>140.24292264000005</v>
      </c>
      <c r="L269" s="33">
        <v>140.24292264000005</v>
      </c>
      <c r="M269" s="33">
        <v>140.24292264000005</v>
      </c>
    </row>
    <row r="270" spans="1:13">
      <c r="A270" t="s">
        <v>78</v>
      </c>
      <c r="B270">
        <v>2003</v>
      </c>
      <c r="C270" s="16">
        <v>0.08</v>
      </c>
      <c r="D270" s="1">
        <v>452728.27</v>
      </c>
      <c r="E270" s="29">
        <f>Table1[[#This Row],[Ávöxtun]]*Table1[[#This Row],[Eignir]]/SUMIFS(Table1[Eignir],Table1[Year],Table1[[#This Row],[Year]])</f>
        <v>4.7662418398876748E-5</v>
      </c>
      <c r="F270" s="23">
        <f>IF(B270=1997, 100, IF(COUNTIF(A$1:A269,A270)=0, "NEW", F269*(1+Table1[[#This Row],[Ávöxtun]])))</f>
        <v>151.46235645120007</v>
      </c>
      <c r="G270" s="18" cm="1">
        <f t="array" ref="G270">IFERROR(_xlfn.IFS(ISNUMBER(Table1[[#This Row],[Column3]]),Table1[[#This Row],[Column3]],Table1[[#This Row],[Column3]]="NEW",Table1[[#This Row],[Column3]]),"")</f>
        <v>151.46235645120007</v>
      </c>
      <c r="H270" s="15" cm="1">
        <f t="array" ref="H270">_xlfn.IFS(Table1[[#This Row],[Column4]]="NEW",AVERAGEIFS(Table1[Column4],Table1[Year],Table1[[#This Row],[Year]]),ISNUMBER(Table1[[#This Row],[Column4]]),Table1[[#This Row],[Column4]],Table1[[#This Row],[Column4]]="",H269*(1+Table1[[#This Row],[Ávöxtun]]))</f>
        <v>151.46235645120007</v>
      </c>
      <c r="I270" cm="1">
        <f t="array" ref="I270">_xlfn.IFS(Table1[[#This Row],[Column4]]="NEW",_xlfn.XLOOKUP(Table1[[#This Row],[Year]],$N$2:$N$27,$P$2:$P$27),ISNUMBER(Table1[[#This Row],[Column4]]),Table1[[#This Row],[Column4]],Table1[[#This Row],[Column4]]="",I269*(1+Table1[[#This Row],[Ávöxtun]]))</f>
        <v>151.46235645120007</v>
      </c>
      <c r="L270" s="33">
        <v>151.46235645120007</v>
      </c>
      <c r="M270" s="33">
        <v>151.46235645120007</v>
      </c>
    </row>
    <row r="271" spans="1:13">
      <c r="A271" t="s">
        <v>78</v>
      </c>
      <c r="B271">
        <v>2004</v>
      </c>
      <c r="C271" s="16">
        <v>0.06</v>
      </c>
      <c r="D271" s="1">
        <v>458796</v>
      </c>
      <c r="E271" s="29">
        <f>Table1[[#This Row],[Ávöxtun]]*Table1[[#This Row],[Eignir]]/SUMIFS(Table1[Eignir],Table1[Year],Table1[[#This Row],[Year]])</f>
        <v>3.0327924365142829E-5</v>
      </c>
      <c r="F271" s="23">
        <f>IF(B271=1997, 100, IF(COUNTIF(A$1:A270,A271)=0, "NEW", F270*(1+Table1[[#This Row],[Ávöxtun]])))</f>
        <v>160.55009783827208</v>
      </c>
      <c r="G271" s="18" cm="1">
        <f t="array" ref="G271">IFERROR(_xlfn.IFS(ISNUMBER(Table1[[#This Row],[Column3]]),Table1[[#This Row],[Column3]],Table1[[#This Row],[Column3]]="NEW",Table1[[#This Row],[Column3]]),"")</f>
        <v>160.55009783827208</v>
      </c>
      <c r="H271" s="15" cm="1">
        <f t="array" ref="H271">_xlfn.IFS(Table1[[#This Row],[Column4]]="NEW",AVERAGEIFS(Table1[Column4],Table1[Year],Table1[[#This Row],[Year]]),ISNUMBER(Table1[[#This Row],[Column4]]),Table1[[#This Row],[Column4]],Table1[[#This Row],[Column4]]="",H270*(1+Table1[[#This Row],[Ávöxtun]]))</f>
        <v>160.55009783827208</v>
      </c>
      <c r="I271" cm="1">
        <f t="array" ref="I271">_xlfn.IFS(Table1[[#This Row],[Column4]]="NEW",_xlfn.XLOOKUP(Table1[[#This Row],[Year]],$N$2:$N$27,$P$2:$P$27),ISNUMBER(Table1[[#This Row],[Column4]]),Table1[[#This Row],[Column4]],Table1[[#This Row],[Column4]]="",I270*(1+Table1[[#This Row],[Ávöxtun]]))</f>
        <v>160.55009783827208</v>
      </c>
      <c r="L271" s="33">
        <v>160.55009783827208</v>
      </c>
      <c r="M271" s="33">
        <v>160.55009783827208</v>
      </c>
    </row>
    <row r="272" spans="1:13">
      <c r="A272" t="s">
        <v>78</v>
      </c>
      <c r="B272">
        <v>2005</v>
      </c>
      <c r="C272" s="16">
        <v>0.05</v>
      </c>
      <c r="D272" s="1">
        <v>457851</v>
      </c>
      <c r="E272" s="29">
        <f>Table1[[#This Row],[Ávöxtun]]*Table1[[#This Row],[Eignir]]/SUMIFS(Table1[Eignir],Table1[Year],Table1[[#This Row],[Year]])</f>
        <v>2.0415392404062501E-5</v>
      </c>
      <c r="F272" s="23">
        <f>IF(B272=1997, 100, IF(COUNTIF(A$1:A271,A272)=0, "NEW", F271*(1+Table1[[#This Row],[Ávöxtun]])))</f>
        <v>168.5776027301857</v>
      </c>
      <c r="G272" s="18" cm="1">
        <f t="array" ref="G272">IFERROR(_xlfn.IFS(ISNUMBER(Table1[[#This Row],[Column3]]),Table1[[#This Row],[Column3]],Table1[[#This Row],[Column3]]="NEW",Table1[[#This Row],[Column3]]),"")</f>
        <v>168.5776027301857</v>
      </c>
      <c r="H272" s="15" cm="1">
        <f t="array" ref="H272">_xlfn.IFS(Table1[[#This Row],[Column4]]="NEW",AVERAGEIFS(Table1[Column4],Table1[Year],Table1[[#This Row],[Year]]),ISNUMBER(Table1[[#This Row],[Column4]]),Table1[[#This Row],[Column4]],Table1[[#This Row],[Column4]]="",H271*(1+Table1[[#This Row],[Ávöxtun]]))</f>
        <v>168.5776027301857</v>
      </c>
      <c r="I272" cm="1">
        <f t="array" ref="I272">_xlfn.IFS(Table1[[#This Row],[Column4]]="NEW",_xlfn.XLOOKUP(Table1[[#This Row],[Year]],$N$2:$N$27,$P$2:$P$27),ISNUMBER(Table1[[#This Row],[Column4]]),Table1[[#This Row],[Column4]],Table1[[#This Row],[Column4]]="",I271*(1+Table1[[#This Row],[Ávöxtun]]))</f>
        <v>168.5776027301857</v>
      </c>
      <c r="L272" s="33">
        <v>168.5776027301857</v>
      </c>
      <c r="M272" s="33">
        <v>168.5776027301857</v>
      </c>
    </row>
    <row r="273" spans="1:13">
      <c r="A273" t="s">
        <v>78</v>
      </c>
      <c r="B273">
        <v>2006</v>
      </c>
      <c r="C273" s="16">
        <v>5.1100000000000007E-2</v>
      </c>
      <c r="D273" s="1">
        <v>470205</v>
      </c>
      <c r="E273" s="29">
        <f>Table1[[#This Row],[Ávöxtun]]*Table1[[#This Row],[Eignir]]/SUMIFS(Table1[Eignir],Table1[Year],Table1[[#This Row],[Year]])</f>
        <v>1.7504117360165294E-5</v>
      </c>
      <c r="F273" s="23">
        <f>IF(B273=1997, 100, IF(COUNTIF(A$1:A272,A273)=0, "NEW", F272*(1+Table1[[#This Row],[Ávöxtun]])))</f>
        <v>177.19191822969819</v>
      </c>
      <c r="G273" s="18" cm="1">
        <f t="array" ref="G273">IFERROR(_xlfn.IFS(ISNUMBER(Table1[[#This Row],[Column3]]),Table1[[#This Row],[Column3]],Table1[[#This Row],[Column3]]="NEW",Table1[[#This Row],[Column3]]),"")</f>
        <v>177.19191822969819</v>
      </c>
      <c r="H273" s="15" cm="1">
        <f t="array" ref="H273">_xlfn.IFS(Table1[[#This Row],[Column4]]="NEW",AVERAGEIFS(Table1[Column4],Table1[Year],Table1[[#This Row],[Year]]),ISNUMBER(Table1[[#This Row],[Column4]]),Table1[[#This Row],[Column4]],Table1[[#This Row],[Column4]]="",H272*(1+Table1[[#This Row],[Ávöxtun]]))</f>
        <v>177.19191822969819</v>
      </c>
      <c r="I273" cm="1">
        <f t="array" ref="I273">_xlfn.IFS(Table1[[#This Row],[Column4]]="NEW",_xlfn.XLOOKUP(Table1[[#This Row],[Year]],$N$2:$N$27,$P$2:$P$27),ISNUMBER(Table1[[#This Row],[Column4]]),Table1[[#This Row],[Column4]],Table1[[#This Row],[Column4]]="",I272*(1+Table1[[#This Row],[Ávöxtun]]))</f>
        <v>177.19191822969819</v>
      </c>
      <c r="L273" s="33">
        <v>177.19191822969819</v>
      </c>
      <c r="M273" s="33">
        <v>177.19191822969819</v>
      </c>
    </row>
    <row r="274" spans="1:13">
      <c r="A274" t="s">
        <v>78</v>
      </c>
      <c r="B274">
        <v>2007</v>
      </c>
      <c r="C274" s="16">
        <v>3.9700000000000006E-2</v>
      </c>
      <c r="D274" s="1">
        <v>472544</v>
      </c>
      <c r="E274" s="29">
        <f>Table1[[#This Row],[Ávöxtun]]*Table1[[#This Row],[Eignir]]/SUMIFS(Table1[Eignir],Table1[Year],Table1[[#This Row],[Year]])</f>
        <v>1.2131337113883266E-5</v>
      </c>
      <c r="F274" s="23">
        <f>IF(B274=1997, 100, IF(COUNTIF(A$1:A273,A274)=0, "NEW", F273*(1+Table1[[#This Row],[Ávöxtun]])))</f>
        <v>184.22643738341722</v>
      </c>
      <c r="G274" s="18" cm="1">
        <f t="array" ref="G274">IFERROR(_xlfn.IFS(ISNUMBER(Table1[[#This Row],[Column3]]),Table1[[#This Row],[Column3]],Table1[[#This Row],[Column3]]="NEW",Table1[[#This Row],[Column3]]),"")</f>
        <v>184.22643738341722</v>
      </c>
      <c r="H274" s="15" cm="1">
        <f t="array" ref="H274">_xlfn.IFS(Table1[[#This Row],[Column4]]="NEW",AVERAGEIFS(Table1[Column4],Table1[Year],Table1[[#This Row],[Year]]),ISNUMBER(Table1[[#This Row],[Column4]]),Table1[[#This Row],[Column4]],Table1[[#This Row],[Column4]]="",H273*(1+Table1[[#This Row],[Ávöxtun]]))</f>
        <v>184.22643738341722</v>
      </c>
      <c r="I274" cm="1">
        <f t="array" ref="I274">_xlfn.IFS(Table1[[#This Row],[Column4]]="NEW",_xlfn.XLOOKUP(Table1[[#This Row],[Year]],$N$2:$N$27,$P$2:$P$27),ISNUMBER(Table1[[#This Row],[Column4]]),Table1[[#This Row],[Column4]],Table1[[#This Row],[Column4]]="",I273*(1+Table1[[#This Row],[Ávöxtun]]))</f>
        <v>184.22643738341722</v>
      </c>
      <c r="L274" s="33">
        <v>184.22643738341722</v>
      </c>
      <c r="M274" s="33">
        <v>184.22643738341722</v>
      </c>
    </row>
    <row r="275" spans="1:13">
      <c r="A275" t="s">
        <v>78</v>
      </c>
      <c r="B275">
        <v>2008</v>
      </c>
      <c r="C275" s="16">
        <v>-0.21199999999999999</v>
      </c>
      <c r="D275" s="1">
        <v>390067</v>
      </c>
      <c r="E275" s="29">
        <f>Table1[[#This Row],[Ávöxtun]]*Table1[[#This Row],[Eignir]]/SUMIFS(Table1[Eignir],Table1[Year],Table1[[#This Row],[Year]])</f>
        <v>-5.52282210007264E-5</v>
      </c>
      <c r="F275" s="23">
        <f>IF(B275=1997, 100, IF(COUNTIF(A$1:A274,A275)=0, "NEW", F274*(1+Table1[[#This Row],[Ávöxtun]])))</f>
        <v>145.17043265813277</v>
      </c>
      <c r="G275" s="18" cm="1">
        <f t="array" ref="G275">IFERROR(_xlfn.IFS(ISNUMBER(Table1[[#This Row],[Column3]]),Table1[[#This Row],[Column3]],Table1[[#This Row],[Column3]]="NEW",Table1[[#This Row],[Column3]]),"")</f>
        <v>145.17043265813277</v>
      </c>
      <c r="H275" s="15" cm="1">
        <f t="array" ref="H275">_xlfn.IFS(Table1[[#This Row],[Column4]]="NEW",AVERAGEIFS(Table1[Column4],Table1[Year],Table1[[#This Row],[Year]]),ISNUMBER(Table1[[#This Row],[Column4]]),Table1[[#This Row],[Column4]],Table1[[#This Row],[Column4]]="",H274*(1+Table1[[#This Row],[Ávöxtun]]))</f>
        <v>145.17043265813277</v>
      </c>
      <c r="I275" cm="1">
        <f t="array" ref="I275">_xlfn.IFS(Table1[[#This Row],[Column4]]="NEW",_xlfn.XLOOKUP(Table1[[#This Row],[Year]],$N$2:$N$27,$P$2:$P$27),ISNUMBER(Table1[[#This Row],[Column4]]),Table1[[#This Row],[Column4]],Table1[[#This Row],[Column4]]="",I274*(1+Table1[[#This Row],[Ávöxtun]]))</f>
        <v>145.17043265813277</v>
      </c>
      <c r="L275" s="33">
        <v>145.17043265813277</v>
      </c>
      <c r="M275" s="33">
        <v>145.17043265813277</v>
      </c>
    </row>
    <row r="276" spans="1:13">
      <c r="A276" t="s">
        <v>78</v>
      </c>
      <c r="B276">
        <v>2009</v>
      </c>
      <c r="C276" s="16">
        <v>-0.12810000000000002</v>
      </c>
      <c r="D276" s="1">
        <v>327142</v>
      </c>
      <c r="E276" s="29">
        <f>Table1[[#This Row],[Ávöxtun]]*Table1[[#This Row],[Eignir]]/SUMIFS(Table1[Eignir],Table1[Year],Table1[[#This Row],[Year]])</f>
        <v>-2.5120144025749369E-5</v>
      </c>
      <c r="F276" s="23">
        <f>IF(B276=1997, 100, IF(COUNTIF(A$1:A275,A276)=0, "NEW", F275*(1+Table1[[#This Row],[Ávöxtun]])))</f>
        <v>126.57410023462596</v>
      </c>
      <c r="G276" s="18" cm="1">
        <f t="array" ref="G276">IFERROR(_xlfn.IFS(ISNUMBER(Table1[[#This Row],[Column3]]),Table1[[#This Row],[Column3]],Table1[[#This Row],[Column3]]="NEW",Table1[[#This Row],[Column3]]),"")</f>
        <v>126.57410023462596</v>
      </c>
      <c r="H276" s="15" cm="1">
        <f t="array" ref="H276">_xlfn.IFS(Table1[[#This Row],[Column4]]="NEW",AVERAGEIFS(Table1[Column4],Table1[Year],Table1[[#This Row],[Year]]),ISNUMBER(Table1[[#This Row],[Column4]]),Table1[[#This Row],[Column4]],Table1[[#This Row],[Column4]]="",H275*(1+Table1[[#This Row],[Ávöxtun]]))</f>
        <v>126.57410023462596</v>
      </c>
      <c r="I276" cm="1">
        <f t="array" ref="I276">_xlfn.IFS(Table1[[#This Row],[Column4]]="NEW",_xlfn.XLOOKUP(Table1[[#This Row],[Year]],$N$2:$N$27,$P$2:$P$27),ISNUMBER(Table1[[#This Row],[Column4]]),Table1[[#This Row],[Column4]],Table1[[#This Row],[Column4]]="",I275*(1+Table1[[#This Row],[Ávöxtun]]))</f>
        <v>126.57410023462596</v>
      </c>
      <c r="L276" s="33">
        <v>126.57410023462596</v>
      </c>
      <c r="M276" s="33">
        <v>126.57410023462596</v>
      </c>
    </row>
    <row r="277" spans="1:13">
      <c r="A277" t="s">
        <v>79</v>
      </c>
      <c r="B277">
        <v>1999</v>
      </c>
      <c r="C277" s="16">
        <v>0.1</v>
      </c>
      <c r="D277" s="1">
        <v>5470253</v>
      </c>
      <c r="E277" s="29">
        <f>Table1[[#This Row],[Ávöxtun]]*Table1[[#This Row],[Eignir]]/SUMIFS(Table1[Eignir],Table1[Year],Table1[[#This Row],[Year]])</f>
        <v>1.0505238536619931E-3</v>
      </c>
      <c r="F277" s="23" t="str">
        <f>IF(B277=1997, 100, IF(COUNTIF(A$1:A276,A277)=0, "NEW", F276*(1+Table1[[#This Row],[Ávöxtun]])))</f>
        <v>NEW</v>
      </c>
      <c r="G277" s="18" t="str" cm="1">
        <f t="array" ref="G277">IFERROR(_xlfn.IFS(ISNUMBER(Table1[[#This Row],[Column3]]),Table1[[#This Row],[Column3]],Table1[[#This Row],[Column3]]="NEW",Table1[[#This Row],[Column3]]),"")</f>
        <v>NEW</v>
      </c>
      <c r="H277" s="15" cm="1">
        <f t="array" ref="H277">_xlfn.IFS(Table1[[#This Row],[Column4]]="NEW",AVERAGEIFS(Table1[Column4],Table1[Year],Table1[[#This Row],[Year]]),ISNUMBER(Table1[[#This Row],[Column4]]),Table1[[#This Row],[Column4]],Table1[[#This Row],[Column4]]="",H276*(1+Table1[[#This Row],[Ávöxtun]]))</f>
        <v>117.05306122448981</v>
      </c>
      <c r="I277" cm="1">
        <f t="array" ref="I277">_xlfn.IFS(Table1[[#This Row],[Column4]]="NEW",_xlfn.XLOOKUP(Table1[[#This Row],[Year]],$N$2:$N$27,$P$2:$P$27),ISNUMBER(Table1[[#This Row],[Column4]]),Table1[[#This Row],[Column4]],Table1[[#This Row],[Column4]]="",I276*(1+Table1[[#This Row],[Ávöxtun]]))</f>
        <v>120.02032965757705</v>
      </c>
      <c r="L277" s="33">
        <v>117.05306122448981</v>
      </c>
      <c r="M277" s="33">
        <v>129.26988390123572</v>
      </c>
    </row>
    <row r="278" spans="1:13">
      <c r="A278" t="s">
        <v>79</v>
      </c>
      <c r="B278">
        <v>2000</v>
      </c>
      <c r="C278" s="16">
        <v>-7.0000000000000007E-2</v>
      </c>
      <c r="D278" s="1">
        <v>6470029</v>
      </c>
      <c r="E278" s="29">
        <f>Table1[[#This Row],[Ávöxtun]]*Table1[[#This Row],[Eignir]]/SUMIFS(Table1[Eignir],Table1[Year],Table1[[#This Row],[Year]])</f>
        <v>-6.3709183448227441E-4</v>
      </c>
      <c r="F278" s="23" t="e">
        <f>IF(B278=1997, 100, IF(COUNTIF(A$1:A277,A278)=0, "NEW", F277*(1+Table1[[#This Row],[Ávöxtun]])))</f>
        <v>#VALUE!</v>
      </c>
      <c r="G278" s="18" t="str" cm="1">
        <f t="array" ref="G278">IFERROR(_xlfn.IFS(ISNUMBER(Table1[[#This Row],[Column3]]),Table1[[#This Row],[Column3]],Table1[[#This Row],[Column3]]="NEW",Table1[[#This Row],[Column3]]),"")</f>
        <v/>
      </c>
      <c r="H278" s="15" cm="1">
        <f t="array" ref="H278">_xlfn.IFS(Table1[[#This Row],[Column4]]="NEW",AVERAGEIFS(Table1[Column4],Table1[Year],Table1[[#This Row],[Year]]),ISNUMBER(Table1[[#This Row],[Column4]]),Table1[[#This Row],[Column4]],Table1[[#This Row],[Column4]]="",H277*(1+Table1[[#This Row],[Ávöxtun]]))</f>
        <v>108.85934693877552</v>
      </c>
      <c r="I278" cm="1">
        <f t="array" ref="I278">_xlfn.IFS(Table1[[#This Row],[Column4]]="NEW",_xlfn.XLOOKUP(Table1[[#This Row],[Year]],$N$2:$N$27,$P$2:$P$27),ISNUMBER(Table1[[#This Row],[Column4]]),Table1[[#This Row],[Column4]],Table1[[#This Row],[Column4]]="",I277*(1+Table1[[#This Row],[Ávöxtun]]))</f>
        <v>111.61890658154665</v>
      </c>
      <c r="L278" s="33">
        <v>108.85934693877552</v>
      </c>
      <c r="M278" s="33">
        <v>120.22099202814921</v>
      </c>
    </row>
    <row r="279" spans="1:13">
      <c r="A279" t="s">
        <v>79</v>
      </c>
      <c r="B279">
        <v>2001</v>
      </c>
      <c r="C279" s="16">
        <v>-0.08</v>
      </c>
      <c r="D279" s="1">
        <v>8373891</v>
      </c>
      <c r="E279" s="29">
        <f>Table1[[#This Row],[Ávöxtun]]*Table1[[#This Row],[Eignir]]/SUMIFS(Table1[Eignir],Table1[Year],Table1[[#This Row],[Year]])</f>
        <v>-5.7854925565499948E-4</v>
      </c>
      <c r="F279" s="23" t="e">
        <f>IF(B279=1997, 100, IF(COUNTIF(A$1:A278,A279)=0, "NEW", F278*(1+Table1[[#This Row],[Ávöxtun]])))</f>
        <v>#VALUE!</v>
      </c>
      <c r="G279" s="18" t="str" cm="1">
        <f t="array" ref="G279">IFERROR(_xlfn.IFS(ISNUMBER(Table1[[#This Row],[Column3]]),Table1[[#This Row],[Column3]],Table1[[#This Row],[Column3]]="NEW",Table1[[#This Row],[Column3]]),"")</f>
        <v/>
      </c>
      <c r="H279" s="15" cm="1">
        <f t="array" ref="H279">_xlfn.IFS(Table1[[#This Row],[Column4]]="NEW",AVERAGEIFS(Table1[Column4],Table1[Year],Table1[[#This Row],[Year]]),ISNUMBER(Table1[[#This Row],[Column4]]),Table1[[#This Row],[Column4]],Table1[[#This Row],[Column4]]="",H278*(1+Table1[[#This Row],[Ávöxtun]]))</f>
        <v>100.15059918367348</v>
      </c>
      <c r="I279" cm="1">
        <f t="array" ref="I279">_xlfn.IFS(Table1[[#This Row],[Column4]]="NEW",_xlfn.XLOOKUP(Table1[[#This Row],[Year]],$N$2:$N$27,$P$2:$P$27),ISNUMBER(Table1[[#This Row],[Column4]]),Table1[[#This Row],[Column4]],Table1[[#This Row],[Column4]]="",I278*(1+Table1[[#This Row],[Ávöxtun]]))</f>
        <v>102.68939405502293</v>
      </c>
      <c r="L279" s="33">
        <v>100.15059918367348</v>
      </c>
      <c r="M279" s="33">
        <v>110.60331266589728</v>
      </c>
    </row>
    <row r="280" spans="1:13">
      <c r="A280" t="s">
        <v>80</v>
      </c>
      <c r="B280">
        <v>1997</v>
      </c>
      <c r="C280" s="16">
        <v>0.13</v>
      </c>
      <c r="D280" s="1">
        <v>2027792.29</v>
      </c>
      <c r="E280" s="29">
        <f>Table1[[#This Row],[Ávöxtun]]*Table1[[#This Row],[Eignir]]/SUMIFS(Table1[Eignir],Table1[Year],Table1[[#This Row],[Year]])</f>
        <v>7.7756133643550594E-4</v>
      </c>
      <c r="F280" s="23">
        <f>IF(B280=1997, 100, IF(COUNTIF(A$1:A279,A280)=0, "NEW", F279*(1+Table1[[#This Row],[Ávöxtun]])))</f>
        <v>100</v>
      </c>
      <c r="G280" s="18" cm="1">
        <f t="array" ref="G280">IFERROR(_xlfn.IFS(ISNUMBER(Table1[[#This Row],[Column3]]),Table1[[#This Row],[Column3]],Table1[[#This Row],[Column3]]="NEW",Table1[[#This Row],[Column3]]),"")</f>
        <v>100</v>
      </c>
      <c r="H280" s="15" cm="1">
        <f t="array" ref="H280">_xlfn.IFS(Table1[[#This Row],[Column4]]="NEW",AVERAGEIFS(Table1[Column4],Table1[Year],Table1[[#This Row],[Year]]),ISNUMBER(Table1[[#This Row],[Column4]]),Table1[[#This Row],[Column4]],Table1[[#This Row],[Column4]]="",H279*(1+Table1[[#This Row],[Ávöxtun]]))</f>
        <v>100</v>
      </c>
      <c r="I280" cm="1">
        <f t="array" ref="I280">_xlfn.IFS(Table1[[#This Row],[Column4]]="NEW",_xlfn.XLOOKUP(Table1[[#This Row],[Year]],$N$2:$N$27,$P$2:$P$27),ISNUMBER(Table1[[#This Row],[Column4]]),Table1[[#This Row],[Column4]],Table1[[#This Row],[Column4]]="",I279*(1+Table1[[#This Row],[Ávöxtun]]))</f>
        <v>100</v>
      </c>
      <c r="L280" s="33">
        <v>100</v>
      </c>
      <c r="M280" s="33">
        <v>100</v>
      </c>
    </row>
    <row r="281" spans="1:13">
      <c r="A281" t="s">
        <v>80</v>
      </c>
      <c r="B281">
        <v>1998</v>
      </c>
      <c r="C281" s="16">
        <v>0.02</v>
      </c>
      <c r="D281" s="1">
        <v>2161732.56</v>
      </c>
      <c r="E281" s="29">
        <f>Table1[[#This Row],[Ávöxtun]]*Table1[[#This Row],[Eignir]]/SUMIFS(Table1[Eignir],Table1[Year],Table1[[#This Row],[Year]])</f>
        <v>1.1039529420264361E-4</v>
      </c>
      <c r="F281" s="23">
        <f>IF(B281=1997, 100, IF(COUNTIF(A$1:A280,A281)=0, "NEW", F280*(1+Table1[[#This Row],[Ávöxtun]])))</f>
        <v>102</v>
      </c>
      <c r="G281" s="18" cm="1">
        <f t="array" ref="G281">IFERROR(_xlfn.IFS(ISNUMBER(Table1[[#This Row],[Column3]]),Table1[[#This Row],[Column3]],Table1[[#This Row],[Column3]]="NEW",Table1[[#This Row],[Column3]]),"")</f>
        <v>102</v>
      </c>
      <c r="H281" s="15" cm="1">
        <f t="array" ref="H281">_xlfn.IFS(Table1[[#This Row],[Column4]]="NEW",AVERAGEIFS(Table1[Column4],Table1[Year],Table1[[#This Row],[Year]]),ISNUMBER(Table1[[#This Row],[Column4]]),Table1[[#This Row],[Column4]],Table1[[#This Row],[Column4]]="",H280*(1+Table1[[#This Row],[Ávöxtun]]))</f>
        <v>102</v>
      </c>
      <c r="I281" cm="1">
        <f t="array" ref="I281">_xlfn.IFS(Table1[[#This Row],[Column4]]="NEW",_xlfn.XLOOKUP(Table1[[#This Row],[Year]],$N$2:$N$27,$P$2:$P$27),ISNUMBER(Table1[[#This Row],[Column4]]),Table1[[#This Row],[Column4]],Table1[[#This Row],[Column4]]="",I280*(1+Table1[[#This Row],[Ávöxtun]]))</f>
        <v>102</v>
      </c>
      <c r="L281" s="33">
        <v>102</v>
      </c>
      <c r="M281" s="33">
        <v>102</v>
      </c>
    </row>
    <row r="282" spans="1:13">
      <c r="A282" t="s">
        <v>80</v>
      </c>
      <c r="B282">
        <v>1999</v>
      </c>
      <c r="C282" s="16">
        <v>0.22</v>
      </c>
      <c r="D282" s="1">
        <v>2890350.92</v>
      </c>
      <c r="E282" s="29">
        <f>Table1[[#This Row],[Ávöxtun]]*Table1[[#This Row],[Eignir]]/SUMIFS(Table1[Eignir],Table1[Year],Table1[[#This Row],[Year]])</f>
        <v>1.2211577218111393E-3</v>
      </c>
      <c r="F282" s="23">
        <f>IF(B282=1997, 100, IF(COUNTIF(A$1:A281,A282)=0, "NEW", F281*(1+Table1[[#This Row],[Ávöxtun]])))</f>
        <v>124.44</v>
      </c>
      <c r="G282" s="18" cm="1">
        <f t="array" ref="G282">IFERROR(_xlfn.IFS(ISNUMBER(Table1[[#This Row],[Column3]]),Table1[[#This Row],[Column3]],Table1[[#This Row],[Column3]]="NEW",Table1[[#This Row],[Column3]]),"")</f>
        <v>124.44</v>
      </c>
      <c r="H282" s="15" cm="1">
        <f t="array" ref="H282">_xlfn.IFS(Table1[[#This Row],[Column4]]="NEW",AVERAGEIFS(Table1[Column4],Table1[Year],Table1[[#This Row],[Year]]),ISNUMBER(Table1[[#This Row],[Column4]]),Table1[[#This Row],[Column4]],Table1[[#This Row],[Column4]]="",H281*(1+Table1[[#This Row],[Ávöxtun]]))</f>
        <v>124.44</v>
      </c>
      <c r="I282" cm="1">
        <f t="array" ref="I282">_xlfn.IFS(Table1[[#This Row],[Column4]]="NEW",_xlfn.XLOOKUP(Table1[[#This Row],[Year]],$N$2:$N$27,$P$2:$P$27),ISNUMBER(Table1[[#This Row],[Column4]]),Table1[[#This Row],[Column4]],Table1[[#This Row],[Column4]]="",I281*(1+Table1[[#This Row],[Ávöxtun]]))</f>
        <v>124.44</v>
      </c>
      <c r="L282" s="33">
        <v>124.44</v>
      </c>
      <c r="M282" s="33">
        <v>124.44</v>
      </c>
    </row>
    <row r="283" spans="1:13">
      <c r="A283" t="s">
        <v>80</v>
      </c>
      <c r="B283">
        <v>2000</v>
      </c>
      <c r="C283" s="16">
        <v>0.04</v>
      </c>
      <c r="D283" s="1">
        <v>3403773.29</v>
      </c>
      <c r="E283" s="29">
        <f>Table1[[#This Row],[Ávöxtun]]*Table1[[#This Row],[Eignir]]/SUMIFS(Table1[Eignir],Table1[Year],Table1[[#This Row],[Year]])</f>
        <v>1.9152187677214577E-4</v>
      </c>
      <c r="F283" s="23">
        <f>IF(B283=1997, 100, IF(COUNTIF(A$1:A282,A283)=0, "NEW", F282*(1+Table1[[#This Row],[Ávöxtun]])))</f>
        <v>129.41759999999999</v>
      </c>
      <c r="G283" s="18" cm="1">
        <f t="array" ref="G283">IFERROR(_xlfn.IFS(ISNUMBER(Table1[[#This Row],[Column3]]),Table1[[#This Row],[Column3]],Table1[[#This Row],[Column3]]="NEW",Table1[[#This Row],[Column3]]),"")</f>
        <v>129.41759999999999</v>
      </c>
      <c r="H283" s="15" cm="1">
        <f t="array" ref="H283">_xlfn.IFS(Table1[[#This Row],[Column4]]="NEW",AVERAGEIFS(Table1[Column4],Table1[Year],Table1[[#This Row],[Year]]),ISNUMBER(Table1[[#This Row],[Column4]]),Table1[[#This Row],[Column4]],Table1[[#This Row],[Column4]]="",H282*(1+Table1[[#This Row],[Ávöxtun]]))</f>
        <v>129.41759999999999</v>
      </c>
      <c r="I283" cm="1">
        <f t="array" ref="I283">_xlfn.IFS(Table1[[#This Row],[Column4]]="NEW",_xlfn.XLOOKUP(Table1[[#This Row],[Year]],$N$2:$N$27,$P$2:$P$27),ISNUMBER(Table1[[#This Row],[Column4]]),Table1[[#This Row],[Column4]],Table1[[#This Row],[Column4]]="",I282*(1+Table1[[#This Row],[Ávöxtun]]))</f>
        <v>129.41759999999999</v>
      </c>
      <c r="L283" s="33">
        <v>129.41759999999999</v>
      </c>
      <c r="M283" s="33">
        <v>129.41759999999999</v>
      </c>
    </row>
    <row r="284" spans="1:13">
      <c r="A284" t="s">
        <v>80</v>
      </c>
      <c r="B284">
        <v>2001</v>
      </c>
      <c r="C284" s="16">
        <v>-0.23</v>
      </c>
      <c r="D284" s="1">
        <v>3087068</v>
      </c>
      <c r="E284" s="29">
        <f>Table1[[#This Row],[Ávöxtun]]*Table1[[#This Row],[Eignir]]/SUMIFS(Table1[Eignir],Table1[Year],Table1[[#This Row],[Year]])</f>
        <v>-6.1319284774241244E-4</v>
      </c>
      <c r="F284" s="23">
        <f>IF(B284=1997, 100, IF(COUNTIF(A$1:A283,A284)=0, "NEW", F283*(1+Table1[[#This Row],[Ávöxtun]])))</f>
        <v>99.651551999999995</v>
      </c>
      <c r="G284" s="18" cm="1">
        <f t="array" ref="G284">IFERROR(_xlfn.IFS(ISNUMBER(Table1[[#This Row],[Column3]]),Table1[[#This Row],[Column3]],Table1[[#This Row],[Column3]]="NEW",Table1[[#This Row],[Column3]]),"")</f>
        <v>99.651551999999995</v>
      </c>
      <c r="H284" s="15" cm="1">
        <f t="array" ref="H284">_xlfn.IFS(Table1[[#This Row],[Column4]]="NEW",AVERAGEIFS(Table1[Column4],Table1[Year],Table1[[#This Row],[Year]]),ISNUMBER(Table1[[#This Row],[Column4]]),Table1[[#This Row],[Column4]],Table1[[#This Row],[Column4]]="",H283*(1+Table1[[#This Row],[Ávöxtun]]))</f>
        <v>99.651551999999995</v>
      </c>
      <c r="I284" cm="1">
        <f t="array" ref="I284">_xlfn.IFS(Table1[[#This Row],[Column4]]="NEW",_xlfn.XLOOKUP(Table1[[#This Row],[Year]],$N$2:$N$27,$P$2:$P$27),ISNUMBER(Table1[[#This Row],[Column4]]),Table1[[#This Row],[Column4]],Table1[[#This Row],[Column4]]="",I283*(1+Table1[[#This Row],[Ávöxtun]]))</f>
        <v>99.651551999999995</v>
      </c>
      <c r="L284" s="33">
        <v>99.651551999999995</v>
      </c>
      <c r="M284" s="33">
        <v>99.651551999999995</v>
      </c>
    </row>
    <row r="285" spans="1:13">
      <c r="A285" t="s">
        <v>81</v>
      </c>
      <c r="B285">
        <v>1997</v>
      </c>
      <c r="C285" s="16">
        <v>0.06</v>
      </c>
      <c r="D285" s="1">
        <v>607931.47</v>
      </c>
      <c r="E285" s="29">
        <f>Table1[[#This Row],[Ávöxtun]]*Table1[[#This Row],[Eignir]]/SUMIFS(Table1[Eignir],Table1[Year],Table1[[#This Row],[Year]])</f>
        <v>1.0759044745108217E-4</v>
      </c>
      <c r="F285" s="23">
        <f>IF(B285=1997, 100, IF(COUNTIF(A$1:A284,A285)=0, "NEW", F284*(1+Table1[[#This Row],[Ávöxtun]])))</f>
        <v>100</v>
      </c>
      <c r="G285" s="18" cm="1">
        <f t="array" ref="G285">IFERROR(_xlfn.IFS(ISNUMBER(Table1[[#This Row],[Column3]]),Table1[[#This Row],[Column3]],Table1[[#This Row],[Column3]]="NEW",Table1[[#This Row],[Column3]]),"")</f>
        <v>100</v>
      </c>
      <c r="H285" s="15" cm="1">
        <f t="array" ref="H285">_xlfn.IFS(Table1[[#This Row],[Column4]]="NEW",AVERAGEIFS(Table1[Column4],Table1[Year],Table1[[#This Row],[Year]]),ISNUMBER(Table1[[#This Row],[Column4]]),Table1[[#This Row],[Column4]],Table1[[#This Row],[Column4]]="",H284*(1+Table1[[#This Row],[Ávöxtun]]))</f>
        <v>100</v>
      </c>
      <c r="I285" cm="1">
        <f t="array" ref="I285">_xlfn.IFS(Table1[[#This Row],[Column4]]="NEW",_xlfn.XLOOKUP(Table1[[#This Row],[Year]],$N$2:$N$27,$P$2:$P$27),ISNUMBER(Table1[[#This Row],[Column4]]),Table1[[#This Row],[Column4]],Table1[[#This Row],[Column4]]="",I284*(1+Table1[[#This Row],[Ávöxtun]]))</f>
        <v>100</v>
      </c>
      <c r="L285" s="33">
        <v>100</v>
      </c>
      <c r="M285" s="33">
        <v>100</v>
      </c>
    </row>
    <row r="286" spans="1:13">
      <c r="A286" t="s">
        <v>81</v>
      </c>
      <c r="B286">
        <v>1998</v>
      </c>
      <c r="C286" s="16">
        <v>0.06</v>
      </c>
      <c r="D286" s="1">
        <v>653462.76</v>
      </c>
      <c r="E286" s="29">
        <f>Table1[[#This Row],[Ávöxtun]]*Table1[[#This Row],[Eignir]]/SUMIFS(Table1[Eignir],Table1[Year],Table1[[#This Row],[Year]])</f>
        <v>1.0011305048854631E-4</v>
      </c>
      <c r="F286" s="23">
        <f>IF(B286=1997, 100, IF(COUNTIF(A$1:A285,A286)=0, "NEW", F285*(1+Table1[[#This Row],[Ávöxtun]])))</f>
        <v>106</v>
      </c>
      <c r="G286" s="18" cm="1">
        <f t="array" ref="G286">IFERROR(_xlfn.IFS(ISNUMBER(Table1[[#This Row],[Column3]]),Table1[[#This Row],[Column3]],Table1[[#This Row],[Column3]]="NEW",Table1[[#This Row],[Column3]]),"")</f>
        <v>106</v>
      </c>
      <c r="H286" s="15" cm="1">
        <f t="array" ref="H286">_xlfn.IFS(Table1[[#This Row],[Column4]]="NEW",AVERAGEIFS(Table1[Column4],Table1[Year],Table1[[#This Row],[Year]]),ISNUMBER(Table1[[#This Row],[Column4]]),Table1[[#This Row],[Column4]],Table1[[#This Row],[Column4]]="",H285*(1+Table1[[#This Row],[Ávöxtun]]))</f>
        <v>106</v>
      </c>
      <c r="I286" cm="1">
        <f t="array" ref="I286">_xlfn.IFS(Table1[[#This Row],[Column4]]="NEW",_xlfn.XLOOKUP(Table1[[#This Row],[Year]],$N$2:$N$27,$P$2:$P$27),ISNUMBER(Table1[[#This Row],[Column4]]),Table1[[#This Row],[Column4]],Table1[[#This Row],[Column4]]="",I285*(1+Table1[[#This Row],[Ávöxtun]]))</f>
        <v>106</v>
      </c>
      <c r="L286" s="33">
        <v>106</v>
      </c>
      <c r="M286" s="33">
        <v>106</v>
      </c>
    </row>
    <row r="287" spans="1:13">
      <c r="A287" t="s">
        <v>81</v>
      </c>
      <c r="B287">
        <v>1999</v>
      </c>
      <c r="C287" s="16">
        <v>0.05</v>
      </c>
      <c r="D287" s="1">
        <v>715019</v>
      </c>
      <c r="E287" s="29">
        <f>Table1[[#This Row],[Ávöxtun]]*Table1[[#This Row],[Eignir]]/SUMIFS(Table1[Eignir],Table1[Year],Table1[[#This Row],[Year]])</f>
        <v>6.8657200619564096E-5</v>
      </c>
      <c r="F287" s="23">
        <f>IF(B287=1997, 100, IF(COUNTIF(A$1:A286,A287)=0, "NEW", F286*(1+Table1[[#This Row],[Ávöxtun]])))</f>
        <v>111.30000000000001</v>
      </c>
      <c r="G287" s="18" cm="1">
        <f t="array" ref="G287">IFERROR(_xlfn.IFS(ISNUMBER(Table1[[#This Row],[Column3]]),Table1[[#This Row],[Column3]],Table1[[#This Row],[Column3]]="NEW",Table1[[#This Row],[Column3]]),"")</f>
        <v>111.30000000000001</v>
      </c>
      <c r="H287" s="15" cm="1">
        <f t="array" ref="H287">_xlfn.IFS(Table1[[#This Row],[Column4]]="NEW",AVERAGEIFS(Table1[Column4],Table1[Year],Table1[[#This Row],[Year]]),ISNUMBER(Table1[[#This Row],[Column4]]),Table1[[#This Row],[Column4]],Table1[[#This Row],[Column4]]="",H286*(1+Table1[[#This Row],[Ávöxtun]]))</f>
        <v>111.30000000000001</v>
      </c>
      <c r="I287" cm="1">
        <f t="array" ref="I287">_xlfn.IFS(Table1[[#This Row],[Column4]]="NEW",_xlfn.XLOOKUP(Table1[[#This Row],[Year]],$N$2:$N$27,$P$2:$P$27),ISNUMBER(Table1[[#This Row],[Column4]]),Table1[[#This Row],[Column4]],Table1[[#This Row],[Column4]]="",I286*(1+Table1[[#This Row],[Ávöxtun]]))</f>
        <v>111.30000000000001</v>
      </c>
      <c r="L287" s="33">
        <v>111.30000000000001</v>
      </c>
      <c r="M287" s="33">
        <v>111.30000000000001</v>
      </c>
    </row>
    <row r="288" spans="1:13">
      <c r="A288" t="s">
        <v>81</v>
      </c>
      <c r="B288">
        <v>2000</v>
      </c>
      <c r="C288" s="16">
        <v>0.06</v>
      </c>
      <c r="D288" s="1">
        <v>767206.91</v>
      </c>
      <c r="E288" s="29">
        <f>Table1[[#This Row],[Ávöxtun]]*Table1[[#This Row],[Eignir]]/SUMIFS(Table1[Eignir],Table1[Year],Table1[[#This Row],[Year]])</f>
        <v>6.4753243572705186E-5</v>
      </c>
      <c r="F288" s="23">
        <f>IF(B288=1997, 100, IF(COUNTIF(A$1:A287,A288)=0, "NEW", F287*(1+Table1[[#This Row],[Ávöxtun]])))</f>
        <v>117.97800000000002</v>
      </c>
      <c r="G288" s="18" cm="1">
        <f t="array" ref="G288">IFERROR(_xlfn.IFS(ISNUMBER(Table1[[#This Row],[Column3]]),Table1[[#This Row],[Column3]],Table1[[#This Row],[Column3]]="NEW",Table1[[#This Row],[Column3]]),"")</f>
        <v>117.97800000000002</v>
      </c>
      <c r="H288" s="15" cm="1">
        <f t="array" ref="H288">_xlfn.IFS(Table1[[#This Row],[Column4]]="NEW",AVERAGEIFS(Table1[Column4],Table1[Year],Table1[[#This Row],[Year]]),ISNUMBER(Table1[[#This Row],[Column4]]),Table1[[#This Row],[Column4]],Table1[[#This Row],[Column4]]="",H287*(1+Table1[[#This Row],[Ávöxtun]]))</f>
        <v>117.97800000000002</v>
      </c>
      <c r="I288" cm="1">
        <f t="array" ref="I288">_xlfn.IFS(Table1[[#This Row],[Column4]]="NEW",_xlfn.XLOOKUP(Table1[[#This Row],[Year]],$N$2:$N$27,$P$2:$P$27),ISNUMBER(Table1[[#This Row],[Column4]]),Table1[[#This Row],[Column4]],Table1[[#This Row],[Column4]]="",I287*(1+Table1[[#This Row],[Ávöxtun]]))</f>
        <v>117.97800000000002</v>
      </c>
      <c r="L288" s="33">
        <v>117.97800000000002</v>
      </c>
      <c r="M288" s="33">
        <v>117.97800000000002</v>
      </c>
    </row>
    <row r="289" spans="1:13">
      <c r="A289" t="s">
        <v>81</v>
      </c>
      <c r="B289">
        <v>2001</v>
      </c>
      <c r="C289" s="16">
        <v>0.04</v>
      </c>
      <c r="D289" s="1">
        <v>856495</v>
      </c>
      <c r="E289" s="29">
        <f>Table1[[#This Row],[Ávöxtun]]*Table1[[#This Row],[Eignir]]/SUMIFS(Table1[Eignir],Table1[Year],Table1[[#This Row],[Year]])</f>
        <v>2.9587472820116047E-5</v>
      </c>
      <c r="F289" s="23">
        <f>IF(B289=1997, 100, IF(COUNTIF(A$1:A288,A289)=0, "NEW", F288*(1+Table1[[#This Row],[Ávöxtun]])))</f>
        <v>122.69712000000003</v>
      </c>
      <c r="G289" s="18" cm="1">
        <f t="array" ref="G289">IFERROR(_xlfn.IFS(ISNUMBER(Table1[[#This Row],[Column3]]),Table1[[#This Row],[Column3]],Table1[[#This Row],[Column3]]="NEW",Table1[[#This Row],[Column3]]),"")</f>
        <v>122.69712000000003</v>
      </c>
      <c r="H289" s="15" cm="1">
        <f t="array" ref="H289">_xlfn.IFS(Table1[[#This Row],[Column4]]="NEW",AVERAGEIFS(Table1[Column4],Table1[Year],Table1[[#This Row],[Year]]),ISNUMBER(Table1[[#This Row],[Column4]]),Table1[[#This Row],[Column4]],Table1[[#This Row],[Column4]]="",H288*(1+Table1[[#This Row],[Ávöxtun]]))</f>
        <v>122.69712000000003</v>
      </c>
      <c r="I289" cm="1">
        <f t="array" ref="I289">_xlfn.IFS(Table1[[#This Row],[Column4]]="NEW",_xlfn.XLOOKUP(Table1[[#This Row],[Year]],$N$2:$N$27,$P$2:$P$27),ISNUMBER(Table1[[#This Row],[Column4]]),Table1[[#This Row],[Column4]],Table1[[#This Row],[Column4]]="",I288*(1+Table1[[#This Row],[Ávöxtun]]))</f>
        <v>122.69712000000003</v>
      </c>
      <c r="L289" s="33">
        <v>122.69712000000003</v>
      </c>
      <c r="M289" s="33">
        <v>122.69712000000003</v>
      </c>
    </row>
    <row r="290" spans="1:13">
      <c r="A290" t="s">
        <v>81</v>
      </c>
      <c r="B290">
        <v>2002</v>
      </c>
      <c r="C290" s="16">
        <v>-0.04</v>
      </c>
      <c r="D290" s="1">
        <v>795606</v>
      </c>
      <c r="E290" s="29">
        <f>Table1[[#This Row],[Ávöxtun]]*Table1[[#This Row],[Eignir]]/SUMIFS(Table1[Eignir],Table1[Year],Table1[[#This Row],[Year]])</f>
        <v>-5.0103960893329461E-5</v>
      </c>
      <c r="F290" s="23">
        <f>IF(B290=1997, 100, IF(COUNTIF(A$1:A289,A290)=0, "NEW", F289*(1+Table1[[#This Row],[Ávöxtun]])))</f>
        <v>117.78923520000002</v>
      </c>
      <c r="G290" s="18" cm="1">
        <f t="array" ref="G290">IFERROR(_xlfn.IFS(ISNUMBER(Table1[[#This Row],[Column3]]),Table1[[#This Row],[Column3]],Table1[[#This Row],[Column3]]="NEW",Table1[[#This Row],[Column3]]),"")</f>
        <v>117.78923520000002</v>
      </c>
      <c r="H290" s="15" cm="1">
        <f t="array" ref="H290">_xlfn.IFS(Table1[[#This Row],[Column4]]="NEW",AVERAGEIFS(Table1[Column4],Table1[Year],Table1[[#This Row],[Year]]),ISNUMBER(Table1[[#This Row],[Column4]]),Table1[[#This Row],[Column4]],Table1[[#This Row],[Column4]]="",H289*(1+Table1[[#This Row],[Ávöxtun]]))</f>
        <v>117.78923520000002</v>
      </c>
      <c r="I290" cm="1">
        <f t="array" ref="I290">_xlfn.IFS(Table1[[#This Row],[Column4]]="NEW",_xlfn.XLOOKUP(Table1[[#This Row],[Year]],$N$2:$N$27,$P$2:$P$27),ISNUMBER(Table1[[#This Row],[Column4]]),Table1[[#This Row],[Column4]],Table1[[#This Row],[Column4]]="",I289*(1+Table1[[#This Row],[Ávöxtun]]))</f>
        <v>117.78923520000002</v>
      </c>
      <c r="L290" s="33">
        <v>117.78923520000002</v>
      </c>
      <c r="M290" s="33">
        <v>117.78923520000002</v>
      </c>
    </row>
    <row r="291" spans="1:13">
      <c r="A291" t="s">
        <v>81</v>
      </c>
      <c r="B291">
        <v>2003</v>
      </c>
      <c r="C291" s="16">
        <v>0.13</v>
      </c>
      <c r="D291" s="1">
        <v>886250</v>
      </c>
      <c r="E291" s="29">
        <f>Table1[[#This Row],[Ávöxtun]]*Table1[[#This Row],[Eignir]]/SUMIFS(Table1[Eignir],Table1[Year],Table1[[#This Row],[Year]])</f>
        <v>1.516170610402954E-4</v>
      </c>
      <c r="F291" s="23">
        <f>IF(B291=1997, 100, IF(COUNTIF(A$1:A290,A291)=0, "NEW", F290*(1+Table1[[#This Row],[Ávöxtun]])))</f>
        <v>133.101835776</v>
      </c>
      <c r="G291" s="18" cm="1">
        <f t="array" ref="G291">IFERROR(_xlfn.IFS(ISNUMBER(Table1[[#This Row],[Column3]]),Table1[[#This Row],[Column3]],Table1[[#This Row],[Column3]]="NEW",Table1[[#This Row],[Column3]]),"")</f>
        <v>133.101835776</v>
      </c>
      <c r="H291" s="15" cm="1">
        <f t="array" ref="H291">_xlfn.IFS(Table1[[#This Row],[Column4]]="NEW",AVERAGEIFS(Table1[Column4],Table1[Year],Table1[[#This Row],[Year]]),ISNUMBER(Table1[[#This Row],[Column4]]),Table1[[#This Row],[Column4]],Table1[[#This Row],[Column4]]="",H290*(1+Table1[[#This Row],[Ávöxtun]]))</f>
        <v>133.101835776</v>
      </c>
      <c r="I291" cm="1">
        <f t="array" ref="I291">_xlfn.IFS(Table1[[#This Row],[Column4]]="NEW",_xlfn.XLOOKUP(Table1[[#This Row],[Year]],$N$2:$N$27,$P$2:$P$27),ISNUMBER(Table1[[#This Row],[Column4]]),Table1[[#This Row],[Column4]],Table1[[#This Row],[Column4]]="",I290*(1+Table1[[#This Row],[Ávöxtun]]))</f>
        <v>133.101835776</v>
      </c>
      <c r="L291" s="33">
        <v>133.101835776</v>
      </c>
      <c r="M291" s="33">
        <v>133.101835776</v>
      </c>
    </row>
    <row r="292" spans="1:13">
      <c r="A292" t="s">
        <v>81</v>
      </c>
      <c r="B292">
        <v>2004</v>
      </c>
      <c r="C292" s="16">
        <v>0.09</v>
      </c>
      <c r="D292" s="1">
        <v>948503</v>
      </c>
      <c r="E292" s="29">
        <f>Table1[[#This Row],[Ávöxtun]]*Table1[[#This Row],[Eignir]]/SUMIFS(Table1[Eignir],Table1[Year],Table1[[#This Row],[Year]])</f>
        <v>9.4048751223128806E-5</v>
      </c>
      <c r="F292" s="23">
        <f>IF(B292=1997, 100, IF(COUNTIF(A$1:A291,A292)=0, "NEW", F291*(1+Table1[[#This Row],[Ávöxtun]])))</f>
        <v>145.08100099584001</v>
      </c>
      <c r="G292" s="18" cm="1">
        <f t="array" ref="G292">IFERROR(_xlfn.IFS(ISNUMBER(Table1[[#This Row],[Column3]]),Table1[[#This Row],[Column3]],Table1[[#This Row],[Column3]]="NEW",Table1[[#This Row],[Column3]]),"")</f>
        <v>145.08100099584001</v>
      </c>
      <c r="H292" s="15" cm="1">
        <f t="array" ref="H292">_xlfn.IFS(Table1[[#This Row],[Column4]]="NEW",AVERAGEIFS(Table1[Column4],Table1[Year],Table1[[#This Row],[Year]]),ISNUMBER(Table1[[#This Row],[Column4]]),Table1[[#This Row],[Column4]],Table1[[#This Row],[Column4]]="",H291*(1+Table1[[#This Row],[Ávöxtun]]))</f>
        <v>145.08100099584001</v>
      </c>
      <c r="I292" cm="1">
        <f t="array" ref="I292">_xlfn.IFS(Table1[[#This Row],[Column4]]="NEW",_xlfn.XLOOKUP(Table1[[#This Row],[Year]],$N$2:$N$27,$P$2:$P$27),ISNUMBER(Table1[[#This Row],[Column4]]),Table1[[#This Row],[Column4]],Table1[[#This Row],[Column4]]="",I291*(1+Table1[[#This Row],[Ávöxtun]]))</f>
        <v>145.08100099584001</v>
      </c>
      <c r="L292" s="33">
        <v>145.08100099584001</v>
      </c>
      <c r="M292" s="33">
        <v>145.08100099584001</v>
      </c>
    </row>
    <row r="293" spans="1:13">
      <c r="A293" t="s">
        <v>81</v>
      </c>
      <c r="B293">
        <v>2005</v>
      </c>
      <c r="C293" s="16">
        <v>0.1</v>
      </c>
      <c r="D293" s="1">
        <v>1044473</v>
      </c>
      <c r="E293" s="29">
        <f>Table1[[#This Row],[Ávöxtun]]*Table1[[#This Row],[Eignir]]/SUMIFS(Table1[Eignir],Table1[Year],Table1[[#This Row],[Year]])</f>
        <v>9.3145264072584183E-5</v>
      </c>
      <c r="F293" s="23">
        <f>IF(B293=1997, 100, IF(COUNTIF(A$1:A292,A293)=0, "NEW", F292*(1+Table1[[#This Row],[Ávöxtun]])))</f>
        <v>159.58910109542404</v>
      </c>
      <c r="G293" s="18" cm="1">
        <f t="array" ref="G293">IFERROR(_xlfn.IFS(ISNUMBER(Table1[[#This Row],[Column3]]),Table1[[#This Row],[Column3]],Table1[[#This Row],[Column3]]="NEW",Table1[[#This Row],[Column3]]),"")</f>
        <v>159.58910109542404</v>
      </c>
      <c r="H293" s="15" cm="1">
        <f t="array" ref="H293">_xlfn.IFS(Table1[[#This Row],[Column4]]="NEW",AVERAGEIFS(Table1[Column4],Table1[Year],Table1[[#This Row],[Year]]),ISNUMBER(Table1[[#This Row],[Column4]]),Table1[[#This Row],[Column4]],Table1[[#This Row],[Column4]]="",H292*(1+Table1[[#This Row],[Ávöxtun]]))</f>
        <v>159.58910109542404</v>
      </c>
      <c r="I293" cm="1">
        <f t="array" ref="I293">_xlfn.IFS(Table1[[#This Row],[Column4]]="NEW",_xlfn.XLOOKUP(Table1[[#This Row],[Year]],$N$2:$N$27,$P$2:$P$27),ISNUMBER(Table1[[#This Row],[Column4]]),Table1[[#This Row],[Column4]],Table1[[#This Row],[Column4]]="",I292*(1+Table1[[#This Row],[Ávöxtun]]))</f>
        <v>159.58910109542404</v>
      </c>
      <c r="L293" s="33">
        <v>159.58910109542404</v>
      </c>
      <c r="M293" s="33">
        <v>159.58910109542404</v>
      </c>
    </row>
    <row r="294" spans="1:13">
      <c r="A294" t="s">
        <v>81</v>
      </c>
      <c r="B294">
        <v>2006</v>
      </c>
      <c r="C294" s="16">
        <v>8.0700000000000008E-2</v>
      </c>
      <c r="D294" s="1">
        <v>1210212</v>
      </c>
      <c r="E294" s="29">
        <f>Table1[[#This Row],[Ávöxtun]]*Table1[[#This Row],[Eignir]]/SUMIFS(Table1[Eignir],Table1[Year],Table1[[#This Row],[Year]])</f>
        <v>7.114871536585293E-5</v>
      </c>
      <c r="F294" s="23">
        <f>IF(B294=1997, 100, IF(COUNTIF(A$1:A293,A294)=0, "NEW", F293*(1+Table1[[#This Row],[Ávöxtun]])))</f>
        <v>172.46794155382477</v>
      </c>
      <c r="G294" s="18" cm="1">
        <f t="array" ref="G294">IFERROR(_xlfn.IFS(ISNUMBER(Table1[[#This Row],[Column3]]),Table1[[#This Row],[Column3]],Table1[[#This Row],[Column3]]="NEW",Table1[[#This Row],[Column3]]),"")</f>
        <v>172.46794155382477</v>
      </c>
      <c r="H294" s="15" cm="1">
        <f t="array" ref="H294">_xlfn.IFS(Table1[[#This Row],[Column4]]="NEW",AVERAGEIFS(Table1[Column4],Table1[Year],Table1[[#This Row],[Year]]),ISNUMBER(Table1[[#This Row],[Column4]]),Table1[[#This Row],[Column4]],Table1[[#This Row],[Column4]]="",H293*(1+Table1[[#This Row],[Ávöxtun]]))</f>
        <v>172.46794155382477</v>
      </c>
      <c r="I294" cm="1">
        <f t="array" ref="I294">_xlfn.IFS(Table1[[#This Row],[Column4]]="NEW",_xlfn.XLOOKUP(Table1[[#This Row],[Year]],$N$2:$N$27,$P$2:$P$27),ISNUMBER(Table1[[#This Row],[Column4]]),Table1[[#This Row],[Column4]],Table1[[#This Row],[Column4]]="",I293*(1+Table1[[#This Row],[Ávöxtun]]))</f>
        <v>172.46794155382477</v>
      </c>
      <c r="L294" s="33">
        <v>172.46794155382477</v>
      </c>
      <c r="M294" s="33">
        <v>172.46794155382477</v>
      </c>
    </row>
    <row r="295" spans="1:13">
      <c r="A295" t="s">
        <v>81</v>
      </c>
      <c r="B295">
        <v>2007</v>
      </c>
      <c r="C295" s="16">
        <v>1.43E-2</v>
      </c>
      <c r="D295" s="1">
        <v>1166026</v>
      </c>
      <c r="E295" s="29">
        <f>Table1[[#This Row],[Ávöxtun]]*Table1[[#This Row],[Eignir]]/SUMIFS(Table1[Eignir],Table1[Year],Table1[[#This Row],[Year]])</f>
        <v>1.0782517788095021E-5</v>
      </c>
      <c r="F295" s="23">
        <f>IF(B295=1997, 100, IF(COUNTIF(A$1:A294,A295)=0, "NEW", F294*(1+Table1[[#This Row],[Ávöxtun]])))</f>
        <v>174.93423311804446</v>
      </c>
      <c r="G295" s="18" cm="1">
        <f t="array" ref="G295">IFERROR(_xlfn.IFS(ISNUMBER(Table1[[#This Row],[Column3]]),Table1[[#This Row],[Column3]],Table1[[#This Row],[Column3]]="NEW",Table1[[#This Row],[Column3]]),"")</f>
        <v>174.93423311804446</v>
      </c>
      <c r="H295" s="15" cm="1">
        <f t="array" ref="H295">_xlfn.IFS(Table1[[#This Row],[Column4]]="NEW",AVERAGEIFS(Table1[Column4],Table1[Year],Table1[[#This Row],[Year]]),ISNUMBER(Table1[[#This Row],[Column4]]),Table1[[#This Row],[Column4]],Table1[[#This Row],[Column4]]="",H294*(1+Table1[[#This Row],[Ávöxtun]]))</f>
        <v>174.93423311804446</v>
      </c>
      <c r="I295" cm="1">
        <f t="array" ref="I295">_xlfn.IFS(Table1[[#This Row],[Column4]]="NEW",_xlfn.XLOOKUP(Table1[[#This Row],[Year]],$N$2:$N$27,$P$2:$P$27),ISNUMBER(Table1[[#This Row],[Column4]]),Table1[[#This Row],[Column4]],Table1[[#This Row],[Column4]]="",I294*(1+Table1[[#This Row],[Ávöxtun]]))</f>
        <v>174.93423311804446</v>
      </c>
      <c r="L295" s="33">
        <v>174.93423311804446</v>
      </c>
      <c r="M295" s="33">
        <v>174.93423311804446</v>
      </c>
    </row>
    <row r="296" spans="1:13">
      <c r="A296" t="s">
        <v>81</v>
      </c>
      <c r="B296">
        <v>2008</v>
      </c>
      <c r="C296" s="16">
        <v>-0.28350000000000003</v>
      </c>
      <c r="D296" s="1">
        <v>894663</v>
      </c>
      <c r="E296" s="29">
        <f>Table1[[#This Row],[Ávöxtun]]*Table1[[#This Row],[Eignir]]/SUMIFS(Table1[Eignir],Table1[Year],Table1[[#This Row],[Year]])</f>
        <v>-1.6939419488754635E-4</v>
      </c>
      <c r="F296" s="23">
        <f>IF(B296=1997, 100, IF(COUNTIF(A$1:A295,A296)=0, "NEW", F295*(1+Table1[[#This Row],[Ávöxtun]])))</f>
        <v>125.34037802907883</v>
      </c>
      <c r="G296" s="18" cm="1">
        <f t="array" ref="G296">IFERROR(_xlfn.IFS(ISNUMBER(Table1[[#This Row],[Column3]]),Table1[[#This Row],[Column3]],Table1[[#This Row],[Column3]]="NEW",Table1[[#This Row],[Column3]]),"")</f>
        <v>125.34037802907883</v>
      </c>
      <c r="H296" s="15" cm="1">
        <f t="array" ref="H296">_xlfn.IFS(Table1[[#This Row],[Column4]]="NEW",AVERAGEIFS(Table1[Column4],Table1[Year],Table1[[#This Row],[Year]]),ISNUMBER(Table1[[#This Row],[Column4]]),Table1[[#This Row],[Column4]],Table1[[#This Row],[Column4]]="",H295*(1+Table1[[#This Row],[Ávöxtun]]))</f>
        <v>125.34037802907883</v>
      </c>
      <c r="I296" cm="1">
        <f t="array" ref="I296">_xlfn.IFS(Table1[[#This Row],[Column4]]="NEW",_xlfn.XLOOKUP(Table1[[#This Row],[Year]],$N$2:$N$27,$P$2:$P$27),ISNUMBER(Table1[[#This Row],[Column4]]),Table1[[#This Row],[Column4]],Table1[[#This Row],[Column4]]="",I295*(1+Table1[[#This Row],[Ávöxtun]]))</f>
        <v>125.34037802907883</v>
      </c>
      <c r="L296" s="33">
        <v>125.34037802907883</v>
      </c>
      <c r="M296" s="33">
        <v>125.34037802907883</v>
      </c>
    </row>
    <row r="297" spans="1:13">
      <c r="A297" t="s">
        <v>81</v>
      </c>
      <c r="B297">
        <v>2009</v>
      </c>
      <c r="C297" s="16">
        <v>4.1100000000000005E-2</v>
      </c>
      <c r="D297" s="1">
        <v>926331</v>
      </c>
      <c r="E297" s="29">
        <f>Table1[[#This Row],[Ávöxtun]]*Table1[[#This Row],[Eignir]]/SUMIFS(Table1[Eignir],Table1[Year],Table1[[#This Row],[Year]])</f>
        <v>2.2821527577098182E-5</v>
      </c>
      <c r="F297" s="23">
        <f>IF(B297=1997, 100, IF(COUNTIF(A$1:A296,A297)=0, "NEW", F296*(1+Table1[[#This Row],[Ávöxtun]])))</f>
        <v>130.49186756607398</v>
      </c>
      <c r="G297" s="18" cm="1">
        <f t="array" ref="G297">IFERROR(_xlfn.IFS(ISNUMBER(Table1[[#This Row],[Column3]]),Table1[[#This Row],[Column3]],Table1[[#This Row],[Column3]]="NEW",Table1[[#This Row],[Column3]]),"")</f>
        <v>130.49186756607398</v>
      </c>
      <c r="H297" s="15" cm="1">
        <f t="array" ref="H297">_xlfn.IFS(Table1[[#This Row],[Column4]]="NEW",AVERAGEIFS(Table1[Column4],Table1[Year],Table1[[#This Row],[Year]]),ISNUMBER(Table1[[#This Row],[Column4]]),Table1[[#This Row],[Column4]],Table1[[#This Row],[Column4]]="",H296*(1+Table1[[#This Row],[Ávöxtun]]))</f>
        <v>130.49186756607398</v>
      </c>
      <c r="I297" cm="1">
        <f t="array" ref="I297">_xlfn.IFS(Table1[[#This Row],[Column4]]="NEW",_xlfn.XLOOKUP(Table1[[#This Row],[Year]],$N$2:$N$27,$P$2:$P$27),ISNUMBER(Table1[[#This Row],[Column4]]),Table1[[#This Row],[Column4]],Table1[[#This Row],[Column4]]="",I296*(1+Table1[[#This Row],[Ávöxtun]]))</f>
        <v>130.49186756607398</v>
      </c>
      <c r="L297" s="33">
        <v>130.49186756607398</v>
      </c>
      <c r="M297" s="33">
        <v>130.49186756607398</v>
      </c>
    </row>
    <row r="298" spans="1:13">
      <c r="A298" t="s">
        <v>81</v>
      </c>
      <c r="B298">
        <v>2010</v>
      </c>
      <c r="C298" s="16">
        <v>4.9200000000000001E-2</v>
      </c>
      <c r="D298" s="1">
        <v>919510</v>
      </c>
      <c r="E298" s="29">
        <f>Table1[[#This Row],[Ávöxtun]]*Table1[[#This Row],[Eignir]]/SUMIFS(Table1[Eignir],Table1[Year],Table1[[#This Row],[Year]])</f>
        <v>2.5304973780150228E-5</v>
      </c>
      <c r="F298" s="23">
        <f>IF(B298=1997, 100, IF(COUNTIF(A$1:A297,A298)=0, "NEW", F297*(1+Table1[[#This Row],[Ávöxtun]])))</f>
        <v>136.9120674503248</v>
      </c>
      <c r="G298" s="18" cm="1">
        <f t="array" ref="G298">IFERROR(_xlfn.IFS(ISNUMBER(Table1[[#This Row],[Column3]]),Table1[[#This Row],[Column3]],Table1[[#This Row],[Column3]]="NEW",Table1[[#This Row],[Column3]]),"")</f>
        <v>136.9120674503248</v>
      </c>
      <c r="H298" s="15" cm="1">
        <f t="array" ref="H298">_xlfn.IFS(Table1[[#This Row],[Column4]]="NEW",AVERAGEIFS(Table1[Column4],Table1[Year],Table1[[#This Row],[Year]]),ISNUMBER(Table1[[#This Row],[Column4]]),Table1[[#This Row],[Column4]],Table1[[#This Row],[Column4]]="",H297*(1+Table1[[#This Row],[Ávöxtun]]))</f>
        <v>136.9120674503248</v>
      </c>
      <c r="I298" cm="1">
        <f t="array" ref="I298">_xlfn.IFS(Table1[[#This Row],[Column4]]="NEW",_xlfn.XLOOKUP(Table1[[#This Row],[Year]],$N$2:$N$27,$P$2:$P$27),ISNUMBER(Table1[[#This Row],[Column4]]),Table1[[#This Row],[Column4]],Table1[[#This Row],[Column4]]="",I297*(1+Table1[[#This Row],[Ávöxtun]]))</f>
        <v>136.9120674503248</v>
      </c>
      <c r="L298" s="33">
        <v>136.9120674503248</v>
      </c>
      <c r="M298" s="33">
        <v>136.9120674503248</v>
      </c>
    </row>
    <row r="299" spans="1:13">
      <c r="A299" t="s">
        <v>81</v>
      </c>
      <c r="B299">
        <v>2011</v>
      </c>
      <c r="C299" s="16">
        <v>2.3E-2</v>
      </c>
      <c r="D299" s="1">
        <v>908140</v>
      </c>
      <c r="E299" s="29">
        <f>Table1[[#This Row],[Ávöxtun]]*Table1[[#This Row],[Eignir]]/SUMIFS(Table1[Eignir],Table1[Year],Table1[[#This Row],[Year]])</f>
        <v>1.0708326041277818E-5</v>
      </c>
      <c r="F299" s="23">
        <f>IF(B299=1997, 100, IF(COUNTIF(A$1:A298,A299)=0, "NEW", F298*(1+Table1[[#This Row],[Ávöxtun]])))</f>
        <v>140.06104500168226</v>
      </c>
      <c r="G299" s="18" cm="1">
        <f t="array" ref="G299">IFERROR(_xlfn.IFS(ISNUMBER(Table1[[#This Row],[Column3]]),Table1[[#This Row],[Column3]],Table1[[#This Row],[Column3]]="NEW",Table1[[#This Row],[Column3]]),"")</f>
        <v>140.06104500168226</v>
      </c>
      <c r="H299" s="15" cm="1">
        <f t="array" ref="H299">_xlfn.IFS(Table1[[#This Row],[Column4]]="NEW",AVERAGEIFS(Table1[Column4],Table1[Year],Table1[[#This Row],[Year]]),ISNUMBER(Table1[[#This Row],[Column4]]),Table1[[#This Row],[Column4]],Table1[[#This Row],[Column4]]="",H298*(1+Table1[[#This Row],[Ávöxtun]]))</f>
        <v>140.06104500168226</v>
      </c>
      <c r="I299" cm="1">
        <f t="array" ref="I299">_xlfn.IFS(Table1[[#This Row],[Column4]]="NEW",_xlfn.XLOOKUP(Table1[[#This Row],[Year]],$N$2:$N$27,$P$2:$P$27),ISNUMBER(Table1[[#This Row],[Column4]]),Table1[[#This Row],[Column4]],Table1[[#This Row],[Column4]]="",I298*(1+Table1[[#This Row],[Ávöxtun]]))</f>
        <v>140.06104500168226</v>
      </c>
      <c r="L299" s="33">
        <v>140.06104500168226</v>
      </c>
      <c r="M299" s="33">
        <v>140.06104500168226</v>
      </c>
    </row>
    <row r="300" spans="1:13">
      <c r="A300" t="s">
        <v>81</v>
      </c>
      <c r="B300">
        <v>2012</v>
      </c>
      <c r="C300" s="16">
        <v>3.1000000000000003E-2</v>
      </c>
      <c r="D300" s="1">
        <v>1028772</v>
      </c>
      <c r="E300" s="29">
        <f>Table1[[#This Row],[Ávöxtun]]*Table1[[#This Row],[Eignir]]/SUMIFS(Table1[Eignir],Table1[Year],Table1[[#This Row],[Year]])</f>
        <v>1.4477623656162461E-5</v>
      </c>
      <c r="F300" s="23">
        <f>IF(B300=1997, 100, IF(COUNTIF(A$1:A299,A300)=0, "NEW", F299*(1+Table1[[#This Row],[Ávöxtun]])))</f>
        <v>144.40293739673439</v>
      </c>
      <c r="G300" s="18" cm="1">
        <f t="array" ref="G300">IFERROR(_xlfn.IFS(ISNUMBER(Table1[[#This Row],[Column3]]),Table1[[#This Row],[Column3]],Table1[[#This Row],[Column3]]="NEW",Table1[[#This Row],[Column3]]),"")</f>
        <v>144.40293739673439</v>
      </c>
      <c r="H300" s="15" cm="1">
        <f t="array" ref="H300">_xlfn.IFS(Table1[[#This Row],[Column4]]="NEW",AVERAGEIFS(Table1[Column4],Table1[Year],Table1[[#This Row],[Year]]),ISNUMBER(Table1[[#This Row],[Column4]]),Table1[[#This Row],[Column4]],Table1[[#This Row],[Column4]]="",H299*(1+Table1[[#This Row],[Ávöxtun]]))</f>
        <v>144.40293739673439</v>
      </c>
      <c r="I300" cm="1">
        <f t="array" ref="I300">_xlfn.IFS(Table1[[#This Row],[Column4]]="NEW",_xlfn.XLOOKUP(Table1[[#This Row],[Year]],$N$2:$N$27,$P$2:$P$27),ISNUMBER(Table1[[#This Row],[Column4]]),Table1[[#This Row],[Column4]],Table1[[#This Row],[Column4]]="",I299*(1+Table1[[#This Row],[Ávöxtun]]))</f>
        <v>144.40293739673439</v>
      </c>
      <c r="L300" s="33">
        <v>144.40293739673439</v>
      </c>
      <c r="M300" s="33">
        <v>144.40293739673439</v>
      </c>
    </row>
    <row r="301" spans="1:13">
      <c r="A301" t="s">
        <v>82</v>
      </c>
      <c r="B301">
        <v>1997</v>
      </c>
      <c r="C301" s="16">
        <v>7.0000000000000007E-2</v>
      </c>
      <c r="D301" s="1">
        <v>1522875.97</v>
      </c>
      <c r="E301" s="29">
        <f>Table1[[#This Row],[Ávöxtun]]*Table1[[#This Row],[Eignir]]/SUMIFS(Table1[Eignir],Table1[Year],Table1[[#This Row],[Year]])</f>
        <v>3.1443465965377257E-4</v>
      </c>
      <c r="F301" s="23">
        <f>IF(B301=1997, 100, IF(COUNTIF(A$1:A300,A301)=0, "NEW", F300*(1+Table1[[#This Row],[Ávöxtun]])))</f>
        <v>100</v>
      </c>
      <c r="G301" s="18" cm="1">
        <f t="array" ref="G301">IFERROR(_xlfn.IFS(ISNUMBER(Table1[[#This Row],[Column3]]),Table1[[#This Row],[Column3]],Table1[[#This Row],[Column3]]="NEW",Table1[[#This Row],[Column3]]),"")</f>
        <v>100</v>
      </c>
      <c r="H301" s="15" cm="1">
        <f t="array" ref="H301">_xlfn.IFS(Table1[[#This Row],[Column4]]="NEW",AVERAGEIFS(Table1[Column4],Table1[Year],Table1[[#This Row],[Year]]),ISNUMBER(Table1[[#This Row],[Column4]]),Table1[[#This Row],[Column4]],Table1[[#This Row],[Column4]]="",H300*(1+Table1[[#This Row],[Ávöxtun]]))</f>
        <v>100</v>
      </c>
      <c r="I301" cm="1">
        <f t="array" ref="I301">_xlfn.IFS(Table1[[#This Row],[Column4]]="NEW",_xlfn.XLOOKUP(Table1[[#This Row],[Year]],$N$2:$N$27,$P$2:$P$27),ISNUMBER(Table1[[#This Row],[Column4]]),Table1[[#This Row],[Column4]],Table1[[#This Row],[Column4]]="",I300*(1+Table1[[#This Row],[Ávöxtun]]))</f>
        <v>100</v>
      </c>
      <c r="L301" s="33">
        <v>100</v>
      </c>
      <c r="M301" s="33">
        <v>100</v>
      </c>
    </row>
    <row r="302" spans="1:13">
      <c r="A302" t="s">
        <v>82</v>
      </c>
      <c r="B302">
        <v>1998</v>
      </c>
      <c r="C302" s="16">
        <v>7.0000000000000007E-2</v>
      </c>
      <c r="D302" s="1">
        <v>1683730.15</v>
      </c>
      <c r="E302" s="29">
        <f>Table1[[#This Row],[Ávöxtun]]*Table1[[#This Row],[Eignir]]/SUMIFS(Table1[Eignir],Table1[Year],Table1[[#This Row],[Year]])</f>
        <v>3.0094638461424178E-4</v>
      </c>
      <c r="F302" s="23">
        <f>IF(B302=1997, 100, IF(COUNTIF(A$1:A301,A302)=0, "NEW", F301*(1+Table1[[#This Row],[Ávöxtun]])))</f>
        <v>107</v>
      </c>
      <c r="G302" s="18" cm="1">
        <f t="array" ref="G302">IFERROR(_xlfn.IFS(ISNUMBER(Table1[[#This Row],[Column3]]),Table1[[#This Row],[Column3]],Table1[[#This Row],[Column3]]="NEW",Table1[[#This Row],[Column3]]),"")</f>
        <v>107</v>
      </c>
      <c r="H302" s="15" cm="1">
        <f t="array" ref="H302">_xlfn.IFS(Table1[[#This Row],[Column4]]="NEW",AVERAGEIFS(Table1[Column4],Table1[Year],Table1[[#This Row],[Year]]),ISNUMBER(Table1[[#This Row],[Column4]]),Table1[[#This Row],[Column4]],Table1[[#This Row],[Column4]]="",H301*(1+Table1[[#This Row],[Ávöxtun]]))</f>
        <v>107</v>
      </c>
      <c r="I302" cm="1">
        <f t="array" ref="I302">_xlfn.IFS(Table1[[#This Row],[Column4]]="NEW",_xlfn.XLOOKUP(Table1[[#This Row],[Year]],$N$2:$N$27,$P$2:$P$27),ISNUMBER(Table1[[#This Row],[Column4]]),Table1[[#This Row],[Column4]],Table1[[#This Row],[Column4]]="",I301*(1+Table1[[#This Row],[Ávöxtun]]))</f>
        <v>107</v>
      </c>
      <c r="L302" s="33">
        <v>107</v>
      </c>
      <c r="M302" s="33">
        <v>107</v>
      </c>
    </row>
    <row r="303" spans="1:13">
      <c r="A303" t="s">
        <v>82</v>
      </c>
      <c r="B303">
        <v>1999</v>
      </c>
      <c r="C303" s="16">
        <v>0.08</v>
      </c>
      <c r="D303" s="1">
        <v>1969065.52</v>
      </c>
      <c r="E303" s="29">
        <f>Table1[[#This Row],[Ávöxtun]]*Table1[[#This Row],[Eignir]]/SUMIFS(Table1[Eignir],Table1[Year],Table1[[#This Row],[Year]])</f>
        <v>3.025162160775169E-4</v>
      </c>
      <c r="F303" s="23">
        <f>IF(B303=1997, 100, IF(COUNTIF(A$1:A302,A303)=0, "NEW", F302*(1+Table1[[#This Row],[Ávöxtun]])))</f>
        <v>115.56</v>
      </c>
      <c r="G303" s="18" cm="1">
        <f t="array" ref="G303">IFERROR(_xlfn.IFS(ISNUMBER(Table1[[#This Row],[Column3]]),Table1[[#This Row],[Column3]],Table1[[#This Row],[Column3]]="NEW",Table1[[#This Row],[Column3]]),"")</f>
        <v>115.56</v>
      </c>
      <c r="H303" s="15" cm="1">
        <f t="array" ref="H303">_xlfn.IFS(Table1[[#This Row],[Column4]]="NEW",AVERAGEIFS(Table1[Column4],Table1[Year],Table1[[#This Row],[Year]]),ISNUMBER(Table1[[#This Row],[Column4]]),Table1[[#This Row],[Column4]],Table1[[#This Row],[Column4]]="",H302*(1+Table1[[#This Row],[Ávöxtun]]))</f>
        <v>115.56</v>
      </c>
      <c r="I303" cm="1">
        <f t="array" ref="I303">_xlfn.IFS(Table1[[#This Row],[Column4]]="NEW",_xlfn.XLOOKUP(Table1[[#This Row],[Year]],$N$2:$N$27,$P$2:$P$27),ISNUMBER(Table1[[#This Row],[Column4]]),Table1[[#This Row],[Column4]],Table1[[#This Row],[Column4]]="",I302*(1+Table1[[#This Row],[Ávöxtun]]))</f>
        <v>115.56</v>
      </c>
      <c r="L303" s="33">
        <v>115.56</v>
      </c>
      <c r="M303" s="33">
        <v>115.56</v>
      </c>
    </row>
    <row r="304" spans="1:13">
      <c r="A304" t="s">
        <v>82</v>
      </c>
      <c r="B304">
        <v>2000</v>
      </c>
      <c r="C304" s="16">
        <v>-0.06</v>
      </c>
      <c r="D304" s="1">
        <v>1977470.53</v>
      </c>
      <c r="E304" s="29">
        <f>Table1[[#This Row],[Ávöxtun]]*Table1[[#This Row],[Eignir]]/SUMIFS(Table1[Eignir],Table1[Year],Table1[[#This Row],[Year]])</f>
        <v>-1.6690103962558993E-4</v>
      </c>
      <c r="F304" s="23">
        <f>IF(B304=1997, 100, IF(COUNTIF(A$1:A303,A304)=0, "NEW", F303*(1+Table1[[#This Row],[Ávöxtun]])))</f>
        <v>108.62639999999999</v>
      </c>
      <c r="G304" s="18" cm="1">
        <f t="array" ref="G304">IFERROR(_xlfn.IFS(ISNUMBER(Table1[[#This Row],[Column3]]),Table1[[#This Row],[Column3]],Table1[[#This Row],[Column3]]="NEW",Table1[[#This Row],[Column3]]),"")</f>
        <v>108.62639999999999</v>
      </c>
      <c r="H304" s="15" cm="1">
        <f t="array" ref="H304">_xlfn.IFS(Table1[[#This Row],[Column4]]="NEW",AVERAGEIFS(Table1[Column4],Table1[Year],Table1[[#This Row],[Year]]),ISNUMBER(Table1[[#This Row],[Column4]]),Table1[[#This Row],[Column4]],Table1[[#This Row],[Column4]]="",H303*(1+Table1[[#This Row],[Ávöxtun]]))</f>
        <v>108.62639999999999</v>
      </c>
      <c r="I304" cm="1">
        <f t="array" ref="I304">_xlfn.IFS(Table1[[#This Row],[Column4]]="NEW",_xlfn.XLOOKUP(Table1[[#This Row],[Year]],$N$2:$N$27,$P$2:$P$27),ISNUMBER(Table1[[#This Row],[Column4]]),Table1[[#This Row],[Column4]],Table1[[#This Row],[Column4]]="",I303*(1+Table1[[#This Row],[Ávöxtun]]))</f>
        <v>108.62639999999999</v>
      </c>
      <c r="L304" s="33">
        <v>108.62639999999999</v>
      </c>
      <c r="M304" s="33">
        <v>108.62639999999999</v>
      </c>
    </row>
    <row r="305" spans="1:13">
      <c r="A305" t="s">
        <v>82</v>
      </c>
      <c r="B305">
        <v>2001</v>
      </c>
      <c r="C305" s="16">
        <v>-0.04</v>
      </c>
      <c r="D305" s="1">
        <v>2090302</v>
      </c>
      <c r="E305" s="29">
        <f>Table1[[#This Row],[Ávöxtun]]*Table1[[#This Row],[Eignir]]/SUMIFS(Table1[Eignir],Table1[Year],Table1[[#This Row],[Year]])</f>
        <v>-7.2209123942152859E-5</v>
      </c>
      <c r="F305" s="23">
        <f>IF(B305=1997, 100, IF(COUNTIF(A$1:A304,A305)=0, "NEW", F304*(1+Table1[[#This Row],[Ávöxtun]])))</f>
        <v>104.28134399999999</v>
      </c>
      <c r="G305" s="18" cm="1">
        <f t="array" ref="G305">IFERROR(_xlfn.IFS(ISNUMBER(Table1[[#This Row],[Column3]]),Table1[[#This Row],[Column3]],Table1[[#This Row],[Column3]]="NEW",Table1[[#This Row],[Column3]]),"")</f>
        <v>104.28134399999999</v>
      </c>
      <c r="H305" s="15" cm="1">
        <f t="array" ref="H305">_xlfn.IFS(Table1[[#This Row],[Column4]]="NEW",AVERAGEIFS(Table1[Column4],Table1[Year],Table1[[#This Row],[Year]]),ISNUMBER(Table1[[#This Row],[Column4]]),Table1[[#This Row],[Column4]],Table1[[#This Row],[Column4]]="",H304*(1+Table1[[#This Row],[Ávöxtun]]))</f>
        <v>104.28134399999999</v>
      </c>
      <c r="I305" cm="1">
        <f t="array" ref="I305">_xlfn.IFS(Table1[[#This Row],[Column4]]="NEW",_xlfn.XLOOKUP(Table1[[#This Row],[Year]],$N$2:$N$27,$P$2:$P$27),ISNUMBER(Table1[[#This Row],[Column4]]),Table1[[#This Row],[Column4]],Table1[[#This Row],[Column4]]="",I304*(1+Table1[[#This Row],[Ávöxtun]]))</f>
        <v>104.28134399999999</v>
      </c>
      <c r="L305" s="33">
        <v>104.28134399999999</v>
      </c>
      <c r="M305" s="33">
        <v>104.28134399999999</v>
      </c>
    </row>
    <row r="306" spans="1:13">
      <c r="A306" t="s">
        <v>82</v>
      </c>
      <c r="B306">
        <v>2002</v>
      </c>
      <c r="C306" s="16">
        <v>-0.08</v>
      </c>
      <c r="D306" s="1">
        <v>2003247</v>
      </c>
      <c r="E306" s="29">
        <f>Table1[[#This Row],[Ávöxtun]]*Table1[[#This Row],[Eignir]]/SUMIFS(Table1[Eignir],Table1[Year],Table1[[#This Row],[Year]])</f>
        <v>-2.5231234894578365E-4</v>
      </c>
      <c r="F306" s="23">
        <f>IF(B306=1997, 100, IF(COUNTIF(A$1:A305,A306)=0, "NEW", F305*(1+Table1[[#This Row],[Ávöxtun]])))</f>
        <v>95.938836479999992</v>
      </c>
      <c r="G306" s="18" cm="1">
        <f t="array" ref="G306">IFERROR(_xlfn.IFS(ISNUMBER(Table1[[#This Row],[Column3]]),Table1[[#This Row],[Column3]],Table1[[#This Row],[Column3]]="NEW",Table1[[#This Row],[Column3]]),"")</f>
        <v>95.938836479999992</v>
      </c>
      <c r="H306" s="15" cm="1">
        <f t="array" ref="H306">_xlfn.IFS(Table1[[#This Row],[Column4]]="NEW",AVERAGEIFS(Table1[Column4],Table1[Year],Table1[[#This Row],[Year]]),ISNUMBER(Table1[[#This Row],[Column4]]),Table1[[#This Row],[Column4]],Table1[[#This Row],[Column4]]="",H305*(1+Table1[[#This Row],[Ávöxtun]]))</f>
        <v>95.938836479999992</v>
      </c>
      <c r="I306" cm="1">
        <f t="array" ref="I306">_xlfn.IFS(Table1[[#This Row],[Column4]]="NEW",_xlfn.XLOOKUP(Table1[[#This Row],[Year]],$N$2:$N$27,$P$2:$P$27),ISNUMBER(Table1[[#This Row],[Column4]]),Table1[[#This Row],[Column4]],Table1[[#This Row],[Column4]]="",I305*(1+Table1[[#This Row],[Ávöxtun]]))</f>
        <v>95.938836479999992</v>
      </c>
      <c r="L306" s="33">
        <v>95.938836479999992</v>
      </c>
      <c r="M306" s="33">
        <v>95.938836479999992</v>
      </c>
    </row>
    <row r="307" spans="1:13">
      <c r="A307" t="s">
        <v>82</v>
      </c>
      <c r="B307">
        <v>2003</v>
      </c>
      <c r="C307" s="16">
        <v>0.09</v>
      </c>
      <c r="D307" s="1">
        <v>2279171</v>
      </c>
      <c r="E307" s="29">
        <f>Table1[[#This Row],[Ávöxtun]]*Table1[[#This Row],[Eignir]]/SUMIFS(Table1[Eignir],Table1[Year],Table1[[#This Row],[Year]])</f>
        <v>2.6994040383243481E-4</v>
      </c>
      <c r="F307" s="23">
        <f>IF(B307=1997, 100, IF(COUNTIF(A$1:A306,A307)=0, "NEW", F306*(1+Table1[[#This Row],[Ávöxtun]])))</f>
        <v>104.5733317632</v>
      </c>
      <c r="G307" s="18" cm="1">
        <f t="array" ref="G307">IFERROR(_xlfn.IFS(ISNUMBER(Table1[[#This Row],[Column3]]),Table1[[#This Row],[Column3]],Table1[[#This Row],[Column3]]="NEW",Table1[[#This Row],[Column3]]),"")</f>
        <v>104.5733317632</v>
      </c>
      <c r="H307" s="15" cm="1">
        <f t="array" ref="H307">_xlfn.IFS(Table1[[#This Row],[Column4]]="NEW",AVERAGEIFS(Table1[Column4],Table1[Year],Table1[[#This Row],[Year]]),ISNUMBER(Table1[[#This Row],[Column4]]),Table1[[#This Row],[Column4]],Table1[[#This Row],[Column4]]="",H306*(1+Table1[[#This Row],[Ávöxtun]]))</f>
        <v>104.5733317632</v>
      </c>
      <c r="I307" cm="1">
        <f t="array" ref="I307">_xlfn.IFS(Table1[[#This Row],[Column4]]="NEW",_xlfn.XLOOKUP(Table1[[#This Row],[Year]],$N$2:$N$27,$P$2:$P$27),ISNUMBER(Table1[[#This Row],[Column4]]),Table1[[#This Row],[Column4]],Table1[[#This Row],[Column4]]="",I306*(1+Table1[[#This Row],[Ávöxtun]]))</f>
        <v>104.5733317632</v>
      </c>
      <c r="L307" s="33">
        <v>104.5733317632</v>
      </c>
      <c r="M307" s="33">
        <v>104.5733317632</v>
      </c>
    </row>
    <row r="308" spans="1:13">
      <c r="A308" t="s">
        <v>82</v>
      </c>
      <c r="B308">
        <v>2004</v>
      </c>
      <c r="C308" s="16">
        <v>0.06</v>
      </c>
      <c r="D308" s="1">
        <v>2542380</v>
      </c>
      <c r="E308" s="29">
        <f>Table1[[#This Row],[Ávöxtun]]*Table1[[#This Row],[Eignir]]/SUMIFS(Table1[Eignir],Table1[Year],Table1[[#This Row],[Year]])</f>
        <v>1.6805967869696297E-4</v>
      </c>
      <c r="F308" s="23">
        <f>IF(B308=1997, 100, IF(COUNTIF(A$1:A307,A308)=0, "NEW", F307*(1+Table1[[#This Row],[Ávöxtun]])))</f>
        <v>110.84773166899201</v>
      </c>
      <c r="G308" s="18" cm="1">
        <f t="array" ref="G308">IFERROR(_xlfn.IFS(ISNUMBER(Table1[[#This Row],[Column3]]),Table1[[#This Row],[Column3]],Table1[[#This Row],[Column3]]="NEW",Table1[[#This Row],[Column3]]),"")</f>
        <v>110.84773166899201</v>
      </c>
      <c r="H308" s="15" cm="1">
        <f t="array" ref="H308">_xlfn.IFS(Table1[[#This Row],[Column4]]="NEW",AVERAGEIFS(Table1[Column4],Table1[Year],Table1[[#This Row],[Year]]),ISNUMBER(Table1[[#This Row],[Column4]]),Table1[[#This Row],[Column4]],Table1[[#This Row],[Column4]]="",H307*(1+Table1[[#This Row],[Ávöxtun]]))</f>
        <v>110.84773166899201</v>
      </c>
      <c r="I308" cm="1">
        <f t="array" ref="I308">_xlfn.IFS(Table1[[#This Row],[Column4]]="NEW",_xlfn.XLOOKUP(Table1[[#This Row],[Year]],$N$2:$N$27,$P$2:$P$27),ISNUMBER(Table1[[#This Row],[Column4]]),Table1[[#This Row],[Column4]],Table1[[#This Row],[Column4]]="",I307*(1+Table1[[#This Row],[Ávöxtun]]))</f>
        <v>110.84773166899201</v>
      </c>
      <c r="L308" s="33">
        <v>110.84773166899201</v>
      </c>
      <c r="M308" s="33">
        <v>110.84773166899201</v>
      </c>
    </row>
    <row r="309" spans="1:13">
      <c r="A309" t="s">
        <v>82</v>
      </c>
      <c r="B309">
        <v>2005</v>
      </c>
      <c r="C309" s="16">
        <v>0.08</v>
      </c>
      <c r="D309" s="1">
        <v>2910238</v>
      </c>
      <c r="E309" s="29">
        <f>Table1[[#This Row],[Ávöxtun]]*Table1[[#This Row],[Eignir]]/SUMIFS(Table1[Eignir],Table1[Year],Table1[[#This Row],[Year]])</f>
        <v>2.0762615177152054E-4</v>
      </c>
      <c r="F309" s="23">
        <f>IF(B309=1997, 100, IF(COUNTIF(A$1:A308,A309)=0, "NEW", F308*(1+Table1[[#This Row],[Ávöxtun]])))</f>
        <v>119.71555020251138</v>
      </c>
      <c r="G309" s="18" cm="1">
        <f t="array" ref="G309">IFERROR(_xlfn.IFS(ISNUMBER(Table1[[#This Row],[Column3]]),Table1[[#This Row],[Column3]],Table1[[#This Row],[Column3]]="NEW",Table1[[#This Row],[Column3]]),"")</f>
        <v>119.71555020251138</v>
      </c>
      <c r="H309" s="15" cm="1">
        <f t="array" ref="H309">_xlfn.IFS(Table1[[#This Row],[Column4]]="NEW",AVERAGEIFS(Table1[Column4],Table1[Year],Table1[[#This Row],[Year]]),ISNUMBER(Table1[[#This Row],[Column4]]),Table1[[#This Row],[Column4]],Table1[[#This Row],[Column4]]="",H308*(1+Table1[[#This Row],[Ávöxtun]]))</f>
        <v>119.71555020251138</v>
      </c>
      <c r="I309" cm="1">
        <f t="array" ref="I309">_xlfn.IFS(Table1[[#This Row],[Column4]]="NEW",_xlfn.XLOOKUP(Table1[[#This Row],[Year]],$N$2:$N$27,$P$2:$P$27),ISNUMBER(Table1[[#This Row],[Column4]]),Table1[[#This Row],[Column4]],Table1[[#This Row],[Column4]]="",I308*(1+Table1[[#This Row],[Ávöxtun]]))</f>
        <v>119.71555020251138</v>
      </c>
      <c r="L309" s="33">
        <v>119.71555020251138</v>
      </c>
      <c r="M309" s="33">
        <v>119.71555020251138</v>
      </c>
    </row>
    <row r="310" spans="1:13">
      <c r="A310" t="s">
        <v>83</v>
      </c>
      <c r="B310">
        <v>1997</v>
      </c>
      <c r="C310" s="16">
        <v>0.08</v>
      </c>
      <c r="D310" s="1">
        <v>2151349.7400000002</v>
      </c>
      <c r="E310" s="29">
        <f>Table1[[#This Row],[Ávöxtun]]*Table1[[#This Row],[Eignir]]/SUMIFS(Table1[Eignir],Table1[Year],Table1[[#This Row],[Year]])</f>
        <v>5.0765520473411115E-4</v>
      </c>
      <c r="F310" s="23">
        <f>IF(B310=1997, 100, IF(COUNTIF(A$1:A309,A310)=0, "NEW", F309*(1+Table1[[#This Row],[Ávöxtun]])))</f>
        <v>100</v>
      </c>
      <c r="G310" s="18" cm="1">
        <f t="array" ref="G310">IFERROR(_xlfn.IFS(ISNUMBER(Table1[[#This Row],[Column3]]),Table1[[#This Row],[Column3]],Table1[[#This Row],[Column3]]="NEW",Table1[[#This Row],[Column3]]),"")</f>
        <v>100</v>
      </c>
      <c r="H310" s="15" cm="1">
        <f t="array" ref="H310">_xlfn.IFS(Table1[[#This Row],[Column4]]="NEW",AVERAGEIFS(Table1[Column4],Table1[Year],Table1[[#This Row],[Year]]),ISNUMBER(Table1[[#This Row],[Column4]]),Table1[[#This Row],[Column4]],Table1[[#This Row],[Column4]]="",H309*(1+Table1[[#This Row],[Ávöxtun]]))</f>
        <v>100</v>
      </c>
      <c r="I310" cm="1">
        <f t="array" ref="I310">_xlfn.IFS(Table1[[#This Row],[Column4]]="NEW",_xlfn.XLOOKUP(Table1[[#This Row],[Year]],$N$2:$N$27,$P$2:$P$27),ISNUMBER(Table1[[#This Row],[Column4]]),Table1[[#This Row],[Column4]],Table1[[#This Row],[Column4]]="",I309*(1+Table1[[#This Row],[Ávöxtun]]))</f>
        <v>100</v>
      </c>
      <c r="L310" s="33">
        <v>100</v>
      </c>
      <c r="M310" s="33">
        <v>100</v>
      </c>
    </row>
    <row r="311" spans="1:13">
      <c r="A311" t="s">
        <v>83</v>
      </c>
      <c r="B311">
        <v>1998</v>
      </c>
      <c r="C311" s="16">
        <v>0.11</v>
      </c>
      <c r="D311" s="1">
        <v>2336810.54</v>
      </c>
      <c r="E311" s="29">
        <f>Table1[[#This Row],[Ávöxtun]]*Table1[[#This Row],[Eignir]]/SUMIFS(Table1[Eignir],Table1[Year],Table1[[#This Row],[Year]])</f>
        <v>6.563489420843352E-4</v>
      </c>
      <c r="F311" s="23">
        <f>IF(B311=1997, 100, IF(COUNTIF(A$1:A310,A311)=0, "NEW", F310*(1+Table1[[#This Row],[Ávöxtun]])))</f>
        <v>111.00000000000001</v>
      </c>
      <c r="G311" s="18" cm="1">
        <f t="array" ref="G311">IFERROR(_xlfn.IFS(ISNUMBER(Table1[[#This Row],[Column3]]),Table1[[#This Row],[Column3]],Table1[[#This Row],[Column3]]="NEW",Table1[[#This Row],[Column3]]),"")</f>
        <v>111.00000000000001</v>
      </c>
      <c r="H311" s="15" cm="1">
        <f t="array" ref="H311">_xlfn.IFS(Table1[[#This Row],[Column4]]="NEW",AVERAGEIFS(Table1[Column4],Table1[Year],Table1[[#This Row],[Year]]),ISNUMBER(Table1[[#This Row],[Column4]]),Table1[[#This Row],[Column4]],Table1[[#This Row],[Column4]]="",H310*(1+Table1[[#This Row],[Ávöxtun]]))</f>
        <v>111.00000000000001</v>
      </c>
      <c r="I311" cm="1">
        <f t="array" ref="I311">_xlfn.IFS(Table1[[#This Row],[Column4]]="NEW",_xlfn.XLOOKUP(Table1[[#This Row],[Year]],$N$2:$N$27,$P$2:$P$27),ISNUMBER(Table1[[#This Row],[Column4]]),Table1[[#This Row],[Column4]],Table1[[#This Row],[Column4]]="",I310*(1+Table1[[#This Row],[Ávöxtun]]))</f>
        <v>111.00000000000001</v>
      </c>
      <c r="L311" s="33">
        <v>111.00000000000001</v>
      </c>
      <c r="M311" s="33">
        <v>111.00000000000001</v>
      </c>
    </row>
    <row r="312" spans="1:13">
      <c r="A312" t="s">
        <v>83</v>
      </c>
      <c r="B312">
        <v>1999</v>
      </c>
      <c r="C312" s="16">
        <v>0.16</v>
      </c>
      <c r="D312" s="1">
        <v>2736516.12</v>
      </c>
      <c r="E312" s="29">
        <f>Table1[[#This Row],[Ávöxtun]]*Table1[[#This Row],[Eignir]]/SUMIFS(Table1[Eignir],Table1[Year],Table1[[#This Row],[Year]])</f>
        <v>8.4084606982253005E-4</v>
      </c>
      <c r="F312" s="23">
        <f>IF(B312=1997, 100, IF(COUNTIF(A$1:A311,A312)=0, "NEW", F311*(1+Table1[[#This Row],[Ávöxtun]])))</f>
        <v>128.76000000000002</v>
      </c>
      <c r="G312" s="18" cm="1">
        <f t="array" ref="G312">IFERROR(_xlfn.IFS(ISNUMBER(Table1[[#This Row],[Column3]]),Table1[[#This Row],[Column3]],Table1[[#This Row],[Column3]]="NEW",Table1[[#This Row],[Column3]]),"")</f>
        <v>128.76000000000002</v>
      </c>
      <c r="H312" s="15" cm="1">
        <f t="array" ref="H312">_xlfn.IFS(Table1[[#This Row],[Column4]]="NEW",AVERAGEIFS(Table1[Column4],Table1[Year],Table1[[#This Row],[Year]]),ISNUMBER(Table1[[#This Row],[Column4]]),Table1[[#This Row],[Column4]],Table1[[#This Row],[Column4]]="",H311*(1+Table1[[#This Row],[Ávöxtun]]))</f>
        <v>128.76000000000002</v>
      </c>
      <c r="I312" cm="1">
        <f t="array" ref="I312">_xlfn.IFS(Table1[[#This Row],[Column4]]="NEW",_xlfn.XLOOKUP(Table1[[#This Row],[Year]],$N$2:$N$27,$P$2:$P$27),ISNUMBER(Table1[[#This Row],[Column4]]),Table1[[#This Row],[Column4]],Table1[[#This Row],[Column4]]="",I311*(1+Table1[[#This Row],[Ávöxtun]]))</f>
        <v>128.76000000000002</v>
      </c>
      <c r="L312" s="33">
        <v>128.76000000000002</v>
      </c>
      <c r="M312" s="33">
        <v>128.76000000000002</v>
      </c>
    </row>
    <row r="313" spans="1:13">
      <c r="A313" t="s">
        <v>83</v>
      </c>
      <c r="B313">
        <v>2000</v>
      </c>
      <c r="C313" s="16">
        <v>-0.16</v>
      </c>
      <c r="D313" s="1">
        <v>5047478.04</v>
      </c>
      <c r="E313" s="29">
        <f>Table1[[#This Row],[Ávöxtun]]*Table1[[#This Row],[Eignir]]/SUMIFS(Table1[Eignir],Table1[Year],Table1[[#This Row],[Year]])</f>
        <v>-1.136036257205593E-3</v>
      </c>
      <c r="F313" s="23">
        <f>IF(B313=1997, 100, IF(COUNTIF(A$1:A312,A313)=0, "NEW", F312*(1+Table1[[#This Row],[Ávöxtun]])))</f>
        <v>108.15840000000001</v>
      </c>
      <c r="G313" s="18" cm="1">
        <f t="array" ref="G313">IFERROR(_xlfn.IFS(ISNUMBER(Table1[[#This Row],[Column3]]),Table1[[#This Row],[Column3]],Table1[[#This Row],[Column3]]="NEW",Table1[[#This Row],[Column3]]),"")</f>
        <v>108.15840000000001</v>
      </c>
      <c r="H313" s="15" cm="1">
        <f t="array" ref="H313">_xlfn.IFS(Table1[[#This Row],[Column4]]="NEW",AVERAGEIFS(Table1[Column4],Table1[Year],Table1[[#This Row],[Year]]),ISNUMBER(Table1[[#This Row],[Column4]]),Table1[[#This Row],[Column4]],Table1[[#This Row],[Column4]]="",H312*(1+Table1[[#This Row],[Ávöxtun]]))</f>
        <v>108.15840000000001</v>
      </c>
      <c r="I313" cm="1">
        <f t="array" ref="I313">_xlfn.IFS(Table1[[#This Row],[Column4]]="NEW",_xlfn.XLOOKUP(Table1[[#This Row],[Year]],$N$2:$N$27,$P$2:$P$27),ISNUMBER(Table1[[#This Row],[Column4]]),Table1[[#This Row],[Column4]],Table1[[#This Row],[Column4]]="",I312*(1+Table1[[#This Row],[Ávöxtun]]))</f>
        <v>108.15840000000001</v>
      </c>
      <c r="L313" s="33">
        <v>108.15840000000001</v>
      </c>
      <c r="M313" s="33">
        <v>108.15840000000001</v>
      </c>
    </row>
    <row r="314" spans="1:13">
      <c r="A314" t="s">
        <v>83</v>
      </c>
      <c r="B314">
        <v>2001</v>
      </c>
      <c r="C314" s="16">
        <v>-0.03</v>
      </c>
      <c r="D314" s="1">
        <v>5126129</v>
      </c>
      <c r="E314" s="29">
        <f>Table1[[#This Row],[Ávöxtun]]*Table1[[#This Row],[Eignir]]/SUMIFS(Table1[Eignir],Table1[Year],Table1[[#This Row],[Year]])</f>
        <v>-1.3281093508418787E-4</v>
      </c>
      <c r="F314" s="23">
        <f>IF(B314=1997, 100, IF(COUNTIF(A$1:A313,A314)=0, "NEW", F313*(1+Table1[[#This Row],[Ávöxtun]])))</f>
        <v>104.91364800000001</v>
      </c>
      <c r="G314" s="18" cm="1">
        <f t="array" ref="G314">IFERROR(_xlfn.IFS(ISNUMBER(Table1[[#This Row],[Column3]]),Table1[[#This Row],[Column3]],Table1[[#This Row],[Column3]]="NEW",Table1[[#This Row],[Column3]]),"")</f>
        <v>104.91364800000001</v>
      </c>
      <c r="H314" s="15" cm="1">
        <f t="array" ref="H314">_xlfn.IFS(Table1[[#This Row],[Column4]]="NEW",AVERAGEIFS(Table1[Column4],Table1[Year],Table1[[#This Row],[Year]]),ISNUMBER(Table1[[#This Row],[Column4]]),Table1[[#This Row],[Column4]],Table1[[#This Row],[Column4]]="",H313*(1+Table1[[#This Row],[Ávöxtun]]))</f>
        <v>104.91364800000001</v>
      </c>
      <c r="I314" cm="1">
        <f t="array" ref="I314">_xlfn.IFS(Table1[[#This Row],[Column4]]="NEW",_xlfn.XLOOKUP(Table1[[#This Row],[Year]],$N$2:$N$27,$P$2:$P$27),ISNUMBER(Table1[[#This Row],[Column4]]),Table1[[#This Row],[Column4]],Table1[[#This Row],[Column4]]="",I313*(1+Table1[[#This Row],[Ávöxtun]]))</f>
        <v>104.91364800000001</v>
      </c>
      <c r="L314" s="33">
        <v>104.91364800000001</v>
      </c>
      <c r="M314" s="33">
        <v>104.91364800000001</v>
      </c>
    </row>
    <row r="315" spans="1:13">
      <c r="A315" t="s">
        <v>83</v>
      </c>
      <c r="B315">
        <v>2002</v>
      </c>
      <c r="C315" s="16">
        <v>0.08</v>
      </c>
      <c r="D315" s="1">
        <v>2646654</v>
      </c>
      <c r="E315" s="29">
        <f>Table1[[#This Row],[Ávöxtun]]*Table1[[#This Row],[Eignir]]/SUMIFS(Table1[Eignir],Table1[Year],Table1[[#This Row],[Year]])</f>
        <v>3.3335054917678852E-4</v>
      </c>
      <c r="F315" s="23">
        <f>IF(B315=1997, 100, IF(COUNTIF(A$1:A314,A315)=0, "NEW", F314*(1+Table1[[#This Row],[Ávöxtun]])))</f>
        <v>113.30673984000002</v>
      </c>
      <c r="G315" s="18" cm="1">
        <f t="array" ref="G315">IFERROR(_xlfn.IFS(ISNUMBER(Table1[[#This Row],[Column3]]),Table1[[#This Row],[Column3]],Table1[[#This Row],[Column3]]="NEW",Table1[[#This Row],[Column3]]),"")</f>
        <v>113.30673984000002</v>
      </c>
      <c r="H315" s="15" cm="1">
        <f t="array" ref="H315">_xlfn.IFS(Table1[[#This Row],[Column4]]="NEW",AVERAGEIFS(Table1[Column4],Table1[Year],Table1[[#This Row],[Year]]),ISNUMBER(Table1[[#This Row],[Column4]]),Table1[[#This Row],[Column4]],Table1[[#This Row],[Column4]]="",H314*(1+Table1[[#This Row],[Ávöxtun]]))</f>
        <v>113.30673984000002</v>
      </c>
      <c r="I315" cm="1">
        <f t="array" ref="I315">_xlfn.IFS(Table1[[#This Row],[Column4]]="NEW",_xlfn.XLOOKUP(Table1[[#This Row],[Year]],$N$2:$N$27,$P$2:$P$27),ISNUMBER(Table1[[#This Row],[Column4]]),Table1[[#This Row],[Column4]],Table1[[#This Row],[Column4]]="",I314*(1+Table1[[#This Row],[Ávöxtun]]))</f>
        <v>113.30673984000002</v>
      </c>
      <c r="L315" s="33">
        <v>113.30673984000002</v>
      </c>
      <c r="M315" s="33">
        <v>113.30673984000002</v>
      </c>
    </row>
    <row r="316" spans="1:13">
      <c r="A316" t="s">
        <v>83</v>
      </c>
      <c r="B316">
        <v>2003</v>
      </c>
      <c r="C316" s="16">
        <v>0.1</v>
      </c>
      <c r="D316" s="1">
        <v>2730488</v>
      </c>
      <c r="E316" s="29">
        <f>Table1[[#This Row],[Ávöxtun]]*Table1[[#This Row],[Eignir]]/SUMIFS(Table1[Eignir],Table1[Year],Table1[[#This Row],[Year]])</f>
        <v>3.5932608507392347E-4</v>
      </c>
      <c r="F316" s="23">
        <f>IF(B316=1997, 100, IF(COUNTIF(A$1:A315,A316)=0, "NEW", F315*(1+Table1[[#This Row],[Ávöxtun]])))</f>
        <v>124.63741382400003</v>
      </c>
      <c r="G316" s="18" cm="1">
        <f t="array" ref="G316">IFERROR(_xlfn.IFS(ISNUMBER(Table1[[#This Row],[Column3]]),Table1[[#This Row],[Column3]],Table1[[#This Row],[Column3]]="NEW",Table1[[#This Row],[Column3]]),"")</f>
        <v>124.63741382400003</v>
      </c>
      <c r="H316" s="15" cm="1">
        <f t="array" ref="H316">_xlfn.IFS(Table1[[#This Row],[Column4]]="NEW",AVERAGEIFS(Table1[Column4],Table1[Year],Table1[[#This Row],[Year]]),ISNUMBER(Table1[[#This Row],[Column4]]),Table1[[#This Row],[Column4]],Table1[[#This Row],[Column4]]="",H315*(1+Table1[[#This Row],[Ávöxtun]]))</f>
        <v>124.63741382400003</v>
      </c>
      <c r="I316" cm="1">
        <f t="array" ref="I316">_xlfn.IFS(Table1[[#This Row],[Column4]]="NEW",_xlfn.XLOOKUP(Table1[[#This Row],[Year]],$N$2:$N$27,$P$2:$P$27),ISNUMBER(Table1[[#This Row],[Column4]]),Table1[[#This Row],[Column4]],Table1[[#This Row],[Column4]]="",I315*(1+Table1[[#This Row],[Ávöxtun]]))</f>
        <v>124.63741382400003</v>
      </c>
      <c r="L316" s="33">
        <v>124.63741382400003</v>
      </c>
      <c r="M316" s="33">
        <v>124.63741382400003</v>
      </c>
    </row>
    <row r="317" spans="1:13">
      <c r="A317" t="s">
        <v>83</v>
      </c>
      <c r="B317">
        <v>2004</v>
      </c>
      <c r="C317" s="16">
        <v>0.25</v>
      </c>
      <c r="D317" s="1">
        <v>3121926</v>
      </c>
      <c r="E317" s="29">
        <f>Table1[[#This Row],[Ávöxtun]]*Table1[[#This Row],[Eignir]]/SUMIFS(Table1[Eignir],Table1[Year],Table1[[#This Row],[Year]])</f>
        <v>8.5987322980123418E-4</v>
      </c>
      <c r="F317" s="23">
        <f>IF(B317=1997, 100, IF(COUNTIF(A$1:A316,A317)=0, "NEW", F316*(1+Table1[[#This Row],[Ávöxtun]])))</f>
        <v>155.79676728000004</v>
      </c>
      <c r="G317" s="18" cm="1">
        <f t="array" ref="G317">IFERROR(_xlfn.IFS(ISNUMBER(Table1[[#This Row],[Column3]]),Table1[[#This Row],[Column3]],Table1[[#This Row],[Column3]]="NEW",Table1[[#This Row],[Column3]]),"")</f>
        <v>155.79676728000004</v>
      </c>
      <c r="H317" s="15" cm="1">
        <f t="array" ref="H317">_xlfn.IFS(Table1[[#This Row],[Column4]]="NEW",AVERAGEIFS(Table1[Column4],Table1[Year],Table1[[#This Row],[Year]]),ISNUMBER(Table1[[#This Row],[Column4]]),Table1[[#This Row],[Column4]],Table1[[#This Row],[Column4]]="",H316*(1+Table1[[#This Row],[Ávöxtun]]))</f>
        <v>155.79676728000004</v>
      </c>
      <c r="I317" cm="1">
        <f t="array" ref="I317">_xlfn.IFS(Table1[[#This Row],[Column4]]="NEW",_xlfn.XLOOKUP(Table1[[#This Row],[Year]],$N$2:$N$27,$P$2:$P$27),ISNUMBER(Table1[[#This Row],[Column4]]),Table1[[#This Row],[Column4]],Table1[[#This Row],[Column4]]="",I316*(1+Table1[[#This Row],[Ávöxtun]]))</f>
        <v>155.79676728000004</v>
      </c>
      <c r="L317" s="33">
        <v>155.79676728000004</v>
      </c>
      <c r="M317" s="33">
        <v>155.79676728000004</v>
      </c>
    </row>
    <row r="318" spans="1:13">
      <c r="A318" t="s">
        <v>83</v>
      </c>
      <c r="B318">
        <v>2005</v>
      </c>
      <c r="C318" s="16">
        <v>0.18</v>
      </c>
      <c r="D318" s="1">
        <v>3529049</v>
      </c>
      <c r="E318" s="29">
        <f>Table1[[#This Row],[Ávöxtun]]*Table1[[#This Row],[Eignir]]/SUMIFS(Table1[Eignir],Table1[Year],Table1[[#This Row],[Year]])</f>
        <v>5.6649196470771423E-4</v>
      </c>
      <c r="F318" s="23">
        <f>IF(B318=1997, 100, IF(COUNTIF(A$1:A317,A318)=0, "NEW", F317*(1+Table1[[#This Row],[Ávöxtun]])))</f>
        <v>183.84018539040002</v>
      </c>
      <c r="G318" s="18" cm="1">
        <f t="array" ref="G318">IFERROR(_xlfn.IFS(ISNUMBER(Table1[[#This Row],[Column3]]),Table1[[#This Row],[Column3]],Table1[[#This Row],[Column3]]="NEW",Table1[[#This Row],[Column3]]),"")</f>
        <v>183.84018539040002</v>
      </c>
      <c r="H318" s="15" cm="1">
        <f t="array" ref="H318">_xlfn.IFS(Table1[[#This Row],[Column4]]="NEW",AVERAGEIFS(Table1[Column4],Table1[Year],Table1[[#This Row],[Year]]),ISNUMBER(Table1[[#This Row],[Column4]]),Table1[[#This Row],[Column4]],Table1[[#This Row],[Column4]]="",H317*(1+Table1[[#This Row],[Ávöxtun]]))</f>
        <v>183.84018539040002</v>
      </c>
      <c r="I318" cm="1">
        <f t="array" ref="I318">_xlfn.IFS(Table1[[#This Row],[Column4]]="NEW",_xlfn.XLOOKUP(Table1[[#This Row],[Year]],$N$2:$N$27,$P$2:$P$27),ISNUMBER(Table1[[#This Row],[Column4]]),Table1[[#This Row],[Column4]],Table1[[#This Row],[Column4]]="",I317*(1+Table1[[#This Row],[Ávöxtun]]))</f>
        <v>183.84018539040002</v>
      </c>
      <c r="L318" s="33">
        <v>183.84018539040002</v>
      </c>
      <c r="M318" s="33">
        <v>183.84018539040002</v>
      </c>
    </row>
    <row r="319" spans="1:13">
      <c r="A319" t="s">
        <v>83</v>
      </c>
      <c r="B319">
        <v>2006</v>
      </c>
      <c r="C319" s="16">
        <v>8.2699999999999996E-2</v>
      </c>
      <c r="D319" s="1">
        <v>3828542</v>
      </c>
      <c r="E319" s="29">
        <f>Table1[[#This Row],[Ávöxtun]]*Table1[[#This Row],[Eignir]]/SUMIFS(Table1[Eignir],Table1[Year],Table1[[#This Row],[Year]])</f>
        <v>2.306593154082635E-4</v>
      </c>
      <c r="F319" s="23">
        <f>IF(B319=1997, 100, IF(COUNTIF(A$1:A318,A319)=0, "NEW", F318*(1+Table1[[#This Row],[Ávöxtun]])))</f>
        <v>199.04376872218612</v>
      </c>
      <c r="G319" s="18" cm="1">
        <f t="array" ref="G319">IFERROR(_xlfn.IFS(ISNUMBER(Table1[[#This Row],[Column3]]),Table1[[#This Row],[Column3]],Table1[[#This Row],[Column3]]="NEW",Table1[[#This Row],[Column3]]),"")</f>
        <v>199.04376872218612</v>
      </c>
      <c r="H319" s="15" cm="1">
        <f t="array" ref="H319">_xlfn.IFS(Table1[[#This Row],[Column4]]="NEW",AVERAGEIFS(Table1[Column4],Table1[Year],Table1[[#This Row],[Year]]),ISNUMBER(Table1[[#This Row],[Column4]]),Table1[[#This Row],[Column4]],Table1[[#This Row],[Column4]]="",H318*(1+Table1[[#This Row],[Ávöxtun]]))</f>
        <v>199.04376872218612</v>
      </c>
      <c r="I319" cm="1">
        <f t="array" ref="I319">_xlfn.IFS(Table1[[#This Row],[Column4]]="NEW",_xlfn.XLOOKUP(Table1[[#This Row],[Year]],$N$2:$N$27,$P$2:$P$27),ISNUMBER(Table1[[#This Row],[Column4]]),Table1[[#This Row],[Column4]],Table1[[#This Row],[Column4]]="",I318*(1+Table1[[#This Row],[Ávöxtun]]))</f>
        <v>199.04376872218612</v>
      </c>
      <c r="L319" s="33">
        <v>199.04376872218612</v>
      </c>
      <c r="M319" s="33">
        <v>199.04376872218612</v>
      </c>
    </row>
    <row r="320" spans="1:13">
      <c r="A320" t="s">
        <v>83</v>
      </c>
      <c r="B320">
        <v>2007</v>
      </c>
      <c r="C320" s="16">
        <v>4.6600000000000003E-2</v>
      </c>
      <c r="D320" s="1">
        <v>173802</v>
      </c>
      <c r="E320" s="29">
        <f>Table1[[#This Row],[Ávöxtun]]*Table1[[#This Row],[Eignir]]/SUMIFS(Table1[Eignir],Table1[Year],Table1[[#This Row],[Year]])</f>
        <v>5.2374102981152252E-6</v>
      </c>
      <c r="F320" s="23">
        <f>IF(B320=1997, 100, IF(COUNTIF(A$1:A319,A320)=0, "NEW", F319*(1+Table1[[#This Row],[Ávöxtun]])))</f>
        <v>208.31920834463997</v>
      </c>
      <c r="G320" s="18" cm="1">
        <f t="array" ref="G320">IFERROR(_xlfn.IFS(ISNUMBER(Table1[[#This Row],[Column3]]),Table1[[#This Row],[Column3]],Table1[[#This Row],[Column3]]="NEW",Table1[[#This Row],[Column3]]),"")</f>
        <v>208.31920834463997</v>
      </c>
      <c r="H320" s="15" cm="1">
        <f t="array" ref="H320">_xlfn.IFS(Table1[[#This Row],[Column4]]="NEW",AVERAGEIFS(Table1[Column4],Table1[Year],Table1[[#This Row],[Year]]),ISNUMBER(Table1[[#This Row],[Column4]]),Table1[[#This Row],[Column4]],Table1[[#This Row],[Column4]]="",H319*(1+Table1[[#This Row],[Ávöxtun]]))</f>
        <v>208.31920834463997</v>
      </c>
      <c r="I320" cm="1">
        <f t="array" ref="I320">_xlfn.IFS(Table1[[#This Row],[Column4]]="NEW",_xlfn.XLOOKUP(Table1[[#This Row],[Year]],$N$2:$N$27,$P$2:$P$27),ISNUMBER(Table1[[#This Row],[Column4]]),Table1[[#This Row],[Column4]],Table1[[#This Row],[Column4]]="",I319*(1+Table1[[#This Row],[Ávöxtun]]))</f>
        <v>208.31920834463997</v>
      </c>
      <c r="L320" s="33">
        <v>208.31920834463997</v>
      </c>
      <c r="M320" s="33">
        <v>208.31920834463997</v>
      </c>
    </row>
    <row r="321" spans="1:13">
      <c r="A321" t="s">
        <v>83</v>
      </c>
      <c r="B321">
        <v>2008</v>
      </c>
      <c r="C321" s="16">
        <v>-0.255</v>
      </c>
      <c r="D321" s="1">
        <v>117107</v>
      </c>
      <c r="E321" s="29">
        <f>Table1[[#This Row],[Ávöxtun]]*Table1[[#This Row],[Eignir]]/SUMIFS(Table1[Eignir],Table1[Year],Table1[[#This Row],[Year]])</f>
        <v>-1.9943850908422518E-5</v>
      </c>
      <c r="F321" s="23">
        <f>IF(B321=1997, 100, IF(COUNTIF(A$1:A320,A321)=0, "NEW", F320*(1+Table1[[#This Row],[Ávöxtun]])))</f>
        <v>155.19781021675678</v>
      </c>
      <c r="G321" s="18" cm="1">
        <f t="array" ref="G321">IFERROR(_xlfn.IFS(ISNUMBER(Table1[[#This Row],[Column3]]),Table1[[#This Row],[Column3]],Table1[[#This Row],[Column3]]="NEW",Table1[[#This Row],[Column3]]),"")</f>
        <v>155.19781021675678</v>
      </c>
      <c r="H321" s="15" cm="1">
        <f t="array" ref="H321">_xlfn.IFS(Table1[[#This Row],[Column4]]="NEW",AVERAGEIFS(Table1[Column4],Table1[Year],Table1[[#This Row],[Year]]),ISNUMBER(Table1[[#This Row],[Column4]]),Table1[[#This Row],[Column4]],Table1[[#This Row],[Column4]]="",H320*(1+Table1[[#This Row],[Ávöxtun]]))</f>
        <v>155.19781021675678</v>
      </c>
      <c r="I321" cm="1">
        <f t="array" ref="I321">_xlfn.IFS(Table1[[#This Row],[Column4]]="NEW",_xlfn.XLOOKUP(Table1[[#This Row],[Year]],$N$2:$N$27,$P$2:$P$27),ISNUMBER(Table1[[#This Row],[Column4]]),Table1[[#This Row],[Column4]],Table1[[#This Row],[Column4]]="",I320*(1+Table1[[#This Row],[Ávöxtun]]))</f>
        <v>155.19781021675678</v>
      </c>
      <c r="L321" s="33">
        <v>155.19781021675678</v>
      </c>
      <c r="M321" s="33">
        <v>155.19781021675678</v>
      </c>
    </row>
    <row r="322" spans="1:13">
      <c r="A322" t="s">
        <v>83</v>
      </c>
      <c r="B322">
        <v>2009</v>
      </c>
      <c r="C322" s="16">
        <v>-5.0000000000000001E-3</v>
      </c>
      <c r="D322" s="1">
        <v>88352</v>
      </c>
      <c r="E322" s="29">
        <f>Table1[[#This Row],[Ávöxtun]]*Table1[[#This Row],[Eignir]]/SUMIFS(Table1[Eignir],Table1[Year],Table1[[#This Row],[Year]])</f>
        <v>-2.6480310927044258E-7</v>
      </c>
      <c r="F322" s="23">
        <f>IF(B322=1997, 100, IF(COUNTIF(A$1:A321,A322)=0, "NEW", F321*(1+Table1[[#This Row],[Ávöxtun]])))</f>
        <v>154.42182116567298</v>
      </c>
      <c r="G322" s="18" cm="1">
        <f t="array" ref="G322">IFERROR(_xlfn.IFS(ISNUMBER(Table1[[#This Row],[Column3]]),Table1[[#This Row],[Column3]],Table1[[#This Row],[Column3]]="NEW",Table1[[#This Row],[Column3]]),"")</f>
        <v>154.42182116567298</v>
      </c>
      <c r="H322" s="15" cm="1">
        <f t="array" ref="H322">_xlfn.IFS(Table1[[#This Row],[Column4]]="NEW",AVERAGEIFS(Table1[Column4],Table1[Year],Table1[[#This Row],[Year]]),ISNUMBER(Table1[[#This Row],[Column4]]),Table1[[#This Row],[Column4]],Table1[[#This Row],[Column4]]="",H321*(1+Table1[[#This Row],[Ávöxtun]]))</f>
        <v>154.42182116567298</v>
      </c>
      <c r="I322" cm="1">
        <f t="array" ref="I322">_xlfn.IFS(Table1[[#This Row],[Column4]]="NEW",_xlfn.XLOOKUP(Table1[[#This Row],[Year]],$N$2:$N$27,$P$2:$P$27),ISNUMBER(Table1[[#This Row],[Column4]]),Table1[[#This Row],[Column4]],Table1[[#This Row],[Column4]]="",I321*(1+Table1[[#This Row],[Ávöxtun]]))</f>
        <v>154.42182116567298</v>
      </c>
      <c r="L322" s="33">
        <v>154.42182116567298</v>
      </c>
      <c r="M322" s="33">
        <v>154.42182116567298</v>
      </c>
    </row>
    <row r="323" spans="1:13">
      <c r="A323" t="s">
        <v>85</v>
      </c>
      <c r="B323">
        <v>1997</v>
      </c>
      <c r="C323" s="16">
        <v>0.05</v>
      </c>
      <c r="D323" s="1">
        <v>149601.20000000001</v>
      </c>
      <c r="E323" s="29">
        <f>Table1[[#This Row],[Ávöxtun]]*Table1[[#This Row],[Eignir]]/SUMIFS(Table1[Eignir],Table1[Year],Table1[[#This Row],[Year]])</f>
        <v>2.2063424417474281E-5</v>
      </c>
      <c r="F323" s="23">
        <f>IF(B323=1997, 100, IF(COUNTIF(A$1:A322,A323)=0, "NEW", F322*(1+Table1[[#This Row],[Ávöxtun]])))</f>
        <v>100</v>
      </c>
      <c r="G323" s="18" cm="1">
        <f t="array" ref="G323">IFERROR(_xlfn.IFS(ISNUMBER(Table1[[#This Row],[Column3]]),Table1[[#This Row],[Column3]],Table1[[#This Row],[Column3]]="NEW",Table1[[#This Row],[Column3]]),"")</f>
        <v>100</v>
      </c>
      <c r="H323" s="15" cm="1">
        <f t="array" ref="H323">_xlfn.IFS(Table1[[#This Row],[Column4]]="NEW",AVERAGEIFS(Table1[Column4],Table1[Year],Table1[[#This Row],[Year]]),ISNUMBER(Table1[[#This Row],[Column4]]),Table1[[#This Row],[Column4]],Table1[[#This Row],[Column4]]="",H322*(1+Table1[[#This Row],[Ávöxtun]]))</f>
        <v>100</v>
      </c>
      <c r="I323" cm="1">
        <f t="array" ref="I323">_xlfn.IFS(Table1[[#This Row],[Column4]]="NEW",_xlfn.XLOOKUP(Table1[[#This Row],[Year]],$N$2:$N$27,$P$2:$P$27),ISNUMBER(Table1[[#This Row],[Column4]]),Table1[[#This Row],[Column4]],Table1[[#This Row],[Column4]]="",I322*(1+Table1[[#This Row],[Ávöxtun]]))</f>
        <v>100</v>
      </c>
      <c r="L323" s="33">
        <v>100</v>
      </c>
      <c r="M323" s="33">
        <v>100</v>
      </c>
    </row>
    <row r="324" spans="1:13">
      <c r="A324" t="s">
        <v>85</v>
      </c>
      <c r="B324">
        <v>1998</v>
      </c>
      <c r="C324" s="16">
        <v>0.03</v>
      </c>
      <c r="D324" s="1">
        <v>153041.68</v>
      </c>
      <c r="E324" s="29">
        <f>Table1[[#This Row],[Ávöxtun]]*Table1[[#This Row],[Eignir]]/SUMIFS(Table1[Eignir],Table1[Year],Table1[[#This Row],[Year]])</f>
        <v>1.1723291956753549E-5</v>
      </c>
      <c r="F324" s="23">
        <f>IF(B324=1997, 100, IF(COUNTIF(A$1:A323,A324)=0, "NEW", F323*(1+Table1[[#This Row],[Ávöxtun]])))</f>
        <v>103</v>
      </c>
      <c r="G324" s="18" cm="1">
        <f t="array" ref="G324">IFERROR(_xlfn.IFS(ISNUMBER(Table1[[#This Row],[Column3]]),Table1[[#This Row],[Column3]],Table1[[#This Row],[Column3]]="NEW",Table1[[#This Row],[Column3]]),"")</f>
        <v>103</v>
      </c>
      <c r="H324" s="15" cm="1">
        <f t="array" ref="H324">_xlfn.IFS(Table1[[#This Row],[Column4]]="NEW",AVERAGEIFS(Table1[Column4],Table1[Year],Table1[[#This Row],[Year]]),ISNUMBER(Table1[[#This Row],[Column4]]),Table1[[#This Row],[Column4]],Table1[[#This Row],[Column4]]="",H323*(1+Table1[[#This Row],[Ávöxtun]]))</f>
        <v>103</v>
      </c>
      <c r="I324" cm="1">
        <f t="array" ref="I324">_xlfn.IFS(Table1[[#This Row],[Column4]]="NEW",_xlfn.XLOOKUP(Table1[[#This Row],[Year]],$N$2:$N$27,$P$2:$P$27),ISNUMBER(Table1[[#This Row],[Column4]]),Table1[[#This Row],[Column4]],Table1[[#This Row],[Column4]]="",I323*(1+Table1[[#This Row],[Ávöxtun]]))</f>
        <v>103</v>
      </c>
      <c r="L324" s="33">
        <v>103</v>
      </c>
      <c r="M324" s="33">
        <v>103</v>
      </c>
    </row>
    <row r="325" spans="1:13">
      <c r="A325" t="s">
        <v>85</v>
      </c>
      <c r="B325">
        <v>1999</v>
      </c>
      <c r="C325" s="16">
        <v>0.04</v>
      </c>
      <c r="D325" s="1">
        <v>169348.75</v>
      </c>
      <c r="E325" s="29">
        <f>Table1[[#This Row],[Ávöxtun]]*Table1[[#This Row],[Eignir]]/SUMIFS(Table1[Eignir],Table1[Year],Table1[[#This Row],[Year]])</f>
        <v>1.3008897501657889E-5</v>
      </c>
      <c r="F325" s="23">
        <f>IF(B325=1997, 100, IF(COUNTIF(A$1:A324,A325)=0, "NEW", F324*(1+Table1[[#This Row],[Ávöxtun]])))</f>
        <v>107.12</v>
      </c>
      <c r="G325" s="18" cm="1">
        <f t="array" ref="G325">IFERROR(_xlfn.IFS(ISNUMBER(Table1[[#This Row],[Column3]]),Table1[[#This Row],[Column3]],Table1[[#This Row],[Column3]]="NEW",Table1[[#This Row],[Column3]]),"")</f>
        <v>107.12</v>
      </c>
      <c r="H325" s="15" cm="1">
        <f t="array" ref="H325">_xlfn.IFS(Table1[[#This Row],[Column4]]="NEW",AVERAGEIFS(Table1[Column4],Table1[Year],Table1[[#This Row],[Year]]),ISNUMBER(Table1[[#This Row],[Column4]]),Table1[[#This Row],[Column4]],Table1[[#This Row],[Column4]]="",H324*(1+Table1[[#This Row],[Ávöxtun]]))</f>
        <v>107.12</v>
      </c>
      <c r="I325" cm="1">
        <f t="array" ref="I325">_xlfn.IFS(Table1[[#This Row],[Column4]]="NEW",_xlfn.XLOOKUP(Table1[[#This Row],[Year]],$N$2:$N$27,$P$2:$P$27),ISNUMBER(Table1[[#This Row],[Column4]]),Table1[[#This Row],[Column4]],Table1[[#This Row],[Column4]]="",I324*(1+Table1[[#This Row],[Ávöxtun]]))</f>
        <v>107.12</v>
      </c>
      <c r="L325" s="33">
        <v>107.12</v>
      </c>
      <c r="M325" s="33">
        <v>107.12</v>
      </c>
    </row>
    <row r="326" spans="1:13">
      <c r="A326" t="s">
        <v>85</v>
      </c>
      <c r="B326">
        <v>2000</v>
      </c>
      <c r="C326" s="16">
        <v>0</v>
      </c>
      <c r="D326" s="1">
        <v>166908.42000000001</v>
      </c>
      <c r="E326" s="29">
        <f>Table1[[#This Row],[Ávöxtun]]*Table1[[#This Row],[Eignir]]/SUMIFS(Table1[Eignir],Table1[Year],Table1[[#This Row],[Year]])</f>
        <v>0</v>
      </c>
      <c r="F326" s="23">
        <f>IF(B326=1997, 100, IF(COUNTIF(A$1:A325,A326)=0, "NEW", F325*(1+Table1[[#This Row],[Ávöxtun]])))</f>
        <v>107.12</v>
      </c>
      <c r="G326" s="18" cm="1">
        <f t="array" ref="G326">IFERROR(_xlfn.IFS(ISNUMBER(Table1[[#This Row],[Column3]]),Table1[[#This Row],[Column3]],Table1[[#This Row],[Column3]]="NEW",Table1[[#This Row],[Column3]]),"")</f>
        <v>107.12</v>
      </c>
      <c r="H326" s="15" cm="1">
        <f t="array" ref="H326">_xlfn.IFS(Table1[[#This Row],[Column4]]="NEW",AVERAGEIFS(Table1[Column4],Table1[Year],Table1[[#This Row],[Year]]),ISNUMBER(Table1[[#This Row],[Column4]]),Table1[[#This Row],[Column4]],Table1[[#This Row],[Column4]]="",H325*(1+Table1[[#This Row],[Ávöxtun]]))</f>
        <v>107.12</v>
      </c>
      <c r="I326" cm="1">
        <f t="array" ref="I326">_xlfn.IFS(Table1[[#This Row],[Column4]]="NEW",_xlfn.XLOOKUP(Table1[[#This Row],[Year]],$N$2:$N$27,$P$2:$P$27),ISNUMBER(Table1[[#This Row],[Column4]]),Table1[[#This Row],[Column4]],Table1[[#This Row],[Column4]]="",I325*(1+Table1[[#This Row],[Ávöxtun]]))</f>
        <v>107.12</v>
      </c>
      <c r="L326" s="33">
        <v>107.12</v>
      </c>
      <c r="M326" s="33">
        <v>107.12</v>
      </c>
    </row>
    <row r="327" spans="1:13">
      <c r="A327" t="s">
        <v>85</v>
      </c>
      <c r="B327">
        <v>2001</v>
      </c>
      <c r="C327" s="16">
        <v>0.03</v>
      </c>
      <c r="D327" s="1">
        <v>185420.39</v>
      </c>
      <c r="E327" s="29">
        <f>Table1[[#This Row],[Ávöxtun]]*Table1[[#This Row],[Eignir]]/SUMIFS(Table1[Eignir],Table1[Year],Table1[[#This Row],[Year]])</f>
        <v>4.8039866690000965E-6</v>
      </c>
      <c r="F327" s="23">
        <f>IF(B327=1997, 100, IF(COUNTIF(A$1:A326,A327)=0, "NEW", F326*(1+Table1[[#This Row],[Ávöxtun]])))</f>
        <v>110.3336</v>
      </c>
      <c r="G327" s="18" cm="1">
        <f t="array" ref="G327">IFERROR(_xlfn.IFS(ISNUMBER(Table1[[#This Row],[Column3]]),Table1[[#This Row],[Column3]],Table1[[#This Row],[Column3]]="NEW",Table1[[#This Row],[Column3]]),"")</f>
        <v>110.3336</v>
      </c>
      <c r="H327" s="15" cm="1">
        <f t="array" ref="H327">_xlfn.IFS(Table1[[#This Row],[Column4]]="NEW",AVERAGEIFS(Table1[Column4],Table1[Year],Table1[[#This Row],[Year]]),ISNUMBER(Table1[[#This Row],[Column4]]),Table1[[#This Row],[Column4]],Table1[[#This Row],[Column4]]="",H326*(1+Table1[[#This Row],[Ávöxtun]]))</f>
        <v>110.3336</v>
      </c>
      <c r="I327" cm="1">
        <f t="array" ref="I327">_xlfn.IFS(Table1[[#This Row],[Column4]]="NEW",_xlfn.XLOOKUP(Table1[[#This Row],[Year]],$N$2:$N$27,$P$2:$P$27),ISNUMBER(Table1[[#This Row],[Column4]]),Table1[[#This Row],[Column4]],Table1[[#This Row],[Column4]]="",I326*(1+Table1[[#This Row],[Ávöxtun]]))</f>
        <v>110.3336</v>
      </c>
      <c r="L327" s="33">
        <v>110.3336</v>
      </c>
      <c r="M327" s="33">
        <v>110.3336</v>
      </c>
    </row>
    <row r="328" spans="1:13">
      <c r="A328" t="s">
        <v>85</v>
      </c>
      <c r="B328">
        <v>2002</v>
      </c>
      <c r="C328" s="16">
        <v>0.04</v>
      </c>
      <c r="D328" s="1">
        <v>189216</v>
      </c>
      <c r="E328" s="29">
        <f>Table1[[#This Row],[Ávöxtun]]*Table1[[#This Row],[Eignir]]/SUMIFS(Table1[Eignir],Table1[Year],Table1[[#This Row],[Year]])</f>
        <v>1.1916037667378361E-5</v>
      </c>
      <c r="F328" s="23">
        <f>IF(B328=1997, 100, IF(COUNTIF(A$1:A327,A328)=0, "NEW", F327*(1+Table1[[#This Row],[Ávöxtun]])))</f>
        <v>114.74694400000001</v>
      </c>
      <c r="G328" s="18" cm="1">
        <f t="array" ref="G328">IFERROR(_xlfn.IFS(ISNUMBER(Table1[[#This Row],[Column3]]),Table1[[#This Row],[Column3]],Table1[[#This Row],[Column3]]="NEW",Table1[[#This Row],[Column3]]),"")</f>
        <v>114.74694400000001</v>
      </c>
      <c r="H328" s="15" cm="1">
        <f t="array" ref="H328">_xlfn.IFS(Table1[[#This Row],[Column4]]="NEW",AVERAGEIFS(Table1[Column4],Table1[Year],Table1[[#This Row],[Year]]),ISNUMBER(Table1[[#This Row],[Column4]]),Table1[[#This Row],[Column4]],Table1[[#This Row],[Column4]]="",H327*(1+Table1[[#This Row],[Ávöxtun]]))</f>
        <v>114.74694400000001</v>
      </c>
      <c r="I328" cm="1">
        <f t="array" ref="I328">_xlfn.IFS(Table1[[#This Row],[Column4]]="NEW",_xlfn.XLOOKUP(Table1[[#This Row],[Year]],$N$2:$N$27,$P$2:$P$27),ISNUMBER(Table1[[#This Row],[Column4]]),Table1[[#This Row],[Column4]],Table1[[#This Row],[Column4]]="",I327*(1+Table1[[#This Row],[Ávöxtun]]))</f>
        <v>114.74694400000001</v>
      </c>
      <c r="L328" s="33">
        <v>114.74694400000001</v>
      </c>
      <c r="M328" s="33">
        <v>114.74694400000001</v>
      </c>
    </row>
    <row r="329" spans="1:13">
      <c r="A329" t="s">
        <v>85</v>
      </c>
      <c r="B329">
        <v>2003</v>
      </c>
      <c r="C329" s="16">
        <v>0.05</v>
      </c>
      <c r="D329" s="1">
        <v>199867</v>
      </c>
      <c r="E329" s="29">
        <f>Table1[[#This Row],[Ávöxtun]]*Table1[[#This Row],[Eignir]]/SUMIFS(Table1[Eignir],Table1[Year],Table1[[#This Row],[Year]])</f>
        <v>1.3151024037730594E-5</v>
      </c>
      <c r="F329" s="23">
        <f>IF(B329=1997, 100, IF(COUNTIF(A$1:A328,A329)=0, "NEW", F328*(1+Table1[[#This Row],[Ávöxtun]])))</f>
        <v>120.48429120000002</v>
      </c>
      <c r="G329" s="18" cm="1">
        <f t="array" ref="G329">IFERROR(_xlfn.IFS(ISNUMBER(Table1[[#This Row],[Column3]]),Table1[[#This Row],[Column3]],Table1[[#This Row],[Column3]]="NEW",Table1[[#This Row],[Column3]]),"")</f>
        <v>120.48429120000002</v>
      </c>
      <c r="H329" s="15" cm="1">
        <f t="array" ref="H329">_xlfn.IFS(Table1[[#This Row],[Column4]]="NEW",AVERAGEIFS(Table1[Column4],Table1[Year],Table1[[#This Row],[Year]]),ISNUMBER(Table1[[#This Row],[Column4]]),Table1[[#This Row],[Column4]],Table1[[#This Row],[Column4]]="",H328*(1+Table1[[#This Row],[Ávöxtun]]))</f>
        <v>120.48429120000002</v>
      </c>
      <c r="I329" cm="1">
        <f t="array" ref="I329">_xlfn.IFS(Table1[[#This Row],[Column4]]="NEW",_xlfn.XLOOKUP(Table1[[#This Row],[Year]],$N$2:$N$27,$P$2:$P$27),ISNUMBER(Table1[[#This Row],[Column4]]),Table1[[#This Row],[Column4]],Table1[[#This Row],[Column4]]="",I328*(1+Table1[[#This Row],[Ávöxtun]]))</f>
        <v>120.48429120000002</v>
      </c>
      <c r="L329" s="33">
        <v>120.48429120000002</v>
      </c>
      <c r="M329" s="33">
        <v>120.48429120000002</v>
      </c>
    </row>
    <row r="330" spans="1:13">
      <c r="A330" t="s">
        <v>85</v>
      </c>
      <c r="B330">
        <v>2004</v>
      </c>
      <c r="C330" s="16">
        <v>0.06</v>
      </c>
      <c r="D330" s="1">
        <v>213266</v>
      </c>
      <c r="E330" s="29">
        <f>Table1[[#This Row],[Ávöxtun]]*Table1[[#This Row],[Eignir]]/SUMIFS(Table1[Eignir],Table1[Year],Table1[[#This Row],[Year]])</f>
        <v>1.4097583931979681E-5</v>
      </c>
      <c r="F330" s="23">
        <f>IF(B330=1997, 100, IF(COUNTIF(A$1:A329,A330)=0, "NEW", F329*(1+Table1[[#This Row],[Ávöxtun]])))</f>
        <v>127.71334867200002</v>
      </c>
      <c r="G330" s="18" cm="1">
        <f t="array" ref="G330">IFERROR(_xlfn.IFS(ISNUMBER(Table1[[#This Row],[Column3]]),Table1[[#This Row],[Column3]],Table1[[#This Row],[Column3]]="NEW",Table1[[#This Row],[Column3]]),"")</f>
        <v>127.71334867200002</v>
      </c>
      <c r="H330" s="15" cm="1">
        <f t="array" ref="H330">_xlfn.IFS(Table1[[#This Row],[Column4]]="NEW",AVERAGEIFS(Table1[Column4],Table1[Year],Table1[[#This Row],[Year]]),ISNUMBER(Table1[[#This Row],[Column4]]),Table1[[#This Row],[Column4]],Table1[[#This Row],[Column4]]="",H329*(1+Table1[[#This Row],[Ávöxtun]]))</f>
        <v>127.71334867200002</v>
      </c>
      <c r="I330" cm="1">
        <f t="array" ref="I330">_xlfn.IFS(Table1[[#This Row],[Column4]]="NEW",_xlfn.XLOOKUP(Table1[[#This Row],[Year]],$N$2:$N$27,$P$2:$P$27),ISNUMBER(Table1[[#This Row],[Column4]]),Table1[[#This Row],[Column4]],Table1[[#This Row],[Column4]]="",I329*(1+Table1[[#This Row],[Ávöxtun]]))</f>
        <v>127.71334867200002</v>
      </c>
      <c r="L330" s="33">
        <v>127.71334867200002</v>
      </c>
      <c r="M330" s="33">
        <v>127.71334867200002</v>
      </c>
    </row>
    <row r="331" spans="1:13">
      <c r="A331" t="s">
        <v>85</v>
      </c>
      <c r="B331">
        <v>2005</v>
      </c>
      <c r="C331" s="16">
        <v>0</v>
      </c>
      <c r="D331" s="1">
        <v>217428</v>
      </c>
      <c r="E331" s="29">
        <f>Table1[[#This Row],[Ávöxtun]]*Table1[[#This Row],[Eignir]]/SUMIFS(Table1[Eignir],Table1[Year],Table1[[#This Row],[Year]])</f>
        <v>0</v>
      </c>
      <c r="F331" s="23">
        <f>IF(B331=1997, 100, IF(COUNTIF(A$1:A330,A331)=0, "NEW", F330*(1+Table1[[#This Row],[Ávöxtun]])))</f>
        <v>127.71334867200002</v>
      </c>
      <c r="G331" s="18" cm="1">
        <f t="array" ref="G331">IFERROR(_xlfn.IFS(ISNUMBER(Table1[[#This Row],[Column3]]),Table1[[#This Row],[Column3]],Table1[[#This Row],[Column3]]="NEW",Table1[[#This Row],[Column3]]),"")</f>
        <v>127.71334867200002</v>
      </c>
      <c r="H331" s="15" cm="1">
        <f t="array" ref="H331">_xlfn.IFS(Table1[[#This Row],[Column4]]="NEW",AVERAGEIFS(Table1[Column4],Table1[Year],Table1[[#This Row],[Year]]),ISNUMBER(Table1[[#This Row],[Column4]]),Table1[[#This Row],[Column4]],Table1[[#This Row],[Column4]]="",H330*(1+Table1[[#This Row],[Ávöxtun]]))</f>
        <v>127.71334867200002</v>
      </c>
      <c r="I331" cm="1">
        <f t="array" ref="I331">_xlfn.IFS(Table1[[#This Row],[Column4]]="NEW",_xlfn.XLOOKUP(Table1[[#This Row],[Year]],$N$2:$N$27,$P$2:$P$27),ISNUMBER(Table1[[#This Row],[Column4]]),Table1[[#This Row],[Column4]],Table1[[#This Row],[Column4]]="",I330*(1+Table1[[#This Row],[Ávöxtun]]))</f>
        <v>127.71334867200002</v>
      </c>
      <c r="L331" s="33">
        <v>127.71334867200002</v>
      </c>
      <c r="M331" s="33">
        <v>127.71334867200002</v>
      </c>
    </row>
    <row r="332" spans="1:13">
      <c r="A332" t="s">
        <v>85</v>
      </c>
      <c r="B332">
        <v>2006</v>
      </c>
      <c r="C332" s="16">
        <v>1.6000000000000001E-3</v>
      </c>
      <c r="D332" s="1">
        <v>448770</v>
      </c>
      <c r="E332" s="29">
        <f>Table1[[#This Row],[Ávöxtun]]*Table1[[#This Row],[Eignir]]/SUMIFS(Table1[Eignir],Table1[Year],Table1[[#This Row],[Year]])</f>
        <v>5.2308934396184086E-7</v>
      </c>
      <c r="F332" s="23">
        <f>IF(B332=1997, 100, IF(COUNTIF(A$1:A331,A332)=0, "NEW", F331*(1+Table1[[#This Row],[Ávöxtun]])))</f>
        <v>127.91769002987523</v>
      </c>
      <c r="G332" s="18" cm="1">
        <f t="array" ref="G332">IFERROR(_xlfn.IFS(ISNUMBER(Table1[[#This Row],[Column3]]),Table1[[#This Row],[Column3]],Table1[[#This Row],[Column3]]="NEW",Table1[[#This Row],[Column3]]),"")</f>
        <v>127.91769002987523</v>
      </c>
      <c r="H332" s="15" cm="1">
        <f t="array" ref="H332">_xlfn.IFS(Table1[[#This Row],[Column4]]="NEW",AVERAGEIFS(Table1[Column4],Table1[Year],Table1[[#This Row],[Year]]),ISNUMBER(Table1[[#This Row],[Column4]]),Table1[[#This Row],[Column4]],Table1[[#This Row],[Column4]]="",H331*(1+Table1[[#This Row],[Ávöxtun]]))</f>
        <v>127.91769002987523</v>
      </c>
      <c r="I332" cm="1">
        <f t="array" ref="I332">_xlfn.IFS(Table1[[#This Row],[Column4]]="NEW",_xlfn.XLOOKUP(Table1[[#This Row],[Year]],$N$2:$N$27,$P$2:$P$27),ISNUMBER(Table1[[#This Row],[Column4]]),Table1[[#This Row],[Column4]],Table1[[#This Row],[Column4]]="",I331*(1+Table1[[#This Row],[Ávöxtun]]))</f>
        <v>127.91769002987523</v>
      </c>
      <c r="L332" s="33">
        <v>127.91769002987523</v>
      </c>
      <c r="M332" s="33">
        <v>127.91769002987523</v>
      </c>
    </row>
    <row r="333" spans="1:13">
      <c r="A333" t="s">
        <v>85</v>
      </c>
      <c r="B333">
        <v>2007</v>
      </c>
      <c r="C333" s="16">
        <v>5.8999999999999999E-3</v>
      </c>
      <c r="D333" s="1">
        <v>455624</v>
      </c>
      <c r="E333" s="29">
        <f>Table1[[#This Row],[Ávöxtun]]*Table1[[#This Row],[Eignir]]/SUMIFS(Table1[Eignir],Table1[Year],Table1[[#This Row],[Year]])</f>
        <v>1.7383391671441058E-6</v>
      </c>
      <c r="F333" s="23">
        <f>IF(B333=1997, 100, IF(COUNTIF(A$1:A332,A333)=0, "NEW", F332*(1+Table1[[#This Row],[Ávöxtun]])))</f>
        <v>128.67240440105149</v>
      </c>
      <c r="G333" s="18" cm="1">
        <f t="array" ref="G333">IFERROR(_xlfn.IFS(ISNUMBER(Table1[[#This Row],[Column3]]),Table1[[#This Row],[Column3]],Table1[[#This Row],[Column3]]="NEW",Table1[[#This Row],[Column3]]),"")</f>
        <v>128.67240440105149</v>
      </c>
      <c r="H333" s="15" cm="1">
        <f t="array" ref="H333">_xlfn.IFS(Table1[[#This Row],[Column4]]="NEW",AVERAGEIFS(Table1[Column4],Table1[Year],Table1[[#This Row],[Year]]),ISNUMBER(Table1[[#This Row],[Column4]]),Table1[[#This Row],[Column4]],Table1[[#This Row],[Column4]]="",H332*(1+Table1[[#This Row],[Ávöxtun]]))</f>
        <v>128.67240440105149</v>
      </c>
      <c r="I333" cm="1">
        <f t="array" ref="I333">_xlfn.IFS(Table1[[#This Row],[Column4]]="NEW",_xlfn.XLOOKUP(Table1[[#This Row],[Year]],$N$2:$N$27,$P$2:$P$27),ISNUMBER(Table1[[#This Row],[Column4]]),Table1[[#This Row],[Column4]],Table1[[#This Row],[Column4]]="",I332*(1+Table1[[#This Row],[Ávöxtun]]))</f>
        <v>128.67240440105149</v>
      </c>
      <c r="L333" s="33">
        <v>128.67240440105149</v>
      </c>
      <c r="M333" s="33">
        <v>128.67240440105149</v>
      </c>
    </row>
    <row r="334" spans="1:13">
      <c r="A334" t="s">
        <v>85</v>
      </c>
      <c r="B334">
        <v>2008</v>
      </c>
      <c r="C334" s="16">
        <v>1.89E-2</v>
      </c>
      <c r="D334" s="1">
        <v>508998</v>
      </c>
      <c r="E334" s="29">
        <f>Table1[[#This Row],[Ávöxtun]]*Table1[[#This Row],[Eignir]]/SUMIFS(Table1[Eignir],Table1[Year],Table1[[#This Row],[Year]])</f>
        <v>6.4248628745774527E-6</v>
      </c>
      <c r="F334" s="23">
        <f>IF(B334=1997, 100, IF(COUNTIF(A$1:A333,A334)=0, "NEW", F333*(1+Table1[[#This Row],[Ávöxtun]])))</f>
        <v>131.10431284423134</v>
      </c>
      <c r="G334" s="18" cm="1">
        <f t="array" ref="G334">IFERROR(_xlfn.IFS(ISNUMBER(Table1[[#This Row],[Column3]]),Table1[[#This Row],[Column3]],Table1[[#This Row],[Column3]]="NEW",Table1[[#This Row],[Column3]]),"")</f>
        <v>131.10431284423134</v>
      </c>
      <c r="H334" s="15" cm="1">
        <f t="array" ref="H334">_xlfn.IFS(Table1[[#This Row],[Column4]]="NEW",AVERAGEIFS(Table1[Column4],Table1[Year],Table1[[#This Row],[Year]]),ISNUMBER(Table1[[#This Row],[Column4]]),Table1[[#This Row],[Column4]],Table1[[#This Row],[Column4]]="",H333*(1+Table1[[#This Row],[Ávöxtun]]))</f>
        <v>131.10431284423134</v>
      </c>
      <c r="I334" cm="1">
        <f t="array" ref="I334">_xlfn.IFS(Table1[[#This Row],[Column4]]="NEW",_xlfn.XLOOKUP(Table1[[#This Row],[Year]],$N$2:$N$27,$P$2:$P$27),ISNUMBER(Table1[[#This Row],[Column4]]),Table1[[#This Row],[Column4]],Table1[[#This Row],[Column4]]="",I333*(1+Table1[[#This Row],[Ávöxtun]]))</f>
        <v>131.10431284423134</v>
      </c>
      <c r="L334" s="33">
        <v>131.10431284423134</v>
      </c>
      <c r="M334" s="33">
        <v>131.10431284423134</v>
      </c>
    </row>
    <row r="335" spans="1:13">
      <c r="A335" t="s">
        <v>85</v>
      </c>
      <c r="B335">
        <v>2009</v>
      </c>
      <c r="C335" s="16">
        <v>-1.3600000000000001E-2</v>
      </c>
      <c r="D335" s="1">
        <v>514108</v>
      </c>
      <c r="E335" s="29">
        <f>Table1[[#This Row],[Ávöxtun]]*Table1[[#This Row],[Eignir]]/SUMIFS(Table1[Eignir],Table1[Year],Table1[[#This Row],[Year]])</f>
        <v>-4.1911187021255843E-6</v>
      </c>
      <c r="F335" s="23">
        <f>IF(B335=1997, 100, IF(COUNTIF(A$1:A334,A335)=0, "NEW", F334*(1+Table1[[#This Row],[Ávöxtun]])))</f>
        <v>129.3212941895498</v>
      </c>
      <c r="G335" s="18" cm="1">
        <f t="array" ref="G335">IFERROR(_xlfn.IFS(ISNUMBER(Table1[[#This Row],[Column3]]),Table1[[#This Row],[Column3]],Table1[[#This Row],[Column3]]="NEW",Table1[[#This Row],[Column3]]),"")</f>
        <v>129.3212941895498</v>
      </c>
      <c r="H335" s="15" cm="1">
        <f t="array" ref="H335">_xlfn.IFS(Table1[[#This Row],[Column4]]="NEW",AVERAGEIFS(Table1[Column4],Table1[Year],Table1[[#This Row],[Year]]),ISNUMBER(Table1[[#This Row],[Column4]]),Table1[[#This Row],[Column4]],Table1[[#This Row],[Column4]]="",H334*(1+Table1[[#This Row],[Ávöxtun]]))</f>
        <v>129.3212941895498</v>
      </c>
      <c r="I335" cm="1">
        <f t="array" ref="I335">_xlfn.IFS(Table1[[#This Row],[Column4]]="NEW",_xlfn.XLOOKUP(Table1[[#This Row],[Year]],$N$2:$N$27,$P$2:$P$27),ISNUMBER(Table1[[#This Row],[Column4]]),Table1[[#This Row],[Column4]],Table1[[#This Row],[Column4]]="",I334*(1+Table1[[#This Row],[Ávöxtun]]))</f>
        <v>129.3212941895498</v>
      </c>
      <c r="L335" s="33">
        <v>129.3212941895498</v>
      </c>
      <c r="M335" s="33">
        <v>129.3212941895498</v>
      </c>
    </row>
    <row r="336" spans="1:13">
      <c r="A336" t="s">
        <v>85</v>
      </c>
      <c r="B336">
        <v>2010</v>
      </c>
      <c r="C336" s="16">
        <v>2.3E-2</v>
      </c>
      <c r="D336" s="1">
        <v>507316</v>
      </c>
      <c r="E336" s="29">
        <f>Table1[[#This Row],[Ávöxtun]]*Table1[[#This Row],[Eignir]]/SUMIFS(Table1[Eignir],Table1[Year],Table1[[#This Row],[Year]])</f>
        <v>6.5266560715875699E-6</v>
      </c>
      <c r="F336" s="23">
        <f>IF(B336=1997, 100, IF(COUNTIF(A$1:A335,A336)=0, "NEW", F335*(1+Table1[[#This Row],[Ávöxtun]])))</f>
        <v>132.29568395590942</v>
      </c>
      <c r="G336" s="18" cm="1">
        <f t="array" ref="G336">IFERROR(_xlfn.IFS(ISNUMBER(Table1[[#This Row],[Column3]]),Table1[[#This Row],[Column3]],Table1[[#This Row],[Column3]]="NEW",Table1[[#This Row],[Column3]]),"")</f>
        <v>132.29568395590942</v>
      </c>
      <c r="H336" s="15" cm="1">
        <f t="array" ref="H336">_xlfn.IFS(Table1[[#This Row],[Column4]]="NEW",AVERAGEIFS(Table1[Column4],Table1[Year],Table1[[#This Row],[Year]]),ISNUMBER(Table1[[#This Row],[Column4]]),Table1[[#This Row],[Column4]],Table1[[#This Row],[Column4]]="",H335*(1+Table1[[#This Row],[Ávöxtun]]))</f>
        <v>132.29568395590942</v>
      </c>
      <c r="I336" cm="1">
        <f t="array" ref="I336">_xlfn.IFS(Table1[[#This Row],[Column4]]="NEW",_xlfn.XLOOKUP(Table1[[#This Row],[Year]],$N$2:$N$27,$P$2:$P$27),ISNUMBER(Table1[[#This Row],[Column4]]),Table1[[#This Row],[Column4]],Table1[[#This Row],[Column4]]="",I335*(1+Table1[[#This Row],[Ávöxtun]]))</f>
        <v>132.29568395590942</v>
      </c>
      <c r="L336" s="33">
        <v>132.29568395590942</v>
      </c>
      <c r="M336" s="33">
        <v>132.29568395590942</v>
      </c>
    </row>
    <row r="337" spans="1:13">
      <c r="A337" t="s">
        <v>85</v>
      </c>
      <c r="B337">
        <v>2011</v>
      </c>
      <c r="C337" s="16">
        <v>1.7000000000000001E-2</v>
      </c>
      <c r="D337" s="1">
        <v>508719</v>
      </c>
      <c r="E337" s="29">
        <f>Table1[[#This Row],[Ávöxtun]]*Table1[[#This Row],[Eignir]]/SUMIFS(Table1[Eignir],Table1[Year],Table1[[#This Row],[Year]])</f>
        <v>4.4337155237354602E-6</v>
      </c>
      <c r="F337" s="23">
        <f>IF(B337=1997, 100, IF(COUNTIF(A$1:A336,A337)=0, "NEW", F336*(1+Table1[[#This Row],[Ávöxtun]])))</f>
        <v>134.54471058315988</v>
      </c>
      <c r="G337" s="18" cm="1">
        <f t="array" ref="G337">IFERROR(_xlfn.IFS(ISNUMBER(Table1[[#This Row],[Column3]]),Table1[[#This Row],[Column3]],Table1[[#This Row],[Column3]]="NEW",Table1[[#This Row],[Column3]]),"")</f>
        <v>134.54471058315988</v>
      </c>
      <c r="H337" s="15" cm="1">
        <f t="array" ref="H337">_xlfn.IFS(Table1[[#This Row],[Column4]]="NEW",AVERAGEIFS(Table1[Column4],Table1[Year],Table1[[#This Row],[Year]]),ISNUMBER(Table1[[#This Row],[Column4]]),Table1[[#This Row],[Column4]],Table1[[#This Row],[Column4]]="",H336*(1+Table1[[#This Row],[Ávöxtun]]))</f>
        <v>134.54471058315988</v>
      </c>
      <c r="I337" cm="1">
        <f t="array" ref="I337">_xlfn.IFS(Table1[[#This Row],[Column4]]="NEW",_xlfn.XLOOKUP(Table1[[#This Row],[Year]],$N$2:$N$27,$P$2:$P$27),ISNUMBER(Table1[[#This Row],[Column4]]),Table1[[#This Row],[Column4]],Table1[[#This Row],[Column4]]="",I336*(1+Table1[[#This Row],[Ávöxtun]]))</f>
        <v>134.54471058315988</v>
      </c>
      <c r="L337" s="33">
        <v>134.54471058315988</v>
      </c>
      <c r="M337" s="33">
        <v>134.54471058315988</v>
      </c>
    </row>
    <row r="338" spans="1:13">
      <c r="A338" t="s">
        <v>85</v>
      </c>
      <c r="B338">
        <v>2012</v>
      </c>
      <c r="C338" s="16">
        <v>8.0000000000000002E-3</v>
      </c>
      <c r="D338" s="1">
        <v>497416</v>
      </c>
      <c r="E338" s="29">
        <f>Table1[[#This Row],[Ávöxtun]]*Table1[[#This Row],[Eignir]]/SUMIFS(Table1[Eignir],Table1[Year],Table1[[#This Row],[Year]])</f>
        <v>1.806451023049643E-6</v>
      </c>
      <c r="F338" s="23">
        <f>IF(B338=1997, 100, IF(COUNTIF(A$1:A337,A338)=0, "NEW", F337*(1+Table1[[#This Row],[Ávöxtun]])))</f>
        <v>135.62106826782517</v>
      </c>
      <c r="G338" s="18" cm="1">
        <f t="array" ref="G338">IFERROR(_xlfn.IFS(ISNUMBER(Table1[[#This Row],[Column3]]),Table1[[#This Row],[Column3]],Table1[[#This Row],[Column3]]="NEW",Table1[[#This Row],[Column3]]),"")</f>
        <v>135.62106826782517</v>
      </c>
      <c r="H338" s="15" cm="1">
        <f t="array" ref="H338">_xlfn.IFS(Table1[[#This Row],[Column4]]="NEW",AVERAGEIFS(Table1[Column4],Table1[Year],Table1[[#This Row],[Year]]),ISNUMBER(Table1[[#This Row],[Column4]]),Table1[[#This Row],[Column4]],Table1[[#This Row],[Column4]]="",H337*(1+Table1[[#This Row],[Ávöxtun]]))</f>
        <v>135.62106826782517</v>
      </c>
      <c r="I338" cm="1">
        <f t="array" ref="I338">_xlfn.IFS(Table1[[#This Row],[Column4]]="NEW",_xlfn.XLOOKUP(Table1[[#This Row],[Year]],$N$2:$N$27,$P$2:$P$27),ISNUMBER(Table1[[#This Row],[Column4]]),Table1[[#This Row],[Column4]],Table1[[#This Row],[Column4]]="",I337*(1+Table1[[#This Row],[Ávöxtun]]))</f>
        <v>135.62106826782517</v>
      </c>
      <c r="L338" s="33">
        <v>135.62106826782517</v>
      </c>
      <c r="M338" s="33">
        <v>135.62106826782517</v>
      </c>
    </row>
    <row r="339" spans="1:13">
      <c r="A339" t="s">
        <v>86</v>
      </c>
      <c r="B339">
        <v>1997</v>
      </c>
      <c r="C339" s="16">
        <v>0.06</v>
      </c>
      <c r="D339" s="1">
        <v>232491.07</v>
      </c>
      <c r="E339" s="29">
        <f>Table1[[#This Row],[Ávöxtun]]*Table1[[#This Row],[Eignir]]/SUMIFS(Table1[Eignir],Table1[Year],Table1[[#This Row],[Year]])</f>
        <v>4.1145786135534111E-5</v>
      </c>
      <c r="F339" s="23">
        <f>IF(B339=1997, 100, IF(COUNTIF(A$1:A338,A339)=0, "NEW", F338*(1+Table1[[#This Row],[Ávöxtun]])))</f>
        <v>100</v>
      </c>
      <c r="G339" s="18" cm="1">
        <f t="array" ref="G339">IFERROR(_xlfn.IFS(ISNUMBER(Table1[[#This Row],[Column3]]),Table1[[#This Row],[Column3]],Table1[[#This Row],[Column3]]="NEW",Table1[[#This Row],[Column3]]),"")</f>
        <v>100</v>
      </c>
      <c r="H339" s="15" cm="1">
        <f t="array" ref="H339">_xlfn.IFS(Table1[[#This Row],[Column4]]="NEW",AVERAGEIFS(Table1[Column4],Table1[Year],Table1[[#This Row],[Year]]),ISNUMBER(Table1[[#This Row],[Column4]]),Table1[[#This Row],[Column4]],Table1[[#This Row],[Column4]]="",H338*(1+Table1[[#This Row],[Ávöxtun]]))</f>
        <v>100</v>
      </c>
      <c r="I339" cm="1">
        <f t="array" ref="I339">_xlfn.IFS(Table1[[#This Row],[Column4]]="NEW",_xlfn.XLOOKUP(Table1[[#This Row],[Year]],$N$2:$N$27,$P$2:$P$27),ISNUMBER(Table1[[#This Row],[Column4]]),Table1[[#This Row],[Column4]],Table1[[#This Row],[Column4]]="",I338*(1+Table1[[#This Row],[Ávöxtun]]))</f>
        <v>100</v>
      </c>
      <c r="L339" s="33">
        <v>100</v>
      </c>
      <c r="M339" s="33">
        <v>100</v>
      </c>
    </row>
    <row r="340" spans="1:13">
      <c r="A340" t="s">
        <v>86</v>
      </c>
      <c r="B340">
        <v>1998</v>
      </c>
      <c r="C340" s="16">
        <v>0.05</v>
      </c>
      <c r="D340" s="1">
        <v>247946.48</v>
      </c>
      <c r="E340" s="29">
        <f>Table1[[#This Row],[Ávöxtun]]*Table1[[#This Row],[Eignir]]/SUMIFS(Table1[Eignir],Table1[Year],Table1[[#This Row],[Year]])</f>
        <v>3.1655308700755626E-5</v>
      </c>
      <c r="F340" s="23">
        <f>IF(B340=1997, 100, IF(COUNTIF(A$1:A339,A340)=0, "NEW", F339*(1+Table1[[#This Row],[Ávöxtun]])))</f>
        <v>105</v>
      </c>
      <c r="G340" s="18" cm="1">
        <f t="array" ref="G340">IFERROR(_xlfn.IFS(ISNUMBER(Table1[[#This Row],[Column3]]),Table1[[#This Row],[Column3]],Table1[[#This Row],[Column3]]="NEW",Table1[[#This Row],[Column3]]),"")</f>
        <v>105</v>
      </c>
      <c r="H340" s="15" cm="1">
        <f t="array" ref="H340">_xlfn.IFS(Table1[[#This Row],[Column4]]="NEW",AVERAGEIFS(Table1[Column4],Table1[Year],Table1[[#This Row],[Year]]),ISNUMBER(Table1[[#This Row],[Column4]]),Table1[[#This Row],[Column4]],Table1[[#This Row],[Column4]]="",H339*(1+Table1[[#This Row],[Ávöxtun]]))</f>
        <v>105</v>
      </c>
      <c r="I340" cm="1">
        <f t="array" ref="I340">_xlfn.IFS(Table1[[#This Row],[Column4]]="NEW",_xlfn.XLOOKUP(Table1[[#This Row],[Year]],$N$2:$N$27,$P$2:$P$27),ISNUMBER(Table1[[#This Row],[Column4]]),Table1[[#This Row],[Column4]],Table1[[#This Row],[Column4]]="",I339*(1+Table1[[#This Row],[Ávöxtun]]))</f>
        <v>105</v>
      </c>
      <c r="L340" s="33">
        <v>105</v>
      </c>
      <c r="M340" s="33">
        <v>105</v>
      </c>
    </row>
    <row r="341" spans="1:13">
      <c r="A341" t="s">
        <v>86</v>
      </c>
      <c r="B341">
        <v>1999</v>
      </c>
      <c r="C341" s="16">
        <v>0.05</v>
      </c>
      <c r="D341" s="1">
        <v>272051.14</v>
      </c>
      <c r="E341" s="29">
        <f>Table1[[#This Row],[Ávöxtun]]*Table1[[#This Row],[Eignir]]/SUMIFS(Table1[Eignir],Table1[Year],Table1[[#This Row],[Year]])</f>
        <v>2.6122759951499355E-5</v>
      </c>
      <c r="F341" s="23">
        <f>IF(B341=1997, 100, IF(COUNTIF(A$1:A340,A341)=0, "NEW", F340*(1+Table1[[#This Row],[Ávöxtun]])))</f>
        <v>110.25</v>
      </c>
      <c r="G341" s="18" cm="1">
        <f t="array" ref="G341">IFERROR(_xlfn.IFS(ISNUMBER(Table1[[#This Row],[Column3]]),Table1[[#This Row],[Column3]],Table1[[#This Row],[Column3]]="NEW",Table1[[#This Row],[Column3]]),"")</f>
        <v>110.25</v>
      </c>
      <c r="H341" s="15" cm="1">
        <f t="array" ref="H341">_xlfn.IFS(Table1[[#This Row],[Column4]]="NEW",AVERAGEIFS(Table1[Column4],Table1[Year],Table1[[#This Row],[Year]]),ISNUMBER(Table1[[#This Row],[Column4]]),Table1[[#This Row],[Column4]],Table1[[#This Row],[Column4]]="",H340*(1+Table1[[#This Row],[Ávöxtun]]))</f>
        <v>110.25</v>
      </c>
      <c r="I341" cm="1">
        <f t="array" ref="I341">_xlfn.IFS(Table1[[#This Row],[Column4]]="NEW",_xlfn.XLOOKUP(Table1[[#This Row],[Year]],$N$2:$N$27,$P$2:$P$27),ISNUMBER(Table1[[#This Row],[Column4]]),Table1[[#This Row],[Column4]],Table1[[#This Row],[Column4]]="",I340*(1+Table1[[#This Row],[Ávöxtun]]))</f>
        <v>110.25</v>
      </c>
      <c r="L341" s="33">
        <v>110.25</v>
      </c>
      <c r="M341" s="33">
        <v>110.25</v>
      </c>
    </row>
    <row r="342" spans="1:13">
      <c r="A342" t="s">
        <v>86</v>
      </c>
      <c r="B342">
        <v>2000</v>
      </c>
      <c r="C342" s="16">
        <v>0.03</v>
      </c>
      <c r="D342" s="1">
        <v>289658.03999999998</v>
      </c>
      <c r="E342" s="29">
        <f>Table1[[#This Row],[Ávöxtun]]*Table1[[#This Row],[Eignir]]/SUMIFS(Table1[Eignir],Table1[Year],Table1[[#This Row],[Year]])</f>
        <v>1.2223754356508843E-5</v>
      </c>
      <c r="F342" s="23">
        <f>IF(B342=1997, 100, IF(COUNTIF(A$1:A341,A342)=0, "NEW", F341*(1+Table1[[#This Row],[Ávöxtun]])))</f>
        <v>113.5575</v>
      </c>
      <c r="G342" s="18" cm="1">
        <f t="array" ref="G342">IFERROR(_xlfn.IFS(ISNUMBER(Table1[[#This Row],[Column3]]),Table1[[#This Row],[Column3]],Table1[[#This Row],[Column3]]="NEW",Table1[[#This Row],[Column3]]),"")</f>
        <v>113.5575</v>
      </c>
      <c r="H342" s="15" cm="1">
        <f t="array" ref="H342">_xlfn.IFS(Table1[[#This Row],[Column4]]="NEW",AVERAGEIFS(Table1[Column4],Table1[Year],Table1[[#This Row],[Year]]),ISNUMBER(Table1[[#This Row],[Column4]]),Table1[[#This Row],[Column4]],Table1[[#This Row],[Column4]]="",H341*(1+Table1[[#This Row],[Ávöxtun]]))</f>
        <v>113.5575</v>
      </c>
      <c r="I342" cm="1">
        <f t="array" ref="I342">_xlfn.IFS(Table1[[#This Row],[Column4]]="NEW",_xlfn.XLOOKUP(Table1[[#This Row],[Year]],$N$2:$N$27,$P$2:$P$27),ISNUMBER(Table1[[#This Row],[Column4]]),Table1[[#This Row],[Column4]],Table1[[#This Row],[Column4]]="",I341*(1+Table1[[#This Row],[Ávöxtun]]))</f>
        <v>113.5575</v>
      </c>
      <c r="L342" s="33">
        <v>113.5575</v>
      </c>
      <c r="M342" s="33">
        <v>113.5575</v>
      </c>
    </row>
    <row r="343" spans="1:13">
      <c r="A343" t="s">
        <v>86</v>
      </c>
      <c r="B343">
        <v>2001</v>
      </c>
      <c r="C343" s="16">
        <v>0.04</v>
      </c>
      <c r="D343" s="1">
        <v>328894.77</v>
      </c>
      <c r="E343" s="29">
        <f>Table1[[#This Row],[Ávöxtun]]*Table1[[#This Row],[Eignir]]/SUMIFS(Table1[Eignir],Table1[Year],Table1[[#This Row],[Year]])</f>
        <v>1.1361613398856174E-5</v>
      </c>
      <c r="F343" s="23">
        <f>IF(B343=1997, 100, IF(COUNTIF(A$1:A342,A343)=0, "NEW", F342*(1+Table1[[#This Row],[Ávöxtun]])))</f>
        <v>118.0998</v>
      </c>
      <c r="G343" s="18" cm="1">
        <f t="array" ref="G343">IFERROR(_xlfn.IFS(ISNUMBER(Table1[[#This Row],[Column3]]),Table1[[#This Row],[Column3]],Table1[[#This Row],[Column3]]="NEW",Table1[[#This Row],[Column3]]),"")</f>
        <v>118.0998</v>
      </c>
      <c r="H343" s="15" cm="1">
        <f t="array" ref="H343">_xlfn.IFS(Table1[[#This Row],[Column4]]="NEW",AVERAGEIFS(Table1[Column4],Table1[Year],Table1[[#This Row],[Year]]),ISNUMBER(Table1[[#This Row],[Column4]]),Table1[[#This Row],[Column4]],Table1[[#This Row],[Column4]]="",H342*(1+Table1[[#This Row],[Ávöxtun]]))</f>
        <v>118.0998</v>
      </c>
      <c r="I343" cm="1">
        <f t="array" ref="I343">_xlfn.IFS(Table1[[#This Row],[Column4]]="NEW",_xlfn.XLOOKUP(Table1[[#This Row],[Year]],$N$2:$N$27,$P$2:$P$27),ISNUMBER(Table1[[#This Row],[Column4]]),Table1[[#This Row],[Column4]],Table1[[#This Row],[Column4]]="",I342*(1+Table1[[#This Row],[Ávöxtun]]))</f>
        <v>118.0998</v>
      </c>
      <c r="L343" s="33">
        <v>118.0998</v>
      </c>
      <c r="M343" s="33">
        <v>118.0998</v>
      </c>
    </row>
    <row r="344" spans="1:13">
      <c r="A344" t="s">
        <v>86</v>
      </c>
      <c r="B344">
        <v>2002</v>
      </c>
      <c r="C344" s="16">
        <v>0.05</v>
      </c>
      <c r="D344" s="1">
        <v>344470</v>
      </c>
      <c r="E344" s="29">
        <f>Table1[[#This Row],[Ávöxtun]]*Table1[[#This Row],[Eignir]]/SUMIFS(Table1[Eignir],Table1[Year],Table1[[#This Row],[Year]])</f>
        <v>2.7116612068230378E-5</v>
      </c>
      <c r="F344" s="23">
        <f>IF(B344=1997, 100, IF(COUNTIF(A$1:A343,A344)=0, "NEW", F343*(1+Table1[[#This Row],[Ávöxtun]])))</f>
        <v>124.00479000000001</v>
      </c>
      <c r="G344" s="18" cm="1">
        <f t="array" ref="G344">IFERROR(_xlfn.IFS(ISNUMBER(Table1[[#This Row],[Column3]]),Table1[[#This Row],[Column3]],Table1[[#This Row],[Column3]]="NEW",Table1[[#This Row],[Column3]]),"")</f>
        <v>124.00479000000001</v>
      </c>
      <c r="H344" s="15" cm="1">
        <f t="array" ref="H344">_xlfn.IFS(Table1[[#This Row],[Column4]]="NEW",AVERAGEIFS(Table1[Column4],Table1[Year],Table1[[#This Row],[Year]]),ISNUMBER(Table1[[#This Row],[Column4]]),Table1[[#This Row],[Column4]],Table1[[#This Row],[Column4]]="",H343*(1+Table1[[#This Row],[Ávöxtun]]))</f>
        <v>124.00479000000001</v>
      </c>
      <c r="I344" cm="1">
        <f t="array" ref="I344">_xlfn.IFS(Table1[[#This Row],[Column4]]="NEW",_xlfn.XLOOKUP(Table1[[#This Row],[Year]],$N$2:$N$27,$P$2:$P$27),ISNUMBER(Table1[[#This Row],[Column4]]),Table1[[#This Row],[Column4]],Table1[[#This Row],[Column4]]="",I343*(1+Table1[[#This Row],[Ávöxtun]]))</f>
        <v>124.00479000000001</v>
      </c>
      <c r="L344" s="33">
        <v>124.00479000000001</v>
      </c>
      <c r="M344" s="33">
        <v>124.00479000000001</v>
      </c>
    </row>
    <row r="345" spans="1:13">
      <c r="A345" t="s">
        <v>86</v>
      </c>
      <c r="B345">
        <v>2003</v>
      </c>
      <c r="C345" s="16">
        <v>0.05</v>
      </c>
      <c r="D345" s="1">
        <v>368809</v>
      </c>
      <c r="E345" s="29">
        <f>Table1[[#This Row],[Ávöxtun]]*Table1[[#This Row],[Eignir]]/SUMIFS(Table1[Eignir],Table1[Year],Table1[[#This Row],[Year]])</f>
        <v>2.4267217821508216E-5</v>
      </c>
      <c r="F345" s="23">
        <f>IF(B345=1997, 100, IF(COUNTIF(A$1:A344,A345)=0, "NEW", F344*(1+Table1[[#This Row],[Ávöxtun]])))</f>
        <v>130.20502950000002</v>
      </c>
      <c r="G345" s="18" cm="1">
        <f t="array" ref="G345">IFERROR(_xlfn.IFS(ISNUMBER(Table1[[#This Row],[Column3]]),Table1[[#This Row],[Column3]],Table1[[#This Row],[Column3]]="NEW",Table1[[#This Row],[Column3]]),"")</f>
        <v>130.20502950000002</v>
      </c>
      <c r="H345" s="15" cm="1">
        <f t="array" ref="H345">_xlfn.IFS(Table1[[#This Row],[Column4]]="NEW",AVERAGEIFS(Table1[Column4],Table1[Year],Table1[[#This Row],[Year]]),ISNUMBER(Table1[[#This Row],[Column4]]),Table1[[#This Row],[Column4]],Table1[[#This Row],[Column4]]="",H344*(1+Table1[[#This Row],[Ávöxtun]]))</f>
        <v>130.20502950000002</v>
      </c>
      <c r="I345" cm="1">
        <f t="array" ref="I345">_xlfn.IFS(Table1[[#This Row],[Column4]]="NEW",_xlfn.XLOOKUP(Table1[[#This Row],[Year]],$N$2:$N$27,$P$2:$P$27),ISNUMBER(Table1[[#This Row],[Column4]]),Table1[[#This Row],[Column4]],Table1[[#This Row],[Column4]]="",I344*(1+Table1[[#This Row],[Ávöxtun]]))</f>
        <v>130.20502950000002</v>
      </c>
      <c r="L345" s="33">
        <v>130.20502950000002</v>
      </c>
      <c r="M345" s="33">
        <v>130.20502950000002</v>
      </c>
    </row>
    <row r="346" spans="1:13">
      <c r="A346" t="s">
        <v>86</v>
      </c>
      <c r="B346">
        <v>2004</v>
      </c>
      <c r="C346" s="16">
        <v>7.0000000000000007E-2</v>
      </c>
      <c r="D346" s="1">
        <v>402573.25</v>
      </c>
      <c r="E346" s="29">
        <f>Table1[[#This Row],[Ávöxtun]]*Table1[[#This Row],[Eignir]]/SUMIFS(Table1[Eignir],Table1[Year],Table1[[#This Row],[Year]])</f>
        <v>3.1046651649828445E-5</v>
      </c>
      <c r="F346" s="23">
        <f>IF(B346=1997, 100, IF(COUNTIF(A$1:A345,A346)=0, "NEW", F345*(1+Table1[[#This Row],[Ávöxtun]])))</f>
        <v>139.31938156500004</v>
      </c>
      <c r="G346" s="18" cm="1">
        <f t="array" ref="G346">IFERROR(_xlfn.IFS(ISNUMBER(Table1[[#This Row],[Column3]]),Table1[[#This Row],[Column3]],Table1[[#This Row],[Column3]]="NEW",Table1[[#This Row],[Column3]]),"")</f>
        <v>139.31938156500004</v>
      </c>
      <c r="H346" s="15" cm="1">
        <f t="array" ref="H346">_xlfn.IFS(Table1[[#This Row],[Column4]]="NEW",AVERAGEIFS(Table1[Column4],Table1[Year],Table1[[#This Row],[Year]]),ISNUMBER(Table1[[#This Row],[Column4]]),Table1[[#This Row],[Column4]],Table1[[#This Row],[Column4]]="",H345*(1+Table1[[#This Row],[Ávöxtun]]))</f>
        <v>139.31938156500004</v>
      </c>
      <c r="I346" cm="1">
        <f t="array" ref="I346">_xlfn.IFS(Table1[[#This Row],[Column4]]="NEW",_xlfn.XLOOKUP(Table1[[#This Row],[Year]],$N$2:$N$27,$P$2:$P$27),ISNUMBER(Table1[[#This Row],[Column4]]),Table1[[#This Row],[Column4]],Table1[[#This Row],[Column4]]="",I345*(1+Table1[[#This Row],[Ávöxtun]]))</f>
        <v>139.31938156500004</v>
      </c>
      <c r="L346" s="33">
        <v>139.31938156500004</v>
      </c>
      <c r="M346" s="33">
        <v>139.31938156500004</v>
      </c>
    </row>
    <row r="347" spans="1:13">
      <c r="A347" t="s">
        <v>86</v>
      </c>
      <c r="B347">
        <v>2005</v>
      </c>
      <c r="C347" s="16">
        <v>0.03</v>
      </c>
      <c r="D347" s="1">
        <v>423335</v>
      </c>
      <c r="E347" s="29">
        <f>Table1[[#This Row],[Ávöxtun]]*Table1[[#This Row],[Eignir]]/SUMIFS(Table1[Eignir],Table1[Year],Table1[[#This Row],[Year]])</f>
        <v>1.1325802686953349E-5</v>
      </c>
      <c r="F347" s="23">
        <f>IF(B347=1997, 100, IF(COUNTIF(A$1:A346,A347)=0, "NEW", F346*(1+Table1[[#This Row],[Ávöxtun]])))</f>
        <v>143.49896301195005</v>
      </c>
      <c r="G347" s="18" cm="1">
        <f t="array" ref="G347">IFERROR(_xlfn.IFS(ISNUMBER(Table1[[#This Row],[Column3]]),Table1[[#This Row],[Column3]],Table1[[#This Row],[Column3]]="NEW",Table1[[#This Row],[Column3]]),"")</f>
        <v>143.49896301195005</v>
      </c>
      <c r="H347" s="15" cm="1">
        <f t="array" ref="H347">_xlfn.IFS(Table1[[#This Row],[Column4]]="NEW",AVERAGEIFS(Table1[Column4],Table1[Year],Table1[[#This Row],[Year]]),ISNUMBER(Table1[[#This Row],[Column4]]),Table1[[#This Row],[Column4]],Table1[[#This Row],[Column4]]="",H346*(1+Table1[[#This Row],[Ávöxtun]]))</f>
        <v>143.49896301195005</v>
      </c>
      <c r="I347" cm="1">
        <f t="array" ref="I347">_xlfn.IFS(Table1[[#This Row],[Column4]]="NEW",_xlfn.XLOOKUP(Table1[[#This Row],[Year]],$N$2:$N$27,$P$2:$P$27),ISNUMBER(Table1[[#This Row],[Column4]]),Table1[[#This Row],[Column4]],Table1[[#This Row],[Column4]]="",I346*(1+Table1[[#This Row],[Ávöxtun]]))</f>
        <v>143.49896301195005</v>
      </c>
      <c r="L347" s="33">
        <v>143.49896301195005</v>
      </c>
      <c r="M347" s="33">
        <v>143.49896301195005</v>
      </c>
    </row>
    <row r="348" spans="1:13">
      <c r="A348" t="s">
        <v>86</v>
      </c>
      <c r="B348">
        <v>2006</v>
      </c>
      <c r="C348" s="16">
        <v>0.03</v>
      </c>
      <c r="D348" s="1">
        <v>455414</v>
      </c>
      <c r="E348" s="29">
        <f>Table1[[#This Row],[Ávöxtun]]*Table1[[#This Row],[Eignir]]/SUMIFS(Table1[Eignir],Table1[Year],Table1[[#This Row],[Year]])</f>
        <v>9.953130660933124E-6</v>
      </c>
      <c r="F348" s="23">
        <f>IF(B348=1997, 100, IF(COUNTIF(A$1:A347,A348)=0, "NEW", F347*(1+Table1[[#This Row],[Ávöxtun]])))</f>
        <v>147.80393190230856</v>
      </c>
      <c r="G348" s="18" cm="1">
        <f t="array" ref="G348">IFERROR(_xlfn.IFS(ISNUMBER(Table1[[#This Row],[Column3]]),Table1[[#This Row],[Column3]],Table1[[#This Row],[Column3]]="NEW",Table1[[#This Row],[Column3]]),"")</f>
        <v>147.80393190230856</v>
      </c>
      <c r="H348" s="15" cm="1">
        <f t="array" ref="H348">_xlfn.IFS(Table1[[#This Row],[Column4]]="NEW",AVERAGEIFS(Table1[Column4],Table1[Year],Table1[[#This Row],[Year]]),ISNUMBER(Table1[[#This Row],[Column4]]),Table1[[#This Row],[Column4]],Table1[[#This Row],[Column4]]="",H347*(1+Table1[[#This Row],[Ávöxtun]]))</f>
        <v>147.80393190230856</v>
      </c>
      <c r="I348" cm="1">
        <f t="array" ref="I348">_xlfn.IFS(Table1[[#This Row],[Column4]]="NEW",_xlfn.XLOOKUP(Table1[[#This Row],[Year]],$N$2:$N$27,$P$2:$P$27),ISNUMBER(Table1[[#This Row],[Column4]]),Table1[[#This Row],[Column4]],Table1[[#This Row],[Column4]]="",I347*(1+Table1[[#This Row],[Ávöxtun]]))</f>
        <v>147.80393190230856</v>
      </c>
      <c r="L348" s="33">
        <v>147.80393190230856</v>
      </c>
      <c r="M348" s="33">
        <v>147.80393190230856</v>
      </c>
    </row>
    <row r="349" spans="1:13">
      <c r="A349" t="s">
        <v>86</v>
      </c>
      <c r="B349">
        <v>2007</v>
      </c>
      <c r="C349" s="16">
        <v>2.5099999999999997E-2</v>
      </c>
      <c r="D349" s="1">
        <v>486080</v>
      </c>
      <c r="E349" s="29">
        <f>Table1[[#This Row],[Ávöxtun]]*Table1[[#This Row],[Eignir]]/SUMIFS(Table1[Eignir],Table1[Year],Table1[[#This Row],[Year]])</f>
        <v>7.8896435975053596E-6</v>
      </c>
      <c r="F349" s="23">
        <f>IF(B349=1997, 100, IF(COUNTIF(A$1:A348,A349)=0, "NEW", F348*(1+Table1[[#This Row],[Ávöxtun]])))</f>
        <v>151.51381059305649</v>
      </c>
      <c r="G349" s="18" cm="1">
        <f t="array" ref="G349">IFERROR(_xlfn.IFS(ISNUMBER(Table1[[#This Row],[Column3]]),Table1[[#This Row],[Column3]],Table1[[#This Row],[Column3]]="NEW",Table1[[#This Row],[Column3]]),"")</f>
        <v>151.51381059305649</v>
      </c>
      <c r="H349" s="15" cm="1">
        <f t="array" ref="H349">_xlfn.IFS(Table1[[#This Row],[Column4]]="NEW",AVERAGEIFS(Table1[Column4],Table1[Year],Table1[[#This Row],[Year]]),ISNUMBER(Table1[[#This Row],[Column4]]),Table1[[#This Row],[Column4]],Table1[[#This Row],[Column4]]="",H348*(1+Table1[[#This Row],[Ávöxtun]]))</f>
        <v>151.51381059305649</v>
      </c>
      <c r="I349" cm="1">
        <f t="array" ref="I349">_xlfn.IFS(Table1[[#This Row],[Column4]]="NEW",_xlfn.XLOOKUP(Table1[[#This Row],[Year]],$N$2:$N$27,$P$2:$P$27),ISNUMBER(Table1[[#This Row],[Column4]]),Table1[[#This Row],[Column4]],Table1[[#This Row],[Column4]]="",I348*(1+Table1[[#This Row],[Ávöxtun]]))</f>
        <v>151.51381059305649</v>
      </c>
      <c r="L349" s="33">
        <v>151.51381059305649</v>
      </c>
      <c r="M349" s="33">
        <v>151.51381059305649</v>
      </c>
    </row>
    <row r="350" spans="1:13">
      <c r="A350" t="s">
        <v>86</v>
      </c>
      <c r="B350">
        <v>2008</v>
      </c>
      <c r="C350" s="16">
        <v>-4.9000000000000002E-2</v>
      </c>
      <c r="D350" s="1">
        <v>531631</v>
      </c>
      <c r="E350" s="29">
        <f>Table1[[#This Row],[Ávöxtun]]*Table1[[#This Row],[Eignir]]/SUMIFS(Table1[Eignir],Table1[Year],Table1[[#This Row],[Year]])</f>
        <v>-1.7397720928337637E-5</v>
      </c>
      <c r="F350" s="23">
        <f>IF(B350=1997, 100, IF(COUNTIF(A$1:A349,A350)=0, "NEW", F349*(1+Table1[[#This Row],[Ávöxtun]])))</f>
        <v>144.08963387399672</v>
      </c>
      <c r="G350" s="18" cm="1">
        <f t="array" ref="G350">IFERROR(_xlfn.IFS(ISNUMBER(Table1[[#This Row],[Column3]]),Table1[[#This Row],[Column3]],Table1[[#This Row],[Column3]]="NEW",Table1[[#This Row],[Column3]]),"")</f>
        <v>144.08963387399672</v>
      </c>
      <c r="H350" s="15" cm="1">
        <f t="array" ref="H350">_xlfn.IFS(Table1[[#This Row],[Column4]]="NEW",AVERAGEIFS(Table1[Column4],Table1[Year],Table1[[#This Row],[Year]]),ISNUMBER(Table1[[#This Row],[Column4]]),Table1[[#This Row],[Column4]],Table1[[#This Row],[Column4]]="",H349*(1+Table1[[#This Row],[Ávöxtun]]))</f>
        <v>144.08963387399672</v>
      </c>
      <c r="I350" cm="1">
        <f t="array" ref="I350">_xlfn.IFS(Table1[[#This Row],[Column4]]="NEW",_xlfn.XLOOKUP(Table1[[#This Row],[Year]],$N$2:$N$27,$P$2:$P$27),ISNUMBER(Table1[[#This Row],[Column4]]),Table1[[#This Row],[Column4]],Table1[[#This Row],[Column4]]="",I349*(1+Table1[[#This Row],[Ávöxtun]]))</f>
        <v>144.08963387399672</v>
      </c>
      <c r="L350" s="33">
        <v>144.08963387399672</v>
      </c>
      <c r="M350" s="33">
        <v>144.08963387399672</v>
      </c>
    </row>
    <row r="351" spans="1:13">
      <c r="A351" t="s">
        <v>86</v>
      </c>
      <c r="B351">
        <v>2009</v>
      </c>
      <c r="C351" s="16">
        <v>9.4000000000000004E-3</v>
      </c>
      <c r="D351" s="1">
        <v>571368</v>
      </c>
      <c r="E351" s="29">
        <f>Table1[[#This Row],[Ávöxtun]]*Table1[[#This Row],[Eignir]]/SUMIFS(Table1[Eignir],Table1[Year],Table1[[#This Row],[Year]])</f>
        <v>3.219440908216592E-6</v>
      </c>
      <c r="F351" s="23">
        <f>IF(B351=1997, 100, IF(COUNTIF(A$1:A350,A351)=0, "NEW", F350*(1+Table1[[#This Row],[Ávöxtun]])))</f>
        <v>145.44407643241229</v>
      </c>
      <c r="G351" s="18" cm="1">
        <f t="array" ref="G351">IFERROR(_xlfn.IFS(ISNUMBER(Table1[[#This Row],[Column3]]),Table1[[#This Row],[Column3]],Table1[[#This Row],[Column3]]="NEW",Table1[[#This Row],[Column3]]),"")</f>
        <v>145.44407643241229</v>
      </c>
      <c r="H351" s="15" cm="1">
        <f t="array" ref="H351">_xlfn.IFS(Table1[[#This Row],[Column4]]="NEW",AVERAGEIFS(Table1[Column4],Table1[Year],Table1[[#This Row],[Year]]),ISNUMBER(Table1[[#This Row],[Column4]]),Table1[[#This Row],[Column4]],Table1[[#This Row],[Column4]]="",H350*(1+Table1[[#This Row],[Ávöxtun]]))</f>
        <v>145.44407643241229</v>
      </c>
      <c r="I351" cm="1">
        <f t="array" ref="I351">_xlfn.IFS(Table1[[#This Row],[Column4]]="NEW",_xlfn.XLOOKUP(Table1[[#This Row],[Year]],$N$2:$N$27,$P$2:$P$27),ISNUMBER(Table1[[#This Row],[Column4]]),Table1[[#This Row],[Column4]],Table1[[#This Row],[Column4]]="",I350*(1+Table1[[#This Row],[Ávöxtun]]))</f>
        <v>145.44407643241229</v>
      </c>
      <c r="L351" s="33">
        <v>145.44407643241229</v>
      </c>
      <c r="M351" s="33">
        <v>145.44407643241229</v>
      </c>
    </row>
    <row r="352" spans="1:13">
      <c r="A352" t="s">
        <v>86</v>
      </c>
      <c r="B352">
        <v>2010</v>
      </c>
      <c r="C352" s="16">
        <v>3.2400000000000005E-2</v>
      </c>
      <c r="D352" s="1">
        <v>589872</v>
      </c>
      <c r="E352" s="29">
        <f>Table1[[#This Row],[Ávöxtun]]*Table1[[#This Row],[Eignir]]/SUMIFS(Table1[Eignir],Table1[Year],Table1[[#This Row],[Year]])</f>
        <v>1.0690231842155831E-5</v>
      </c>
      <c r="F352" s="23">
        <f>IF(B352=1997, 100, IF(COUNTIF(A$1:A351,A352)=0, "NEW", F351*(1+Table1[[#This Row],[Ávöxtun]])))</f>
        <v>150.15646450882244</v>
      </c>
      <c r="G352" s="18" cm="1">
        <f t="array" ref="G352">IFERROR(_xlfn.IFS(ISNUMBER(Table1[[#This Row],[Column3]]),Table1[[#This Row],[Column3]],Table1[[#This Row],[Column3]]="NEW",Table1[[#This Row],[Column3]]),"")</f>
        <v>150.15646450882244</v>
      </c>
      <c r="H352" s="15" cm="1">
        <f t="array" ref="H352">_xlfn.IFS(Table1[[#This Row],[Column4]]="NEW",AVERAGEIFS(Table1[Column4],Table1[Year],Table1[[#This Row],[Year]]),ISNUMBER(Table1[[#This Row],[Column4]]),Table1[[#This Row],[Column4]],Table1[[#This Row],[Column4]]="",H351*(1+Table1[[#This Row],[Ávöxtun]]))</f>
        <v>150.15646450882244</v>
      </c>
      <c r="I352" cm="1">
        <f t="array" ref="I352">_xlfn.IFS(Table1[[#This Row],[Column4]]="NEW",_xlfn.XLOOKUP(Table1[[#This Row],[Year]],$N$2:$N$27,$P$2:$P$27),ISNUMBER(Table1[[#This Row],[Column4]]),Table1[[#This Row],[Column4]],Table1[[#This Row],[Column4]]="",I351*(1+Table1[[#This Row],[Ávöxtun]]))</f>
        <v>150.15646450882244</v>
      </c>
      <c r="L352" s="33">
        <v>150.15646450882244</v>
      </c>
      <c r="M352" s="33">
        <v>150.15646450882244</v>
      </c>
    </row>
    <row r="353" spans="1:13">
      <c r="A353" t="s">
        <v>86</v>
      </c>
      <c r="B353">
        <v>2011</v>
      </c>
      <c r="C353" s="16">
        <v>1.1000000000000001E-2</v>
      </c>
      <c r="D353" s="1">
        <v>609599</v>
      </c>
      <c r="E353" s="29">
        <f>Table1[[#This Row],[Ávöxtun]]*Table1[[#This Row],[Eignir]]/SUMIFS(Table1[Eignir],Table1[Year],Table1[[#This Row],[Year]])</f>
        <v>3.4377783788750291E-6</v>
      </c>
      <c r="F353" s="23">
        <f>IF(B353=1997, 100, IF(COUNTIF(A$1:A352,A353)=0, "NEW", F352*(1+Table1[[#This Row],[Ávöxtun]])))</f>
        <v>151.80818561841946</v>
      </c>
      <c r="G353" s="18" cm="1">
        <f t="array" ref="G353">IFERROR(_xlfn.IFS(ISNUMBER(Table1[[#This Row],[Column3]]),Table1[[#This Row],[Column3]],Table1[[#This Row],[Column3]]="NEW",Table1[[#This Row],[Column3]]),"")</f>
        <v>151.80818561841946</v>
      </c>
      <c r="H353" s="15" cm="1">
        <f t="array" ref="H353">_xlfn.IFS(Table1[[#This Row],[Column4]]="NEW",AVERAGEIFS(Table1[Column4],Table1[Year],Table1[[#This Row],[Year]]),ISNUMBER(Table1[[#This Row],[Column4]]),Table1[[#This Row],[Column4]],Table1[[#This Row],[Column4]]="",H352*(1+Table1[[#This Row],[Ávöxtun]]))</f>
        <v>151.80818561841946</v>
      </c>
      <c r="I353" cm="1">
        <f t="array" ref="I353">_xlfn.IFS(Table1[[#This Row],[Column4]]="NEW",_xlfn.XLOOKUP(Table1[[#This Row],[Year]],$N$2:$N$27,$P$2:$P$27),ISNUMBER(Table1[[#This Row],[Column4]]),Table1[[#This Row],[Column4]],Table1[[#This Row],[Column4]]="",I352*(1+Table1[[#This Row],[Ávöxtun]]))</f>
        <v>151.80818561841946</v>
      </c>
      <c r="L353" s="33">
        <v>151.80818561841946</v>
      </c>
      <c r="M353" s="33">
        <v>151.80818561841946</v>
      </c>
    </row>
    <row r="354" spans="1:13">
      <c r="A354" t="s">
        <v>86</v>
      </c>
      <c r="B354">
        <v>2012</v>
      </c>
      <c r="C354" s="16">
        <v>6.0000000000000001E-3</v>
      </c>
      <c r="D354" s="1">
        <v>614504</v>
      </c>
      <c r="E354" s="29">
        <f>Table1[[#This Row],[Ávöxtun]]*Table1[[#This Row],[Eignir]]/SUMIFS(Table1[Eignir],Table1[Year],Table1[[#This Row],[Year]])</f>
        <v>1.6737570456138792E-6</v>
      </c>
      <c r="F354" s="23">
        <f>IF(B354=1997, 100, IF(COUNTIF(A$1:A353,A354)=0, "NEW", F353*(1+Table1[[#This Row],[Ávöxtun]])))</f>
        <v>152.71903473212998</v>
      </c>
      <c r="G354" s="18" cm="1">
        <f t="array" ref="G354">IFERROR(_xlfn.IFS(ISNUMBER(Table1[[#This Row],[Column3]]),Table1[[#This Row],[Column3]],Table1[[#This Row],[Column3]]="NEW",Table1[[#This Row],[Column3]]),"")</f>
        <v>152.71903473212998</v>
      </c>
      <c r="H354" s="15" cm="1">
        <f t="array" ref="H354">_xlfn.IFS(Table1[[#This Row],[Column4]]="NEW",AVERAGEIFS(Table1[Column4],Table1[Year],Table1[[#This Row],[Year]]),ISNUMBER(Table1[[#This Row],[Column4]]),Table1[[#This Row],[Column4]],Table1[[#This Row],[Column4]]="",H353*(1+Table1[[#This Row],[Ávöxtun]]))</f>
        <v>152.71903473212998</v>
      </c>
      <c r="I354" cm="1">
        <f t="array" ref="I354">_xlfn.IFS(Table1[[#This Row],[Column4]]="NEW",_xlfn.XLOOKUP(Table1[[#This Row],[Year]],$N$2:$N$27,$P$2:$P$27),ISNUMBER(Table1[[#This Row],[Column4]]),Table1[[#This Row],[Column4]],Table1[[#This Row],[Column4]]="",I353*(1+Table1[[#This Row],[Ávöxtun]]))</f>
        <v>152.71903473212998</v>
      </c>
      <c r="L354" s="33">
        <v>152.71903473212998</v>
      </c>
      <c r="M354" s="33">
        <v>152.71903473212998</v>
      </c>
    </row>
    <row r="355" spans="1:13">
      <c r="A355" t="s">
        <v>87</v>
      </c>
      <c r="B355">
        <v>1997</v>
      </c>
      <c r="C355" s="16">
        <v>0.08</v>
      </c>
      <c r="D355" s="1">
        <v>11443.39</v>
      </c>
      <c r="E355" s="29">
        <f>Table1[[#This Row],[Ávöxtun]]*Table1[[#This Row],[Eignir]]/SUMIFS(Table1[Eignir],Table1[Year],Table1[[#This Row],[Year]])</f>
        <v>2.700303156334906E-6</v>
      </c>
      <c r="F355" s="23">
        <f>IF(B355=1997, 100, IF(COUNTIF(A$1:A354,A355)=0, "NEW", F354*(1+Table1[[#This Row],[Ávöxtun]])))</f>
        <v>100</v>
      </c>
      <c r="G355" s="18" cm="1">
        <f t="array" ref="G355">IFERROR(_xlfn.IFS(ISNUMBER(Table1[[#This Row],[Column3]]),Table1[[#This Row],[Column3]],Table1[[#This Row],[Column3]]="NEW",Table1[[#This Row],[Column3]]),"")</f>
        <v>100</v>
      </c>
      <c r="H355" s="15" cm="1">
        <f t="array" ref="H355">_xlfn.IFS(Table1[[#This Row],[Column4]]="NEW",AVERAGEIFS(Table1[Column4],Table1[Year],Table1[[#This Row],[Year]]),ISNUMBER(Table1[[#This Row],[Column4]]),Table1[[#This Row],[Column4]],Table1[[#This Row],[Column4]]="",H354*(1+Table1[[#This Row],[Ávöxtun]]))</f>
        <v>100</v>
      </c>
      <c r="I355" cm="1">
        <f t="array" ref="I355">_xlfn.IFS(Table1[[#This Row],[Column4]]="NEW",_xlfn.XLOOKUP(Table1[[#This Row],[Year]],$N$2:$N$27,$P$2:$P$27),ISNUMBER(Table1[[#This Row],[Column4]]),Table1[[#This Row],[Column4]],Table1[[#This Row],[Column4]]="",I354*(1+Table1[[#This Row],[Ávöxtun]]))</f>
        <v>100</v>
      </c>
      <c r="L355" s="33">
        <v>100</v>
      </c>
      <c r="M355" s="33">
        <v>100</v>
      </c>
    </row>
    <row r="356" spans="1:13">
      <c r="A356" t="s">
        <v>87</v>
      </c>
      <c r="B356">
        <v>1998</v>
      </c>
      <c r="C356" s="16">
        <v>0.08</v>
      </c>
      <c r="D356" s="1">
        <v>10939.39</v>
      </c>
      <c r="E356" s="29">
        <f>Table1[[#This Row],[Ávöxtun]]*Table1[[#This Row],[Eignir]]/SUMIFS(Table1[Eignir],Table1[Year],Table1[[#This Row],[Year]])</f>
        <v>2.2346097751286263E-6</v>
      </c>
      <c r="F356" s="23">
        <f>IF(B356=1997, 100, IF(COUNTIF(A$1:A355,A356)=0, "NEW", F355*(1+Table1[[#This Row],[Ávöxtun]])))</f>
        <v>108</v>
      </c>
      <c r="G356" s="18" cm="1">
        <f t="array" ref="G356">IFERROR(_xlfn.IFS(ISNUMBER(Table1[[#This Row],[Column3]]),Table1[[#This Row],[Column3]],Table1[[#This Row],[Column3]]="NEW",Table1[[#This Row],[Column3]]),"")</f>
        <v>108</v>
      </c>
      <c r="H356" s="15" cm="1">
        <f t="array" ref="H356">_xlfn.IFS(Table1[[#This Row],[Column4]]="NEW",AVERAGEIFS(Table1[Column4],Table1[Year],Table1[[#This Row],[Year]]),ISNUMBER(Table1[[#This Row],[Column4]]),Table1[[#This Row],[Column4]],Table1[[#This Row],[Column4]]="",H355*(1+Table1[[#This Row],[Ávöxtun]]))</f>
        <v>108</v>
      </c>
      <c r="I356" cm="1">
        <f t="array" ref="I356">_xlfn.IFS(Table1[[#This Row],[Column4]]="NEW",_xlfn.XLOOKUP(Table1[[#This Row],[Year]],$N$2:$N$27,$P$2:$P$27),ISNUMBER(Table1[[#This Row],[Column4]]),Table1[[#This Row],[Column4]],Table1[[#This Row],[Column4]]="",I355*(1+Table1[[#This Row],[Ávöxtun]]))</f>
        <v>108</v>
      </c>
      <c r="L356" s="33">
        <v>108</v>
      </c>
      <c r="M356" s="33">
        <v>108</v>
      </c>
    </row>
    <row r="357" spans="1:13">
      <c r="A357" t="s">
        <v>87</v>
      </c>
      <c r="B357">
        <v>1999</v>
      </c>
      <c r="C357" s="16">
        <v>0.01</v>
      </c>
      <c r="D357" s="1">
        <v>10403.25</v>
      </c>
      <c r="E357" s="29">
        <f>Table1[[#This Row],[Ávöxtun]]*Table1[[#This Row],[Eignir]]/SUMIFS(Table1[Eignir],Table1[Year],Table1[[#This Row],[Year]])</f>
        <v>1.9978714477390953E-7</v>
      </c>
      <c r="F357" s="23">
        <f>IF(B357=1997, 100, IF(COUNTIF(A$1:A356,A357)=0, "NEW", F356*(1+Table1[[#This Row],[Ávöxtun]])))</f>
        <v>109.08</v>
      </c>
      <c r="G357" s="18" cm="1">
        <f t="array" ref="G357">IFERROR(_xlfn.IFS(ISNUMBER(Table1[[#This Row],[Column3]]),Table1[[#This Row],[Column3]],Table1[[#This Row],[Column3]]="NEW",Table1[[#This Row],[Column3]]),"")</f>
        <v>109.08</v>
      </c>
      <c r="H357" s="15" cm="1">
        <f t="array" ref="H357">_xlfn.IFS(Table1[[#This Row],[Column4]]="NEW",AVERAGEIFS(Table1[Column4],Table1[Year],Table1[[#This Row],[Year]]),ISNUMBER(Table1[[#This Row],[Column4]]),Table1[[#This Row],[Column4]],Table1[[#This Row],[Column4]]="",H356*(1+Table1[[#This Row],[Ávöxtun]]))</f>
        <v>109.08</v>
      </c>
      <c r="I357" cm="1">
        <f t="array" ref="I357">_xlfn.IFS(Table1[[#This Row],[Column4]]="NEW",_xlfn.XLOOKUP(Table1[[#This Row],[Year]],$N$2:$N$27,$P$2:$P$27),ISNUMBER(Table1[[#This Row],[Column4]]),Table1[[#This Row],[Column4]],Table1[[#This Row],[Column4]]="",I356*(1+Table1[[#This Row],[Ávöxtun]]))</f>
        <v>109.08</v>
      </c>
      <c r="L357" s="33">
        <v>109.08</v>
      </c>
      <c r="M357" s="33">
        <v>109.08</v>
      </c>
    </row>
    <row r="358" spans="1:13">
      <c r="A358" t="s">
        <v>87</v>
      </c>
      <c r="B358">
        <v>2000</v>
      </c>
      <c r="C358" s="16">
        <v>-0.03</v>
      </c>
      <c r="D358" s="1">
        <v>9011.09</v>
      </c>
      <c r="E358" s="29">
        <f>Table1[[#This Row],[Ávöxtun]]*Table1[[#This Row],[Eignir]]/SUMIFS(Table1[Eignir],Table1[Year],Table1[[#This Row],[Year]])</f>
        <v>-3.8027375537165579E-7</v>
      </c>
      <c r="F358" s="23">
        <f>IF(B358=1997, 100, IF(COUNTIF(A$1:A357,A358)=0, "NEW", F357*(1+Table1[[#This Row],[Ávöxtun]])))</f>
        <v>105.80759999999999</v>
      </c>
      <c r="G358" s="18" cm="1">
        <f t="array" ref="G358">IFERROR(_xlfn.IFS(ISNUMBER(Table1[[#This Row],[Column3]]),Table1[[#This Row],[Column3]],Table1[[#This Row],[Column3]]="NEW",Table1[[#This Row],[Column3]]),"")</f>
        <v>105.80759999999999</v>
      </c>
      <c r="H358" s="15" cm="1">
        <f t="array" ref="H358">_xlfn.IFS(Table1[[#This Row],[Column4]]="NEW",AVERAGEIFS(Table1[Column4],Table1[Year],Table1[[#This Row],[Year]]),ISNUMBER(Table1[[#This Row],[Column4]]),Table1[[#This Row],[Column4]],Table1[[#This Row],[Column4]]="",H357*(1+Table1[[#This Row],[Ávöxtun]]))</f>
        <v>105.80759999999999</v>
      </c>
      <c r="I358" cm="1">
        <f t="array" ref="I358">_xlfn.IFS(Table1[[#This Row],[Column4]]="NEW",_xlfn.XLOOKUP(Table1[[#This Row],[Year]],$N$2:$N$27,$P$2:$P$27),ISNUMBER(Table1[[#This Row],[Column4]]),Table1[[#This Row],[Column4]],Table1[[#This Row],[Column4]]="",I357*(1+Table1[[#This Row],[Ávöxtun]]))</f>
        <v>105.80759999999999</v>
      </c>
      <c r="L358" s="33">
        <v>105.80759999999999</v>
      </c>
      <c r="M358" s="33">
        <v>105.80759999999999</v>
      </c>
    </row>
    <row r="359" spans="1:13">
      <c r="A359" t="s">
        <v>87</v>
      </c>
      <c r="B359">
        <v>2001</v>
      </c>
      <c r="C359" s="16">
        <v>0.06</v>
      </c>
      <c r="D359" s="1">
        <v>9419</v>
      </c>
      <c r="E359" s="29">
        <f>Table1[[#This Row],[Ávöxtun]]*Table1[[#This Row],[Eignir]]/SUMIFS(Table1[Eignir],Table1[Year],Table1[[#This Row],[Year]])</f>
        <v>4.8806660837367359E-7</v>
      </c>
      <c r="F359" s="23">
        <f>IF(B359=1997, 100, IF(COUNTIF(A$1:A358,A359)=0, "NEW", F358*(1+Table1[[#This Row],[Ávöxtun]])))</f>
        <v>112.15605599999999</v>
      </c>
      <c r="G359" s="18" cm="1">
        <f t="array" ref="G359">IFERROR(_xlfn.IFS(ISNUMBER(Table1[[#This Row],[Column3]]),Table1[[#This Row],[Column3]],Table1[[#This Row],[Column3]]="NEW",Table1[[#This Row],[Column3]]),"")</f>
        <v>112.15605599999999</v>
      </c>
      <c r="H359" s="15" cm="1">
        <f t="array" ref="H359">_xlfn.IFS(Table1[[#This Row],[Column4]]="NEW",AVERAGEIFS(Table1[Column4],Table1[Year],Table1[[#This Row],[Year]]),ISNUMBER(Table1[[#This Row],[Column4]]),Table1[[#This Row],[Column4]],Table1[[#This Row],[Column4]]="",H358*(1+Table1[[#This Row],[Ávöxtun]]))</f>
        <v>112.15605599999999</v>
      </c>
      <c r="I359" cm="1">
        <f t="array" ref="I359">_xlfn.IFS(Table1[[#This Row],[Column4]]="NEW",_xlfn.XLOOKUP(Table1[[#This Row],[Year]],$N$2:$N$27,$P$2:$P$27),ISNUMBER(Table1[[#This Row],[Column4]]),Table1[[#This Row],[Column4]],Table1[[#This Row],[Column4]]="",I358*(1+Table1[[#This Row],[Ávöxtun]]))</f>
        <v>112.15605599999999</v>
      </c>
      <c r="L359" s="33">
        <v>112.15605599999999</v>
      </c>
      <c r="M359" s="33">
        <v>112.15605599999999</v>
      </c>
    </row>
    <row r="360" spans="1:13">
      <c r="A360" t="s">
        <v>87</v>
      </c>
      <c r="B360">
        <v>2002</v>
      </c>
      <c r="C360" s="16">
        <v>0.08</v>
      </c>
      <c r="D360" s="1">
        <v>9201.65</v>
      </c>
      <c r="E360" s="29">
        <f>Table1[[#This Row],[Ávöxtun]]*Table1[[#This Row],[Eignir]]/SUMIFS(Table1[Eignir],Table1[Year],Table1[[#This Row],[Year]])</f>
        <v>1.1589633857816684E-6</v>
      </c>
      <c r="F360" s="23">
        <f>IF(B360=1997, 100, IF(COUNTIF(A$1:A359,A360)=0, "NEW", F359*(1+Table1[[#This Row],[Ávöxtun]])))</f>
        <v>121.12854048</v>
      </c>
      <c r="G360" s="18" cm="1">
        <f t="array" ref="G360">IFERROR(_xlfn.IFS(ISNUMBER(Table1[[#This Row],[Column3]]),Table1[[#This Row],[Column3]],Table1[[#This Row],[Column3]]="NEW",Table1[[#This Row],[Column3]]),"")</f>
        <v>121.12854048</v>
      </c>
      <c r="H360" s="15" cm="1">
        <f t="array" ref="H360">_xlfn.IFS(Table1[[#This Row],[Column4]]="NEW",AVERAGEIFS(Table1[Column4],Table1[Year],Table1[[#This Row],[Year]]),ISNUMBER(Table1[[#This Row],[Column4]]),Table1[[#This Row],[Column4]],Table1[[#This Row],[Column4]]="",H359*(1+Table1[[#This Row],[Ávöxtun]]))</f>
        <v>121.12854048</v>
      </c>
      <c r="I360" cm="1">
        <f t="array" ref="I360">_xlfn.IFS(Table1[[#This Row],[Column4]]="NEW",_xlfn.XLOOKUP(Table1[[#This Row],[Year]],$N$2:$N$27,$P$2:$P$27),ISNUMBER(Table1[[#This Row],[Column4]]),Table1[[#This Row],[Column4]],Table1[[#This Row],[Column4]]="",I359*(1+Table1[[#This Row],[Ávöxtun]]))</f>
        <v>121.12854048</v>
      </c>
      <c r="L360" s="33">
        <v>121.12854048</v>
      </c>
      <c r="M360" s="33">
        <v>121.12854048</v>
      </c>
    </row>
    <row r="361" spans="1:13">
      <c r="A361" t="s">
        <v>87</v>
      </c>
      <c r="B361">
        <v>2003</v>
      </c>
      <c r="C361" s="16">
        <v>0.02</v>
      </c>
      <c r="D361" s="1">
        <v>8378</v>
      </c>
      <c r="E361" s="29">
        <f>Table1[[#This Row],[Ávöxtun]]*Table1[[#This Row],[Eignir]]/SUMIFS(Table1[Eignir],Table1[Year],Table1[[#This Row],[Year]])</f>
        <v>2.2050519473070974E-7</v>
      </c>
      <c r="F361" s="23">
        <f>IF(B361=1997, 100, IF(COUNTIF(A$1:A360,A361)=0, "NEW", F360*(1+Table1[[#This Row],[Ávöxtun]])))</f>
        <v>123.5511112896</v>
      </c>
      <c r="G361" s="18" cm="1">
        <f t="array" ref="G361">IFERROR(_xlfn.IFS(ISNUMBER(Table1[[#This Row],[Column3]]),Table1[[#This Row],[Column3]],Table1[[#This Row],[Column3]]="NEW",Table1[[#This Row],[Column3]]),"")</f>
        <v>123.5511112896</v>
      </c>
      <c r="H361" s="15" cm="1">
        <f t="array" ref="H361">_xlfn.IFS(Table1[[#This Row],[Column4]]="NEW",AVERAGEIFS(Table1[Column4],Table1[Year],Table1[[#This Row],[Year]]),ISNUMBER(Table1[[#This Row],[Column4]]),Table1[[#This Row],[Column4]],Table1[[#This Row],[Column4]]="",H360*(1+Table1[[#This Row],[Ávöxtun]]))</f>
        <v>123.5511112896</v>
      </c>
      <c r="I361" cm="1">
        <f t="array" ref="I361">_xlfn.IFS(Table1[[#This Row],[Column4]]="NEW",_xlfn.XLOOKUP(Table1[[#This Row],[Year]],$N$2:$N$27,$P$2:$P$27),ISNUMBER(Table1[[#This Row],[Column4]]),Table1[[#This Row],[Column4]],Table1[[#This Row],[Column4]]="",I360*(1+Table1[[#This Row],[Ávöxtun]]))</f>
        <v>123.5511112896</v>
      </c>
      <c r="L361" s="33">
        <v>123.5511112896</v>
      </c>
      <c r="M361" s="33">
        <v>123.5511112896</v>
      </c>
    </row>
    <row r="362" spans="1:13">
      <c r="A362" t="s">
        <v>87</v>
      </c>
      <c r="B362">
        <v>2004</v>
      </c>
      <c r="C362" s="16">
        <v>0.01</v>
      </c>
      <c r="D362" s="1">
        <v>8689</v>
      </c>
      <c r="E362" s="29">
        <f>Table1[[#This Row],[Ávöxtun]]*Table1[[#This Row],[Eignir]]/SUMIFS(Table1[Eignir],Table1[Year],Table1[[#This Row],[Year]])</f>
        <v>9.5728579008508517E-8</v>
      </c>
      <c r="F362" s="23">
        <f>IF(B362=1997, 100, IF(COUNTIF(A$1:A361,A362)=0, "NEW", F361*(1+Table1[[#This Row],[Ávöxtun]])))</f>
        <v>124.78662240249601</v>
      </c>
      <c r="G362" s="18" cm="1">
        <f t="array" ref="G362">IFERROR(_xlfn.IFS(ISNUMBER(Table1[[#This Row],[Column3]]),Table1[[#This Row],[Column3]],Table1[[#This Row],[Column3]]="NEW",Table1[[#This Row],[Column3]]),"")</f>
        <v>124.78662240249601</v>
      </c>
      <c r="H362" s="15" cm="1">
        <f t="array" ref="H362">_xlfn.IFS(Table1[[#This Row],[Column4]]="NEW",AVERAGEIFS(Table1[Column4],Table1[Year],Table1[[#This Row],[Year]]),ISNUMBER(Table1[[#This Row],[Column4]]),Table1[[#This Row],[Column4]],Table1[[#This Row],[Column4]]="",H361*(1+Table1[[#This Row],[Ávöxtun]]))</f>
        <v>124.78662240249601</v>
      </c>
      <c r="I362" cm="1">
        <f t="array" ref="I362">_xlfn.IFS(Table1[[#This Row],[Column4]]="NEW",_xlfn.XLOOKUP(Table1[[#This Row],[Year]],$N$2:$N$27,$P$2:$P$27),ISNUMBER(Table1[[#This Row],[Column4]]),Table1[[#This Row],[Column4]],Table1[[#This Row],[Column4]]="",I361*(1+Table1[[#This Row],[Ávöxtun]]))</f>
        <v>124.78662240249601</v>
      </c>
      <c r="L362" s="33">
        <v>124.78662240249601</v>
      </c>
      <c r="M362" s="33">
        <v>124.78662240249601</v>
      </c>
    </row>
    <row r="363" spans="1:13">
      <c r="A363" t="s">
        <v>87</v>
      </c>
      <c r="B363">
        <v>2005</v>
      </c>
      <c r="C363" s="16">
        <v>0.02</v>
      </c>
      <c r="D363" s="1">
        <v>7797</v>
      </c>
      <c r="E363" s="29">
        <f>Table1[[#This Row],[Ávöxtun]]*Table1[[#This Row],[Eignir]]/SUMIFS(Table1[Eignir],Table1[Year],Table1[[#This Row],[Year]])</f>
        <v>1.3906604076389504E-7</v>
      </c>
      <c r="F363" s="23">
        <f>IF(B363=1997, 100, IF(COUNTIF(A$1:A362,A363)=0, "NEW", F362*(1+Table1[[#This Row],[Ávöxtun]])))</f>
        <v>127.28235485054593</v>
      </c>
      <c r="G363" s="18" cm="1">
        <f t="array" ref="G363">IFERROR(_xlfn.IFS(ISNUMBER(Table1[[#This Row],[Column3]]),Table1[[#This Row],[Column3]],Table1[[#This Row],[Column3]]="NEW",Table1[[#This Row],[Column3]]),"")</f>
        <v>127.28235485054593</v>
      </c>
      <c r="H363" s="15" cm="1">
        <f t="array" ref="H363">_xlfn.IFS(Table1[[#This Row],[Column4]]="NEW",AVERAGEIFS(Table1[Column4],Table1[Year],Table1[[#This Row],[Year]]),ISNUMBER(Table1[[#This Row],[Column4]]),Table1[[#This Row],[Column4]],Table1[[#This Row],[Column4]]="",H362*(1+Table1[[#This Row],[Ávöxtun]]))</f>
        <v>127.28235485054593</v>
      </c>
      <c r="I363" cm="1">
        <f t="array" ref="I363">_xlfn.IFS(Table1[[#This Row],[Column4]]="NEW",_xlfn.XLOOKUP(Table1[[#This Row],[Year]],$N$2:$N$27,$P$2:$P$27),ISNUMBER(Table1[[#This Row],[Column4]]),Table1[[#This Row],[Column4]],Table1[[#This Row],[Column4]]="",I362*(1+Table1[[#This Row],[Ávöxtun]]))</f>
        <v>127.28235485054593</v>
      </c>
      <c r="L363" s="33">
        <v>127.28235485054593</v>
      </c>
      <c r="M363" s="33">
        <v>127.28235485054593</v>
      </c>
    </row>
    <row r="364" spans="1:13">
      <c r="A364" t="s">
        <v>88</v>
      </c>
      <c r="B364">
        <v>1997</v>
      </c>
      <c r="C364" s="16">
        <v>0.08</v>
      </c>
      <c r="D364" s="1">
        <v>98072.45</v>
      </c>
      <c r="E364" s="29">
        <f>Table1[[#This Row],[Ávöxtun]]*Table1[[#This Row],[Eignir]]/SUMIFS(Table1[Eignir],Table1[Year],Table1[[#This Row],[Year]])</f>
        <v>2.314221103051607E-5</v>
      </c>
      <c r="F364" s="23">
        <f>IF(B364=1997, 100, IF(COUNTIF(A$1:A363,A364)=0, "NEW", F363*(1+Table1[[#This Row],[Ávöxtun]])))</f>
        <v>100</v>
      </c>
      <c r="G364" s="18" cm="1">
        <f t="array" ref="G364">IFERROR(_xlfn.IFS(ISNUMBER(Table1[[#This Row],[Column3]]),Table1[[#This Row],[Column3]],Table1[[#This Row],[Column3]]="NEW",Table1[[#This Row],[Column3]]),"")</f>
        <v>100</v>
      </c>
      <c r="H364" s="15" cm="1">
        <f t="array" ref="H364">_xlfn.IFS(Table1[[#This Row],[Column4]]="NEW",AVERAGEIFS(Table1[Column4],Table1[Year],Table1[[#This Row],[Year]]),ISNUMBER(Table1[[#This Row],[Column4]]),Table1[[#This Row],[Column4]],Table1[[#This Row],[Column4]]="",H363*(1+Table1[[#This Row],[Ávöxtun]]))</f>
        <v>100</v>
      </c>
      <c r="I364" cm="1">
        <f t="array" ref="I364">_xlfn.IFS(Table1[[#This Row],[Column4]]="NEW",_xlfn.XLOOKUP(Table1[[#This Row],[Year]],$N$2:$N$27,$P$2:$P$27),ISNUMBER(Table1[[#This Row],[Column4]]),Table1[[#This Row],[Column4]],Table1[[#This Row],[Column4]]="",I363*(1+Table1[[#This Row],[Ávöxtun]]))</f>
        <v>100</v>
      </c>
      <c r="L364" s="33">
        <v>100</v>
      </c>
      <c r="M364" s="33">
        <v>100</v>
      </c>
    </row>
    <row r="365" spans="1:13">
      <c r="A365" t="s">
        <v>88</v>
      </c>
      <c r="B365">
        <v>1998</v>
      </c>
      <c r="C365" s="16">
        <v>0.04</v>
      </c>
      <c r="D365" s="1">
        <v>104214.2</v>
      </c>
      <c r="E365" s="29">
        <f>Table1[[#This Row],[Ávöxtun]]*Table1[[#This Row],[Eignir]]/SUMIFS(Table1[Eignir],Table1[Year],Table1[[#This Row],[Year]])</f>
        <v>1.0644015343963864E-5</v>
      </c>
      <c r="F365" s="23">
        <f>IF(B365=1997, 100, IF(COUNTIF(A$1:A364,A365)=0, "NEW", F364*(1+Table1[[#This Row],[Ávöxtun]])))</f>
        <v>104</v>
      </c>
      <c r="G365" s="18" cm="1">
        <f t="array" ref="G365">IFERROR(_xlfn.IFS(ISNUMBER(Table1[[#This Row],[Column3]]),Table1[[#This Row],[Column3]],Table1[[#This Row],[Column3]]="NEW",Table1[[#This Row],[Column3]]),"")</f>
        <v>104</v>
      </c>
      <c r="H365" s="15" cm="1">
        <f t="array" ref="H365">_xlfn.IFS(Table1[[#This Row],[Column4]]="NEW",AVERAGEIFS(Table1[Column4],Table1[Year],Table1[[#This Row],[Year]]),ISNUMBER(Table1[[#This Row],[Column4]]),Table1[[#This Row],[Column4]],Table1[[#This Row],[Column4]]="",H364*(1+Table1[[#This Row],[Ávöxtun]]))</f>
        <v>104</v>
      </c>
      <c r="I365" cm="1">
        <f t="array" ref="I365">_xlfn.IFS(Table1[[#This Row],[Column4]]="NEW",_xlfn.XLOOKUP(Table1[[#This Row],[Year]],$N$2:$N$27,$P$2:$P$27),ISNUMBER(Table1[[#This Row],[Column4]]),Table1[[#This Row],[Column4]],Table1[[#This Row],[Column4]]="",I364*(1+Table1[[#This Row],[Ávöxtun]]))</f>
        <v>104</v>
      </c>
      <c r="L365" s="33">
        <v>104</v>
      </c>
      <c r="M365" s="33">
        <v>104</v>
      </c>
    </row>
    <row r="366" spans="1:13">
      <c r="A366" t="s">
        <v>88</v>
      </c>
      <c r="B366">
        <v>1999</v>
      </c>
      <c r="C366" s="16">
        <v>0.03</v>
      </c>
      <c r="D366" s="1">
        <v>88750.399999999994</v>
      </c>
      <c r="E366" s="29">
        <f>Table1[[#This Row],[Ávöxtun]]*Table1[[#This Row],[Eignir]]/SUMIFS(Table1[Eignir],Table1[Year],Table1[[#This Row],[Year]])</f>
        <v>5.1131681965373448E-6</v>
      </c>
      <c r="F366" s="23">
        <f>IF(B366=1997, 100, IF(COUNTIF(A$1:A365,A366)=0, "NEW", F365*(1+Table1[[#This Row],[Ávöxtun]])))</f>
        <v>107.12</v>
      </c>
      <c r="G366" s="18" cm="1">
        <f t="array" ref="G366">IFERROR(_xlfn.IFS(ISNUMBER(Table1[[#This Row],[Column3]]),Table1[[#This Row],[Column3]],Table1[[#This Row],[Column3]]="NEW",Table1[[#This Row],[Column3]]),"")</f>
        <v>107.12</v>
      </c>
      <c r="H366" s="15" cm="1">
        <f t="array" ref="H366">_xlfn.IFS(Table1[[#This Row],[Column4]]="NEW",AVERAGEIFS(Table1[Column4],Table1[Year],Table1[[#This Row],[Year]]),ISNUMBER(Table1[[#This Row],[Column4]]),Table1[[#This Row],[Column4]],Table1[[#This Row],[Column4]]="",H365*(1+Table1[[#This Row],[Ávöxtun]]))</f>
        <v>107.12</v>
      </c>
      <c r="I366" cm="1">
        <f t="array" ref="I366">_xlfn.IFS(Table1[[#This Row],[Column4]]="NEW",_xlfn.XLOOKUP(Table1[[#This Row],[Year]],$N$2:$N$27,$P$2:$P$27),ISNUMBER(Table1[[#This Row],[Column4]]),Table1[[#This Row],[Column4]],Table1[[#This Row],[Column4]]="",I365*(1+Table1[[#This Row],[Ávöxtun]]))</f>
        <v>107.12</v>
      </c>
      <c r="L366" s="33">
        <v>107.12</v>
      </c>
      <c r="M366" s="33">
        <v>107.12</v>
      </c>
    </row>
    <row r="367" spans="1:13">
      <c r="A367" t="s">
        <v>88</v>
      </c>
      <c r="B367">
        <v>2000</v>
      </c>
      <c r="C367" s="16">
        <v>0.03</v>
      </c>
      <c r="D367" s="1">
        <v>76119.490000000005</v>
      </c>
      <c r="E367" s="29">
        <f>Table1[[#This Row],[Ávöxtun]]*Table1[[#This Row],[Eignir]]/SUMIFS(Table1[Eignir],Table1[Year],Table1[[#This Row],[Year]])</f>
        <v>3.2122911123155135E-6</v>
      </c>
      <c r="F367" s="23">
        <f>IF(B367=1997, 100, IF(COUNTIF(A$1:A366,A367)=0, "NEW", F366*(1+Table1[[#This Row],[Ávöxtun]])))</f>
        <v>110.3336</v>
      </c>
      <c r="G367" s="18" cm="1">
        <f t="array" ref="G367">IFERROR(_xlfn.IFS(ISNUMBER(Table1[[#This Row],[Column3]]),Table1[[#This Row],[Column3]],Table1[[#This Row],[Column3]]="NEW",Table1[[#This Row],[Column3]]),"")</f>
        <v>110.3336</v>
      </c>
      <c r="H367" s="15" cm="1">
        <f t="array" ref="H367">_xlfn.IFS(Table1[[#This Row],[Column4]]="NEW",AVERAGEIFS(Table1[Column4],Table1[Year],Table1[[#This Row],[Year]]),ISNUMBER(Table1[[#This Row],[Column4]]),Table1[[#This Row],[Column4]],Table1[[#This Row],[Column4]]="",H366*(1+Table1[[#This Row],[Ávöxtun]]))</f>
        <v>110.3336</v>
      </c>
      <c r="I367" cm="1">
        <f t="array" ref="I367">_xlfn.IFS(Table1[[#This Row],[Column4]]="NEW",_xlfn.XLOOKUP(Table1[[#This Row],[Year]],$N$2:$N$27,$P$2:$P$27),ISNUMBER(Table1[[#This Row],[Column4]]),Table1[[#This Row],[Column4]],Table1[[#This Row],[Column4]]="",I366*(1+Table1[[#This Row],[Ávöxtun]]))</f>
        <v>110.3336</v>
      </c>
      <c r="L367" s="33">
        <v>110.3336</v>
      </c>
      <c r="M367" s="33">
        <v>110.3336</v>
      </c>
    </row>
    <row r="368" spans="1:13">
      <c r="A368" t="s">
        <v>88</v>
      </c>
      <c r="B368">
        <v>2001</v>
      </c>
      <c r="C368" s="16">
        <v>-0.02</v>
      </c>
      <c r="D368" s="1">
        <v>61714.720000000001</v>
      </c>
      <c r="E368" s="29">
        <f>Table1[[#This Row],[Ávöxtun]]*Table1[[#This Row],[Eignir]]/SUMIFS(Table1[Eignir],Table1[Year],Table1[[#This Row],[Year]])</f>
        <v>-1.0659622067852539E-6</v>
      </c>
      <c r="F368" s="23">
        <f>IF(B368=1997, 100, IF(COUNTIF(A$1:A367,A368)=0, "NEW", F367*(1+Table1[[#This Row],[Ávöxtun]])))</f>
        <v>108.12692800000001</v>
      </c>
      <c r="G368" s="18" cm="1">
        <f t="array" ref="G368">IFERROR(_xlfn.IFS(ISNUMBER(Table1[[#This Row],[Column3]]),Table1[[#This Row],[Column3]],Table1[[#This Row],[Column3]]="NEW",Table1[[#This Row],[Column3]]),"")</f>
        <v>108.12692800000001</v>
      </c>
      <c r="H368" s="15" cm="1">
        <f t="array" ref="H368">_xlfn.IFS(Table1[[#This Row],[Column4]]="NEW",AVERAGEIFS(Table1[Column4],Table1[Year],Table1[[#This Row],[Year]]),ISNUMBER(Table1[[#This Row],[Column4]]),Table1[[#This Row],[Column4]],Table1[[#This Row],[Column4]]="",H367*(1+Table1[[#This Row],[Ávöxtun]]))</f>
        <v>108.12692800000001</v>
      </c>
      <c r="I368" cm="1">
        <f t="array" ref="I368">_xlfn.IFS(Table1[[#This Row],[Column4]]="NEW",_xlfn.XLOOKUP(Table1[[#This Row],[Year]],$N$2:$N$27,$P$2:$P$27),ISNUMBER(Table1[[#This Row],[Column4]]),Table1[[#This Row],[Column4]],Table1[[#This Row],[Column4]]="",I367*(1+Table1[[#This Row],[Ávöxtun]]))</f>
        <v>108.12692800000001</v>
      </c>
      <c r="L368" s="33">
        <v>108.12692800000001</v>
      </c>
      <c r="M368" s="33">
        <v>108.12692800000001</v>
      </c>
    </row>
    <row r="369" spans="1:13">
      <c r="A369" t="s">
        <v>88</v>
      </c>
      <c r="B369">
        <v>2002</v>
      </c>
      <c r="C369" s="16">
        <v>0.02</v>
      </c>
      <c r="D369" s="1">
        <v>59523.68</v>
      </c>
      <c r="E369" s="29">
        <f>Table1[[#This Row],[Ávöxtun]]*Table1[[#This Row],[Eignir]]/SUMIFS(Table1[Eignir],Table1[Year],Table1[[#This Row],[Year]])</f>
        <v>1.874277051044774E-6</v>
      </c>
      <c r="F369" s="23">
        <f>IF(B369=1997, 100, IF(COUNTIF(A$1:A368,A369)=0, "NEW", F368*(1+Table1[[#This Row],[Ávöxtun]])))</f>
        <v>110.28946656000001</v>
      </c>
      <c r="G369" s="18" cm="1">
        <f t="array" ref="G369">IFERROR(_xlfn.IFS(ISNUMBER(Table1[[#This Row],[Column3]]),Table1[[#This Row],[Column3]],Table1[[#This Row],[Column3]]="NEW",Table1[[#This Row],[Column3]]),"")</f>
        <v>110.28946656000001</v>
      </c>
      <c r="H369" s="15" cm="1">
        <f t="array" ref="H369">_xlfn.IFS(Table1[[#This Row],[Column4]]="NEW",AVERAGEIFS(Table1[Column4],Table1[Year],Table1[[#This Row],[Year]]),ISNUMBER(Table1[[#This Row],[Column4]]),Table1[[#This Row],[Column4]],Table1[[#This Row],[Column4]]="",H368*(1+Table1[[#This Row],[Ávöxtun]]))</f>
        <v>110.28946656000001</v>
      </c>
      <c r="I369" cm="1">
        <f t="array" ref="I369">_xlfn.IFS(Table1[[#This Row],[Column4]]="NEW",_xlfn.XLOOKUP(Table1[[#This Row],[Year]],$N$2:$N$27,$P$2:$P$27),ISNUMBER(Table1[[#This Row],[Column4]]),Table1[[#This Row],[Column4]],Table1[[#This Row],[Column4]]="",I368*(1+Table1[[#This Row],[Ávöxtun]]))</f>
        <v>110.28946656000001</v>
      </c>
      <c r="L369" s="33">
        <v>110.28946656000001</v>
      </c>
      <c r="M369" s="33">
        <v>110.28946656000001</v>
      </c>
    </row>
    <row r="370" spans="1:13">
      <c r="A370" t="s">
        <v>88</v>
      </c>
      <c r="B370">
        <v>2003</v>
      </c>
      <c r="C370" s="16">
        <v>-0.04</v>
      </c>
      <c r="D370" s="1">
        <v>59200</v>
      </c>
      <c r="E370" s="29">
        <f>Table1[[#This Row],[Ávöxtun]]*Table1[[#This Row],[Eignir]]/SUMIFS(Table1[Eignir],Table1[Year],Table1[[#This Row],[Year]])</f>
        <v>-3.1162347882688033E-6</v>
      </c>
      <c r="F370" s="23">
        <f>IF(B370=1997, 100, IF(COUNTIF(A$1:A369,A370)=0, "NEW", F369*(1+Table1[[#This Row],[Ávöxtun]])))</f>
        <v>105.8778878976</v>
      </c>
      <c r="G370" s="18" cm="1">
        <f t="array" ref="G370">IFERROR(_xlfn.IFS(ISNUMBER(Table1[[#This Row],[Column3]]),Table1[[#This Row],[Column3]],Table1[[#This Row],[Column3]]="NEW",Table1[[#This Row],[Column3]]),"")</f>
        <v>105.8778878976</v>
      </c>
      <c r="H370" s="15" cm="1">
        <f t="array" ref="H370">_xlfn.IFS(Table1[[#This Row],[Column4]]="NEW",AVERAGEIFS(Table1[Column4],Table1[Year],Table1[[#This Row],[Year]]),ISNUMBER(Table1[[#This Row],[Column4]]),Table1[[#This Row],[Column4]],Table1[[#This Row],[Column4]]="",H369*(1+Table1[[#This Row],[Ávöxtun]]))</f>
        <v>105.8778878976</v>
      </c>
      <c r="I370" cm="1">
        <f t="array" ref="I370">_xlfn.IFS(Table1[[#This Row],[Column4]]="NEW",_xlfn.XLOOKUP(Table1[[#This Row],[Year]],$N$2:$N$27,$P$2:$P$27),ISNUMBER(Table1[[#This Row],[Column4]]),Table1[[#This Row],[Column4]],Table1[[#This Row],[Column4]]="",I369*(1+Table1[[#This Row],[Ávöxtun]]))</f>
        <v>105.8778878976</v>
      </c>
      <c r="L370" s="33">
        <v>105.8778878976</v>
      </c>
      <c r="M370" s="33">
        <v>105.8778878976</v>
      </c>
    </row>
    <row r="371" spans="1:13">
      <c r="A371" t="s">
        <v>88</v>
      </c>
      <c r="B371">
        <v>2004</v>
      </c>
      <c r="C371" s="16">
        <v>2.15</v>
      </c>
      <c r="D371" s="1">
        <v>57736</v>
      </c>
      <c r="E371" s="29">
        <f>Table1[[#This Row],[Ávöxtun]]*Table1[[#This Row],[Eignir]]/SUMIFS(Table1[Eignir],Table1[Year],Table1[[#This Row],[Year]])</f>
        <v>1.3675933088866133E-4</v>
      </c>
      <c r="F371" s="23">
        <f>IF(B371=1997, 100, IF(COUNTIF(A$1:A370,A371)=0, "NEW", F370*(1+Table1[[#This Row],[Ávöxtun]])))</f>
        <v>333.51534687743998</v>
      </c>
      <c r="G371" s="18" cm="1">
        <f t="array" ref="G371">IFERROR(_xlfn.IFS(ISNUMBER(Table1[[#This Row],[Column3]]),Table1[[#This Row],[Column3]],Table1[[#This Row],[Column3]]="NEW",Table1[[#This Row],[Column3]]),"")</f>
        <v>333.51534687743998</v>
      </c>
      <c r="H371" s="15" cm="1">
        <f t="array" ref="H371">_xlfn.IFS(Table1[[#This Row],[Column4]]="NEW",AVERAGEIFS(Table1[Column4],Table1[Year],Table1[[#This Row],[Year]]),ISNUMBER(Table1[[#This Row],[Column4]]),Table1[[#This Row],[Column4]],Table1[[#This Row],[Column4]]="",H370*(1+Table1[[#This Row],[Ávöxtun]]))</f>
        <v>333.51534687743998</v>
      </c>
      <c r="I371" cm="1">
        <f t="array" ref="I371">_xlfn.IFS(Table1[[#This Row],[Column4]]="NEW",_xlfn.XLOOKUP(Table1[[#This Row],[Year]],$N$2:$N$27,$P$2:$P$27),ISNUMBER(Table1[[#This Row],[Column4]]),Table1[[#This Row],[Column4]],Table1[[#This Row],[Column4]]="",I370*(1+Table1[[#This Row],[Ávöxtun]]))</f>
        <v>333.51534687743998</v>
      </c>
      <c r="L371" s="33">
        <v>333.51534687743998</v>
      </c>
      <c r="M371" s="33">
        <v>333.51534687743998</v>
      </c>
    </row>
    <row r="372" spans="1:13">
      <c r="A372" t="s">
        <v>88</v>
      </c>
      <c r="B372">
        <v>2005</v>
      </c>
      <c r="C372" s="16">
        <v>0</v>
      </c>
      <c r="D372" s="1">
        <v>55886</v>
      </c>
      <c r="E372" s="29">
        <f>Table1[[#This Row],[Ávöxtun]]*Table1[[#This Row],[Eignir]]/SUMIFS(Table1[Eignir],Table1[Year],Table1[[#This Row],[Year]])</f>
        <v>0</v>
      </c>
      <c r="F372" s="23">
        <f>IF(B372=1997, 100, IF(COUNTIF(A$1:A371,A372)=0, "NEW", F371*(1+Table1[[#This Row],[Ávöxtun]])))</f>
        <v>333.51534687743998</v>
      </c>
      <c r="G372" s="18" cm="1">
        <f t="array" ref="G372">IFERROR(_xlfn.IFS(ISNUMBER(Table1[[#This Row],[Column3]]),Table1[[#This Row],[Column3]],Table1[[#This Row],[Column3]]="NEW",Table1[[#This Row],[Column3]]),"")</f>
        <v>333.51534687743998</v>
      </c>
      <c r="H372" s="15" cm="1">
        <f t="array" ref="H372">_xlfn.IFS(Table1[[#This Row],[Column4]]="NEW",AVERAGEIFS(Table1[Column4],Table1[Year],Table1[[#This Row],[Year]]),ISNUMBER(Table1[[#This Row],[Column4]]),Table1[[#This Row],[Column4]],Table1[[#This Row],[Column4]]="",H371*(1+Table1[[#This Row],[Ávöxtun]]))</f>
        <v>333.51534687743998</v>
      </c>
      <c r="I372" cm="1">
        <f t="array" ref="I372">_xlfn.IFS(Table1[[#This Row],[Column4]]="NEW",_xlfn.XLOOKUP(Table1[[#This Row],[Year]],$N$2:$N$27,$P$2:$P$27),ISNUMBER(Table1[[#This Row],[Column4]]),Table1[[#This Row],[Column4]],Table1[[#This Row],[Column4]]="",I371*(1+Table1[[#This Row],[Ávöxtun]]))</f>
        <v>333.51534687743998</v>
      </c>
      <c r="L372" s="33">
        <v>333.51534687743998</v>
      </c>
      <c r="M372" s="33">
        <v>333.51534687743998</v>
      </c>
    </row>
    <row r="373" spans="1:13">
      <c r="A373" t="s">
        <v>88</v>
      </c>
      <c r="B373">
        <v>2006</v>
      </c>
      <c r="C373" s="16">
        <v>-1.4499999999999999E-2</v>
      </c>
      <c r="D373" s="1">
        <v>64524</v>
      </c>
      <c r="E373" s="29">
        <f>Table1[[#This Row],[Ávöxtun]]*Table1[[#This Row],[Eignir]]/SUMIFS(Table1[Eignir],Table1[Year],Table1[[#This Row],[Year]])</f>
        <v>-6.8158709365600748E-7</v>
      </c>
      <c r="F373" s="23">
        <f>IF(B373=1997, 100, IF(COUNTIF(A$1:A372,A373)=0, "NEW", F372*(1+Table1[[#This Row],[Ávöxtun]])))</f>
        <v>328.6793743477171</v>
      </c>
      <c r="G373" s="18" cm="1">
        <f t="array" ref="G373">IFERROR(_xlfn.IFS(ISNUMBER(Table1[[#This Row],[Column3]]),Table1[[#This Row],[Column3]],Table1[[#This Row],[Column3]]="NEW",Table1[[#This Row],[Column3]]),"")</f>
        <v>328.6793743477171</v>
      </c>
      <c r="H373" s="15" cm="1">
        <f t="array" ref="H373">_xlfn.IFS(Table1[[#This Row],[Column4]]="NEW",AVERAGEIFS(Table1[Column4],Table1[Year],Table1[[#This Row],[Year]]),ISNUMBER(Table1[[#This Row],[Column4]]),Table1[[#This Row],[Column4]],Table1[[#This Row],[Column4]]="",H372*(1+Table1[[#This Row],[Ávöxtun]]))</f>
        <v>328.6793743477171</v>
      </c>
      <c r="I373" cm="1">
        <f t="array" ref="I373">_xlfn.IFS(Table1[[#This Row],[Column4]]="NEW",_xlfn.XLOOKUP(Table1[[#This Row],[Year]],$N$2:$N$27,$P$2:$P$27),ISNUMBER(Table1[[#This Row],[Column4]]),Table1[[#This Row],[Column4]],Table1[[#This Row],[Column4]]="",I372*(1+Table1[[#This Row],[Ávöxtun]]))</f>
        <v>328.6793743477171</v>
      </c>
      <c r="L373" s="33">
        <v>328.6793743477171</v>
      </c>
      <c r="M373" s="33">
        <v>328.6793743477171</v>
      </c>
    </row>
    <row r="374" spans="1:13">
      <c r="A374" t="s">
        <v>88</v>
      </c>
      <c r="B374">
        <v>2007</v>
      </c>
      <c r="C374" s="16">
        <v>-1.47E-2</v>
      </c>
      <c r="D374" s="1">
        <v>71180</v>
      </c>
      <c r="E374" s="29">
        <f>Table1[[#This Row],[Ávöxtun]]*Table1[[#This Row],[Eignir]]/SUMIFS(Table1[Eignir],Table1[Year],Table1[[#This Row],[Year]])</f>
        <v>-6.7662996956179099E-7</v>
      </c>
      <c r="F374" s="23">
        <f>IF(B374=1997, 100, IF(COUNTIF(A$1:A373,A374)=0, "NEW", F373*(1+Table1[[#This Row],[Ávöxtun]])))</f>
        <v>323.84778754480567</v>
      </c>
      <c r="G374" s="18" cm="1">
        <f t="array" ref="G374">IFERROR(_xlfn.IFS(ISNUMBER(Table1[[#This Row],[Column3]]),Table1[[#This Row],[Column3]],Table1[[#This Row],[Column3]]="NEW",Table1[[#This Row],[Column3]]),"")</f>
        <v>323.84778754480567</v>
      </c>
      <c r="H374" s="15" cm="1">
        <f t="array" ref="H374">_xlfn.IFS(Table1[[#This Row],[Column4]]="NEW",AVERAGEIFS(Table1[Column4],Table1[Year],Table1[[#This Row],[Year]]),ISNUMBER(Table1[[#This Row],[Column4]]),Table1[[#This Row],[Column4]],Table1[[#This Row],[Column4]]="",H373*(1+Table1[[#This Row],[Ávöxtun]]))</f>
        <v>323.84778754480567</v>
      </c>
      <c r="I374" cm="1">
        <f t="array" ref="I374">_xlfn.IFS(Table1[[#This Row],[Column4]]="NEW",_xlfn.XLOOKUP(Table1[[#This Row],[Year]],$N$2:$N$27,$P$2:$P$27),ISNUMBER(Table1[[#This Row],[Column4]]),Table1[[#This Row],[Column4]],Table1[[#This Row],[Column4]]="",I373*(1+Table1[[#This Row],[Ávöxtun]]))</f>
        <v>323.84778754480567</v>
      </c>
      <c r="L374" s="33">
        <v>323.84778754480567</v>
      </c>
      <c r="M374" s="33">
        <v>323.84778754480567</v>
      </c>
    </row>
    <row r="375" spans="1:13">
      <c r="A375" t="s">
        <v>88</v>
      </c>
      <c r="B375">
        <v>2008</v>
      </c>
      <c r="C375" s="16">
        <v>-3.9E-2</v>
      </c>
      <c r="D375" s="1">
        <v>80873</v>
      </c>
      <c r="E375" s="29">
        <f>Table1[[#This Row],[Ávöxtun]]*Table1[[#This Row],[Eignir]]/SUMIFS(Table1[Eignir],Table1[Year],Table1[[#This Row],[Year]])</f>
        <v>-2.1064644961414482E-6</v>
      </c>
      <c r="F375" s="23">
        <f>IF(B375=1997, 100, IF(COUNTIF(A$1:A374,A375)=0, "NEW", F374*(1+Table1[[#This Row],[Ávöxtun]])))</f>
        <v>311.21772383055821</v>
      </c>
      <c r="G375" s="18" cm="1">
        <f t="array" ref="G375">IFERROR(_xlfn.IFS(ISNUMBER(Table1[[#This Row],[Column3]]),Table1[[#This Row],[Column3]],Table1[[#This Row],[Column3]]="NEW",Table1[[#This Row],[Column3]]),"")</f>
        <v>311.21772383055821</v>
      </c>
      <c r="H375" s="15" cm="1">
        <f t="array" ref="H375">_xlfn.IFS(Table1[[#This Row],[Column4]]="NEW",AVERAGEIFS(Table1[Column4],Table1[Year],Table1[[#This Row],[Year]]),ISNUMBER(Table1[[#This Row],[Column4]]),Table1[[#This Row],[Column4]],Table1[[#This Row],[Column4]]="",H374*(1+Table1[[#This Row],[Ávöxtun]]))</f>
        <v>311.21772383055821</v>
      </c>
      <c r="I375" cm="1">
        <f t="array" ref="I375">_xlfn.IFS(Table1[[#This Row],[Column4]]="NEW",_xlfn.XLOOKUP(Table1[[#This Row],[Year]],$N$2:$N$27,$P$2:$P$27),ISNUMBER(Table1[[#This Row],[Column4]]),Table1[[#This Row],[Column4]],Table1[[#This Row],[Column4]]="",I374*(1+Table1[[#This Row],[Ávöxtun]]))</f>
        <v>311.21772383055821</v>
      </c>
      <c r="L375" s="33">
        <v>311.21772383055821</v>
      </c>
      <c r="M375" s="33">
        <v>311.21772383055821</v>
      </c>
    </row>
    <row r="376" spans="1:13">
      <c r="A376" t="s">
        <v>88</v>
      </c>
      <c r="B376">
        <v>2009</v>
      </c>
      <c r="C376" s="16">
        <v>0</v>
      </c>
      <c r="D376" s="1">
        <v>92757</v>
      </c>
      <c r="E376" s="29">
        <f>Table1[[#This Row],[Ávöxtun]]*Table1[[#This Row],[Eignir]]/SUMIFS(Table1[Eignir],Table1[Year],Table1[[#This Row],[Year]])</f>
        <v>0</v>
      </c>
      <c r="F376" s="23">
        <f>IF(B376=1997, 100, IF(COUNTIF(A$1:A375,A376)=0, "NEW", F375*(1+Table1[[#This Row],[Ávöxtun]])))</f>
        <v>311.21772383055821</v>
      </c>
      <c r="G376" s="18" cm="1">
        <f t="array" ref="G376">IFERROR(_xlfn.IFS(ISNUMBER(Table1[[#This Row],[Column3]]),Table1[[#This Row],[Column3]],Table1[[#This Row],[Column3]]="NEW",Table1[[#This Row],[Column3]]),"")</f>
        <v>311.21772383055821</v>
      </c>
      <c r="H376" s="15" cm="1">
        <f t="array" ref="H376">_xlfn.IFS(Table1[[#This Row],[Column4]]="NEW",AVERAGEIFS(Table1[Column4],Table1[Year],Table1[[#This Row],[Year]]),ISNUMBER(Table1[[#This Row],[Column4]]),Table1[[#This Row],[Column4]],Table1[[#This Row],[Column4]]="",H375*(1+Table1[[#This Row],[Ávöxtun]]))</f>
        <v>311.21772383055821</v>
      </c>
      <c r="I376" cm="1">
        <f t="array" ref="I376">_xlfn.IFS(Table1[[#This Row],[Column4]]="NEW",_xlfn.XLOOKUP(Table1[[#This Row],[Year]],$N$2:$N$27,$P$2:$P$27),ISNUMBER(Table1[[#This Row],[Column4]]),Table1[[#This Row],[Column4]],Table1[[#This Row],[Column4]]="",I375*(1+Table1[[#This Row],[Ávöxtun]]))</f>
        <v>311.21772383055821</v>
      </c>
      <c r="L376" s="33">
        <v>311.21772383055821</v>
      </c>
      <c r="M376" s="33">
        <v>311.21772383055821</v>
      </c>
    </row>
    <row r="377" spans="1:13">
      <c r="A377" t="s">
        <v>88</v>
      </c>
      <c r="B377">
        <v>2010</v>
      </c>
      <c r="C377" s="16">
        <v>-1.61E-2</v>
      </c>
      <c r="D377" s="1">
        <v>84873</v>
      </c>
      <c r="E377" s="29">
        <f>Table1[[#This Row],[Ávöxtun]]*Table1[[#This Row],[Eignir]]/SUMIFS(Table1[Eignir],Table1[Year],Table1[[#This Row],[Year]])</f>
        <v>-7.6432798597855441E-7</v>
      </c>
      <c r="F377" s="23">
        <f>IF(B377=1997, 100, IF(COUNTIF(A$1:A376,A377)=0, "NEW", F376*(1+Table1[[#This Row],[Ávöxtun]])))</f>
        <v>306.20711847688625</v>
      </c>
      <c r="G377" s="18" cm="1">
        <f t="array" ref="G377">IFERROR(_xlfn.IFS(ISNUMBER(Table1[[#This Row],[Column3]]),Table1[[#This Row],[Column3]],Table1[[#This Row],[Column3]]="NEW",Table1[[#This Row],[Column3]]),"")</f>
        <v>306.20711847688625</v>
      </c>
      <c r="H377" s="15" cm="1">
        <f t="array" ref="H377">_xlfn.IFS(Table1[[#This Row],[Column4]]="NEW",AVERAGEIFS(Table1[Column4],Table1[Year],Table1[[#This Row],[Year]]),ISNUMBER(Table1[[#This Row],[Column4]]),Table1[[#This Row],[Column4]],Table1[[#This Row],[Column4]]="",H376*(1+Table1[[#This Row],[Ávöxtun]]))</f>
        <v>306.20711847688625</v>
      </c>
      <c r="I377" cm="1">
        <f t="array" ref="I377">_xlfn.IFS(Table1[[#This Row],[Column4]]="NEW",_xlfn.XLOOKUP(Table1[[#This Row],[Year]],$N$2:$N$27,$P$2:$P$27),ISNUMBER(Table1[[#This Row],[Column4]]),Table1[[#This Row],[Column4]],Table1[[#This Row],[Column4]]="",I376*(1+Table1[[#This Row],[Ávöxtun]]))</f>
        <v>306.20711847688625</v>
      </c>
      <c r="L377" s="33">
        <v>306.20711847688625</v>
      </c>
      <c r="M377" s="33">
        <v>306.20711847688625</v>
      </c>
    </row>
    <row r="378" spans="1:13">
      <c r="A378" t="s">
        <v>88</v>
      </c>
      <c r="B378">
        <v>2011</v>
      </c>
      <c r="C378" s="16">
        <v>-5.2999999999999999E-2</v>
      </c>
      <c r="D378" s="1">
        <v>94091</v>
      </c>
      <c r="E378" s="29">
        <f>Table1[[#This Row],[Ávöxtun]]*Table1[[#This Row],[Eignir]]/SUMIFS(Table1[Eignir],Table1[Year],Table1[[#This Row],[Year]])</f>
        <v>-2.5566124450330474E-6</v>
      </c>
      <c r="F378" s="23">
        <f>IF(B378=1997, 100, IF(COUNTIF(A$1:A377,A378)=0, "NEW", F377*(1+Table1[[#This Row],[Ávöxtun]])))</f>
        <v>289.97814119761125</v>
      </c>
      <c r="G378" s="18" cm="1">
        <f t="array" ref="G378">IFERROR(_xlfn.IFS(ISNUMBER(Table1[[#This Row],[Column3]]),Table1[[#This Row],[Column3]],Table1[[#This Row],[Column3]]="NEW",Table1[[#This Row],[Column3]]),"")</f>
        <v>289.97814119761125</v>
      </c>
      <c r="H378" s="15" cm="1">
        <f t="array" ref="H378">_xlfn.IFS(Table1[[#This Row],[Column4]]="NEW",AVERAGEIFS(Table1[Column4],Table1[Year],Table1[[#This Row],[Year]]),ISNUMBER(Table1[[#This Row],[Column4]]),Table1[[#This Row],[Column4]],Table1[[#This Row],[Column4]]="",H377*(1+Table1[[#This Row],[Ávöxtun]]))</f>
        <v>289.97814119761125</v>
      </c>
      <c r="I378" cm="1">
        <f t="array" ref="I378">_xlfn.IFS(Table1[[#This Row],[Column4]]="NEW",_xlfn.XLOOKUP(Table1[[#This Row],[Year]],$N$2:$N$27,$P$2:$P$27),ISNUMBER(Table1[[#This Row],[Column4]]),Table1[[#This Row],[Column4]],Table1[[#This Row],[Column4]]="",I377*(1+Table1[[#This Row],[Ávöxtun]]))</f>
        <v>289.97814119761125</v>
      </c>
      <c r="L378" s="33">
        <v>289.97814119761125</v>
      </c>
      <c r="M378" s="33">
        <v>289.97814119761125</v>
      </c>
    </row>
    <row r="379" spans="1:13">
      <c r="A379" t="s">
        <v>88</v>
      </c>
      <c r="B379">
        <v>2012</v>
      </c>
      <c r="C379" s="16">
        <v>-0.06</v>
      </c>
      <c r="D379" s="1">
        <v>75554</v>
      </c>
      <c r="E379" s="29">
        <f>Table1[[#This Row],[Ávöxtun]]*Table1[[#This Row],[Eignir]]/SUMIFS(Table1[Eignir],Table1[Year],Table1[[#This Row],[Year]])</f>
        <v>-2.0579042581384503E-6</v>
      </c>
      <c r="F379" s="23">
        <f>IF(B379=1997, 100, IF(COUNTIF(A$1:A378,A379)=0, "NEW", F378*(1+Table1[[#This Row],[Ávöxtun]])))</f>
        <v>272.57945272575455</v>
      </c>
      <c r="G379" s="18" cm="1">
        <f t="array" ref="G379">IFERROR(_xlfn.IFS(ISNUMBER(Table1[[#This Row],[Column3]]),Table1[[#This Row],[Column3]],Table1[[#This Row],[Column3]]="NEW",Table1[[#This Row],[Column3]]),"")</f>
        <v>272.57945272575455</v>
      </c>
      <c r="H379" s="15" cm="1">
        <f t="array" ref="H379">_xlfn.IFS(Table1[[#This Row],[Column4]]="NEW",AVERAGEIFS(Table1[Column4],Table1[Year],Table1[[#This Row],[Year]]),ISNUMBER(Table1[[#This Row],[Column4]]),Table1[[#This Row],[Column4]],Table1[[#This Row],[Column4]]="",H378*(1+Table1[[#This Row],[Ávöxtun]]))</f>
        <v>272.57945272575455</v>
      </c>
      <c r="I379" cm="1">
        <f t="array" ref="I379">_xlfn.IFS(Table1[[#This Row],[Column4]]="NEW",_xlfn.XLOOKUP(Table1[[#This Row],[Year]],$N$2:$N$27,$P$2:$P$27),ISNUMBER(Table1[[#This Row],[Column4]]),Table1[[#This Row],[Column4]],Table1[[#This Row],[Column4]]="",I378*(1+Table1[[#This Row],[Ávöxtun]]))</f>
        <v>272.57945272575455</v>
      </c>
      <c r="L379" s="33">
        <v>272.57945272575455</v>
      </c>
      <c r="M379" s="33">
        <v>272.57945272575455</v>
      </c>
    </row>
    <row r="380" spans="1:13">
      <c r="A380" t="s">
        <v>90</v>
      </c>
      <c r="B380">
        <v>1998</v>
      </c>
      <c r="C380" s="16">
        <v>7.0000000000000007E-2</v>
      </c>
      <c r="D380" s="1">
        <v>4085814.79</v>
      </c>
      <c r="E380" s="29">
        <f>Table1[[#This Row],[Ávöxtun]]*Table1[[#This Row],[Eignir]]/SUMIFS(Table1[Eignir],Table1[Year],Table1[[#This Row],[Year]])</f>
        <v>7.3028993942639655E-4</v>
      </c>
      <c r="F380" s="23" t="str">
        <f>IF(B380=1997, 100, IF(COUNTIF(A$1:A379,A380)=0, "NEW", F379*(1+Table1[[#This Row],[Ávöxtun]])))</f>
        <v>NEW</v>
      </c>
      <c r="G380" s="18" t="str" cm="1">
        <f t="array" ref="G380">IFERROR(_xlfn.IFS(ISNUMBER(Table1[[#This Row],[Column3]]),Table1[[#This Row],[Column3]],Table1[[#This Row],[Column3]]="NEW",Table1[[#This Row],[Column3]]),"")</f>
        <v>NEW</v>
      </c>
      <c r="H380" s="15" cm="1">
        <f t="array" ref="H380">_xlfn.IFS(Table1[[#This Row],[Column4]]="NEW",AVERAGEIFS(Table1[Column4],Table1[Year],Table1[[#This Row],[Year]]),ISNUMBER(Table1[[#This Row],[Column4]]),Table1[[#This Row],[Column4]],Table1[[#This Row],[Column4]]="",H379*(1+Table1[[#This Row],[Ávöxtun]]))</f>
        <v>106.70588235294117</v>
      </c>
      <c r="I380" cm="1">
        <f t="array" ref="I380">_xlfn.IFS(Table1[[#This Row],[Column4]]="NEW",_xlfn.XLOOKUP(Table1[[#This Row],[Year]],$N$2:$N$27,$P$2:$P$27),ISNUMBER(Table1[[#This Row],[Column4]]),Table1[[#This Row],[Column4]],Table1[[#This Row],[Column4]]="",I379*(1+Table1[[#This Row],[Ávöxtun]]))</f>
        <v>107.11186565673697</v>
      </c>
      <c r="L380" s="33">
        <v>106.70588235294117</v>
      </c>
      <c r="M380" s="33">
        <v>115.36660895196104</v>
      </c>
    </row>
    <row r="381" spans="1:13">
      <c r="A381" t="s">
        <v>90</v>
      </c>
      <c r="B381">
        <v>1999</v>
      </c>
      <c r="C381" s="16">
        <v>0.09</v>
      </c>
      <c r="D381" s="1">
        <v>5096264.6900000004</v>
      </c>
      <c r="E381" s="29">
        <f>Table1[[#This Row],[Ávöxtun]]*Table1[[#This Row],[Eignir]]/SUMIFS(Table1[Eignir],Table1[Year],Table1[[#This Row],[Year]])</f>
        <v>8.8083181148628929E-4</v>
      </c>
      <c r="F381" s="23" t="e">
        <f>IF(B381=1997, 100, IF(COUNTIF(A$1:A380,A381)=0, "NEW", F380*(1+Table1[[#This Row],[Ávöxtun]])))</f>
        <v>#VALUE!</v>
      </c>
      <c r="G381" s="18" t="str" cm="1">
        <f t="array" ref="G381">IFERROR(_xlfn.IFS(ISNUMBER(Table1[[#This Row],[Column3]]),Table1[[#This Row],[Column3]],Table1[[#This Row],[Column3]]="NEW",Table1[[#This Row],[Column3]]),"")</f>
        <v/>
      </c>
      <c r="H381" s="15" cm="1">
        <f t="array" ref="H381">_xlfn.IFS(Table1[[#This Row],[Column4]]="NEW",AVERAGEIFS(Table1[Column4],Table1[Year],Table1[[#This Row],[Year]]),ISNUMBER(Table1[[#This Row],[Column4]]),Table1[[#This Row],[Column4]],Table1[[#This Row],[Column4]]="",H380*(1+Table1[[#This Row],[Ávöxtun]]))</f>
        <v>116.30941176470589</v>
      </c>
      <c r="I381" cm="1">
        <f t="array" ref="I381">_xlfn.IFS(Table1[[#This Row],[Column4]]="NEW",_xlfn.XLOOKUP(Table1[[#This Row],[Year]],$N$2:$N$27,$P$2:$P$27),ISNUMBER(Table1[[#This Row],[Column4]]),Table1[[#This Row],[Column4]],Table1[[#This Row],[Column4]]="",I380*(1+Table1[[#This Row],[Ávöxtun]]))</f>
        <v>116.7519335658433</v>
      </c>
      <c r="L381" s="33">
        <v>116.30941176470589</v>
      </c>
      <c r="M381" s="33">
        <v>125.74960375763754</v>
      </c>
    </row>
    <row r="382" spans="1:13">
      <c r="A382" t="s">
        <v>90</v>
      </c>
      <c r="B382">
        <v>2000</v>
      </c>
      <c r="C382" s="16">
        <v>-0.04</v>
      </c>
      <c r="D382" s="1">
        <v>5557907.5999999996</v>
      </c>
      <c r="E382" s="29">
        <f>Table1[[#This Row],[Ávöxtun]]*Table1[[#This Row],[Eignir]]/SUMIFS(Table1[Eignir],Table1[Year],Table1[[#This Row],[Year]])</f>
        <v>-3.1272966904272647E-4</v>
      </c>
      <c r="F382" s="23" t="e">
        <f>IF(B382=1997, 100, IF(COUNTIF(A$1:A381,A382)=0, "NEW", F381*(1+Table1[[#This Row],[Ávöxtun]])))</f>
        <v>#VALUE!</v>
      </c>
      <c r="G382" s="18" t="str" cm="1">
        <f t="array" ref="G382">IFERROR(_xlfn.IFS(ISNUMBER(Table1[[#This Row],[Column3]]),Table1[[#This Row],[Column3]],Table1[[#This Row],[Column3]]="NEW",Table1[[#This Row],[Column3]]),"")</f>
        <v/>
      </c>
      <c r="H382" s="15" cm="1">
        <f t="array" ref="H382">_xlfn.IFS(Table1[[#This Row],[Column4]]="NEW",AVERAGEIFS(Table1[Column4],Table1[Year],Table1[[#This Row],[Year]]),ISNUMBER(Table1[[#This Row],[Column4]]),Table1[[#This Row],[Column4]],Table1[[#This Row],[Column4]]="",H381*(1+Table1[[#This Row],[Ávöxtun]]))</f>
        <v>111.65703529411765</v>
      </c>
      <c r="I382" cm="1">
        <f t="array" ref="I382">_xlfn.IFS(Table1[[#This Row],[Column4]]="NEW",_xlfn.XLOOKUP(Table1[[#This Row],[Year]],$N$2:$N$27,$P$2:$P$27),ISNUMBER(Table1[[#This Row],[Column4]]),Table1[[#This Row],[Column4]],Table1[[#This Row],[Column4]]="",I381*(1+Table1[[#This Row],[Ávöxtun]]))</f>
        <v>112.08185622320957</v>
      </c>
      <c r="L382" s="33">
        <v>111.65703529411765</v>
      </c>
      <c r="M382" s="33">
        <v>120.71961960733204</v>
      </c>
    </row>
    <row r="383" spans="1:13">
      <c r="A383" t="s">
        <v>90</v>
      </c>
      <c r="B383">
        <v>2001</v>
      </c>
      <c r="C383" s="16">
        <v>0</v>
      </c>
      <c r="D383" s="1">
        <v>7822797</v>
      </c>
      <c r="E383" s="29">
        <f>Table1[[#This Row],[Ávöxtun]]*Table1[[#This Row],[Eignir]]/SUMIFS(Table1[Eignir],Table1[Year],Table1[[#This Row],[Year]])</f>
        <v>0</v>
      </c>
      <c r="F383" s="23" t="e">
        <f>IF(B383=1997, 100, IF(COUNTIF(A$1:A382,A383)=0, "NEW", F382*(1+Table1[[#This Row],[Ávöxtun]])))</f>
        <v>#VALUE!</v>
      </c>
      <c r="G383" s="18" t="str" cm="1">
        <f t="array" ref="G383">IFERROR(_xlfn.IFS(ISNUMBER(Table1[[#This Row],[Column3]]),Table1[[#This Row],[Column3]],Table1[[#This Row],[Column3]]="NEW",Table1[[#This Row],[Column3]]),"")</f>
        <v/>
      </c>
      <c r="H383" s="15" cm="1">
        <f t="array" ref="H383">_xlfn.IFS(Table1[[#This Row],[Column4]]="NEW",AVERAGEIFS(Table1[Column4],Table1[Year],Table1[[#This Row],[Year]]),ISNUMBER(Table1[[#This Row],[Column4]]),Table1[[#This Row],[Column4]],Table1[[#This Row],[Column4]]="",H382*(1+Table1[[#This Row],[Ávöxtun]]))</f>
        <v>111.65703529411765</v>
      </c>
      <c r="I383" cm="1">
        <f t="array" ref="I383">_xlfn.IFS(Table1[[#This Row],[Column4]]="NEW",_xlfn.XLOOKUP(Table1[[#This Row],[Year]],$N$2:$N$27,$P$2:$P$27),ISNUMBER(Table1[[#This Row],[Column4]]),Table1[[#This Row],[Column4]],Table1[[#This Row],[Column4]]="",I382*(1+Table1[[#This Row],[Ávöxtun]]))</f>
        <v>112.08185622320957</v>
      </c>
      <c r="L383" s="33">
        <v>111.65703529411765</v>
      </c>
      <c r="M383" s="33">
        <v>120.71961960733204</v>
      </c>
    </row>
    <row r="384" spans="1:13">
      <c r="A384" t="s">
        <v>90</v>
      </c>
      <c r="B384">
        <v>2002</v>
      </c>
      <c r="C384" s="16">
        <v>-7.0000000000000007E-2</v>
      </c>
      <c r="D384" s="1">
        <v>1440250.8</v>
      </c>
      <c r="E384" s="29">
        <f>Table1[[#This Row],[Ávöxtun]]*Table1[[#This Row],[Eignir]]/SUMIFS(Table1[Eignir],Table1[Year],Table1[[#This Row],[Year]])</f>
        <v>-1.5872677189416161E-4</v>
      </c>
      <c r="F384" s="23" t="e">
        <f>IF(B384=1997, 100, IF(COUNTIF(A$1:A383,A384)=0, "NEW", F383*(1+Table1[[#This Row],[Ávöxtun]])))</f>
        <v>#VALUE!</v>
      </c>
      <c r="G384" s="18" t="str" cm="1">
        <f t="array" ref="G384">IFERROR(_xlfn.IFS(ISNUMBER(Table1[[#This Row],[Column3]]),Table1[[#This Row],[Column3]],Table1[[#This Row],[Column3]]="NEW",Table1[[#This Row],[Column3]]),"")</f>
        <v/>
      </c>
      <c r="H384" s="15" cm="1">
        <f t="array" ref="H384">_xlfn.IFS(Table1[[#This Row],[Column4]]="NEW",AVERAGEIFS(Table1[Column4],Table1[Year],Table1[[#This Row],[Year]]),ISNUMBER(Table1[[#This Row],[Column4]]),Table1[[#This Row],[Column4]],Table1[[#This Row],[Column4]]="",H383*(1+Table1[[#This Row],[Ávöxtun]]))</f>
        <v>103.84104282352941</v>
      </c>
      <c r="I384" cm="1">
        <f t="array" ref="I384">_xlfn.IFS(Table1[[#This Row],[Column4]]="NEW",_xlfn.XLOOKUP(Table1[[#This Row],[Year]],$N$2:$N$27,$P$2:$P$27),ISNUMBER(Table1[[#This Row],[Column4]]),Table1[[#This Row],[Column4]],Table1[[#This Row],[Column4]]="",I383*(1+Table1[[#This Row],[Ávöxtun]]))</f>
        <v>104.2361262875849</v>
      </c>
      <c r="L384" s="33">
        <v>103.84104282352941</v>
      </c>
      <c r="M384" s="33">
        <v>112.26924623481878</v>
      </c>
    </row>
    <row r="385" spans="1:13">
      <c r="A385" t="s">
        <v>89</v>
      </c>
      <c r="B385">
        <v>1997</v>
      </c>
      <c r="C385" s="16">
        <v>7.0000000000000007E-2</v>
      </c>
      <c r="D385" s="1">
        <v>2313416.7799999998</v>
      </c>
      <c r="E385" s="29">
        <f>Table1[[#This Row],[Ávöxtun]]*Table1[[#This Row],[Eignir]]/SUMIFS(Table1[Eignir],Table1[Year],Table1[[#This Row],[Year]])</f>
        <v>4.7766097317605345E-4</v>
      </c>
      <c r="F385" s="23">
        <f>IF(B385=1997, 100, IF(COUNTIF(A$1:A384,A385)=0, "NEW", F384*(1+Table1[[#This Row],[Ávöxtun]])))</f>
        <v>100</v>
      </c>
      <c r="G385" s="18" cm="1">
        <f t="array" ref="G385">IFERROR(_xlfn.IFS(ISNUMBER(Table1[[#This Row],[Column3]]),Table1[[#This Row],[Column3]],Table1[[#This Row],[Column3]]="NEW",Table1[[#This Row],[Column3]]),"")</f>
        <v>100</v>
      </c>
      <c r="H385" s="15" cm="1">
        <f t="array" ref="H385">_xlfn.IFS(Table1[[#This Row],[Column4]]="NEW",AVERAGEIFS(Table1[Column4],Table1[Year],Table1[[#This Row],[Year]]),ISNUMBER(Table1[[#This Row],[Column4]]),Table1[[#This Row],[Column4]],Table1[[#This Row],[Column4]]="",H384*(1+Table1[[#This Row],[Ávöxtun]]))</f>
        <v>100</v>
      </c>
      <c r="I385" cm="1">
        <f t="array" ref="I385">_xlfn.IFS(Table1[[#This Row],[Column4]]="NEW",_xlfn.XLOOKUP(Table1[[#This Row],[Year]],$N$2:$N$27,$P$2:$P$27),ISNUMBER(Table1[[#This Row],[Column4]]),Table1[[#This Row],[Column4]],Table1[[#This Row],[Column4]]="",I384*(1+Table1[[#This Row],[Ávöxtun]]))</f>
        <v>100</v>
      </c>
      <c r="L385" s="33">
        <v>100</v>
      </c>
      <c r="M385" s="33">
        <v>100</v>
      </c>
    </row>
    <row r="386" spans="1:13">
      <c r="A386" t="s">
        <v>89</v>
      </c>
      <c r="B386">
        <v>1998</v>
      </c>
      <c r="C386" s="16">
        <v>0.06</v>
      </c>
      <c r="D386" s="1">
        <v>2502243.96</v>
      </c>
      <c r="E386" s="29">
        <f>Table1[[#This Row],[Ávöxtun]]*Table1[[#This Row],[Eignir]]/SUMIFS(Table1[Eignir],Table1[Year],Table1[[#This Row],[Year]])</f>
        <v>3.8335356080909655E-4</v>
      </c>
      <c r="F386" s="23">
        <f>IF(B386=1997, 100, IF(COUNTIF(A$1:A385,A386)=0, "NEW", F385*(1+Table1[[#This Row],[Ávöxtun]])))</f>
        <v>106</v>
      </c>
      <c r="G386" s="18" cm="1">
        <f t="array" ref="G386">IFERROR(_xlfn.IFS(ISNUMBER(Table1[[#This Row],[Column3]]),Table1[[#This Row],[Column3]],Table1[[#This Row],[Column3]]="NEW",Table1[[#This Row],[Column3]]),"")</f>
        <v>106</v>
      </c>
      <c r="H386" s="15" cm="1">
        <f t="array" ref="H386">_xlfn.IFS(Table1[[#This Row],[Column4]]="NEW",AVERAGEIFS(Table1[Column4],Table1[Year],Table1[[#This Row],[Year]]),ISNUMBER(Table1[[#This Row],[Column4]]),Table1[[#This Row],[Column4]],Table1[[#This Row],[Column4]]="",H385*(1+Table1[[#This Row],[Ávöxtun]]))</f>
        <v>106</v>
      </c>
      <c r="I386" cm="1">
        <f t="array" ref="I386">_xlfn.IFS(Table1[[#This Row],[Column4]]="NEW",_xlfn.XLOOKUP(Table1[[#This Row],[Year]],$N$2:$N$27,$P$2:$P$27),ISNUMBER(Table1[[#This Row],[Column4]]),Table1[[#This Row],[Column4]],Table1[[#This Row],[Column4]]="",I385*(1+Table1[[#This Row],[Ávöxtun]]))</f>
        <v>106</v>
      </c>
      <c r="L386" s="33">
        <v>106</v>
      </c>
      <c r="M386" s="33">
        <v>106</v>
      </c>
    </row>
    <row r="387" spans="1:13">
      <c r="A387" t="s">
        <v>89</v>
      </c>
      <c r="B387">
        <v>1999</v>
      </c>
      <c r="C387" s="16">
        <v>0.08</v>
      </c>
      <c r="D387" s="1">
        <v>2844893.69</v>
      </c>
      <c r="E387" s="29">
        <f>Table1[[#This Row],[Ávöxtun]]*Table1[[#This Row],[Eignir]]/SUMIFS(Table1[Eignir],Table1[Year],Table1[[#This Row],[Year]])</f>
        <v>4.3707355875166831E-4</v>
      </c>
      <c r="F387" s="23">
        <f>IF(B387=1997, 100, IF(COUNTIF(A$1:A386,A387)=0, "NEW", F386*(1+Table1[[#This Row],[Ávöxtun]])))</f>
        <v>114.48</v>
      </c>
      <c r="G387" s="18" cm="1">
        <f t="array" ref="G387">IFERROR(_xlfn.IFS(ISNUMBER(Table1[[#This Row],[Column3]]),Table1[[#This Row],[Column3]],Table1[[#This Row],[Column3]]="NEW",Table1[[#This Row],[Column3]]),"")</f>
        <v>114.48</v>
      </c>
      <c r="H387" s="15" cm="1">
        <f t="array" ref="H387">_xlfn.IFS(Table1[[#This Row],[Column4]]="NEW",AVERAGEIFS(Table1[Column4],Table1[Year],Table1[[#This Row],[Year]]),ISNUMBER(Table1[[#This Row],[Column4]]),Table1[[#This Row],[Column4]],Table1[[#This Row],[Column4]]="",H386*(1+Table1[[#This Row],[Ávöxtun]]))</f>
        <v>114.48</v>
      </c>
      <c r="I387" cm="1">
        <f t="array" ref="I387">_xlfn.IFS(Table1[[#This Row],[Column4]]="NEW",_xlfn.XLOOKUP(Table1[[#This Row],[Year]],$N$2:$N$27,$P$2:$P$27),ISNUMBER(Table1[[#This Row],[Column4]]),Table1[[#This Row],[Column4]],Table1[[#This Row],[Column4]]="",I386*(1+Table1[[#This Row],[Ávöxtun]]))</f>
        <v>114.48</v>
      </c>
      <c r="L387" s="33">
        <v>114.48</v>
      </c>
      <c r="M387" s="33">
        <v>114.48</v>
      </c>
    </row>
    <row r="388" spans="1:13">
      <c r="A388" t="s">
        <v>89</v>
      </c>
      <c r="B388">
        <v>2000</v>
      </c>
      <c r="C388" s="16">
        <v>0.04</v>
      </c>
      <c r="D388" s="1">
        <v>3101619.93</v>
      </c>
      <c r="E388" s="29">
        <f>Table1[[#This Row],[Ávöxtun]]*Table1[[#This Row],[Eignir]]/SUMIFS(Table1[Eignir],Table1[Year],Table1[[#This Row],[Year]])</f>
        <v>1.7452045698010968E-4</v>
      </c>
      <c r="F388" s="23">
        <f>IF(B388=1997, 100, IF(COUNTIF(A$1:A387,A388)=0, "NEW", F387*(1+Table1[[#This Row],[Ávöxtun]])))</f>
        <v>119.0592</v>
      </c>
      <c r="G388" s="18" cm="1">
        <f t="array" ref="G388">IFERROR(_xlfn.IFS(ISNUMBER(Table1[[#This Row],[Column3]]),Table1[[#This Row],[Column3]],Table1[[#This Row],[Column3]]="NEW",Table1[[#This Row],[Column3]]),"")</f>
        <v>119.0592</v>
      </c>
      <c r="H388" s="15" cm="1">
        <f t="array" ref="H388">_xlfn.IFS(Table1[[#This Row],[Column4]]="NEW",AVERAGEIFS(Table1[Column4],Table1[Year],Table1[[#This Row],[Year]]),ISNUMBER(Table1[[#This Row],[Column4]]),Table1[[#This Row],[Column4]],Table1[[#This Row],[Column4]]="",H387*(1+Table1[[#This Row],[Ávöxtun]]))</f>
        <v>119.0592</v>
      </c>
      <c r="I388" cm="1">
        <f t="array" ref="I388">_xlfn.IFS(Table1[[#This Row],[Column4]]="NEW",_xlfn.XLOOKUP(Table1[[#This Row],[Year]],$N$2:$N$27,$P$2:$P$27),ISNUMBER(Table1[[#This Row],[Column4]]),Table1[[#This Row],[Column4]],Table1[[#This Row],[Column4]]="",I387*(1+Table1[[#This Row],[Ávöxtun]]))</f>
        <v>119.0592</v>
      </c>
      <c r="L388" s="33">
        <v>119.0592</v>
      </c>
      <c r="M388" s="33">
        <v>119.0592</v>
      </c>
    </row>
    <row r="389" spans="1:13">
      <c r="A389" t="s">
        <v>91</v>
      </c>
      <c r="B389">
        <v>1997</v>
      </c>
      <c r="C389" s="16">
        <v>0.08</v>
      </c>
      <c r="D389" s="1">
        <v>2367664.7999999998</v>
      </c>
      <c r="E389" s="29">
        <f>Table1[[#This Row],[Ávöxtun]]*Table1[[#This Row],[Eignir]]/SUMIFS(Table1[Eignir],Table1[Year],Table1[[#This Row],[Year]])</f>
        <v>5.5869919076279441E-4</v>
      </c>
      <c r="F389" s="23">
        <f>IF(B389=1997, 100, IF(COUNTIF(A$1:A388,A389)=0, "NEW", F388*(1+Table1[[#This Row],[Ávöxtun]])))</f>
        <v>100</v>
      </c>
      <c r="G389" s="18" cm="1">
        <f t="array" ref="G389">IFERROR(_xlfn.IFS(ISNUMBER(Table1[[#This Row],[Column3]]),Table1[[#This Row],[Column3]],Table1[[#This Row],[Column3]]="NEW",Table1[[#This Row],[Column3]]),"")</f>
        <v>100</v>
      </c>
      <c r="H389" s="15" cm="1">
        <f t="array" ref="H389">_xlfn.IFS(Table1[[#This Row],[Column4]]="NEW",AVERAGEIFS(Table1[Column4],Table1[Year],Table1[[#This Row],[Year]]),ISNUMBER(Table1[[#This Row],[Column4]]),Table1[[#This Row],[Column4]],Table1[[#This Row],[Column4]]="",H388*(1+Table1[[#This Row],[Ávöxtun]]))</f>
        <v>100</v>
      </c>
      <c r="I389" cm="1">
        <f t="array" ref="I389">_xlfn.IFS(Table1[[#This Row],[Column4]]="NEW",_xlfn.XLOOKUP(Table1[[#This Row],[Year]],$N$2:$N$27,$P$2:$P$27),ISNUMBER(Table1[[#This Row],[Column4]]),Table1[[#This Row],[Column4]],Table1[[#This Row],[Column4]]="",I388*(1+Table1[[#This Row],[Ávöxtun]]))</f>
        <v>100</v>
      </c>
      <c r="L389" s="33">
        <v>100</v>
      </c>
      <c r="M389" s="33">
        <v>100</v>
      </c>
    </row>
    <row r="390" spans="1:13">
      <c r="A390" t="s">
        <v>91</v>
      </c>
      <c r="B390">
        <v>1998</v>
      </c>
      <c r="C390" s="16">
        <v>7.0000000000000007E-2</v>
      </c>
      <c r="D390" s="1">
        <v>2626303.38</v>
      </c>
      <c r="E390" s="29">
        <f>Table1[[#This Row],[Ávöxtun]]*Table1[[#This Row],[Eignir]]/SUMIFS(Table1[Eignir],Table1[Year],Table1[[#This Row],[Year]])</f>
        <v>4.6941994066636099E-4</v>
      </c>
      <c r="F390" s="23">
        <f>IF(B390=1997, 100, IF(COUNTIF(A$1:A389,A390)=0, "NEW", F389*(1+Table1[[#This Row],[Ávöxtun]])))</f>
        <v>107</v>
      </c>
      <c r="G390" s="18" cm="1">
        <f t="array" ref="G390">IFERROR(_xlfn.IFS(ISNUMBER(Table1[[#This Row],[Column3]]),Table1[[#This Row],[Column3]],Table1[[#This Row],[Column3]]="NEW",Table1[[#This Row],[Column3]]),"")</f>
        <v>107</v>
      </c>
      <c r="H390" s="15" cm="1">
        <f t="array" ref="H390">_xlfn.IFS(Table1[[#This Row],[Column4]]="NEW",AVERAGEIFS(Table1[Column4],Table1[Year],Table1[[#This Row],[Year]]),ISNUMBER(Table1[[#This Row],[Column4]]),Table1[[#This Row],[Column4]],Table1[[#This Row],[Column4]]="",H389*(1+Table1[[#This Row],[Ávöxtun]]))</f>
        <v>107</v>
      </c>
      <c r="I390" cm="1">
        <f t="array" ref="I390">_xlfn.IFS(Table1[[#This Row],[Column4]]="NEW",_xlfn.XLOOKUP(Table1[[#This Row],[Year]],$N$2:$N$27,$P$2:$P$27),ISNUMBER(Table1[[#This Row],[Column4]]),Table1[[#This Row],[Column4]],Table1[[#This Row],[Column4]]="",I389*(1+Table1[[#This Row],[Ávöxtun]]))</f>
        <v>107</v>
      </c>
      <c r="L390" s="33">
        <v>107</v>
      </c>
      <c r="M390" s="33">
        <v>107</v>
      </c>
    </row>
    <row r="391" spans="1:13">
      <c r="A391" t="s">
        <v>91</v>
      </c>
      <c r="B391">
        <v>1999</v>
      </c>
      <c r="C391" s="16">
        <v>7.0000000000000007E-2</v>
      </c>
      <c r="D391" s="1">
        <v>3029999.74</v>
      </c>
      <c r="E391" s="29">
        <f>Table1[[#This Row],[Ávöxtun]]*Table1[[#This Row],[Eignir]]/SUMIFS(Table1[Eignir],Table1[Year],Table1[[#This Row],[Year]])</f>
        <v>4.0732319006483726E-4</v>
      </c>
      <c r="F391" s="23">
        <f>IF(B391=1997, 100, IF(COUNTIF(A$1:A390,A391)=0, "NEW", F390*(1+Table1[[#This Row],[Ávöxtun]])))</f>
        <v>114.49000000000001</v>
      </c>
      <c r="G391" s="18" cm="1">
        <f t="array" ref="G391">IFERROR(_xlfn.IFS(ISNUMBER(Table1[[#This Row],[Column3]]),Table1[[#This Row],[Column3]],Table1[[#This Row],[Column3]]="NEW",Table1[[#This Row],[Column3]]),"")</f>
        <v>114.49000000000001</v>
      </c>
      <c r="H391" s="15" cm="1">
        <f t="array" ref="H391">_xlfn.IFS(Table1[[#This Row],[Column4]]="NEW",AVERAGEIFS(Table1[Column4],Table1[Year],Table1[[#This Row],[Year]]),ISNUMBER(Table1[[#This Row],[Column4]]),Table1[[#This Row],[Column4]],Table1[[#This Row],[Column4]]="",H390*(1+Table1[[#This Row],[Ávöxtun]]))</f>
        <v>114.49000000000001</v>
      </c>
      <c r="I391" cm="1">
        <f t="array" ref="I391">_xlfn.IFS(Table1[[#This Row],[Column4]]="NEW",_xlfn.XLOOKUP(Table1[[#This Row],[Year]],$N$2:$N$27,$P$2:$P$27),ISNUMBER(Table1[[#This Row],[Column4]]),Table1[[#This Row],[Column4]],Table1[[#This Row],[Column4]]="",I390*(1+Table1[[#This Row],[Ávöxtun]]))</f>
        <v>114.49000000000001</v>
      </c>
      <c r="L391" s="33">
        <v>114.49000000000001</v>
      </c>
      <c r="M391" s="33">
        <v>114.49000000000001</v>
      </c>
    </row>
    <row r="392" spans="1:13">
      <c r="A392" t="s">
        <v>91</v>
      </c>
      <c r="B392">
        <v>2000</v>
      </c>
      <c r="C392" s="16">
        <v>0.03</v>
      </c>
      <c r="D392" s="1">
        <v>3298266.01</v>
      </c>
      <c r="E392" s="29">
        <f>Table1[[#This Row],[Ávöxtun]]*Table1[[#This Row],[Eignir]]/SUMIFS(Table1[Eignir],Table1[Year],Table1[[#This Row],[Year]])</f>
        <v>1.3918893295232731E-4</v>
      </c>
      <c r="F392" s="23">
        <f>IF(B392=1997, 100, IF(COUNTIF(A$1:A391,A392)=0, "NEW", F391*(1+Table1[[#This Row],[Ávöxtun]])))</f>
        <v>117.92470000000002</v>
      </c>
      <c r="G392" s="18" cm="1">
        <f t="array" ref="G392">IFERROR(_xlfn.IFS(ISNUMBER(Table1[[#This Row],[Column3]]),Table1[[#This Row],[Column3]],Table1[[#This Row],[Column3]]="NEW",Table1[[#This Row],[Column3]]),"")</f>
        <v>117.92470000000002</v>
      </c>
      <c r="H392" s="15" cm="1">
        <f t="array" ref="H392">_xlfn.IFS(Table1[[#This Row],[Column4]]="NEW",AVERAGEIFS(Table1[Column4],Table1[Year],Table1[[#This Row],[Year]]),ISNUMBER(Table1[[#This Row],[Column4]]),Table1[[#This Row],[Column4]],Table1[[#This Row],[Column4]]="",H391*(1+Table1[[#This Row],[Ávöxtun]]))</f>
        <v>117.92470000000002</v>
      </c>
      <c r="I392" cm="1">
        <f t="array" ref="I392">_xlfn.IFS(Table1[[#This Row],[Column4]]="NEW",_xlfn.XLOOKUP(Table1[[#This Row],[Year]],$N$2:$N$27,$P$2:$P$27),ISNUMBER(Table1[[#This Row],[Column4]]),Table1[[#This Row],[Column4]],Table1[[#This Row],[Column4]]="",I391*(1+Table1[[#This Row],[Ávöxtun]]))</f>
        <v>117.92470000000002</v>
      </c>
      <c r="L392" s="33">
        <v>117.92470000000002</v>
      </c>
      <c r="M392" s="33">
        <v>117.92470000000002</v>
      </c>
    </row>
    <row r="393" spans="1:13">
      <c r="A393" t="s">
        <v>140</v>
      </c>
      <c r="B393">
        <v>1997</v>
      </c>
      <c r="C393" s="16">
        <v>0</v>
      </c>
      <c r="D393" s="1">
        <v>60538.19</v>
      </c>
      <c r="E393" s="29">
        <f>Table1[[#This Row],[Ávöxtun]]*Table1[[#This Row],[Eignir]]/SUMIFS(Table1[Eignir],Table1[Year],Table1[[#This Row],[Year]])</f>
        <v>0</v>
      </c>
      <c r="F393" s="23">
        <f>IF(B393=1997, 100, IF(COUNTIF(A$1:A392,A393)=0, "NEW", F392*(1+Table1[[#This Row],[Ávöxtun]])))</f>
        <v>100</v>
      </c>
      <c r="G393" s="18" cm="1">
        <f t="array" ref="G393">IFERROR(_xlfn.IFS(ISNUMBER(Table1[[#This Row],[Column3]]),Table1[[#This Row],[Column3]],Table1[[#This Row],[Column3]]="NEW",Table1[[#This Row],[Column3]]),"")</f>
        <v>100</v>
      </c>
      <c r="H393" s="15" cm="1">
        <f t="array" ref="H393">_xlfn.IFS(Table1[[#This Row],[Column4]]="NEW",AVERAGEIFS(Table1[Column4],Table1[Year],Table1[[#This Row],[Year]]),ISNUMBER(Table1[[#This Row],[Column4]]),Table1[[#This Row],[Column4]],Table1[[#This Row],[Column4]]="",H392*(1+Table1[[#This Row],[Ávöxtun]]))</f>
        <v>100</v>
      </c>
      <c r="I393" cm="1">
        <f t="array" ref="I393">_xlfn.IFS(Table1[[#This Row],[Column4]]="NEW",_xlfn.XLOOKUP(Table1[[#This Row],[Year]],$N$2:$N$27,$P$2:$P$27),ISNUMBER(Table1[[#This Row],[Column4]]),Table1[[#This Row],[Column4]],Table1[[#This Row],[Column4]]="",I392*(1+Table1[[#This Row],[Ávöxtun]]))</f>
        <v>100</v>
      </c>
      <c r="L393" s="33">
        <v>100</v>
      </c>
      <c r="M393" s="33">
        <v>100</v>
      </c>
    </row>
    <row r="394" spans="1:13">
      <c r="A394" t="s">
        <v>140</v>
      </c>
      <c r="B394">
        <v>1998</v>
      </c>
      <c r="C394" s="16">
        <v>0</v>
      </c>
      <c r="D394" s="1">
        <v>37214.97</v>
      </c>
      <c r="E394" s="29">
        <f>Table1[[#This Row],[Ávöxtun]]*Table1[[#This Row],[Eignir]]/SUMIFS(Table1[Eignir],Table1[Year],Table1[[#This Row],[Year]])</f>
        <v>0</v>
      </c>
      <c r="F394" s="23">
        <f>IF(B394=1997, 100, IF(COUNTIF(A$1:A393,A394)=0, "NEW", F393*(1+Table1[[#This Row],[Ávöxtun]])))</f>
        <v>100</v>
      </c>
      <c r="G394" s="18" cm="1">
        <f t="array" ref="G394">IFERROR(_xlfn.IFS(ISNUMBER(Table1[[#This Row],[Column3]]),Table1[[#This Row],[Column3]],Table1[[#This Row],[Column3]]="NEW",Table1[[#This Row],[Column3]]),"")</f>
        <v>100</v>
      </c>
      <c r="H394" s="15" cm="1">
        <f t="array" ref="H394">_xlfn.IFS(Table1[[#This Row],[Column4]]="NEW",AVERAGEIFS(Table1[Column4],Table1[Year],Table1[[#This Row],[Year]]),ISNUMBER(Table1[[#This Row],[Column4]]),Table1[[#This Row],[Column4]],Table1[[#This Row],[Column4]]="",H393*(1+Table1[[#This Row],[Ávöxtun]]))</f>
        <v>100</v>
      </c>
      <c r="I394" cm="1">
        <f t="array" ref="I394">_xlfn.IFS(Table1[[#This Row],[Column4]]="NEW",_xlfn.XLOOKUP(Table1[[#This Row],[Year]],$N$2:$N$27,$P$2:$P$27),ISNUMBER(Table1[[#This Row],[Column4]]),Table1[[#This Row],[Column4]],Table1[[#This Row],[Column4]]="",I393*(1+Table1[[#This Row],[Ávöxtun]]))</f>
        <v>100</v>
      </c>
      <c r="L394" s="33">
        <v>100</v>
      </c>
      <c r="M394" s="33">
        <v>100</v>
      </c>
    </row>
    <row r="395" spans="1:13">
      <c r="A395" t="s">
        <v>92</v>
      </c>
      <c r="B395">
        <v>1997</v>
      </c>
      <c r="C395" s="16">
        <v>7.0000000000000007E-2</v>
      </c>
      <c r="D395" s="1">
        <v>308830.8</v>
      </c>
      <c r="E395" s="29">
        <f>Table1[[#This Row],[Ávöxtun]]*Table1[[#This Row],[Eignir]]/SUMIFS(Table1[Eignir],Table1[Year],Table1[[#This Row],[Year]])</f>
        <v>6.3765604948512193E-5</v>
      </c>
      <c r="F395" s="23">
        <f>IF(B395=1997, 100, IF(COUNTIF(A$1:A394,A395)=0, "NEW", F394*(1+Table1[[#This Row],[Ávöxtun]])))</f>
        <v>100</v>
      </c>
      <c r="G395" s="18" cm="1">
        <f t="array" ref="G395">IFERROR(_xlfn.IFS(ISNUMBER(Table1[[#This Row],[Column3]]),Table1[[#This Row],[Column3]],Table1[[#This Row],[Column3]]="NEW",Table1[[#This Row],[Column3]]),"")</f>
        <v>100</v>
      </c>
      <c r="H395" s="15" cm="1">
        <f t="array" ref="H395">_xlfn.IFS(Table1[[#This Row],[Column4]]="NEW",AVERAGEIFS(Table1[Column4],Table1[Year],Table1[[#This Row],[Year]]),ISNUMBER(Table1[[#This Row],[Column4]]),Table1[[#This Row],[Column4]],Table1[[#This Row],[Column4]]="",H394*(1+Table1[[#This Row],[Ávöxtun]]))</f>
        <v>100</v>
      </c>
      <c r="I395" cm="1">
        <f t="array" ref="I395">_xlfn.IFS(Table1[[#This Row],[Column4]]="NEW",_xlfn.XLOOKUP(Table1[[#This Row],[Year]],$N$2:$N$27,$P$2:$P$27),ISNUMBER(Table1[[#This Row],[Column4]]),Table1[[#This Row],[Column4]],Table1[[#This Row],[Column4]]="",I394*(1+Table1[[#This Row],[Ávöxtun]]))</f>
        <v>100</v>
      </c>
      <c r="L395" s="33">
        <v>100</v>
      </c>
      <c r="M395" s="33">
        <v>100</v>
      </c>
    </row>
    <row r="396" spans="1:13">
      <c r="A396" t="s">
        <v>93</v>
      </c>
      <c r="B396">
        <v>1997</v>
      </c>
      <c r="C396" s="16">
        <v>0.13</v>
      </c>
      <c r="D396" s="1">
        <v>10546818.51</v>
      </c>
      <c r="E396" s="29">
        <f>Table1[[#This Row],[Ávöxtun]]*Table1[[#This Row],[Eignir]]/SUMIFS(Table1[Eignir],Table1[Year],Table1[[#This Row],[Year]])</f>
        <v>4.0442003533696889E-3</v>
      </c>
      <c r="F396" s="23">
        <f>IF(B396=1997, 100, IF(COUNTIF(A$1:A395,A396)=0, "NEW", F395*(1+Table1[[#This Row],[Ávöxtun]])))</f>
        <v>100</v>
      </c>
      <c r="G396" s="18" cm="1">
        <f t="array" ref="G396">IFERROR(_xlfn.IFS(ISNUMBER(Table1[[#This Row],[Column3]]),Table1[[#This Row],[Column3]],Table1[[#This Row],[Column3]]="NEW",Table1[[#This Row],[Column3]]),"")</f>
        <v>100</v>
      </c>
      <c r="H396" s="15" cm="1">
        <f t="array" ref="H396">_xlfn.IFS(Table1[[#This Row],[Column4]]="NEW",AVERAGEIFS(Table1[Column4],Table1[Year],Table1[[#This Row],[Year]]),ISNUMBER(Table1[[#This Row],[Column4]]),Table1[[#This Row],[Column4]],Table1[[#This Row],[Column4]]="",H395*(1+Table1[[#This Row],[Ávöxtun]]))</f>
        <v>100</v>
      </c>
      <c r="I396" cm="1">
        <f t="array" ref="I396">_xlfn.IFS(Table1[[#This Row],[Column4]]="NEW",_xlfn.XLOOKUP(Table1[[#This Row],[Year]],$N$2:$N$27,$P$2:$P$27),ISNUMBER(Table1[[#This Row],[Column4]]),Table1[[#This Row],[Column4]],Table1[[#This Row],[Column4]]="",I395*(1+Table1[[#This Row],[Ávöxtun]]))</f>
        <v>100</v>
      </c>
      <c r="L396" s="33">
        <v>100</v>
      </c>
      <c r="M396" s="33">
        <v>100</v>
      </c>
    </row>
    <row r="397" spans="1:13">
      <c r="A397" t="s">
        <v>93</v>
      </c>
      <c r="B397">
        <v>1998</v>
      </c>
      <c r="C397" s="16">
        <v>0.02</v>
      </c>
      <c r="D397" s="1">
        <v>11330066.619999999</v>
      </c>
      <c r="E397" s="29">
        <f>Table1[[#This Row],[Ávöxtun]]*Table1[[#This Row],[Eignir]]/SUMIFS(Table1[Eignir],Table1[Year],Table1[[#This Row],[Year]])</f>
        <v>5.7860350581500784E-4</v>
      </c>
      <c r="F397" s="23">
        <f>IF(B397=1997, 100, IF(COUNTIF(A$1:A396,A397)=0, "NEW", F396*(1+Table1[[#This Row],[Ávöxtun]])))</f>
        <v>102</v>
      </c>
      <c r="G397" s="18" cm="1">
        <f t="array" ref="G397">IFERROR(_xlfn.IFS(ISNUMBER(Table1[[#This Row],[Column3]]),Table1[[#This Row],[Column3]],Table1[[#This Row],[Column3]]="NEW",Table1[[#This Row],[Column3]]),"")</f>
        <v>102</v>
      </c>
      <c r="H397" s="15" cm="1">
        <f t="array" ref="H397">_xlfn.IFS(Table1[[#This Row],[Column4]]="NEW",AVERAGEIFS(Table1[Column4],Table1[Year],Table1[[#This Row],[Year]]),ISNUMBER(Table1[[#This Row],[Column4]]),Table1[[#This Row],[Column4]],Table1[[#This Row],[Column4]]="",H396*(1+Table1[[#This Row],[Ávöxtun]]))</f>
        <v>102</v>
      </c>
      <c r="I397" cm="1">
        <f t="array" ref="I397">_xlfn.IFS(Table1[[#This Row],[Column4]]="NEW",_xlfn.XLOOKUP(Table1[[#This Row],[Year]],$N$2:$N$27,$P$2:$P$27),ISNUMBER(Table1[[#This Row],[Column4]]),Table1[[#This Row],[Column4]],Table1[[#This Row],[Column4]]="",I396*(1+Table1[[#This Row],[Ávöxtun]]))</f>
        <v>102</v>
      </c>
      <c r="L397" s="33">
        <v>102</v>
      </c>
      <c r="M397" s="33">
        <v>102</v>
      </c>
    </row>
    <row r="398" spans="1:13">
      <c r="A398" t="s">
        <v>93</v>
      </c>
      <c r="B398">
        <v>1999</v>
      </c>
      <c r="C398" s="16">
        <v>0.08</v>
      </c>
      <c r="D398" s="1">
        <v>13471156.970000001</v>
      </c>
      <c r="E398" s="29">
        <f>Table1[[#This Row],[Ávöxtun]]*Table1[[#This Row],[Eignir]]/SUMIFS(Table1[Eignir],Table1[Year],Table1[[#This Row],[Year]])</f>
        <v>2.0696332302597366E-3</v>
      </c>
      <c r="F398" s="23">
        <f>IF(B398=1997, 100, IF(COUNTIF(A$1:A397,A398)=0, "NEW", F397*(1+Table1[[#This Row],[Ávöxtun]])))</f>
        <v>110.16000000000001</v>
      </c>
      <c r="G398" s="18" cm="1">
        <f t="array" ref="G398">IFERROR(_xlfn.IFS(ISNUMBER(Table1[[#This Row],[Column3]]),Table1[[#This Row],[Column3]],Table1[[#This Row],[Column3]]="NEW",Table1[[#This Row],[Column3]]),"")</f>
        <v>110.16000000000001</v>
      </c>
      <c r="H398" s="15" cm="1">
        <f t="array" ref="H398">_xlfn.IFS(Table1[[#This Row],[Column4]]="NEW",AVERAGEIFS(Table1[Column4],Table1[Year],Table1[[#This Row],[Year]]),ISNUMBER(Table1[[#This Row],[Column4]]),Table1[[#This Row],[Column4]],Table1[[#This Row],[Column4]]="",H397*(1+Table1[[#This Row],[Ávöxtun]]))</f>
        <v>110.16000000000001</v>
      </c>
      <c r="I398" cm="1">
        <f t="array" ref="I398">_xlfn.IFS(Table1[[#This Row],[Column4]]="NEW",_xlfn.XLOOKUP(Table1[[#This Row],[Year]],$N$2:$N$27,$P$2:$P$27),ISNUMBER(Table1[[#This Row],[Column4]]),Table1[[#This Row],[Column4]],Table1[[#This Row],[Column4]]="",I397*(1+Table1[[#This Row],[Ávöxtun]]))</f>
        <v>110.16000000000001</v>
      </c>
      <c r="L398" s="33">
        <v>110.16000000000001</v>
      </c>
      <c r="M398" s="33">
        <v>110.16000000000001</v>
      </c>
    </row>
    <row r="399" spans="1:13">
      <c r="A399" t="s">
        <v>93</v>
      </c>
      <c r="B399">
        <v>2000</v>
      </c>
      <c r="C399" s="16">
        <v>-0.04</v>
      </c>
      <c r="D399" s="1">
        <v>13856038.65</v>
      </c>
      <c r="E399" s="29">
        <f>Table1[[#This Row],[Ávöxtun]]*Table1[[#This Row],[Eignir]]/SUMIFS(Table1[Eignir],Table1[Year],Table1[[#This Row],[Year]])</f>
        <v>-7.7964491191932132E-4</v>
      </c>
      <c r="F399" s="23">
        <f>IF(B399=1997, 100, IF(COUNTIF(A$1:A398,A399)=0, "NEW", F398*(1+Table1[[#This Row],[Ávöxtun]])))</f>
        <v>105.75360000000001</v>
      </c>
      <c r="G399" s="18" cm="1">
        <f t="array" ref="G399">IFERROR(_xlfn.IFS(ISNUMBER(Table1[[#This Row],[Column3]]),Table1[[#This Row],[Column3]],Table1[[#This Row],[Column3]]="NEW",Table1[[#This Row],[Column3]]),"")</f>
        <v>105.75360000000001</v>
      </c>
      <c r="H399" s="15" cm="1">
        <f t="array" ref="H399">_xlfn.IFS(Table1[[#This Row],[Column4]]="NEW",AVERAGEIFS(Table1[Column4],Table1[Year],Table1[[#This Row],[Year]]),ISNUMBER(Table1[[#This Row],[Column4]]),Table1[[#This Row],[Column4]],Table1[[#This Row],[Column4]]="",H398*(1+Table1[[#This Row],[Ávöxtun]]))</f>
        <v>105.75360000000001</v>
      </c>
      <c r="I399" cm="1">
        <f t="array" ref="I399">_xlfn.IFS(Table1[[#This Row],[Column4]]="NEW",_xlfn.XLOOKUP(Table1[[#This Row],[Year]],$N$2:$N$27,$P$2:$P$27),ISNUMBER(Table1[[#This Row],[Column4]]),Table1[[#This Row],[Column4]],Table1[[#This Row],[Column4]]="",I398*(1+Table1[[#This Row],[Ávöxtun]]))</f>
        <v>105.75360000000001</v>
      </c>
      <c r="L399" s="33">
        <v>105.75360000000001</v>
      </c>
      <c r="M399" s="33">
        <v>105.75360000000001</v>
      </c>
    </row>
    <row r="400" spans="1:13">
      <c r="A400" t="s">
        <v>93</v>
      </c>
      <c r="B400">
        <v>2001</v>
      </c>
      <c r="C400" s="16">
        <v>-0.1</v>
      </c>
      <c r="D400" s="1">
        <v>14039988.74</v>
      </c>
      <c r="E400" s="29">
        <f>Table1[[#This Row],[Ávöxtun]]*Table1[[#This Row],[Eignir]]/SUMIFS(Table1[Eignir],Table1[Year],Table1[[#This Row],[Year]])</f>
        <v>-1.2125225052086858E-3</v>
      </c>
      <c r="F400" s="23">
        <f>IF(B400=1997, 100, IF(COUNTIF(A$1:A399,A400)=0, "NEW", F399*(1+Table1[[#This Row],[Ávöxtun]])))</f>
        <v>95.178240000000002</v>
      </c>
      <c r="G400" s="18" cm="1">
        <f t="array" ref="G400">IFERROR(_xlfn.IFS(ISNUMBER(Table1[[#This Row],[Column3]]),Table1[[#This Row],[Column3]],Table1[[#This Row],[Column3]]="NEW",Table1[[#This Row],[Column3]]),"")</f>
        <v>95.178240000000002</v>
      </c>
      <c r="H400" s="15" cm="1">
        <f t="array" ref="H400">_xlfn.IFS(Table1[[#This Row],[Column4]]="NEW",AVERAGEIFS(Table1[Column4],Table1[Year],Table1[[#This Row],[Year]]),ISNUMBER(Table1[[#This Row],[Column4]]),Table1[[#This Row],[Column4]],Table1[[#This Row],[Column4]]="",H399*(1+Table1[[#This Row],[Ávöxtun]]))</f>
        <v>95.178240000000002</v>
      </c>
      <c r="I400" cm="1">
        <f t="array" ref="I400">_xlfn.IFS(Table1[[#This Row],[Column4]]="NEW",_xlfn.XLOOKUP(Table1[[#This Row],[Year]],$N$2:$N$27,$P$2:$P$27),ISNUMBER(Table1[[#This Row],[Column4]]),Table1[[#This Row],[Column4]],Table1[[#This Row],[Column4]]="",I399*(1+Table1[[#This Row],[Ávöxtun]]))</f>
        <v>95.178240000000002</v>
      </c>
      <c r="L400" s="33">
        <v>95.178240000000002</v>
      </c>
      <c r="M400" s="33">
        <v>95.178240000000002</v>
      </c>
    </row>
    <row r="401" spans="1:13">
      <c r="A401" t="s">
        <v>93</v>
      </c>
      <c r="B401">
        <v>2002</v>
      </c>
      <c r="C401" s="16">
        <v>-0.11</v>
      </c>
      <c r="D401" s="1">
        <v>13235732.9</v>
      </c>
      <c r="E401" s="29">
        <f>Table1[[#This Row],[Ávöxtun]]*Table1[[#This Row],[Eignir]]/SUMIFS(Table1[Eignir],Table1[Year],Table1[[#This Row],[Year]])</f>
        <v>-2.2922115594206476E-3</v>
      </c>
      <c r="F401" s="23">
        <f>IF(B401=1997, 100, IF(COUNTIF(A$1:A400,A401)=0, "NEW", F400*(1+Table1[[#This Row],[Ávöxtun]])))</f>
        <v>84.708633599999999</v>
      </c>
      <c r="G401" s="18" cm="1">
        <f t="array" ref="G401">IFERROR(_xlfn.IFS(ISNUMBER(Table1[[#This Row],[Column3]]),Table1[[#This Row],[Column3]],Table1[[#This Row],[Column3]]="NEW",Table1[[#This Row],[Column3]]),"")</f>
        <v>84.708633599999999</v>
      </c>
      <c r="H401" s="15" cm="1">
        <f t="array" ref="H401">_xlfn.IFS(Table1[[#This Row],[Column4]]="NEW",AVERAGEIFS(Table1[Column4],Table1[Year],Table1[[#This Row],[Year]]),ISNUMBER(Table1[[#This Row],[Column4]]),Table1[[#This Row],[Column4]],Table1[[#This Row],[Column4]]="",H400*(1+Table1[[#This Row],[Ávöxtun]]))</f>
        <v>84.708633599999999</v>
      </c>
      <c r="I401" cm="1">
        <f t="array" ref="I401">_xlfn.IFS(Table1[[#This Row],[Column4]]="NEW",_xlfn.XLOOKUP(Table1[[#This Row],[Year]],$N$2:$N$27,$P$2:$P$27),ISNUMBER(Table1[[#This Row],[Column4]]),Table1[[#This Row],[Column4]],Table1[[#This Row],[Column4]]="",I400*(1+Table1[[#This Row],[Ávöxtun]]))</f>
        <v>84.708633599999999</v>
      </c>
      <c r="L401" s="33">
        <v>84.708633599999999</v>
      </c>
      <c r="M401" s="33">
        <v>84.708633599999999</v>
      </c>
    </row>
    <row r="402" spans="1:13">
      <c r="A402" t="s">
        <v>93</v>
      </c>
      <c r="B402">
        <v>2003</v>
      </c>
      <c r="C402" s="16">
        <v>0.11</v>
      </c>
      <c r="D402" s="1">
        <v>15647579</v>
      </c>
      <c r="E402" s="29">
        <f>Table1[[#This Row],[Ávöxtun]]*Table1[[#This Row],[Eignir]]/SUMIFS(Table1[Eignir],Table1[Year],Table1[[#This Row],[Year]])</f>
        <v>2.2651048579046791E-3</v>
      </c>
      <c r="F402" s="23">
        <f>IF(B402=1997, 100, IF(COUNTIF(A$1:A401,A402)=0, "NEW", F401*(1+Table1[[#This Row],[Ávöxtun]])))</f>
        <v>94.026583296000013</v>
      </c>
      <c r="G402" s="18" cm="1">
        <f t="array" ref="G402">IFERROR(_xlfn.IFS(ISNUMBER(Table1[[#This Row],[Column3]]),Table1[[#This Row],[Column3]],Table1[[#This Row],[Column3]]="NEW",Table1[[#This Row],[Column3]]),"")</f>
        <v>94.026583296000013</v>
      </c>
      <c r="H402" s="15" cm="1">
        <f t="array" ref="H402">_xlfn.IFS(Table1[[#This Row],[Column4]]="NEW",AVERAGEIFS(Table1[Column4],Table1[Year],Table1[[#This Row],[Year]]),ISNUMBER(Table1[[#This Row],[Column4]]),Table1[[#This Row],[Column4]],Table1[[#This Row],[Column4]]="",H401*(1+Table1[[#This Row],[Ávöxtun]]))</f>
        <v>94.026583296000013</v>
      </c>
      <c r="I402" cm="1">
        <f t="array" ref="I402">_xlfn.IFS(Table1[[#This Row],[Column4]]="NEW",_xlfn.XLOOKUP(Table1[[#This Row],[Year]],$N$2:$N$27,$P$2:$P$27),ISNUMBER(Table1[[#This Row],[Column4]]),Table1[[#This Row],[Column4]],Table1[[#This Row],[Column4]]="",I401*(1+Table1[[#This Row],[Ávöxtun]]))</f>
        <v>94.026583296000013</v>
      </c>
      <c r="L402" s="33">
        <v>94.026583296000013</v>
      </c>
      <c r="M402" s="33">
        <v>94.026583296000013</v>
      </c>
    </row>
    <row r="403" spans="1:13">
      <c r="A403" t="s">
        <v>93</v>
      </c>
      <c r="B403">
        <v>2004</v>
      </c>
      <c r="C403" s="16">
        <v>0.09</v>
      </c>
      <c r="D403" s="1">
        <v>18311035</v>
      </c>
      <c r="E403" s="29">
        <f>Table1[[#This Row],[Ávöxtun]]*Table1[[#This Row],[Eignir]]/SUMIFS(Table1[Eignir],Table1[Year],Table1[[#This Row],[Year]])</f>
        <v>1.8156294448757719E-3</v>
      </c>
      <c r="F403" s="23">
        <f>IF(B403=1997, 100, IF(COUNTIF(A$1:A402,A403)=0, "NEW", F402*(1+Table1[[#This Row],[Ávöxtun]])))</f>
        <v>102.48897579264002</v>
      </c>
      <c r="G403" s="18" cm="1">
        <f t="array" ref="G403">IFERROR(_xlfn.IFS(ISNUMBER(Table1[[#This Row],[Column3]]),Table1[[#This Row],[Column3]],Table1[[#This Row],[Column3]]="NEW",Table1[[#This Row],[Column3]]),"")</f>
        <v>102.48897579264002</v>
      </c>
      <c r="H403" s="15" cm="1">
        <f t="array" ref="H403">_xlfn.IFS(Table1[[#This Row],[Column4]]="NEW",AVERAGEIFS(Table1[Column4],Table1[Year],Table1[[#This Row],[Year]]),ISNUMBER(Table1[[#This Row],[Column4]]),Table1[[#This Row],[Column4]],Table1[[#This Row],[Column4]]="",H402*(1+Table1[[#This Row],[Ávöxtun]]))</f>
        <v>102.48897579264002</v>
      </c>
      <c r="I403" cm="1">
        <f t="array" ref="I403">_xlfn.IFS(Table1[[#This Row],[Column4]]="NEW",_xlfn.XLOOKUP(Table1[[#This Row],[Year]],$N$2:$N$27,$P$2:$P$27),ISNUMBER(Table1[[#This Row],[Column4]]),Table1[[#This Row],[Column4]],Table1[[#This Row],[Column4]]="",I402*(1+Table1[[#This Row],[Ávöxtun]]))</f>
        <v>102.48897579264002</v>
      </c>
      <c r="L403" s="33">
        <v>102.48897579264002</v>
      </c>
      <c r="M403" s="33">
        <v>102.48897579264002</v>
      </c>
    </row>
    <row r="404" spans="1:13">
      <c r="A404" t="s">
        <v>93</v>
      </c>
      <c r="B404">
        <v>2005</v>
      </c>
      <c r="C404" s="16">
        <v>0.1</v>
      </c>
      <c r="D404" s="1">
        <v>21940590</v>
      </c>
      <c r="E404" s="29">
        <f>Table1[[#This Row],[Ávöxtun]]*Table1[[#This Row],[Eignir]]/SUMIFS(Table1[Eignir],Table1[Year],Table1[[#This Row],[Year]])</f>
        <v>1.9566442114428038E-3</v>
      </c>
      <c r="F404" s="23">
        <f>IF(B404=1997, 100, IF(COUNTIF(A$1:A403,A404)=0, "NEW", F403*(1+Table1[[#This Row],[Ávöxtun]])))</f>
        <v>112.73787337190403</v>
      </c>
      <c r="G404" s="18" cm="1">
        <f t="array" ref="G404">IFERROR(_xlfn.IFS(ISNUMBER(Table1[[#This Row],[Column3]]),Table1[[#This Row],[Column3]],Table1[[#This Row],[Column3]]="NEW",Table1[[#This Row],[Column3]]),"")</f>
        <v>112.73787337190403</v>
      </c>
      <c r="H404" s="15" cm="1">
        <f t="array" ref="H404">_xlfn.IFS(Table1[[#This Row],[Column4]]="NEW",AVERAGEIFS(Table1[Column4],Table1[Year],Table1[[#This Row],[Year]]),ISNUMBER(Table1[[#This Row],[Column4]]),Table1[[#This Row],[Column4]],Table1[[#This Row],[Column4]]="",H403*(1+Table1[[#This Row],[Ávöxtun]]))</f>
        <v>112.73787337190403</v>
      </c>
      <c r="I404" cm="1">
        <f t="array" ref="I404">_xlfn.IFS(Table1[[#This Row],[Column4]]="NEW",_xlfn.XLOOKUP(Table1[[#This Row],[Year]],$N$2:$N$27,$P$2:$P$27),ISNUMBER(Table1[[#This Row],[Column4]]),Table1[[#This Row],[Column4]],Table1[[#This Row],[Column4]]="",I403*(1+Table1[[#This Row],[Ávöxtun]]))</f>
        <v>112.73787337190403</v>
      </c>
      <c r="L404" s="33">
        <v>112.73787337190403</v>
      </c>
      <c r="M404" s="33">
        <v>112.73787337190403</v>
      </c>
    </row>
    <row r="405" spans="1:13">
      <c r="A405" t="s">
        <v>93</v>
      </c>
      <c r="B405">
        <v>2006</v>
      </c>
      <c r="C405" s="16">
        <v>8.8300000000000003E-2</v>
      </c>
      <c r="D405" s="1">
        <v>27425648</v>
      </c>
      <c r="E405" s="29">
        <f>Table1[[#This Row],[Ávöxtun]]*Table1[[#This Row],[Eignir]]/SUMIFS(Table1[Eignir],Table1[Year],Table1[[#This Row],[Year]])</f>
        <v>1.7642075431600142E-3</v>
      </c>
      <c r="F405" s="23">
        <f>IF(B405=1997, 100, IF(COUNTIF(A$1:A404,A405)=0, "NEW", F404*(1+Table1[[#This Row],[Ávöxtun]])))</f>
        <v>122.69262759064316</v>
      </c>
      <c r="G405" s="18" cm="1">
        <f t="array" ref="G405">IFERROR(_xlfn.IFS(ISNUMBER(Table1[[#This Row],[Column3]]),Table1[[#This Row],[Column3]],Table1[[#This Row],[Column3]]="NEW",Table1[[#This Row],[Column3]]),"")</f>
        <v>122.69262759064316</v>
      </c>
      <c r="H405" s="15" cm="1">
        <f t="array" ref="H405">_xlfn.IFS(Table1[[#This Row],[Column4]]="NEW",AVERAGEIFS(Table1[Column4],Table1[Year],Table1[[#This Row],[Year]]),ISNUMBER(Table1[[#This Row],[Column4]]),Table1[[#This Row],[Column4]],Table1[[#This Row],[Column4]]="",H404*(1+Table1[[#This Row],[Ávöxtun]]))</f>
        <v>122.69262759064316</v>
      </c>
      <c r="I405" cm="1">
        <f t="array" ref="I405">_xlfn.IFS(Table1[[#This Row],[Column4]]="NEW",_xlfn.XLOOKUP(Table1[[#This Row],[Year]],$N$2:$N$27,$P$2:$P$27),ISNUMBER(Table1[[#This Row],[Column4]]),Table1[[#This Row],[Column4]],Table1[[#This Row],[Column4]]="",I404*(1+Table1[[#This Row],[Ávöxtun]]))</f>
        <v>122.69262759064316</v>
      </c>
      <c r="L405" s="33">
        <v>122.69262759064316</v>
      </c>
      <c r="M405" s="33">
        <v>122.69262759064316</v>
      </c>
    </row>
    <row r="406" spans="1:13">
      <c r="A406" t="s">
        <v>108</v>
      </c>
      <c r="B406">
        <v>1997</v>
      </c>
      <c r="C406" s="16">
        <v>0.09</v>
      </c>
      <c r="D406" s="1">
        <v>9098944.8300000001</v>
      </c>
      <c r="E406" s="29">
        <f>Table1[[#This Row],[Ávöxtun]]*Table1[[#This Row],[Eignir]]/SUMIFS(Table1[Eignir],Table1[Year],Table1[[#This Row],[Year]])</f>
        <v>2.4154685040217059E-3</v>
      </c>
      <c r="F406" s="23">
        <f>IF(B406=1997, 100, IF(COUNTIF(A$1:A405,A406)=0, "NEW", F405*(1+Table1[[#This Row],[Ávöxtun]])))</f>
        <v>100</v>
      </c>
      <c r="G406" s="18" cm="1">
        <f t="array" ref="G406">IFERROR(_xlfn.IFS(ISNUMBER(Table1[[#This Row],[Column3]]),Table1[[#This Row],[Column3]],Table1[[#This Row],[Column3]]="NEW",Table1[[#This Row],[Column3]]),"")</f>
        <v>100</v>
      </c>
      <c r="H406" s="15" cm="1">
        <f t="array" ref="H406">_xlfn.IFS(Table1[[#This Row],[Column4]]="NEW",AVERAGEIFS(Table1[Column4],Table1[Year],Table1[[#This Row],[Year]]),ISNUMBER(Table1[[#This Row],[Column4]]),Table1[[#This Row],[Column4]],Table1[[#This Row],[Column4]]="",H405*(1+Table1[[#This Row],[Ávöxtun]]))</f>
        <v>100</v>
      </c>
      <c r="I406" cm="1">
        <f t="array" ref="I406">_xlfn.IFS(Table1[[#This Row],[Column4]]="NEW",_xlfn.XLOOKUP(Table1[[#This Row],[Year]],$N$2:$N$27,$P$2:$P$27),ISNUMBER(Table1[[#This Row],[Column4]]),Table1[[#This Row],[Column4]],Table1[[#This Row],[Column4]]="",I405*(1+Table1[[#This Row],[Ávöxtun]]))</f>
        <v>100</v>
      </c>
      <c r="L406" s="33">
        <v>100</v>
      </c>
      <c r="M406" s="33">
        <v>100</v>
      </c>
    </row>
    <row r="407" spans="1:13">
      <c r="A407" t="s">
        <v>108</v>
      </c>
      <c r="B407">
        <v>1998</v>
      </c>
      <c r="C407" s="16">
        <v>0.09</v>
      </c>
      <c r="D407" s="1">
        <v>9915207.7100000009</v>
      </c>
      <c r="E407" s="29">
        <f>Table1[[#This Row],[Ávöxtun]]*Table1[[#This Row],[Eignir]]/SUMIFS(Table1[Eignir],Table1[Year],Table1[[#This Row],[Year]])</f>
        <v>2.2785728984976599E-3</v>
      </c>
      <c r="F407" s="23">
        <f>IF(B407=1997, 100, IF(COUNTIF(A$1:A406,A407)=0, "NEW", F406*(1+Table1[[#This Row],[Ávöxtun]])))</f>
        <v>109.00000000000001</v>
      </c>
      <c r="G407" s="18" cm="1">
        <f t="array" ref="G407">IFERROR(_xlfn.IFS(ISNUMBER(Table1[[#This Row],[Column3]]),Table1[[#This Row],[Column3]],Table1[[#This Row],[Column3]]="NEW",Table1[[#This Row],[Column3]]),"")</f>
        <v>109.00000000000001</v>
      </c>
      <c r="H407" s="15" cm="1">
        <f t="array" ref="H407">_xlfn.IFS(Table1[[#This Row],[Column4]]="NEW",AVERAGEIFS(Table1[Column4],Table1[Year],Table1[[#This Row],[Year]]),ISNUMBER(Table1[[#This Row],[Column4]]),Table1[[#This Row],[Column4]],Table1[[#This Row],[Column4]]="",H406*(1+Table1[[#This Row],[Ávöxtun]]))</f>
        <v>109.00000000000001</v>
      </c>
      <c r="I407" cm="1">
        <f t="array" ref="I407">_xlfn.IFS(Table1[[#This Row],[Column4]]="NEW",_xlfn.XLOOKUP(Table1[[#This Row],[Year]],$N$2:$N$27,$P$2:$P$27),ISNUMBER(Table1[[#This Row],[Column4]]),Table1[[#This Row],[Column4]],Table1[[#This Row],[Column4]]="",I406*(1+Table1[[#This Row],[Ávöxtun]]))</f>
        <v>109.00000000000001</v>
      </c>
      <c r="L407" s="33">
        <v>109.00000000000001</v>
      </c>
      <c r="M407" s="33">
        <v>109.00000000000001</v>
      </c>
    </row>
    <row r="408" spans="1:13">
      <c r="A408" t="s">
        <v>108</v>
      </c>
      <c r="B408">
        <v>1999</v>
      </c>
      <c r="C408" s="16">
        <v>0.1</v>
      </c>
      <c r="D408" s="1">
        <v>11396867.08</v>
      </c>
      <c r="E408" s="29">
        <f>Table1[[#This Row],[Ávöxtun]]*Table1[[#This Row],[Eignir]]/SUMIFS(Table1[Eignir],Table1[Year],Table1[[#This Row],[Year]])</f>
        <v>2.1886886629476016E-3</v>
      </c>
      <c r="F408" s="23">
        <f>IF(B408=1997, 100, IF(COUNTIF(A$1:A407,A408)=0, "NEW", F407*(1+Table1[[#This Row],[Ávöxtun]])))</f>
        <v>119.90000000000002</v>
      </c>
      <c r="G408" s="18" cm="1">
        <f t="array" ref="G408">IFERROR(_xlfn.IFS(ISNUMBER(Table1[[#This Row],[Column3]]),Table1[[#This Row],[Column3]],Table1[[#This Row],[Column3]]="NEW",Table1[[#This Row],[Column3]]),"")</f>
        <v>119.90000000000002</v>
      </c>
      <c r="H408" s="15" cm="1">
        <f t="array" ref="H408">_xlfn.IFS(Table1[[#This Row],[Column4]]="NEW",AVERAGEIFS(Table1[Column4],Table1[Year],Table1[[#This Row],[Year]]),ISNUMBER(Table1[[#This Row],[Column4]]),Table1[[#This Row],[Column4]],Table1[[#This Row],[Column4]]="",H407*(1+Table1[[#This Row],[Ávöxtun]]))</f>
        <v>119.90000000000002</v>
      </c>
      <c r="I408" cm="1">
        <f t="array" ref="I408">_xlfn.IFS(Table1[[#This Row],[Column4]]="NEW",_xlfn.XLOOKUP(Table1[[#This Row],[Year]],$N$2:$N$27,$P$2:$P$27),ISNUMBER(Table1[[#This Row],[Column4]]),Table1[[#This Row],[Column4]],Table1[[#This Row],[Column4]]="",I407*(1+Table1[[#This Row],[Ávöxtun]]))</f>
        <v>119.90000000000002</v>
      </c>
      <c r="L408" s="33">
        <v>119.90000000000002</v>
      </c>
      <c r="M408" s="33">
        <v>119.90000000000002</v>
      </c>
    </row>
    <row r="409" spans="1:13">
      <c r="A409" t="s">
        <v>108</v>
      </c>
      <c r="B409">
        <v>2000</v>
      </c>
      <c r="C409" s="16">
        <v>-0.02</v>
      </c>
      <c r="D409" s="1">
        <v>11653098.58</v>
      </c>
      <c r="E409" s="29">
        <f>Table1[[#This Row],[Ávöxtun]]*Table1[[#This Row],[Eignir]]/SUMIFS(Table1[Eignir],Table1[Year],Table1[[#This Row],[Year]])</f>
        <v>-3.2784547032103109E-4</v>
      </c>
      <c r="F409" s="23">
        <f>IF(B409=1997, 100, IF(COUNTIF(A$1:A408,A409)=0, "NEW", F408*(1+Table1[[#This Row],[Ávöxtun]])))</f>
        <v>117.50200000000002</v>
      </c>
      <c r="G409" s="18" cm="1">
        <f t="array" ref="G409">IFERROR(_xlfn.IFS(ISNUMBER(Table1[[#This Row],[Column3]]),Table1[[#This Row],[Column3]],Table1[[#This Row],[Column3]]="NEW",Table1[[#This Row],[Column3]]),"")</f>
        <v>117.50200000000002</v>
      </c>
      <c r="H409" s="15" cm="1">
        <f t="array" ref="H409">_xlfn.IFS(Table1[[#This Row],[Column4]]="NEW",AVERAGEIFS(Table1[Column4],Table1[Year],Table1[[#This Row],[Year]]),ISNUMBER(Table1[[#This Row],[Column4]]),Table1[[#This Row],[Column4]],Table1[[#This Row],[Column4]]="",H408*(1+Table1[[#This Row],[Ávöxtun]]))</f>
        <v>117.50200000000002</v>
      </c>
      <c r="I409" cm="1">
        <f t="array" ref="I409">_xlfn.IFS(Table1[[#This Row],[Column4]]="NEW",_xlfn.XLOOKUP(Table1[[#This Row],[Year]],$N$2:$N$27,$P$2:$P$27),ISNUMBER(Table1[[#This Row],[Column4]]),Table1[[#This Row],[Column4]],Table1[[#This Row],[Column4]]="",I408*(1+Table1[[#This Row],[Ávöxtun]]))</f>
        <v>117.50200000000002</v>
      </c>
      <c r="L409" s="33">
        <v>117.50200000000002</v>
      </c>
      <c r="M409" s="33">
        <v>117.50200000000002</v>
      </c>
    </row>
    <row r="410" spans="1:13">
      <c r="A410" t="s">
        <v>108</v>
      </c>
      <c r="B410">
        <v>2001</v>
      </c>
      <c r="C410" s="16">
        <v>-0.03</v>
      </c>
      <c r="D410" s="1">
        <v>11969657</v>
      </c>
      <c r="E410" s="29">
        <f>Table1[[#This Row],[Ávöxtun]]*Table1[[#This Row],[Eignir]]/SUMIFS(Table1[Eignir],Table1[Year],Table1[[#This Row],[Year]])</f>
        <v>-3.1011731050993737E-4</v>
      </c>
      <c r="F410" s="23">
        <f>IF(B410=1997, 100, IF(COUNTIF(A$1:A409,A410)=0, "NEW", F409*(1+Table1[[#This Row],[Ávöxtun]])))</f>
        <v>113.97694000000001</v>
      </c>
      <c r="G410" s="18" cm="1">
        <f t="array" ref="G410">IFERROR(_xlfn.IFS(ISNUMBER(Table1[[#This Row],[Column3]]),Table1[[#This Row],[Column3]],Table1[[#This Row],[Column3]]="NEW",Table1[[#This Row],[Column3]]),"")</f>
        <v>113.97694000000001</v>
      </c>
      <c r="H410" s="15" cm="1">
        <f t="array" ref="H410">_xlfn.IFS(Table1[[#This Row],[Column4]]="NEW",AVERAGEIFS(Table1[Column4],Table1[Year],Table1[[#This Row],[Year]]),ISNUMBER(Table1[[#This Row],[Column4]]),Table1[[#This Row],[Column4]],Table1[[#This Row],[Column4]]="",H409*(1+Table1[[#This Row],[Ávöxtun]]))</f>
        <v>113.97694000000001</v>
      </c>
      <c r="I410" cm="1">
        <f t="array" ref="I410">_xlfn.IFS(Table1[[#This Row],[Column4]]="NEW",_xlfn.XLOOKUP(Table1[[#This Row],[Year]],$N$2:$N$27,$P$2:$P$27),ISNUMBER(Table1[[#This Row],[Column4]]),Table1[[#This Row],[Column4]],Table1[[#This Row],[Column4]]="",I409*(1+Table1[[#This Row],[Ávöxtun]]))</f>
        <v>113.97694000000001</v>
      </c>
      <c r="L410" s="33">
        <v>113.97694000000001</v>
      </c>
      <c r="M410" s="33">
        <v>113.97694000000001</v>
      </c>
    </row>
    <row r="411" spans="1:13">
      <c r="A411" t="s">
        <v>108</v>
      </c>
      <c r="B411">
        <v>2002</v>
      </c>
      <c r="C411" s="16">
        <v>-0.05</v>
      </c>
      <c r="D411" s="1">
        <v>11409412</v>
      </c>
      <c r="E411" s="29">
        <f>Table1[[#This Row],[Ávöxtun]]*Table1[[#This Row],[Eignir]]/SUMIFS(Table1[Eignir],Table1[Year],Table1[[#This Row],[Year]])</f>
        <v>-8.981467156228772E-4</v>
      </c>
      <c r="F411" s="23">
        <f>IF(B411=1997, 100, IF(COUNTIF(A$1:A410,A411)=0, "NEW", F410*(1+Table1[[#This Row],[Ávöxtun]])))</f>
        <v>108.27809300000001</v>
      </c>
      <c r="G411" s="18" cm="1">
        <f t="array" ref="G411">IFERROR(_xlfn.IFS(ISNUMBER(Table1[[#This Row],[Column3]]),Table1[[#This Row],[Column3]],Table1[[#This Row],[Column3]]="NEW",Table1[[#This Row],[Column3]]),"")</f>
        <v>108.27809300000001</v>
      </c>
      <c r="H411" s="15" cm="1">
        <f t="array" ref="H411">_xlfn.IFS(Table1[[#This Row],[Column4]]="NEW",AVERAGEIFS(Table1[Column4],Table1[Year],Table1[[#This Row],[Year]]),ISNUMBER(Table1[[#This Row],[Column4]]),Table1[[#This Row],[Column4]],Table1[[#This Row],[Column4]]="",H410*(1+Table1[[#This Row],[Ávöxtun]]))</f>
        <v>108.27809300000001</v>
      </c>
      <c r="I411" cm="1">
        <f t="array" ref="I411">_xlfn.IFS(Table1[[#This Row],[Column4]]="NEW",_xlfn.XLOOKUP(Table1[[#This Row],[Year]],$N$2:$N$27,$P$2:$P$27),ISNUMBER(Table1[[#This Row],[Column4]]),Table1[[#This Row],[Column4]],Table1[[#This Row],[Column4]]="",I410*(1+Table1[[#This Row],[Ávöxtun]]))</f>
        <v>108.27809300000001</v>
      </c>
      <c r="L411" s="33">
        <v>108.27809300000001</v>
      </c>
      <c r="M411" s="33">
        <v>108.27809300000001</v>
      </c>
    </row>
    <row r="412" spans="1:13">
      <c r="A412" t="s">
        <v>108</v>
      </c>
      <c r="B412">
        <v>2003</v>
      </c>
      <c r="C412" s="16">
        <v>0.11</v>
      </c>
      <c r="D412" s="1">
        <v>12715172.34</v>
      </c>
      <c r="E412" s="29">
        <f>Table1[[#This Row],[Ávöxtun]]*Table1[[#This Row],[Eignir]]/SUMIFS(Table1[Eignir],Table1[Year],Table1[[#This Row],[Year]])</f>
        <v>1.8406169182101084E-3</v>
      </c>
      <c r="F412" s="23">
        <f>IF(B412=1997, 100, IF(COUNTIF(A$1:A411,A412)=0, "NEW", F411*(1+Table1[[#This Row],[Ávöxtun]])))</f>
        <v>120.18868323000002</v>
      </c>
      <c r="G412" s="18" cm="1">
        <f t="array" ref="G412">IFERROR(_xlfn.IFS(ISNUMBER(Table1[[#This Row],[Column3]]),Table1[[#This Row],[Column3]],Table1[[#This Row],[Column3]]="NEW",Table1[[#This Row],[Column3]]),"")</f>
        <v>120.18868323000002</v>
      </c>
      <c r="H412" s="15" cm="1">
        <f t="array" ref="H412">_xlfn.IFS(Table1[[#This Row],[Column4]]="NEW",AVERAGEIFS(Table1[Column4],Table1[Year],Table1[[#This Row],[Year]]),ISNUMBER(Table1[[#This Row],[Column4]]),Table1[[#This Row],[Column4]],Table1[[#This Row],[Column4]]="",H411*(1+Table1[[#This Row],[Ávöxtun]]))</f>
        <v>120.18868323000002</v>
      </c>
      <c r="I412" cm="1">
        <f t="array" ref="I412">_xlfn.IFS(Table1[[#This Row],[Column4]]="NEW",_xlfn.XLOOKUP(Table1[[#This Row],[Year]],$N$2:$N$27,$P$2:$P$27),ISNUMBER(Table1[[#This Row],[Column4]]),Table1[[#This Row],[Column4]],Table1[[#This Row],[Column4]]="",I411*(1+Table1[[#This Row],[Ávöxtun]]))</f>
        <v>120.18868323000002</v>
      </c>
      <c r="L412" s="33">
        <v>120.18868323000002</v>
      </c>
      <c r="M412" s="33">
        <v>120.18868323000002</v>
      </c>
    </row>
    <row r="413" spans="1:13">
      <c r="A413" t="s">
        <v>108</v>
      </c>
      <c r="B413">
        <v>2004</v>
      </c>
      <c r="C413" s="16">
        <v>7.0000000000000007E-2</v>
      </c>
      <c r="D413" s="1">
        <v>13908412.609999999</v>
      </c>
      <c r="E413" s="29">
        <f>Table1[[#This Row],[Ávöxtun]]*Table1[[#This Row],[Eignir]]/SUMIFS(Table1[Eignir],Table1[Year],Table1[[#This Row],[Year]])</f>
        <v>1.0726237804045632E-3</v>
      </c>
      <c r="F413" s="23">
        <f>IF(B413=1997, 100, IF(COUNTIF(A$1:A412,A413)=0, "NEW", F412*(1+Table1[[#This Row],[Ávöxtun]])))</f>
        <v>128.60189105610004</v>
      </c>
      <c r="G413" s="18" cm="1">
        <f t="array" ref="G413">IFERROR(_xlfn.IFS(ISNUMBER(Table1[[#This Row],[Column3]]),Table1[[#This Row],[Column3]],Table1[[#This Row],[Column3]]="NEW",Table1[[#This Row],[Column3]]),"")</f>
        <v>128.60189105610004</v>
      </c>
      <c r="H413" s="15" cm="1">
        <f t="array" ref="H413">_xlfn.IFS(Table1[[#This Row],[Column4]]="NEW",AVERAGEIFS(Table1[Column4],Table1[Year],Table1[[#This Row],[Year]]),ISNUMBER(Table1[[#This Row],[Column4]]),Table1[[#This Row],[Column4]],Table1[[#This Row],[Column4]]="",H412*(1+Table1[[#This Row],[Ávöxtun]]))</f>
        <v>128.60189105610004</v>
      </c>
      <c r="I413" cm="1">
        <f t="array" ref="I413">_xlfn.IFS(Table1[[#This Row],[Column4]]="NEW",_xlfn.XLOOKUP(Table1[[#This Row],[Year]],$N$2:$N$27,$P$2:$P$27),ISNUMBER(Table1[[#This Row],[Column4]]),Table1[[#This Row],[Column4]],Table1[[#This Row],[Column4]]="",I412*(1+Table1[[#This Row],[Ávöxtun]]))</f>
        <v>128.60189105610004</v>
      </c>
      <c r="L413" s="33">
        <v>128.60189105610004</v>
      </c>
      <c r="M413" s="33">
        <v>128.60189105610004</v>
      </c>
    </row>
    <row r="414" spans="1:13">
      <c r="A414" t="s">
        <v>108</v>
      </c>
      <c r="B414">
        <v>2005</v>
      </c>
      <c r="C414" s="16">
        <v>0.08</v>
      </c>
      <c r="D414" s="1">
        <v>18283265</v>
      </c>
      <c r="E414" s="29">
        <f>Table1[[#This Row],[Ávöxtun]]*Table1[[#This Row],[Eignir]]/SUMIFS(Table1[Eignir],Table1[Year],Table1[[#This Row],[Year]])</f>
        <v>1.3043895220146702E-3</v>
      </c>
      <c r="F414" s="23">
        <f>IF(B414=1997, 100, IF(COUNTIF(A$1:A413,A414)=0, "NEW", F413*(1+Table1[[#This Row],[Ávöxtun]])))</f>
        <v>138.89004234058805</v>
      </c>
      <c r="G414" s="18" cm="1">
        <f t="array" ref="G414">IFERROR(_xlfn.IFS(ISNUMBER(Table1[[#This Row],[Column3]]),Table1[[#This Row],[Column3]],Table1[[#This Row],[Column3]]="NEW",Table1[[#This Row],[Column3]]),"")</f>
        <v>138.89004234058805</v>
      </c>
      <c r="H414" s="15" cm="1">
        <f t="array" ref="H414">_xlfn.IFS(Table1[[#This Row],[Column4]]="NEW",AVERAGEIFS(Table1[Column4],Table1[Year],Table1[[#This Row],[Year]]),ISNUMBER(Table1[[#This Row],[Column4]]),Table1[[#This Row],[Column4]],Table1[[#This Row],[Column4]]="",H413*(1+Table1[[#This Row],[Ávöxtun]]))</f>
        <v>138.89004234058805</v>
      </c>
      <c r="I414" cm="1">
        <f t="array" ref="I414">_xlfn.IFS(Table1[[#This Row],[Column4]]="NEW",_xlfn.XLOOKUP(Table1[[#This Row],[Year]],$N$2:$N$27,$P$2:$P$27),ISNUMBER(Table1[[#This Row],[Column4]]),Table1[[#This Row],[Column4]],Table1[[#This Row],[Column4]]="",I413*(1+Table1[[#This Row],[Ávöxtun]]))</f>
        <v>138.89004234058805</v>
      </c>
      <c r="L414" s="33">
        <v>138.89004234058805</v>
      </c>
      <c r="M414" s="33">
        <v>138.89004234058805</v>
      </c>
    </row>
    <row r="415" spans="1:13">
      <c r="A415" t="s">
        <v>108</v>
      </c>
      <c r="B415">
        <v>2006</v>
      </c>
      <c r="C415" s="16">
        <v>8.6400000000000005E-2</v>
      </c>
      <c r="D415" s="1">
        <v>20946933</v>
      </c>
      <c r="E415" s="29">
        <f>Table1[[#This Row],[Ávöxtun]]*Table1[[#This Row],[Eignir]]/SUMIFS(Table1[Eignir],Table1[Year],Table1[[#This Row],[Year]])</f>
        <v>1.3184578777838587E-3</v>
      </c>
      <c r="F415" s="23">
        <f>IF(B415=1997, 100, IF(COUNTIF(A$1:A414,A415)=0, "NEW", F414*(1+Table1[[#This Row],[Ávöxtun]])))</f>
        <v>150.89014199881487</v>
      </c>
      <c r="G415" s="18" cm="1">
        <f t="array" ref="G415">IFERROR(_xlfn.IFS(ISNUMBER(Table1[[#This Row],[Column3]]),Table1[[#This Row],[Column3]],Table1[[#This Row],[Column3]]="NEW",Table1[[#This Row],[Column3]]),"")</f>
        <v>150.89014199881487</v>
      </c>
      <c r="H415" s="15" cm="1">
        <f t="array" ref="H415">_xlfn.IFS(Table1[[#This Row],[Column4]]="NEW",AVERAGEIFS(Table1[Column4],Table1[Year],Table1[[#This Row],[Year]]),ISNUMBER(Table1[[#This Row],[Column4]]),Table1[[#This Row],[Column4]],Table1[[#This Row],[Column4]]="",H414*(1+Table1[[#This Row],[Ávöxtun]]))</f>
        <v>150.89014199881487</v>
      </c>
      <c r="I415" cm="1">
        <f t="array" ref="I415">_xlfn.IFS(Table1[[#This Row],[Column4]]="NEW",_xlfn.XLOOKUP(Table1[[#This Row],[Year]],$N$2:$N$27,$P$2:$P$27),ISNUMBER(Table1[[#This Row],[Column4]]),Table1[[#This Row],[Column4]],Table1[[#This Row],[Column4]]="",I414*(1+Table1[[#This Row],[Ávöxtun]]))</f>
        <v>150.89014199881487</v>
      </c>
      <c r="L415" s="33">
        <v>150.89014199881487</v>
      </c>
      <c r="M415" s="33">
        <v>150.89014199881487</v>
      </c>
    </row>
    <row r="416" spans="1:13">
      <c r="A416" t="s">
        <v>108</v>
      </c>
      <c r="B416">
        <v>2007</v>
      </c>
      <c r="C416" s="16">
        <v>-1.0700000000000001E-2</v>
      </c>
      <c r="D416" s="1">
        <v>21622728</v>
      </c>
      <c r="E416" s="29">
        <f>Table1[[#This Row],[Ávöxtun]]*Table1[[#This Row],[Eignir]]/SUMIFS(Table1[Eignir],Table1[Year],Table1[[#This Row],[Year]])</f>
        <v>-1.4961329038077928E-4</v>
      </c>
      <c r="F416" s="23">
        <f>IF(B416=1997, 100, IF(COUNTIF(A$1:A415,A416)=0, "NEW", F415*(1+Table1[[#This Row],[Ávöxtun]])))</f>
        <v>149.27561747942755</v>
      </c>
      <c r="G416" s="18" cm="1">
        <f t="array" ref="G416">IFERROR(_xlfn.IFS(ISNUMBER(Table1[[#This Row],[Column3]]),Table1[[#This Row],[Column3]],Table1[[#This Row],[Column3]]="NEW",Table1[[#This Row],[Column3]]),"")</f>
        <v>149.27561747942755</v>
      </c>
      <c r="H416" s="15" cm="1">
        <f t="array" ref="H416">_xlfn.IFS(Table1[[#This Row],[Column4]]="NEW",AVERAGEIFS(Table1[Column4],Table1[Year],Table1[[#This Row],[Year]]),ISNUMBER(Table1[[#This Row],[Column4]]),Table1[[#This Row],[Column4]],Table1[[#This Row],[Column4]]="",H415*(1+Table1[[#This Row],[Ávöxtun]]))</f>
        <v>149.27561747942755</v>
      </c>
      <c r="I416" cm="1">
        <f t="array" ref="I416">_xlfn.IFS(Table1[[#This Row],[Column4]]="NEW",_xlfn.XLOOKUP(Table1[[#This Row],[Year]],$N$2:$N$27,$P$2:$P$27),ISNUMBER(Table1[[#This Row],[Column4]]),Table1[[#This Row],[Column4]],Table1[[#This Row],[Column4]]="",I415*(1+Table1[[#This Row],[Ávöxtun]]))</f>
        <v>149.27561747942755</v>
      </c>
      <c r="L416" s="33">
        <v>149.27561747942755</v>
      </c>
      <c r="M416" s="33">
        <v>149.27561747942755</v>
      </c>
    </row>
    <row r="417" spans="1:13">
      <c r="A417" t="s">
        <v>108</v>
      </c>
      <c r="B417">
        <v>2008</v>
      </c>
      <c r="C417" s="16">
        <v>-0.17929999999999999</v>
      </c>
      <c r="D417" s="1">
        <v>20892652</v>
      </c>
      <c r="E417" s="29">
        <f>Table1[[#This Row],[Ávöxtun]]*Table1[[#This Row],[Eignir]]/SUMIFS(Table1[Eignir],Table1[Year],Table1[[#This Row],[Year]])</f>
        <v>-2.5018417923116502E-3</v>
      </c>
      <c r="F417" s="23">
        <f>IF(B417=1997, 100, IF(COUNTIF(A$1:A416,A417)=0, "NEW", F416*(1+Table1[[#This Row],[Ávöxtun]])))</f>
        <v>122.51049926536619</v>
      </c>
      <c r="G417" s="18" cm="1">
        <f t="array" ref="G417">IFERROR(_xlfn.IFS(ISNUMBER(Table1[[#This Row],[Column3]]),Table1[[#This Row],[Column3]],Table1[[#This Row],[Column3]]="NEW",Table1[[#This Row],[Column3]]),"")</f>
        <v>122.51049926536619</v>
      </c>
      <c r="H417" s="15" cm="1">
        <f t="array" ref="H417">_xlfn.IFS(Table1[[#This Row],[Column4]]="NEW",AVERAGEIFS(Table1[Column4],Table1[Year],Table1[[#This Row],[Year]]),ISNUMBER(Table1[[#This Row],[Column4]]),Table1[[#This Row],[Column4]],Table1[[#This Row],[Column4]]="",H416*(1+Table1[[#This Row],[Ávöxtun]]))</f>
        <v>122.51049926536619</v>
      </c>
      <c r="I417" cm="1">
        <f t="array" ref="I417">_xlfn.IFS(Table1[[#This Row],[Column4]]="NEW",_xlfn.XLOOKUP(Table1[[#This Row],[Year]],$N$2:$N$27,$P$2:$P$27),ISNUMBER(Table1[[#This Row],[Column4]]),Table1[[#This Row],[Column4]],Table1[[#This Row],[Column4]]="",I416*(1+Table1[[#This Row],[Ávöxtun]]))</f>
        <v>122.51049926536619</v>
      </c>
      <c r="L417" s="33">
        <v>122.51049926536619</v>
      </c>
      <c r="M417" s="33">
        <v>122.51049926536619</v>
      </c>
    </row>
    <row r="418" spans="1:13">
      <c r="A418" t="s">
        <v>108</v>
      </c>
      <c r="B418">
        <v>2009</v>
      </c>
      <c r="C418" s="16">
        <v>5.6999999999999993E-3</v>
      </c>
      <c r="D418" s="1">
        <v>22181072</v>
      </c>
      <c r="E418" s="29">
        <f>Table1[[#This Row],[Ávöxtun]]*Table1[[#This Row],[Eignir]]/SUMIFS(Table1[Eignir],Table1[Year],Table1[[#This Row],[Year]])</f>
        <v>7.5786888685131868E-5</v>
      </c>
      <c r="F418" s="23">
        <f>IF(B418=1997, 100, IF(COUNTIF(A$1:A417,A418)=0, "NEW", F417*(1+Table1[[#This Row],[Ávöxtun]])))</f>
        <v>123.20880911117878</v>
      </c>
      <c r="G418" s="18" cm="1">
        <f t="array" ref="G418">IFERROR(_xlfn.IFS(ISNUMBER(Table1[[#This Row],[Column3]]),Table1[[#This Row],[Column3]],Table1[[#This Row],[Column3]]="NEW",Table1[[#This Row],[Column3]]),"")</f>
        <v>123.20880911117878</v>
      </c>
      <c r="H418" s="15" cm="1">
        <f t="array" ref="H418">_xlfn.IFS(Table1[[#This Row],[Column4]]="NEW",AVERAGEIFS(Table1[Column4],Table1[Year],Table1[[#This Row],[Year]]),ISNUMBER(Table1[[#This Row],[Column4]]),Table1[[#This Row],[Column4]],Table1[[#This Row],[Column4]]="",H417*(1+Table1[[#This Row],[Ávöxtun]]))</f>
        <v>123.20880911117878</v>
      </c>
      <c r="I418" cm="1">
        <f t="array" ref="I418">_xlfn.IFS(Table1[[#This Row],[Column4]]="NEW",_xlfn.XLOOKUP(Table1[[#This Row],[Year]],$N$2:$N$27,$P$2:$P$27),ISNUMBER(Table1[[#This Row],[Column4]]),Table1[[#This Row],[Column4]],Table1[[#This Row],[Column4]]="",I417*(1+Table1[[#This Row],[Ávöxtun]]))</f>
        <v>123.20880911117878</v>
      </c>
      <c r="L418" s="33">
        <v>123.20880911117878</v>
      </c>
      <c r="M418" s="33">
        <v>123.20880911117878</v>
      </c>
    </row>
    <row r="419" spans="1:13">
      <c r="A419" t="s">
        <v>108</v>
      </c>
      <c r="B419">
        <v>2010</v>
      </c>
      <c r="C419" s="16">
        <v>4.1200000000000001E-2</v>
      </c>
      <c r="D419" s="1">
        <v>22721934</v>
      </c>
      <c r="E419" s="29">
        <f>Table1[[#This Row],[Ávöxtun]]*Table1[[#This Row],[Eignir]]/SUMIFS(Table1[Eignir],Table1[Year],Table1[[#This Row],[Year]])</f>
        <v>5.2363279950131899E-4</v>
      </c>
      <c r="F419" s="23">
        <f>IF(B419=1997, 100, IF(COUNTIF(A$1:A418,A419)=0, "NEW", F418*(1+Table1[[#This Row],[Ávöxtun]])))</f>
        <v>128.28501204655933</v>
      </c>
      <c r="G419" s="18" cm="1">
        <f t="array" ref="G419">IFERROR(_xlfn.IFS(ISNUMBER(Table1[[#This Row],[Column3]]),Table1[[#This Row],[Column3]],Table1[[#This Row],[Column3]]="NEW",Table1[[#This Row],[Column3]]),"")</f>
        <v>128.28501204655933</v>
      </c>
      <c r="H419" s="15" cm="1">
        <f t="array" ref="H419">_xlfn.IFS(Table1[[#This Row],[Column4]]="NEW",AVERAGEIFS(Table1[Column4],Table1[Year],Table1[[#This Row],[Year]]),ISNUMBER(Table1[[#This Row],[Column4]]),Table1[[#This Row],[Column4]],Table1[[#This Row],[Column4]]="",H418*(1+Table1[[#This Row],[Ávöxtun]]))</f>
        <v>128.28501204655933</v>
      </c>
      <c r="I419" cm="1">
        <f t="array" ref="I419">_xlfn.IFS(Table1[[#This Row],[Column4]]="NEW",_xlfn.XLOOKUP(Table1[[#This Row],[Year]],$N$2:$N$27,$P$2:$P$27),ISNUMBER(Table1[[#This Row],[Column4]]),Table1[[#This Row],[Column4]],Table1[[#This Row],[Column4]]="",I418*(1+Table1[[#This Row],[Ávöxtun]]))</f>
        <v>128.28501204655933</v>
      </c>
      <c r="L419" s="33">
        <v>128.28501204655933</v>
      </c>
      <c r="M419" s="33">
        <v>128.28501204655933</v>
      </c>
    </row>
    <row r="420" spans="1:13">
      <c r="A420" t="s">
        <v>108</v>
      </c>
      <c r="B420">
        <v>2011</v>
      </c>
      <c r="C420" s="16">
        <v>2.8999999999999998E-2</v>
      </c>
      <c r="D420" s="1">
        <v>24009123</v>
      </c>
      <c r="E420" s="29">
        <f>Table1[[#This Row],[Ávöxtun]]*Table1[[#This Row],[Eignir]]/SUMIFS(Table1[Eignir],Table1[Year],Table1[[#This Row],[Year]])</f>
        <v>3.569564544455951E-4</v>
      </c>
      <c r="F420" s="23">
        <f>IF(B420=1997, 100, IF(COUNTIF(A$1:A419,A420)=0, "NEW", F419*(1+Table1[[#This Row],[Ávöxtun]])))</f>
        <v>132.00527739590953</v>
      </c>
      <c r="G420" s="18" cm="1">
        <f t="array" ref="G420">IFERROR(_xlfn.IFS(ISNUMBER(Table1[[#This Row],[Column3]]),Table1[[#This Row],[Column3]],Table1[[#This Row],[Column3]]="NEW",Table1[[#This Row],[Column3]]),"")</f>
        <v>132.00527739590953</v>
      </c>
      <c r="H420" s="15" cm="1">
        <f t="array" ref="H420">_xlfn.IFS(Table1[[#This Row],[Column4]]="NEW",AVERAGEIFS(Table1[Column4],Table1[Year],Table1[[#This Row],[Year]]),ISNUMBER(Table1[[#This Row],[Column4]]),Table1[[#This Row],[Column4]],Table1[[#This Row],[Column4]]="",H419*(1+Table1[[#This Row],[Ávöxtun]]))</f>
        <v>132.00527739590953</v>
      </c>
      <c r="I420" cm="1">
        <f t="array" ref="I420">_xlfn.IFS(Table1[[#This Row],[Column4]]="NEW",_xlfn.XLOOKUP(Table1[[#This Row],[Year]],$N$2:$N$27,$P$2:$P$27),ISNUMBER(Table1[[#This Row],[Column4]]),Table1[[#This Row],[Column4]],Table1[[#This Row],[Column4]]="",I419*(1+Table1[[#This Row],[Ávöxtun]]))</f>
        <v>132.00527739590953</v>
      </c>
      <c r="L420" s="33">
        <v>132.00527739590953</v>
      </c>
      <c r="M420" s="33">
        <v>132.00527739590953</v>
      </c>
    </row>
    <row r="421" spans="1:13">
      <c r="A421" t="s">
        <v>108</v>
      </c>
      <c r="B421">
        <v>2012</v>
      </c>
      <c r="C421" s="16">
        <v>5.5E-2</v>
      </c>
      <c r="D421" s="1">
        <v>25655912</v>
      </c>
      <c r="E421" s="29">
        <f>Table1[[#This Row],[Ávöxtun]]*Table1[[#This Row],[Eignir]]/SUMIFS(Table1[Eignir],Table1[Year],Table1[[#This Row],[Year]])</f>
        <v>6.4057000739369528E-4</v>
      </c>
      <c r="F421" s="23">
        <f>IF(B421=1997, 100, IF(COUNTIF(A$1:A420,A421)=0, "NEW", F420*(1+Table1[[#This Row],[Ávöxtun]])))</f>
        <v>139.26556765268455</v>
      </c>
      <c r="G421" s="18" cm="1">
        <f t="array" ref="G421">IFERROR(_xlfn.IFS(ISNUMBER(Table1[[#This Row],[Column3]]),Table1[[#This Row],[Column3]],Table1[[#This Row],[Column3]]="NEW",Table1[[#This Row],[Column3]]),"")</f>
        <v>139.26556765268455</v>
      </c>
      <c r="H421" s="15" cm="1">
        <f t="array" ref="H421">_xlfn.IFS(Table1[[#This Row],[Column4]]="NEW",AVERAGEIFS(Table1[Column4],Table1[Year],Table1[[#This Row],[Year]]),ISNUMBER(Table1[[#This Row],[Column4]]),Table1[[#This Row],[Column4]],Table1[[#This Row],[Column4]]="",H420*(1+Table1[[#This Row],[Ávöxtun]]))</f>
        <v>139.26556765268455</v>
      </c>
      <c r="I421" cm="1">
        <f t="array" ref="I421">_xlfn.IFS(Table1[[#This Row],[Column4]]="NEW",_xlfn.XLOOKUP(Table1[[#This Row],[Year]],$N$2:$N$27,$P$2:$P$27),ISNUMBER(Table1[[#This Row],[Column4]]),Table1[[#This Row],[Column4]],Table1[[#This Row],[Column4]]="",I420*(1+Table1[[#This Row],[Ávöxtun]]))</f>
        <v>139.26556765268455</v>
      </c>
      <c r="L421" s="33">
        <v>139.26556765268455</v>
      </c>
      <c r="M421" s="33">
        <v>139.26556765268455</v>
      </c>
    </row>
    <row r="422" spans="1:13">
      <c r="A422" t="s">
        <v>108</v>
      </c>
      <c r="B422">
        <v>2013</v>
      </c>
      <c r="C422" s="16">
        <v>5.5999999999999994E-2</v>
      </c>
      <c r="D422" s="1">
        <v>27423658</v>
      </c>
      <c r="E422" s="29">
        <f>Table1[[#This Row],[Ávöxtun]]*Table1[[#This Row],[Eignir]]/SUMIFS(Table1[Eignir],Table1[Year],Table1[[#This Row],[Year]])</f>
        <v>6.3105595186276401E-4</v>
      </c>
      <c r="F422" s="23">
        <f>IF(B422=1997, 100, IF(COUNTIF(A$1:A421,A422)=0, "NEW", F421*(1+Table1[[#This Row],[Ávöxtun]])))</f>
        <v>147.0644394412349</v>
      </c>
      <c r="G422" s="18" cm="1">
        <f t="array" ref="G422">IFERROR(_xlfn.IFS(ISNUMBER(Table1[[#This Row],[Column3]]),Table1[[#This Row],[Column3]],Table1[[#This Row],[Column3]]="NEW",Table1[[#This Row],[Column3]]),"")</f>
        <v>147.0644394412349</v>
      </c>
      <c r="H422" s="15" cm="1">
        <f t="array" ref="H422">_xlfn.IFS(Table1[[#This Row],[Column4]]="NEW",AVERAGEIFS(Table1[Column4],Table1[Year],Table1[[#This Row],[Year]]),ISNUMBER(Table1[[#This Row],[Column4]]),Table1[[#This Row],[Column4]],Table1[[#This Row],[Column4]]="",H421*(1+Table1[[#This Row],[Ávöxtun]]))</f>
        <v>147.0644394412349</v>
      </c>
      <c r="I422" cm="1">
        <f t="array" ref="I422">_xlfn.IFS(Table1[[#This Row],[Column4]]="NEW",_xlfn.XLOOKUP(Table1[[#This Row],[Year]],$N$2:$N$27,$P$2:$P$27),ISNUMBER(Table1[[#This Row],[Column4]]),Table1[[#This Row],[Column4]],Table1[[#This Row],[Column4]]="",I421*(1+Table1[[#This Row],[Ávöxtun]]))</f>
        <v>147.0644394412349</v>
      </c>
      <c r="L422" s="33">
        <v>147.0644394412349</v>
      </c>
      <c r="M422" s="33">
        <v>147.0644394412349</v>
      </c>
    </row>
    <row r="423" spans="1:13">
      <c r="A423" t="s">
        <v>108</v>
      </c>
      <c r="B423">
        <v>2014</v>
      </c>
      <c r="C423" s="16">
        <v>5.4000000000000006E-2</v>
      </c>
      <c r="D423" s="1">
        <v>28477814</v>
      </c>
      <c r="E423" s="29">
        <f>Table1[[#This Row],[Ávöxtun]]*Table1[[#This Row],[Eignir]]/SUMIFS(Table1[Eignir],Table1[Year],Table1[[#This Row],[Year]])</f>
        <v>5.796423864170403E-4</v>
      </c>
      <c r="F423" s="23">
        <f>IF(B423=1997, 100, IF(COUNTIF(A$1:A422,A423)=0, "NEW", F422*(1+Table1[[#This Row],[Ávöxtun]])))</f>
        <v>155.00591917106158</v>
      </c>
      <c r="G423" s="18" cm="1">
        <f t="array" ref="G423">IFERROR(_xlfn.IFS(ISNUMBER(Table1[[#This Row],[Column3]]),Table1[[#This Row],[Column3]],Table1[[#This Row],[Column3]]="NEW",Table1[[#This Row],[Column3]]),"")</f>
        <v>155.00591917106158</v>
      </c>
      <c r="H423" s="15" cm="1">
        <f t="array" ref="H423">_xlfn.IFS(Table1[[#This Row],[Column4]]="NEW",AVERAGEIFS(Table1[Column4],Table1[Year],Table1[[#This Row],[Year]]),ISNUMBER(Table1[[#This Row],[Column4]]),Table1[[#This Row],[Column4]],Table1[[#This Row],[Column4]]="",H422*(1+Table1[[#This Row],[Ávöxtun]]))</f>
        <v>155.00591917106158</v>
      </c>
      <c r="I423" cm="1">
        <f t="array" ref="I423">_xlfn.IFS(Table1[[#This Row],[Column4]]="NEW",_xlfn.XLOOKUP(Table1[[#This Row],[Year]],$N$2:$N$27,$P$2:$P$27),ISNUMBER(Table1[[#This Row],[Column4]]),Table1[[#This Row],[Column4]],Table1[[#This Row],[Column4]]="",I422*(1+Table1[[#This Row],[Ávöxtun]]))</f>
        <v>155.00591917106158</v>
      </c>
      <c r="L423" s="33">
        <v>155.00591917106158</v>
      </c>
      <c r="M423" s="33">
        <v>155.00591917106158</v>
      </c>
    </row>
    <row r="424" spans="1:13">
      <c r="A424" t="s">
        <v>108</v>
      </c>
      <c r="B424">
        <v>2015</v>
      </c>
      <c r="C424" s="16">
        <v>8.1000000000000003E-2</v>
      </c>
      <c r="D424" s="1">
        <v>30602975</v>
      </c>
      <c r="E424" s="29">
        <f>Table1[[#This Row],[Ávöxtun]]*Table1[[#This Row],[Eignir]]/SUMIFS(Table1[Eignir],Table1[Year],Table1[[#This Row],[Year]])</f>
        <v>8.3705652663890163E-4</v>
      </c>
      <c r="F424" s="23">
        <f>IF(B424=1997, 100, IF(COUNTIF(A$1:A423,A424)=0, "NEW", F423*(1+Table1[[#This Row],[Ávöxtun]])))</f>
        <v>167.56139862391757</v>
      </c>
      <c r="G424" s="18" cm="1">
        <f t="array" ref="G424">IFERROR(_xlfn.IFS(ISNUMBER(Table1[[#This Row],[Column3]]),Table1[[#This Row],[Column3]],Table1[[#This Row],[Column3]]="NEW",Table1[[#This Row],[Column3]]),"")</f>
        <v>167.56139862391757</v>
      </c>
      <c r="H424" s="15" cm="1">
        <f t="array" ref="H424">_xlfn.IFS(Table1[[#This Row],[Column4]]="NEW",AVERAGEIFS(Table1[Column4],Table1[Year],Table1[[#This Row],[Year]]),ISNUMBER(Table1[[#This Row],[Column4]]),Table1[[#This Row],[Column4]],Table1[[#This Row],[Column4]]="",H423*(1+Table1[[#This Row],[Ávöxtun]]))</f>
        <v>167.56139862391757</v>
      </c>
      <c r="I424" cm="1">
        <f t="array" ref="I424">_xlfn.IFS(Table1[[#This Row],[Column4]]="NEW",_xlfn.XLOOKUP(Table1[[#This Row],[Year]],$N$2:$N$27,$P$2:$P$27),ISNUMBER(Table1[[#This Row],[Column4]]),Table1[[#This Row],[Column4]],Table1[[#This Row],[Column4]]="",I423*(1+Table1[[#This Row],[Ávöxtun]]))</f>
        <v>167.56139862391757</v>
      </c>
      <c r="L424" s="33">
        <v>167.56139862391757</v>
      </c>
      <c r="M424" s="33">
        <v>167.56139862391757</v>
      </c>
    </row>
    <row r="425" spans="1:13">
      <c r="A425" t="s">
        <v>108</v>
      </c>
      <c r="B425">
        <v>2016</v>
      </c>
      <c r="C425" s="16">
        <v>-1.3000000000000001E-2</v>
      </c>
      <c r="D425" s="1">
        <v>31546397.280000001</v>
      </c>
      <c r="E425" s="29">
        <f>Table1[[#This Row],[Ávöxtun]]*Table1[[#This Row],[Eignir]]/SUMIFS(Table1[Eignir],Table1[Year],Table1[[#This Row],[Year]])</f>
        <v>-1.2815537037301307E-4</v>
      </c>
      <c r="F425" s="23">
        <f>IF(B425=1997, 100, IF(COUNTIF(A$1:A424,A425)=0, "NEW", F424*(1+Table1[[#This Row],[Ávöxtun]])))</f>
        <v>165.38310044180665</v>
      </c>
      <c r="G425" s="18" cm="1">
        <f t="array" ref="G425">IFERROR(_xlfn.IFS(ISNUMBER(Table1[[#This Row],[Column3]]),Table1[[#This Row],[Column3]],Table1[[#This Row],[Column3]]="NEW",Table1[[#This Row],[Column3]]),"")</f>
        <v>165.38310044180665</v>
      </c>
      <c r="H425" s="15" cm="1">
        <f t="array" ref="H425">_xlfn.IFS(Table1[[#This Row],[Column4]]="NEW",AVERAGEIFS(Table1[Column4],Table1[Year],Table1[[#This Row],[Year]]),ISNUMBER(Table1[[#This Row],[Column4]]),Table1[[#This Row],[Column4]],Table1[[#This Row],[Column4]]="",H424*(1+Table1[[#This Row],[Ávöxtun]]))</f>
        <v>165.38310044180665</v>
      </c>
      <c r="I425" cm="1">
        <f t="array" ref="I425">_xlfn.IFS(Table1[[#This Row],[Column4]]="NEW",_xlfn.XLOOKUP(Table1[[#This Row],[Year]],$N$2:$N$27,$P$2:$P$27),ISNUMBER(Table1[[#This Row],[Column4]]),Table1[[#This Row],[Column4]],Table1[[#This Row],[Column4]]="",I424*(1+Table1[[#This Row],[Ávöxtun]]))</f>
        <v>165.38310044180665</v>
      </c>
      <c r="L425" s="33">
        <v>165.38310044180665</v>
      </c>
      <c r="M425" s="33">
        <v>165.38310044180665</v>
      </c>
    </row>
    <row r="426" spans="1:13">
      <c r="A426" t="s">
        <v>108</v>
      </c>
      <c r="B426">
        <v>2017</v>
      </c>
      <c r="C426" s="16">
        <v>5.9000000000000004E-2</v>
      </c>
      <c r="D426" s="1">
        <v>33175562</v>
      </c>
      <c r="E426" s="29">
        <f>Table1[[#This Row],[Ávöxtun]]*Table1[[#This Row],[Eignir]]/SUMIFS(Table1[Eignir],Table1[Year],Table1[[#This Row],[Year]])</f>
        <v>5.4995081542328717E-4</v>
      </c>
      <c r="F426" s="23">
        <f>IF(B426=1997, 100, IF(COUNTIF(A$1:A425,A426)=0, "NEW", F425*(1+Table1[[#This Row],[Ávöxtun]])))</f>
        <v>175.14070336787324</v>
      </c>
      <c r="G426" s="18" cm="1">
        <f t="array" ref="G426">IFERROR(_xlfn.IFS(ISNUMBER(Table1[[#This Row],[Column3]]),Table1[[#This Row],[Column3]],Table1[[#This Row],[Column3]]="NEW",Table1[[#This Row],[Column3]]),"")</f>
        <v>175.14070336787324</v>
      </c>
      <c r="H426" s="15" cm="1">
        <f t="array" ref="H426">_xlfn.IFS(Table1[[#This Row],[Column4]]="NEW",AVERAGEIFS(Table1[Column4],Table1[Year],Table1[[#This Row],[Year]]),ISNUMBER(Table1[[#This Row],[Column4]]),Table1[[#This Row],[Column4]],Table1[[#This Row],[Column4]]="",H425*(1+Table1[[#This Row],[Ávöxtun]]))</f>
        <v>175.14070336787324</v>
      </c>
      <c r="I426" cm="1">
        <f t="array" ref="I426">_xlfn.IFS(Table1[[#This Row],[Column4]]="NEW",_xlfn.XLOOKUP(Table1[[#This Row],[Year]],$N$2:$N$27,$P$2:$P$27),ISNUMBER(Table1[[#This Row],[Column4]]),Table1[[#This Row],[Column4]],Table1[[#This Row],[Column4]]="",I425*(1+Table1[[#This Row],[Ávöxtun]]))</f>
        <v>175.14070336787324</v>
      </c>
      <c r="L426" s="33">
        <v>175.14070336787324</v>
      </c>
      <c r="M426" s="33">
        <v>175.14070336787324</v>
      </c>
    </row>
    <row r="427" spans="1:13">
      <c r="A427" t="s">
        <v>108</v>
      </c>
      <c r="B427">
        <v>2018</v>
      </c>
      <c r="C427" s="16">
        <v>1.7000000000000001E-2</v>
      </c>
      <c r="D427" s="1">
        <v>34000227</v>
      </c>
      <c r="E427" s="29">
        <f>Table1[[#This Row],[Ávöxtun]]*Table1[[#This Row],[Eignir]]/SUMIFS(Table1[Eignir],Table1[Year],Table1[[#This Row],[Year]])</f>
        <v>1.5137654771960206E-4</v>
      </c>
      <c r="F427" s="23">
        <f>IF(B427=1997, 100, IF(COUNTIF(A$1:A426,A427)=0, "NEW", F426*(1+Table1[[#This Row],[Ávöxtun]])))</f>
        <v>178.11809532512706</v>
      </c>
      <c r="G427" s="18" cm="1">
        <f t="array" ref="G427">IFERROR(_xlfn.IFS(ISNUMBER(Table1[[#This Row],[Column3]]),Table1[[#This Row],[Column3]],Table1[[#This Row],[Column3]]="NEW",Table1[[#This Row],[Column3]]),"")</f>
        <v>178.11809532512706</v>
      </c>
      <c r="H427" s="15" cm="1">
        <f t="array" ref="H427">_xlfn.IFS(Table1[[#This Row],[Column4]]="NEW",AVERAGEIFS(Table1[Column4],Table1[Year],Table1[[#This Row],[Year]]),ISNUMBER(Table1[[#This Row],[Column4]]),Table1[[#This Row],[Column4]],Table1[[#This Row],[Column4]]="",H426*(1+Table1[[#This Row],[Ávöxtun]]))</f>
        <v>178.11809532512706</v>
      </c>
      <c r="I427" cm="1">
        <f t="array" ref="I427">_xlfn.IFS(Table1[[#This Row],[Column4]]="NEW",_xlfn.XLOOKUP(Table1[[#This Row],[Year]],$N$2:$N$27,$P$2:$P$27),ISNUMBER(Table1[[#This Row],[Column4]]),Table1[[#This Row],[Column4]],Table1[[#This Row],[Column4]]="",I426*(1+Table1[[#This Row],[Ávöxtun]]))</f>
        <v>178.11809532512706</v>
      </c>
      <c r="L427" s="33">
        <v>178.11809532512706</v>
      </c>
      <c r="M427" s="33">
        <v>178.11809532512706</v>
      </c>
    </row>
    <row r="428" spans="1:13">
      <c r="A428" t="s">
        <v>108</v>
      </c>
      <c r="B428">
        <v>2019</v>
      </c>
      <c r="C428" s="16">
        <v>9.6000000000000002E-2</v>
      </c>
      <c r="D428" s="1">
        <v>37262560.93</v>
      </c>
      <c r="E428" s="29">
        <f>Table1[[#This Row],[Ávöxtun]]*Table1[[#This Row],[Eignir]]/SUMIFS(Table1[Eignir],Table1[Year],Table1[[#This Row],[Year]])</f>
        <v>8.0806495554212204E-4</v>
      </c>
      <c r="F428" s="23">
        <f>IF(B428=1997, 100, IF(COUNTIF(A$1:A427,A428)=0, "NEW", F427*(1+Table1[[#This Row],[Ávöxtun]])))</f>
        <v>195.21743247633927</v>
      </c>
      <c r="G428" s="18" cm="1">
        <f t="array" ref="G428">IFERROR(_xlfn.IFS(ISNUMBER(Table1[[#This Row],[Column3]]),Table1[[#This Row],[Column3]],Table1[[#This Row],[Column3]]="NEW",Table1[[#This Row],[Column3]]),"")</f>
        <v>195.21743247633927</v>
      </c>
      <c r="H428" s="15" cm="1">
        <f t="array" ref="H428">_xlfn.IFS(Table1[[#This Row],[Column4]]="NEW",AVERAGEIFS(Table1[Column4],Table1[Year],Table1[[#This Row],[Year]]),ISNUMBER(Table1[[#This Row],[Column4]]),Table1[[#This Row],[Column4]],Table1[[#This Row],[Column4]]="",H427*(1+Table1[[#This Row],[Ávöxtun]]))</f>
        <v>195.21743247633927</v>
      </c>
      <c r="I428" cm="1">
        <f t="array" ref="I428">_xlfn.IFS(Table1[[#This Row],[Column4]]="NEW",_xlfn.XLOOKUP(Table1[[#This Row],[Year]],$N$2:$N$27,$P$2:$P$27),ISNUMBER(Table1[[#This Row],[Column4]]),Table1[[#This Row],[Column4]],Table1[[#This Row],[Column4]]="",I427*(1+Table1[[#This Row],[Ávöxtun]]))</f>
        <v>195.21743247633927</v>
      </c>
      <c r="L428" s="33">
        <v>195.21743247633927</v>
      </c>
      <c r="M428" s="33">
        <v>195.21743247633927</v>
      </c>
    </row>
    <row r="429" spans="1:13">
      <c r="A429" t="s">
        <v>108</v>
      </c>
      <c r="B429">
        <v>2020</v>
      </c>
      <c r="C429" s="16">
        <v>8.3000000000000004E-2</v>
      </c>
      <c r="D429" s="1">
        <v>40402301.890000001</v>
      </c>
      <c r="E429" s="29">
        <f>Table1[[#This Row],[Ávöxtun]]*Table1[[#This Row],[Eignir]]/SUMIFS(Table1[Eignir],Table1[Year],Table1[[#This Row],[Year]])</f>
        <v>6.5284082242094506E-4</v>
      </c>
      <c r="F429" s="23">
        <f>IF(B429=1997, 100, IF(COUNTIF(A$1:A428,A429)=0, "NEW", F428*(1+Table1[[#This Row],[Ávöxtun]])))</f>
        <v>211.42047937187542</v>
      </c>
      <c r="G429" s="18" cm="1">
        <f t="array" ref="G429">IFERROR(_xlfn.IFS(ISNUMBER(Table1[[#This Row],[Column3]]),Table1[[#This Row],[Column3]],Table1[[#This Row],[Column3]]="NEW",Table1[[#This Row],[Column3]]),"")</f>
        <v>211.42047937187542</v>
      </c>
      <c r="H429" s="15" cm="1">
        <f t="array" ref="H429">_xlfn.IFS(Table1[[#This Row],[Column4]]="NEW",AVERAGEIFS(Table1[Column4],Table1[Year],Table1[[#This Row],[Year]]),ISNUMBER(Table1[[#This Row],[Column4]]),Table1[[#This Row],[Column4]],Table1[[#This Row],[Column4]]="",H428*(1+Table1[[#This Row],[Ávöxtun]]))</f>
        <v>211.42047937187542</v>
      </c>
      <c r="I429" cm="1">
        <f t="array" ref="I429">_xlfn.IFS(Table1[[#This Row],[Column4]]="NEW",_xlfn.XLOOKUP(Table1[[#This Row],[Year]],$N$2:$N$27,$P$2:$P$27),ISNUMBER(Table1[[#This Row],[Column4]]),Table1[[#This Row],[Column4]],Table1[[#This Row],[Column4]]="",I428*(1+Table1[[#This Row],[Ávöxtun]]))</f>
        <v>211.42047937187542</v>
      </c>
      <c r="L429" s="33">
        <v>211.42047937187542</v>
      </c>
      <c r="M429" s="33">
        <v>211.42047937187542</v>
      </c>
    </row>
    <row r="430" spans="1:13">
      <c r="A430" t="s">
        <v>108</v>
      </c>
      <c r="B430">
        <v>2021</v>
      </c>
      <c r="C430" s="16">
        <v>7.9699999999999993E-2</v>
      </c>
      <c r="D430" s="1">
        <v>45136265.799999997</v>
      </c>
      <c r="E430" s="29">
        <f>Table1[[#This Row],[Ávöxtun]]*Table1[[#This Row],[Eignir]]/SUMIFS(Table1[Eignir],Table1[Year],Table1[[#This Row],[Year]])</f>
        <v>5.9563895179818628E-4</v>
      </c>
      <c r="F430" s="23">
        <f>IF(B430=1997, 100, IF(COUNTIF(A$1:A429,A430)=0, "NEW", F429*(1+Table1[[#This Row],[Ávöxtun]])))</f>
        <v>228.27069157781386</v>
      </c>
      <c r="G430" s="18" cm="1">
        <f t="array" ref="G430">IFERROR(_xlfn.IFS(ISNUMBER(Table1[[#This Row],[Column3]]),Table1[[#This Row],[Column3]],Table1[[#This Row],[Column3]]="NEW",Table1[[#This Row],[Column3]]),"")</f>
        <v>228.27069157781386</v>
      </c>
      <c r="H430" s="15" cm="1">
        <f t="array" ref="H430">_xlfn.IFS(Table1[[#This Row],[Column4]]="NEW",AVERAGEIFS(Table1[Column4],Table1[Year],Table1[[#This Row],[Year]]),ISNUMBER(Table1[[#This Row],[Column4]]),Table1[[#This Row],[Column4]],Table1[[#This Row],[Column4]]="",H429*(1+Table1[[#This Row],[Ávöxtun]]))</f>
        <v>228.27069157781386</v>
      </c>
      <c r="I430" cm="1">
        <f t="array" ref="I430">_xlfn.IFS(Table1[[#This Row],[Column4]]="NEW",_xlfn.XLOOKUP(Table1[[#This Row],[Year]],$N$2:$N$27,$P$2:$P$27),ISNUMBER(Table1[[#This Row],[Column4]]),Table1[[#This Row],[Column4]],Table1[[#This Row],[Column4]]="",I429*(1+Table1[[#This Row],[Ávöxtun]]))</f>
        <v>228.27069157781386</v>
      </c>
      <c r="L430" s="33">
        <v>228.27069157781386</v>
      </c>
      <c r="M430" s="33">
        <v>228.27069157781386</v>
      </c>
    </row>
    <row r="431" spans="1:13">
      <c r="A431" t="s">
        <v>106</v>
      </c>
      <c r="B431">
        <v>1998</v>
      </c>
      <c r="C431" s="16">
        <v>0</v>
      </c>
      <c r="D431" s="1">
        <v>14246555.289999999</v>
      </c>
      <c r="E431" s="29">
        <f>Table1[[#This Row],[Ávöxtun]]*Table1[[#This Row],[Eignir]]/SUMIFS(Table1[Eignir],Table1[Year],Table1[[#This Row],[Year]])</f>
        <v>0</v>
      </c>
      <c r="F431" s="23" t="str">
        <f>IF(B431=1997, 100, IF(COUNTIF(A$1:A430,A431)=0, "NEW", F430*(1+Table1[[#This Row],[Ávöxtun]])))</f>
        <v>NEW</v>
      </c>
      <c r="G431" s="18" t="str" cm="1">
        <f t="array" ref="G431">IFERROR(_xlfn.IFS(ISNUMBER(Table1[[#This Row],[Column3]]),Table1[[#This Row],[Column3]],Table1[[#This Row],[Column3]]="NEW",Table1[[#This Row],[Column3]]),"")</f>
        <v>NEW</v>
      </c>
      <c r="H431" s="15" cm="1">
        <f t="array" ref="H431">_xlfn.IFS(Table1[[#This Row],[Column4]]="NEW",AVERAGEIFS(Table1[Column4],Table1[Year],Table1[[#This Row],[Year]]),ISNUMBER(Table1[[#This Row],[Column4]]),Table1[[#This Row],[Column4]],Table1[[#This Row],[Column4]]="",H430*(1+Table1[[#This Row],[Ávöxtun]]))</f>
        <v>106.70588235294117</v>
      </c>
      <c r="I431" cm="1">
        <f t="array" ref="I431">_xlfn.IFS(Table1[[#This Row],[Column4]]="NEW",_xlfn.XLOOKUP(Table1[[#This Row],[Year]],$N$2:$N$27,$P$2:$P$27),ISNUMBER(Table1[[#This Row],[Column4]]),Table1[[#This Row],[Column4]],Table1[[#This Row],[Column4]]="",I430*(1+Table1[[#This Row],[Ávöxtun]]))</f>
        <v>107.11186565673697</v>
      </c>
      <c r="L431" s="33">
        <v>106.70588235294117</v>
      </c>
      <c r="M431" s="33">
        <v>115.36660895196104</v>
      </c>
    </row>
    <row r="432" spans="1:13">
      <c r="A432" t="s">
        <v>106</v>
      </c>
      <c r="B432">
        <v>1999</v>
      </c>
      <c r="C432" s="16">
        <v>7.0000000000000007E-2</v>
      </c>
      <c r="D432" s="1">
        <v>17183477.609999999</v>
      </c>
      <c r="E432" s="29">
        <f>Table1[[#This Row],[Ávöxtun]]*Table1[[#This Row],[Eignir]]/SUMIFS(Table1[Eignir],Table1[Year],Table1[[#This Row],[Year]])</f>
        <v>2.3099767383190947E-3</v>
      </c>
      <c r="F432" s="23" t="e">
        <f>IF(B432=1997, 100, IF(COUNTIF(A$1:A431,A432)=0, "NEW", F431*(1+Table1[[#This Row],[Ávöxtun]])))</f>
        <v>#VALUE!</v>
      </c>
      <c r="G432" s="18" t="str" cm="1">
        <f t="array" ref="G432">IFERROR(_xlfn.IFS(ISNUMBER(Table1[[#This Row],[Column3]]),Table1[[#This Row],[Column3]],Table1[[#This Row],[Column3]]="NEW",Table1[[#This Row],[Column3]]),"")</f>
        <v/>
      </c>
      <c r="H432" s="15" cm="1">
        <f t="array" ref="H432">_xlfn.IFS(Table1[[#This Row],[Column4]]="NEW",AVERAGEIFS(Table1[Column4],Table1[Year],Table1[[#This Row],[Year]]),ISNUMBER(Table1[[#This Row],[Column4]]),Table1[[#This Row],[Column4]],Table1[[#This Row],[Column4]]="",H431*(1+Table1[[#This Row],[Ávöxtun]]))</f>
        <v>114.17529411764706</v>
      </c>
      <c r="I432" cm="1">
        <f t="array" ref="I432">_xlfn.IFS(Table1[[#This Row],[Column4]]="NEW",_xlfn.XLOOKUP(Table1[[#This Row],[Year]],$N$2:$N$27,$P$2:$P$27),ISNUMBER(Table1[[#This Row],[Column4]]),Table1[[#This Row],[Column4]],Table1[[#This Row],[Column4]]="",I431*(1+Table1[[#This Row],[Ávöxtun]]))</f>
        <v>114.60969625270856</v>
      </c>
      <c r="L432" s="33">
        <v>114.17529411764706</v>
      </c>
      <c r="M432" s="33">
        <v>123.44227157859832</v>
      </c>
    </row>
    <row r="433" spans="1:13">
      <c r="A433" t="s">
        <v>106</v>
      </c>
      <c r="B433">
        <v>2000</v>
      </c>
      <c r="C433" s="16">
        <v>-0.08</v>
      </c>
      <c r="D433" s="1">
        <v>35197278.909999996</v>
      </c>
      <c r="E433" s="29">
        <f>Table1[[#This Row],[Ávöxtun]]*Table1[[#This Row],[Eignir]]/SUMIFS(Table1[Eignir],Table1[Year],Table1[[#This Row],[Year]])</f>
        <v>-3.9609270887226832E-3</v>
      </c>
      <c r="F433" s="23" t="e">
        <f>IF(B433=1997, 100, IF(COUNTIF(A$1:A432,A433)=0, "NEW", F432*(1+Table1[[#This Row],[Ávöxtun]])))</f>
        <v>#VALUE!</v>
      </c>
      <c r="G433" s="18" t="str" cm="1">
        <f t="array" ref="G433">IFERROR(_xlfn.IFS(ISNUMBER(Table1[[#This Row],[Column3]]),Table1[[#This Row],[Column3]],Table1[[#This Row],[Column3]]="NEW",Table1[[#This Row],[Column3]]),"")</f>
        <v/>
      </c>
      <c r="H433" s="15" cm="1">
        <f t="array" ref="H433">_xlfn.IFS(Table1[[#This Row],[Column4]]="NEW",AVERAGEIFS(Table1[Column4],Table1[Year],Table1[[#This Row],[Year]]),ISNUMBER(Table1[[#This Row],[Column4]]),Table1[[#This Row],[Column4]],Table1[[#This Row],[Column4]]="",H432*(1+Table1[[#This Row],[Ávöxtun]]))</f>
        <v>105.04127058823529</v>
      </c>
      <c r="I433" cm="1">
        <f t="array" ref="I433">_xlfn.IFS(Table1[[#This Row],[Column4]]="NEW",_xlfn.XLOOKUP(Table1[[#This Row],[Year]],$N$2:$N$27,$P$2:$P$27),ISNUMBER(Table1[[#This Row],[Column4]]),Table1[[#This Row],[Column4]],Table1[[#This Row],[Column4]]="",I432*(1+Table1[[#This Row],[Ávöxtun]]))</f>
        <v>105.44092055249187</v>
      </c>
      <c r="L433" s="33">
        <v>105.04127058823529</v>
      </c>
      <c r="M433" s="33">
        <v>113.56688985231047</v>
      </c>
    </row>
    <row r="434" spans="1:13">
      <c r="A434" t="s">
        <v>106</v>
      </c>
      <c r="B434">
        <v>2001</v>
      </c>
      <c r="C434" s="16">
        <v>0</v>
      </c>
      <c r="D434" s="1">
        <v>38596234</v>
      </c>
      <c r="E434" s="29">
        <f>Table1[[#This Row],[Ávöxtun]]*Table1[[#This Row],[Eignir]]/SUMIFS(Table1[Eignir],Table1[Year],Table1[[#This Row],[Year]])</f>
        <v>0</v>
      </c>
      <c r="F434" s="23" t="e">
        <f>IF(B434=1997, 100, IF(COUNTIF(A$1:A433,A434)=0, "NEW", F433*(1+Table1[[#This Row],[Ávöxtun]])))</f>
        <v>#VALUE!</v>
      </c>
      <c r="G434" s="18" t="str" cm="1">
        <f t="array" ref="G434">IFERROR(_xlfn.IFS(ISNUMBER(Table1[[#This Row],[Column3]]),Table1[[#This Row],[Column3]],Table1[[#This Row],[Column3]]="NEW",Table1[[#This Row],[Column3]]),"")</f>
        <v/>
      </c>
      <c r="H434" s="15" cm="1">
        <f t="array" ref="H434">_xlfn.IFS(Table1[[#This Row],[Column4]]="NEW",AVERAGEIFS(Table1[Column4],Table1[Year],Table1[[#This Row],[Year]]),ISNUMBER(Table1[[#This Row],[Column4]]),Table1[[#This Row],[Column4]],Table1[[#This Row],[Column4]]="",H433*(1+Table1[[#This Row],[Ávöxtun]]))</f>
        <v>105.04127058823529</v>
      </c>
      <c r="I434" cm="1">
        <f t="array" ref="I434">_xlfn.IFS(Table1[[#This Row],[Column4]]="NEW",_xlfn.XLOOKUP(Table1[[#This Row],[Year]],$N$2:$N$27,$P$2:$P$27),ISNUMBER(Table1[[#This Row],[Column4]]),Table1[[#This Row],[Column4]],Table1[[#This Row],[Column4]]="",I433*(1+Table1[[#This Row],[Ávöxtun]]))</f>
        <v>105.44092055249187</v>
      </c>
      <c r="L434" s="33">
        <v>105.04127058823529</v>
      </c>
      <c r="M434" s="33">
        <v>113.56688985231047</v>
      </c>
    </row>
    <row r="435" spans="1:13">
      <c r="A435" t="s">
        <v>106</v>
      </c>
      <c r="B435">
        <v>2002</v>
      </c>
      <c r="C435" s="16">
        <v>0</v>
      </c>
      <c r="D435" s="1">
        <v>19789062</v>
      </c>
      <c r="E435" s="29">
        <f>Table1[[#This Row],[Ávöxtun]]*Table1[[#This Row],[Eignir]]/SUMIFS(Table1[Eignir],Table1[Year],Table1[[#This Row],[Year]])</f>
        <v>0</v>
      </c>
      <c r="F435" s="23" t="e">
        <f>IF(B435=1997, 100, IF(COUNTIF(A$1:A434,A435)=0, "NEW", F434*(1+Table1[[#This Row],[Ávöxtun]])))</f>
        <v>#VALUE!</v>
      </c>
      <c r="G435" s="18" t="str" cm="1">
        <f t="array" ref="G435">IFERROR(_xlfn.IFS(ISNUMBER(Table1[[#This Row],[Column3]]),Table1[[#This Row],[Column3]],Table1[[#This Row],[Column3]]="NEW",Table1[[#This Row],[Column3]]),"")</f>
        <v/>
      </c>
      <c r="H435" s="15" cm="1">
        <f t="array" ref="H435">_xlfn.IFS(Table1[[#This Row],[Column4]]="NEW",AVERAGEIFS(Table1[Column4],Table1[Year],Table1[[#This Row],[Year]]),ISNUMBER(Table1[[#This Row],[Column4]]),Table1[[#This Row],[Column4]],Table1[[#This Row],[Column4]]="",H434*(1+Table1[[#This Row],[Ávöxtun]]))</f>
        <v>105.04127058823529</v>
      </c>
      <c r="I435" cm="1">
        <f t="array" ref="I435">_xlfn.IFS(Table1[[#This Row],[Column4]]="NEW",_xlfn.XLOOKUP(Table1[[#This Row],[Year]],$N$2:$N$27,$P$2:$P$27),ISNUMBER(Table1[[#This Row],[Column4]]),Table1[[#This Row],[Column4]],Table1[[#This Row],[Column4]]="",I434*(1+Table1[[#This Row],[Ávöxtun]]))</f>
        <v>105.44092055249187</v>
      </c>
      <c r="L435" s="33">
        <v>105.04127058823529</v>
      </c>
      <c r="M435" s="33">
        <v>113.56688985231047</v>
      </c>
    </row>
    <row r="436" spans="1:13">
      <c r="A436" t="s">
        <v>106</v>
      </c>
      <c r="B436">
        <v>2003</v>
      </c>
      <c r="C436" s="16">
        <v>0.18</v>
      </c>
      <c r="D436" s="1">
        <v>22498628</v>
      </c>
      <c r="E436" s="29">
        <f>Table1[[#This Row],[Ávöxtun]]*Table1[[#This Row],[Eignir]]/SUMIFS(Table1[Eignir],Table1[Year],Table1[[#This Row],[Year]])</f>
        <v>5.3293839979498912E-3</v>
      </c>
      <c r="F436" s="23" t="e">
        <f>IF(B436=1997, 100, IF(COUNTIF(A$1:A435,A436)=0, "NEW", F435*(1+Table1[[#This Row],[Ávöxtun]])))</f>
        <v>#VALUE!</v>
      </c>
      <c r="G436" s="18" t="str" cm="1">
        <f t="array" ref="G436">IFERROR(_xlfn.IFS(ISNUMBER(Table1[[#This Row],[Column3]]),Table1[[#This Row],[Column3]],Table1[[#This Row],[Column3]]="NEW",Table1[[#This Row],[Column3]]),"")</f>
        <v/>
      </c>
      <c r="H436" s="15" cm="1">
        <f t="array" ref="H436">_xlfn.IFS(Table1[[#This Row],[Column4]]="NEW",AVERAGEIFS(Table1[Column4],Table1[Year],Table1[[#This Row],[Year]]),ISNUMBER(Table1[[#This Row],[Column4]]),Table1[[#This Row],[Column4]],Table1[[#This Row],[Column4]]="",H435*(1+Table1[[#This Row],[Ávöxtun]]))</f>
        <v>123.94869929411765</v>
      </c>
      <c r="I436" cm="1">
        <f t="array" ref="I436">_xlfn.IFS(Table1[[#This Row],[Column4]]="NEW",_xlfn.XLOOKUP(Table1[[#This Row],[Year]],$N$2:$N$27,$P$2:$P$27),ISNUMBER(Table1[[#This Row],[Column4]]),Table1[[#This Row],[Column4]],Table1[[#This Row],[Column4]]="",I435*(1+Table1[[#This Row],[Ávöxtun]]))</f>
        <v>124.42028625194041</v>
      </c>
      <c r="L436" s="33">
        <v>123.94869929411765</v>
      </c>
      <c r="M436" s="33">
        <v>134.00893002572636</v>
      </c>
    </row>
    <row r="437" spans="1:13">
      <c r="A437" t="s">
        <v>106</v>
      </c>
      <c r="B437">
        <v>2004</v>
      </c>
      <c r="C437" s="16">
        <v>0.18</v>
      </c>
      <c r="D437" s="1">
        <v>25571056</v>
      </c>
      <c r="E437" s="29">
        <f>Table1[[#This Row],[Ávöxtun]]*Table1[[#This Row],[Eignir]]/SUMIFS(Table1[Eignir],Table1[Year],Table1[[#This Row],[Year]])</f>
        <v>5.070992678476916E-3</v>
      </c>
      <c r="F437" s="23" t="e">
        <f>IF(B437=1997, 100, IF(COUNTIF(A$1:A436,A437)=0, "NEW", F436*(1+Table1[[#This Row],[Ávöxtun]])))</f>
        <v>#VALUE!</v>
      </c>
      <c r="G437" s="18" t="str" cm="1">
        <f t="array" ref="G437">IFERROR(_xlfn.IFS(ISNUMBER(Table1[[#This Row],[Column3]]),Table1[[#This Row],[Column3]],Table1[[#This Row],[Column3]]="NEW",Table1[[#This Row],[Column3]]),"")</f>
        <v/>
      </c>
      <c r="H437" s="15" cm="1">
        <f t="array" ref="H437">_xlfn.IFS(Table1[[#This Row],[Column4]]="NEW",AVERAGEIFS(Table1[Column4],Table1[Year],Table1[[#This Row],[Year]]),ISNUMBER(Table1[[#This Row],[Column4]]),Table1[[#This Row],[Column4]],Table1[[#This Row],[Column4]]="",H436*(1+Table1[[#This Row],[Ávöxtun]]))</f>
        <v>146.25946516705881</v>
      </c>
      <c r="I437" cm="1">
        <f t="array" ref="I437">_xlfn.IFS(Table1[[#This Row],[Column4]]="NEW",_xlfn.XLOOKUP(Table1[[#This Row],[Year]],$N$2:$N$27,$P$2:$P$27),ISNUMBER(Table1[[#This Row],[Column4]]),Table1[[#This Row],[Column4]],Table1[[#This Row],[Column4]]="",I436*(1+Table1[[#This Row],[Ávöxtun]]))</f>
        <v>146.81593777728969</v>
      </c>
      <c r="L437" s="33">
        <v>146.25946516705881</v>
      </c>
      <c r="M437" s="33">
        <v>158.13053743035709</v>
      </c>
    </row>
    <row r="438" spans="1:13">
      <c r="A438" t="s">
        <v>106</v>
      </c>
      <c r="B438">
        <v>2005</v>
      </c>
      <c r="C438" s="16">
        <v>0.16</v>
      </c>
      <c r="D438" s="1">
        <v>28726712</v>
      </c>
      <c r="E438" s="29">
        <f>Table1[[#This Row],[Ávöxtun]]*Table1[[#This Row],[Eignir]]/SUMIFS(Table1[Eignir],Table1[Year],Table1[[#This Row],[Year]])</f>
        <v>4.0989202021338191E-3</v>
      </c>
      <c r="F438" s="23" t="e">
        <f>IF(B438=1997, 100, IF(COUNTIF(A$1:A437,A438)=0, "NEW", F437*(1+Table1[[#This Row],[Ávöxtun]])))</f>
        <v>#VALUE!</v>
      </c>
      <c r="G438" s="18" t="str" cm="1">
        <f t="array" ref="G438">IFERROR(_xlfn.IFS(ISNUMBER(Table1[[#This Row],[Column3]]),Table1[[#This Row],[Column3]],Table1[[#This Row],[Column3]]="NEW",Table1[[#This Row],[Column3]]),"")</f>
        <v/>
      </c>
      <c r="H438" s="15" cm="1">
        <f t="array" ref="H438">_xlfn.IFS(Table1[[#This Row],[Column4]]="NEW",AVERAGEIFS(Table1[Column4],Table1[Year],Table1[[#This Row],[Year]]),ISNUMBER(Table1[[#This Row],[Column4]]),Table1[[#This Row],[Column4]],Table1[[#This Row],[Column4]]="",H437*(1+Table1[[#This Row],[Ávöxtun]]))</f>
        <v>169.6609795937882</v>
      </c>
      <c r="I438" cm="1">
        <f t="array" ref="I438">_xlfn.IFS(Table1[[#This Row],[Column4]]="NEW",_xlfn.XLOOKUP(Table1[[#This Row],[Year]],$N$2:$N$27,$P$2:$P$27),ISNUMBER(Table1[[#This Row],[Column4]]),Table1[[#This Row],[Column4]],Table1[[#This Row],[Column4]]="",I437*(1+Table1[[#This Row],[Ávöxtun]]))</f>
        <v>170.30648782165602</v>
      </c>
      <c r="L438" s="33">
        <v>169.6609795937882</v>
      </c>
      <c r="M438" s="33">
        <v>183.43142341921421</v>
      </c>
    </row>
    <row r="439" spans="1:13">
      <c r="A439" t="s">
        <v>106</v>
      </c>
      <c r="B439">
        <v>2006</v>
      </c>
      <c r="C439" s="16">
        <v>0.156</v>
      </c>
      <c r="D439" s="1">
        <v>35121866</v>
      </c>
      <c r="E439" s="29">
        <f>Table1[[#This Row],[Ávöxtun]]*Table1[[#This Row],[Eignir]]/SUMIFS(Table1[Eignir],Table1[Year],Table1[[#This Row],[Year]])</f>
        <v>3.9914827191076252E-3</v>
      </c>
      <c r="F439" s="23" t="e">
        <f>IF(B439=1997, 100, IF(COUNTIF(A$1:A438,A439)=0, "NEW", F438*(1+Table1[[#This Row],[Ávöxtun]])))</f>
        <v>#VALUE!</v>
      </c>
      <c r="G439" s="18" t="str" cm="1">
        <f t="array" ref="G439">IFERROR(_xlfn.IFS(ISNUMBER(Table1[[#This Row],[Column3]]),Table1[[#This Row],[Column3]],Table1[[#This Row],[Column3]]="NEW",Table1[[#This Row],[Column3]]),"")</f>
        <v/>
      </c>
      <c r="H439" s="15" cm="1">
        <f t="array" ref="H439">_xlfn.IFS(Table1[[#This Row],[Column4]]="NEW",AVERAGEIFS(Table1[Column4],Table1[Year],Table1[[#This Row],[Year]]),ISNUMBER(Table1[[#This Row],[Column4]]),Table1[[#This Row],[Column4]],Table1[[#This Row],[Column4]]="",H438*(1+Table1[[#This Row],[Ávöxtun]]))</f>
        <v>196.12809241041916</v>
      </c>
      <c r="I439" cm="1">
        <f t="array" ref="I439">_xlfn.IFS(Table1[[#This Row],[Column4]]="NEW",_xlfn.XLOOKUP(Table1[[#This Row],[Year]],$N$2:$N$27,$P$2:$P$27),ISNUMBER(Table1[[#This Row],[Column4]]),Table1[[#This Row],[Column4]],Table1[[#This Row],[Column4]]="",I438*(1+Table1[[#This Row],[Ávöxtun]]))</f>
        <v>196.87429992183434</v>
      </c>
      <c r="L439" s="33">
        <v>196.12809241041916</v>
      </c>
      <c r="M439" s="33">
        <v>212.04672547261163</v>
      </c>
    </row>
    <row r="440" spans="1:13">
      <c r="A440" t="s">
        <v>106</v>
      </c>
      <c r="B440">
        <v>2007</v>
      </c>
      <c r="C440" s="16">
        <v>2.2499999999999999E-2</v>
      </c>
      <c r="D440" s="1">
        <v>38161101</v>
      </c>
      <c r="E440" s="29">
        <f>Table1[[#This Row],[Ávöxtun]]*Table1[[#This Row],[Eignir]]/SUMIFS(Table1[Eignir],Table1[Year],Table1[[#This Row],[Year]])</f>
        <v>5.5523818477030995E-4</v>
      </c>
      <c r="F440" s="23" t="e">
        <f>IF(B440=1997, 100, IF(COUNTIF(A$1:A439,A440)=0, "NEW", F439*(1+Table1[[#This Row],[Ávöxtun]])))</f>
        <v>#VALUE!</v>
      </c>
      <c r="G440" s="18" t="str" cm="1">
        <f t="array" ref="G440">IFERROR(_xlfn.IFS(ISNUMBER(Table1[[#This Row],[Column3]]),Table1[[#This Row],[Column3]],Table1[[#This Row],[Column3]]="NEW",Table1[[#This Row],[Column3]]),"")</f>
        <v/>
      </c>
      <c r="H440" s="15" cm="1">
        <f t="array" ref="H440">_xlfn.IFS(Table1[[#This Row],[Column4]]="NEW",AVERAGEIFS(Table1[Column4],Table1[Year],Table1[[#This Row],[Year]]),ISNUMBER(Table1[[#This Row],[Column4]]),Table1[[#This Row],[Column4]],Table1[[#This Row],[Column4]]="",H439*(1+Table1[[#This Row],[Ávöxtun]]))</f>
        <v>200.54097448965359</v>
      </c>
      <c r="I440" cm="1">
        <f t="array" ref="I440">_xlfn.IFS(Table1[[#This Row],[Column4]]="NEW",_xlfn.XLOOKUP(Table1[[#This Row],[Year]],$N$2:$N$27,$P$2:$P$27),ISNUMBER(Table1[[#This Row],[Column4]]),Table1[[#This Row],[Column4]],Table1[[#This Row],[Column4]]="",I439*(1+Table1[[#This Row],[Ávöxtun]]))</f>
        <v>201.30397167007561</v>
      </c>
      <c r="L440" s="33">
        <v>200.54097448965359</v>
      </c>
      <c r="M440" s="33">
        <v>216.81777679574537</v>
      </c>
    </row>
    <row r="441" spans="1:13">
      <c r="A441" t="s">
        <v>106</v>
      </c>
      <c r="B441">
        <v>2008</v>
      </c>
      <c r="C441" s="16">
        <v>-0.11199999999999999</v>
      </c>
      <c r="D441" s="1">
        <v>39414110</v>
      </c>
      <c r="E441" s="29">
        <f>Table1[[#This Row],[Ávöxtun]]*Table1[[#This Row],[Eignir]]/SUMIFS(Table1[Eignir],Table1[Year],Table1[[#This Row],[Year]])</f>
        <v>-2.9481917728383638E-3</v>
      </c>
      <c r="F441" s="23" t="e">
        <f>IF(B441=1997, 100, IF(COUNTIF(A$1:A440,A441)=0, "NEW", F440*(1+Table1[[#This Row],[Ávöxtun]])))</f>
        <v>#VALUE!</v>
      </c>
      <c r="G441" s="18" t="str" cm="1">
        <f t="array" ref="G441">IFERROR(_xlfn.IFS(ISNUMBER(Table1[[#This Row],[Column3]]),Table1[[#This Row],[Column3]],Table1[[#This Row],[Column3]]="NEW",Table1[[#This Row],[Column3]]),"")</f>
        <v/>
      </c>
      <c r="H441" s="15" cm="1">
        <f t="array" ref="H441">_xlfn.IFS(Table1[[#This Row],[Column4]]="NEW",AVERAGEIFS(Table1[Column4],Table1[Year],Table1[[#This Row],[Year]]),ISNUMBER(Table1[[#This Row],[Column4]]),Table1[[#This Row],[Column4]],Table1[[#This Row],[Column4]]="",H440*(1+Table1[[#This Row],[Ávöxtun]]))</f>
        <v>178.08038534681239</v>
      </c>
      <c r="I441" cm="1">
        <f t="array" ref="I441">_xlfn.IFS(Table1[[#This Row],[Column4]]="NEW",_xlfn.XLOOKUP(Table1[[#This Row],[Year]],$N$2:$N$27,$P$2:$P$27),ISNUMBER(Table1[[#This Row],[Column4]]),Table1[[#This Row],[Column4]],Table1[[#This Row],[Column4]]="",I440*(1+Table1[[#This Row],[Ávöxtun]]))</f>
        <v>178.75792684302715</v>
      </c>
      <c r="L441" s="33">
        <v>178.08038534681239</v>
      </c>
      <c r="M441" s="33">
        <v>192.53418579462189</v>
      </c>
    </row>
    <row r="442" spans="1:13">
      <c r="A442" t="s">
        <v>106</v>
      </c>
      <c r="B442">
        <v>2009</v>
      </c>
      <c r="C442" s="16">
        <v>5.2600000000000001E-2</v>
      </c>
      <c r="D442" s="1">
        <v>44036710</v>
      </c>
      <c r="E442" s="29">
        <f>Table1[[#This Row],[Ávöxtun]]*Table1[[#This Row],[Eignir]]/SUMIFS(Table1[Eignir],Table1[Year],Table1[[#This Row],[Year]])</f>
        <v>1.3884725565921441E-3</v>
      </c>
      <c r="F442" s="23" t="e">
        <f>IF(B442=1997, 100, IF(COUNTIF(A$1:A441,A442)=0, "NEW", F441*(1+Table1[[#This Row],[Ávöxtun]])))</f>
        <v>#VALUE!</v>
      </c>
      <c r="G442" s="18" t="str" cm="1">
        <f t="array" ref="G442">IFERROR(_xlfn.IFS(ISNUMBER(Table1[[#This Row],[Column3]]),Table1[[#This Row],[Column3]],Table1[[#This Row],[Column3]]="NEW",Table1[[#This Row],[Column3]]),"")</f>
        <v/>
      </c>
      <c r="H442" s="15" cm="1">
        <f t="array" ref="H442">_xlfn.IFS(Table1[[#This Row],[Column4]]="NEW",AVERAGEIFS(Table1[Column4],Table1[Year],Table1[[#This Row],[Year]]),ISNUMBER(Table1[[#This Row],[Column4]]),Table1[[#This Row],[Column4]],Table1[[#This Row],[Column4]]="",H441*(1+Table1[[#This Row],[Ávöxtun]]))</f>
        <v>187.44741361605472</v>
      </c>
      <c r="I442" cm="1">
        <f t="array" ref="I442">_xlfn.IFS(Table1[[#This Row],[Column4]]="NEW",_xlfn.XLOOKUP(Table1[[#This Row],[Year]],$N$2:$N$27,$P$2:$P$27),ISNUMBER(Table1[[#This Row],[Column4]]),Table1[[#This Row],[Column4]],Table1[[#This Row],[Column4]]="",I441*(1+Table1[[#This Row],[Ávöxtun]]))</f>
        <v>188.16059379497037</v>
      </c>
      <c r="L442" s="33">
        <v>187.44741361605472</v>
      </c>
      <c r="M442" s="33">
        <v>202.661483967419</v>
      </c>
    </row>
    <row r="443" spans="1:13">
      <c r="A443" t="s">
        <v>106</v>
      </c>
      <c r="B443">
        <v>2010</v>
      </c>
      <c r="C443" s="16">
        <v>7.7200000000000005E-2</v>
      </c>
      <c r="D443" s="1">
        <v>46827098</v>
      </c>
      <c r="E443" s="29">
        <f>Table1[[#This Row],[Ávöxtun]]*Table1[[#This Row],[Eignir]]/SUMIFS(Table1[Eignir],Table1[Year],Table1[[#This Row],[Year]])</f>
        <v>2.0220825284770474E-3</v>
      </c>
      <c r="F443" s="23" t="e">
        <f>IF(B443=1997, 100, IF(COUNTIF(A$1:A442,A443)=0, "NEW", F442*(1+Table1[[#This Row],[Ávöxtun]])))</f>
        <v>#VALUE!</v>
      </c>
      <c r="G443" s="18" t="str" cm="1">
        <f t="array" ref="G443">IFERROR(_xlfn.IFS(ISNUMBER(Table1[[#This Row],[Column3]]),Table1[[#This Row],[Column3]],Table1[[#This Row],[Column3]]="NEW",Table1[[#This Row],[Column3]]),"")</f>
        <v/>
      </c>
      <c r="H443" s="15" cm="1">
        <f t="array" ref="H443">_xlfn.IFS(Table1[[#This Row],[Column4]]="NEW",AVERAGEIFS(Table1[Column4],Table1[Year],Table1[[#This Row],[Year]]),ISNUMBER(Table1[[#This Row],[Column4]]),Table1[[#This Row],[Column4]],Table1[[#This Row],[Column4]]="",H442*(1+Table1[[#This Row],[Ávöxtun]]))</f>
        <v>201.91835394721414</v>
      </c>
      <c r="I443" cm="1">
        <f t="array" ref="I443">_xlfn.IFS(Table1[[#This Row],[Column4]]="NEW",_xlfn.XLOOKUP(Table1[[#This Row],[Year]],$N$2:$N$27,$P$2:$P$27),ISNUMBER(Table1[[#This Row],[Column4]]),Table1[[#This Row],[Column4]],Table1[[#This Row],[Column4]]="",I442*(1+Table1[[#This Row],[Ávöxtun]]))</f>
        <v>202.68659163594208</v>
      </c>
      <c r="L443" s="33">
        <v>201.91835394721414</v>
      </c>
      <c r="M443" s="33">
        <v>218.30695052970373</v>
      </c>
    </row>
    <row r="444" spans="1:13">
      <c r="A444" t="s">
        <v>106</v>
      </c>
      <c r="B444">
        <v>2011</v>
      </c>
      <c r="C444" s="16">
        <v>8.3000000000000004E-2</v>
      </c>
      <c r="D444" s="1">
        <v>51384697</v>
      </c>
      <c r="E444" s="29">
        <f>Table1[[#This Row],[Ávöxtun]]*Table1[[#This Row],[Eignir]]/SUMIFS(Table1[Eignir],Table1[Year],Table1[[#This Row],[Year]])</f>
        <v>2.1865168934729669E-3</v>
      </c>
      <c r="F444" s="23" t="e">
        <f>IF(B444=1997, 100, IF(COUNTIF(A$1:A443,A444)=0, "NEW", F443*(1+Table1[[#This Row],[Ávöxtun]])))</f>
        <v>#VALUE!</v>
      </c>
      <c r="G444" s="18" t="str" cm="1">
        <f t="array" ref="G444">IFERROR(_xlfn.IFS(ISNUMBER(Table1[[#This Row],[Column3]]),Table1[[#This Row],[Column3]],Table1[[#This Row],[Column3]]="NEW",Table1[[#This Row],[Column3]]),"")</f>
        <v/>
      </c>
      <c r="H444" s="15" cm="1">
        <f t="array" ref="H444">_xlfn.IFS(Table1[[#This Row],[Column4]]="NEW",AVERAGEIFS(Table1[Column4],Table1[Year],Table1[[#This Row],[Year]]),ISNUMBER(Table1[[#This Row],[Column4]]),Table1[[#This Row],[Column4]],Table1[[#This Row],[Column4]]="",H443*(1+Table1[[#This Row],[Ávöxtun]]))</f>
        <v>218.6775773248329</v>
      </c>
      <c r="I444" cm="1">
        <f t="array" ref="I444">_xlfn.IFS(Table1[[#This Row],[Column4]]="NEW",_xlfn.XLOOKUP(Table1[[#This Row],[Year]],$N$2:$N$27,$P$2:$P$27),ISNUMBER(Table1[[#This Row],[Column4]]),Table1[[#This Row],[Column4]],Table1[[#This Row],[Column4]]="",I443*(1+Table1[[#This Row],[Ávöxtun]]))</f>
        <v>219.50957874172528</v>
      </c>
      <c r="L444" s="33">
        <v>218.6775773248329</v>
      </c>
      <c r="M444" s="33">
        <v>236.42642742366914</v>
      </c>
    </row>
    <row r="445" spans="1:13">
      <c r="A445" t="s">
        <v>106</v>
      </c>
      <c r="B445">
        <v>2012</v>
      </c>
      <c r="C445" s="16">
        <v>0.107</v>
      </c>
      <c r="D445" s="1">
        <v>56006035</v>
      </c>
      <c r="E445" s="29">
        <f>Table1[[#This Row],[Ávöxtun]]*Table1[[#This Row],[Eignir]]/SUMIFS(Table1[Eignir],Table1[Year],Table1[[#This Row],[Year]])</f>
        <v>2.7204143606230349E-3</v>
      </c>
      <c r="F445" s="23" t="e">
        <f>IF(B445=1997, 100, IF(COUNTIF(A$1:A444,A445)=0, "NEW", F444*(1+Table1[[#This Row],[Ávöxtun]])))</f>
        <v>#VALUE!</v>
      </c>
      <c r="G445" s="18" t="str" cm="1">
        <f t="array" ref="G445">IFERROR(_xlfn.IFS(ISNUMBER(Table1[[#This Row],[Column3]]),Table1[[#This Row],[Column3]],Table1[[#This Row],[Column3]]="NEW",Table1[[#This Row],[Column3]]),"")</f>
        <v/>
      </c>
      <c r="H445" s="15" cm="1">
        <f t="array" ref="H445">_xlfn.IFS(Table1[[#This Row],[Column4]]="NEW",AVERAGEIFS(Table1[Column4],Table1[Year],Table1[[#This Row],[Year]]),ISNUMBER(Table1[[#This Row],[Column4]]),Table1[[#This Row],[Column4]],Table1[[#This Row],[Column4]]="",H444*(1+Table1[[#This Row],[Ávöxtun]]))</f>
        <v>242.07607809859002</v>
      </c>
      <c r="I445" cm="1">
        <f t="array" ref="I445">_xlfn.IFS(Table1[[#This Row],[Column4]]="NEW",_xlfn.XLOOKUP(Table1[[#This Row],[Year]],$N$2:$N$27,$P$2:$P$27),ISNUMBER(Table1[[#This Row],[Column4]]),Table1[[#This Row],[Column4]],Table1[[#This Row],[Column4]]="",I444*(1+Table1[[#This Row],[Ávöxtun]]))</f>
        <v>242.99710366708987</v>
      </c>
      <c r="L445" s="33">
        <v>242.07607809859002</v>
      </c>
      <c r="M445" s="33">
        <v>261.72405515800176</v>
      </c>
    </row>
    <row r="446" spans="1:13">
      <c r="A446" t="s">
        <v>106</v>
      </c>
      <c r="B446">
        <v>2013</v>
      </c>
      <c r="C446" s="16">
        <v>9.6999999999999989E-2</v>
      </c>
      <c r="D446" s="1">
        <v>60336344</v>
      </c>
      <c r="E446" s="29">
        <f>Table1[[#This Row],[Ávöxtun]]*Table1[[#This Row],[Eignir]]/SUMIFS(Table1[Eignir],Table1[Year],Table1[[#This Row],[Year]])</f>
        <v>2.4049451809738513E-3</v>
      </c>
      <c r="F446" s="23" t="e">
        <f>IF(B446=1997, 100, IF(COUNTIF(A$1:A445,A446)=0, "NEW", F445*(1+Table1[[#This Row],[Ávöxtun]])))</f>
        <v>#VALUE!</v>
      </c>
      <c r="G446" s="18" t="str" cm="1">
        <f t="array" ref="G446">IFERROR(_xlfn.IFS(ISNUMBER(Table1[[#This Row],[Column3]]),Table1[[#This Row],[Column3]],Table1[[#This Row],[Column3]]="NEW",Table1[[#This Row],[Column3]]),"")</f>
        <v/>
      </c>
      <c r="H446" s="15" cm="1">
        <f t="array" ref="H446">_xlfn.IFS(Table1[[#This Row],[Column4]]="NEW",AVERAGEIFS(Table1[Column4],Table1[Year],Table1[[#This Row],[Year]]),ISNUMBER(Table1[[#This Row],[Column4]]),Table1[[#This Row],[Column4]],Table1[[#This Row],[Column4]]="",H445*(1+Table1[[#This Row],[Ávöxtun]]))</f>
        <v>265.55745767415323</v>
      </c>
      <c r="I446" cm="1">
        <f t="array" ref="I446">_xlfn.IFS(Table1[[#This Row],[Column4]]="NEW",_xlfn.XLOOKUP(Table1[[#This Row],[Year]],$N$2:$N$27,$P$2:$P$27),ISNUMBER(Table1[[#This Row],[Column4]]),Table1[[#This Row],[Column4]],Table1[[#This Row],[Column4]]="",I445*(1+Table1[[#This Row],[Ávöxtun]]))</f>
        <v>266.56782272279759</v>
      </c>
      <c r="L446" s="33">
        <v>265.55745767415323</v>
      </c>
      <c r="M446" s="33">
        <v>287.1112885083279</v>
      </c>
    </row>
    <row r="447" spans="1:13">
      <c r="A447" t="s">
        <v>106</v>
      </c>
      <c r="B447">
        <v>2014</v>
      </c>
      <c r="C447" s="16">
        <v>9.5000000000000001E-2</v>
      </c>
      <c r="D447" s="1">
        <v>63150185</v>
      </c>
      <c r="E447" s="29">
        <f>Table1[[#This Row],[Ávöxtun]]*Table1[[#This Row],[Eignir]]/SUMIFS(Table1[Eignir],Table1[Year],Table1[[#This Row],[Year]])</f>
        <v>2.2612988365371604E-3</v>
      </c>
      <c r="F447" s="23" t="e">
        <f>IF(B447=1997, 100, IF(COUNTIF(A$1:A446,A447)=0, "NEW", F446*(1+Table1[[#This Row],[Ávöxtun]])))</f>
        <v>#VALUE!</v>
      </c>
      <c r="G447" s="18" t="str" cm="1">
        <f t="array" ref="G447">IFERROR(_xlfn.IFS(ISNUMBER(Table1[[#This Row],[Column3]]),Table1[[#This Row],[Column3]],Table1[[#This Row],[Column3]]="NEW",Table1[[#This Row],[Column3]]),"")</f>
        <v/>
      </c>
      <c r="H447" s="15" cm="1">
        <f t="array" ref="H447">_xlfn.IFS(Table1[[#This Row],[Column4]]="NEW",AVERAGEIFS(Table1[Column4],Table1[Year],Table1[[#This Row],[Year]]),ISNUMBER(Table1[[#This Row],[Column4]]),Table1[[#This Row],[Column4]],Table1[[#This Row],[Column4]]="",H446*(1+Table1[[#This Row],[Ávöxtun]]))</f>
        <v>290.78541615319779</v>
      </c>
      <c r="I447" cm="1">
        <f t="array" ref="I447">_xlfn.IFS(Table1[[#This Row],[Column4]]="NEW",_xlfn.XLOOKUP(Table1[[#This Row],[Year]],$N$2:$N$27,$P$2:$P$27),ISNUMBER(Table1[[#This Row],[Column4]]),Table1[[#This Row],[Column4]],Table1[[#This Row],[Column4]]="",I446*(1+Table1[[#This Row],[Ávöxtun]]))</f>
        <v>291.89176588146336</v>
      </c>
      <c r="L447" s="33">
        <v>290.78541615319779</v>
      </c>
      <c r="M447" s="33">
        <v>314.38686091661907</v>
      </c>
    </row>
    <row r="448" spans="1:13">
      <c r="A448" t="s">
        <v>106</v>
      </c>
      <c r="B448">
        <v>2015</v>
      </c>
      <c r="C448" s="16">
        <v>0.127</v>
      </c>
      <c r="D448" s="1">
        <v>67783235</v>
      </c>
      <c r="E448" s="29">
        <f>Table1[[#This Row],[Ávöxtun]]*Table1[[#This Row],[Eignir]]/SUMIFS(Table1[Eignir],Table1[Year],Table1[[#This Row],[Year]])</f>
        <v>2.9069136656448688E-3</v>
      </c>
      <c r="F448" s="23" t="e">
        <f>IF(B448=1997, 100, IF(COUNTIF(A$1:A447,A448)=0, "NEW", F447*(1+Table1[[#This Row],[Ávöxtun]])))</f>
        <v>#VALUE!</v>
      </c>
      <c r="G448" s="18" t="str" cm="1">
        <f t="array" ref="G448">IFERROR(_xlfn.IFS(ISNUMBER(Table1[[#This Row],[Column3]]),Table1[[#This Row],[Column3]],Table1[[#This Row],[Column3]]="NEW",Table1[[#This Row],[Column3]]),"")</f>
        <v/>
      </c>
      <c r="H448" s="15" cm="1">
        <f t="array" ref="H448">_xlfn.IFS(Table1[[#This Row],[Column4]]="NEW",AVERAGEIFS(Table1[Column4],Table1[Year],Table1[[#This Row],[Year]]),ISNUMBER(Table1[[#This Row],[Column4]]),Table1[[#This Row],[Column4]],Table1[[#This Row],[Column4]]="",H447*(1+Table1[[#This Row],[Ávöxtun]]))</f>
        <v>327.7151640046539</v>
      </c>
      <c r="I448" cm="1">
        <f t="array" ref="I448">_xlfn.IFS(Table1[[#This Row],[Column4]]="NEW",_xlfn.XLOOKUP(Table1[[#This Row],[Year]],$N$2:$N$27,$P$2:$P$27),ISNUMBER(Table1[[#This Row],[Column4]]),Table1[[#This Row],[Column4]],Table1[[#This Row],[Column4]]="",I447*(1+Table1[[#This Row],[Ávöxtun]]))</f>
        <v>328.96202014840918</v>
      </c>
      <c r="L448" s="33">
        <v>327.7151640046539</v>
      </c>
      <c r="M448" s="33">
        <v>354.31399225302971</v>
      </c>
    </row>
    <row r="449" spans="1:13">
      <c r="A449" t="s">
        <v>106</v>
      </c>
      <c r="B449">
        <v>2016</v>
      </c>
      <c r="C449" s="16">
        <v>3.2000000000000001E-2</v>
      </c>
      <c r="D449" s="1">
        <v>71260086.609999999</v>
      </c>
      <c r="E449" s="29">
        <f>Table1[[#This Row],[Ávöxtun]]*Table1[[#This Row],[Eignir]]/SUMIFS(Table1[Eignir],Table1[Year],Table1[[#This Row],[Year]])</f>
        <v>7.125904761322528E-4</v>
      </c>
      <c r="F449" s="23" t="e">
        <f>IF(B449=1997, 100, IF(COUNTIF(A$1:A448,A449)=0, "NEW", F448*(1+Table1[[#This Row],[Ávöxtun]])))</f>
        <v>#VALUE!</v>
      </c>
      <c r="G449" s="18" t="str" cm="1">
        <f t="array" ref="G449">IFERROR(_xlfn.IFS(ISNUMBER(Table1[[#This Row],[Column3]]),Table1[[#This Row],[Column3]],Table1[[#This Row],[Column3]]="NEW",Table1[[#This Row],[Column3]]),"")</f>
        <v/>
      </c>
      <c r="H449" s="15" cm="1">
        <f t="array" ref="H449">_xlfn.IFS(Table1[[#This Row],[Column4]]="NEW",AVERAGEIFS(Table1[Column4],Table1[Year],Table1[[#This Row],[Year]]),ISNUMBER(Table1[[#This Row],[Column4]]),Table1[[#This Row],[Column4]],Table1[[#This Row],[Column4]]="",H448*(1+Table1[[#This Row],[Ávöxtun]]))</f>
        <v>338.20204925280285</v>
      </c>
      <c r="I449" cm="1">
        <f t="array" ref="I449">_xlfn.IFS(Table1[[#This Row],[Column4]]="NEW",_xlfn.XLOOKUP(Table1[[#This Row],[Year]],$N$2:$N$27,$P$2:$P$27),ISNUMBER(Table1[[#This Row],[Column4]]),Table1[[#This Row],[Column4]],Table1[[#This Row],[Column4]]="",I448*(1+Table1[[#This Row],[Ávöxtun]]))</f>
        <v>339.48880479315829</v>
      </c>
      <c r="L449" s="33">
        <v>338.20204925280285</v>
      </c>
      <c r="M449" s="33">
        <v>365.65204000512665</v>
      </c>
    </row>
    <row r="450" spans="1:13">
      <c r="A450" t="s">
        <v>106</v>
      </c>
      <c r="B450">
        <v>2017</v>
      </c>
      <c r="C450" s="16">
        <v>7.9000000000000001E-2</v>
      </c>
      <c r="D450" s="1">
        <v>74695853</v>
      </c>
      <c r="E450" s="29">
        <f>Table1[[#This Row],[Ávöxtun]]*Table1[[#This Row],[Eignir]]/SUMIFS(Table1[Eignir],Table1[Year],Table1[[#This Row],[Year]])</f>
        <v>1.6579717732072574E-3</v>
      </c>
      <c r="F450" s="23" t="e">
        <f>IF(B450=1997, 100, IF(COUNTIF(A$1:A449,A450)=0, "NEW", F449*(1+Table1[[#This Row],[Ávöxtun]])))</f>
        <v>#VALUE!</v>
      </c>
      <c r="G450" s="18" t="str" cm="1">
        <f t="array" ref="G450">IFERROR(_xlfn.IFS(ISNUMBER(Table1[[#This Row],[Column3]]),Table1[[#This Row],[Column3]],Table1[[#This Row],[Column3]]="NEW",Table1[[#This Row],[Column3]]),"")</f>
        <v/>
      </c>
      <c r="H450" s="15" cm="1">
        <f t="array" ref="H450">_xlfn.IFS(Table1[[#This Row],[Column4]]="NEW",AVERAGEIFS(Table1[Column4],Table1[Year],Table1[[#This Row],[Year]]),ISNUMBER(Table1[[#This Row],[Column4]]),Table1[[#This Row],[Column4]],Table1[[#This Row],[Column4]]="",H449*(1+Table1[[#This Row],[Ávöxtun]]))</f>
        <v>364.92001114377427</v>
      </c>
      <c r="I450" cm="1">
        <f t="array" ref="I450">_xlfn.IFS(Table1[[#This Row],[Column4]]="NEW",_xlfn.XLOOKUP(Table1[[#This Row],[Year]],$N$2:$N$27,$P$2:$P$27),ISNUMBER(Table1[[#This Row],[Column4]]),Table1[[#This Row],[Column4]],Table1[[#This Row],[Column4]]="",I449*(1+Table1[[#This Row],[Ávöxtun]]))</f>
        <v>366.30842037181776</v>
      </c>
      <c r="L450" s="33">
        <v>364.92001114377427</v>
      </c>
      <c r="M450" s="33">
        <v>394.53855116553166</v>
      </c>
    </row>
    <row r="451" spans="1:13">
      <c r="A451" t="s">
        <v>106</v>
      </c>
      <c r="B451">
        <v>2018</v>
      </c>
      <c r="C451" s="16">
        <v>5.2000000000000005E-2</v>
      </c>
      <c r="D451" s="1">
        <v>78395142</v>
      </c>
      <c r="E451" s="29">
        <f>Table1[[#This Row],[Ávöxtun]]*Table1[[#This Row],[Eignir]]/SUMIFS(Table1[Eignir],Table1[Year],Table1[[#This Row],[Year]])</f>
        <v>1.0676289785900807E-3</v>
      </c>
      <c r="F451" s="23" t="e">
        <f>IF(B451=1997, 100, IF(COUNTIF(A$1:A450,A451)=0, "NEW", F450*(1+Table1[[#This Row],[Ávöxtun]])))</f>
        <v>#VALUE!</v>
      </c>
      <c r="G451" s="18" t="str" cm="1">
        <f t="array" ref="G451">IFERROR(_xlfn.IFS(ISNUMBER(Table1[[#This Row],[Column3]]),Table1[[#This Row],[Column3]],Table1[[#This Row],[Column3]]="NEW",Table1[[#This Row],[Column3]]),"")</f>
        <v/>
      </c>
      <c r="H451" s="15" cm="1">
        <f t="array" ref="H451">_xlfn.IFS(Table1[[#This Row],[Column4]]="NEW",AVERAGEIFS(Table1[Column4],Table1[Year],Table1[[#This Row],[Year]]),ISNUMBER(Table1[[#This Row],[Column4]]),Table1[[#This Row],[Column4]],Table1[[#This Row],[Column4]]="",H450*(1+Table1[[#This Row],[Ávöxtun]]))</f>
        <v>383.89585172325053</v>
      </c>
      <c r="I451" cm="1">
        <f t="array" ref="I451">_xlfn.IFS(Table1[[#This Row],[Column4]]="NEW",_xlfn.XLOOKUP(Table1[[#This Row],[Year]],$N$2:$N$27,$P$2:$P$27),ISNUMBER(Table1[[#This Row],[Column4]]),Table1[[#This Row],[Column4]],Table1[[#This Row],[Column4]]="",I450*(1+Table1[[#This Row],[Ávöxtun]]))</f>
        <v>385.35645823115232</v>
      </c>
      <c r="L451" s="33">
        <v>383.89585172325053</v>
      </c>
      <c r="M451" s="33">
        <v>415.05455582613934</v>
      </c>
    </row>
    <row r="452" spans="1:13">
      <c r="A452" t="s">
        <v>106</v>
      </c>
      <c r="B452">
        <v>2019</v>
      </c>
      <c r="C452" s="16">
        <v>0.122</v>
      </c>
      <c r="D452" s="1">
        <v>84401813</v>
      </c>
      <c r="E452" s="29">
        <f>Table1[[#This Row],[Ávöxtun]]*Table1[[#This Row],[Eignir]]/SUMIFS(Table1[Eignir],Table1[Year],Table1[[#This Row],[Year]])</f>
        <v>2.3260226885059229E-3</v>
      </c>
      <c r="F452" s="23" t="e">
        <f>IF(B452=1997, 100, IF(COUNTIF(A$1:A451,A452)=0, "NEW", F451*(1+Table1[[#This Row],[Ávöxtun]])))</f>
        <v>#VALUE!</v>
      </c>
      <c r="G452" s="18" t="str" cm="1">
        <f t="array" ref="G452">IFERROR(_xlfn.IFS(ISNUMBER(Table1[[#This Row],[Column3]]),Table1[[#This Row],[Column3]],Table1[[#This Row],[Column3]]="NEW",Table1[[#This Row],[Column3]]),"")</f>
        <v/>
      </c>
      <c r="H452" s="15" cm="1">
        <f t="array" ref="H452">_xlfn.IFS(Table1[[#This Row],[Column4]]="NEW",AVERAGEIFS(Table1[Column4],Table1[Year],Table1[[#This Row],[Year]]),ISNUMBER(Table1[[#This Row],[Column4]]),Table1[[#This Row],[Column4]],Table1[[#This Row],[Column4]]="",H451*(1+Table1[[#This Row],[Ávöxtun]]))</f>
        <v>430.73114563348707</v>
      </c>
      <c r="I452" cm="1">
        <f t="array" ref="I452">_xlfn.IFS(Table1[[#This Row],[Column4]]="NEW",_xlfn.XLOOKUP(Table1[[#This Row],[Year]],$N$2:$N$27,$P$2:$P$27),ISNUMBER(Table1[[#This Row],[Column4]]),Table1[[#This Row],[Column4]],Table1[[#This Row],[Column4]]="",I451*(1+Table1[[#This Row],[Ávöxtun]]))</f>
        <v>432.36994613535285</v>
      </c>
      <c r="L452" s="33">
        <v>430.73114563348707</v>
      </c>
      <c r="M452" s="33">
        <v>465.6912116369283</v>
      </c>
    </row>
    <row r="453" spans="1:13">
      <c r="A453" t="s">
        <v>106</v>
      </c>
      <c r="B453">
        <v>2020</v>
      </c>
      <c r="C453" s="16">
        <v>0.1125</v>
      </c>
      <c r="D453" s="1">
        <v>91356989</v>
      </c>
      <c r="E453" s="29">
        <f>Table1[[#This Row],[Ávöxtun]]*Table1[[#This Row],[Eignir]]/SUMIFS(Table1[Eignir],Table1[Year],Table1[[#This Row],[Year]])</f>
        <v>2.0008632209561296E-3</v>
      </c>
      <c r="F453" s="23" t="e">
        <f>IF(B453=1997, 100, IF(COUNTIF(A$1:A452,A453)=0, "NEW", F452*(1+Table1[[#This Row],[Ávöxtun]])))</f>
        <v>#VALUE!</v>
      </c>
      <c r="G453" s="18" t="str" cm="1">
        <f t="array" ref="G453">IFERROR(_xlfn.IFS(ISNUMBER(Table1[[#This Row],[Column3]]),Table1[[#This Row],[Column3]],Table1[[#This Row],[Column3]]="NEW",Table1[[#This Row],[Column3]]),"")</f>
        <v/>
      </c>
      <c r="H453" s="15" cm="1">
        <f t="array" ref="H453">_xlfn.IFS(Table1[[#This Row],[Column4]]="NEW",AVERAGEIFS(Table1[Column4],Table1[Year],Table1[[#This Row],[Year]]),ISNUMBER(Table1[[#This Row],[Column4]]),Table1[[#This Row],[Column4]],Table1[[#This Row],[Column4]]="",H452*(1+Table1[[#This Row],[Ávöxtun]]))</f>
        <v>479.18839951725437</v>
      </c>
      <c r="I453" cm="1">
        <f t="array" ref="I453">_xlfn.IFS(Table1[[#This Row],[Column4]]="NEW",_xlfn.XLOOKUP(Table1[[#This Row],[Year]],$N$2:$N$27,$P$2:$P$27),ISNUMBER(Table1[[#This Row],[Column4]]),Table1[[#This Row],[Column4]],Table1[[#This Row],[Column4]]="",I452*(1+Table1[[#This Row],[Ávöxtun]]))</f>
        <v>481.01156507558005</v>
      </c>
      <c r="L453" s="33">
        <v>479.18839951725437</v>
      </c>
      <c r="M453" s="33">
        <v>518.08147294608273</v>
      </c>
    </row>
    <row r="454" spans="1:13">
      <c r="A454" t="s">
        <v>106</v>
      </c>
      <c r="B454">
        <v>2021</v>
      </c>
      <c r="C454" s="16">
        <v>0.14929999999999999</v>
      </c>
      <c r="D454" s="1">
        <v>101903909</v>
      </c>
      <c r="E454" s="29">
        <f>Table1[[#This Row],[Ávöxtun]]*Table1[[#This Row],[Eignir]]/SUMIFS(Table1[Eignir],Table1[Year],Table1[[#This Row],[Year]])</f>
        <v>2.5191254438968838E-3</v>
      </c>
      <c r="F454" s="23" t="e">
        <f>IF(B454=1997, 100, IF(COUNTIF(A$1:A453,A454)=0, "NEW", F453*(1+Table1[[#This Row],[Ávöxtun]])))</f>
        <v>#VALUE!</v>
      </c>
      <c r="G454" s="18" t="str" cm="1">
        <f t="array" ref="G454">IFERROR(_xlfn.IFS(ISNUMBER(Table1[[#This Row],[Column3]]),Table1[[#This Row],[Column3]],Table1[[#This Row],[Column3]]="NEW",Table1[[#This Row],[Column3]]),"")</f>
        <v/>
      </c>
      <c r="H454" s="15" cm="1">
        <f t="array" ref="H454">_xlfn.IFS(Table1[[#This Row],[Column4]]="NEW",AVERAGEIFS(Table1[Column4],Table1[Year],Table1[[#This Row],[Year]]),ISNUMBER(Table1[[#This Row],[Column4]]),Table1[[#This Row],[Column4]],Table1[[#This Row],[Column4]]="",H453*(1+Table1[[#This Row],[Ávöxtun]]))</f>
        <v>550.73122756518046</v>
      </c>
      <c r="I454" cm="1">
        <f t="array" ref="I454">_xlfn.IFS(Table1[[#This Row],[Column4]]="NEW",_xlfn.XLOOKUP(Table1[[#This Row],[Year]],$N$2:$N$27,$P$2:$P$27),ISNUMBER(Table1[[#This Row],[Column4]]),Table1[[#This Row],[Column4]],Table1[[#This Row],[Column4]]="",I453*(1+Table1[[#This Row],[Ávöxtun]]))</f>
        <v>552.82659174136415</v>
      </c>
      <c r="L454" s="33">
        <v>550.73122756518046</v>
      </c>
      <c r="M454" s="33">
        <v>595.43103685693291</v>
      </c>
    </row>
    <row r="455" spans="1:13">
      <c r="A455" t="s">
        <v>107</v>
      </c>
      <c r="B455">
        <v>1997</v>
      </c>
      <c r="C455" s="16">
        <v>0.06</v>
      </c>
      <c r="D455" s="1">
        <v>1116343.43</v>
      </c>
      <c r="E455" s="29">
        <f>Table1[[#This Row],[Ávöxtun]]*Table1[[#This Row],[Eignir]]/SUMIFS(Table1[Eignir],Table1[Year],Table1[[#This Row],[Year]])</f>
        <v>1.975681389594387E-4</v>
      </c>
      <c r="F455" s="23">
        <f>IF(B455=1997, 100, IF(COUNTIF(A$1:A454,A455)=0, "NEW", F454*(1+Table1[[#This Row],[Ávöxtun]])))</f>
        <v>100</v>
      </c>
      <c r="G455" s="18" cm="1">
        <f t="array" ref="G455">IFERROR(_xlfn.IFS(ISNUMBER(Table1[[#This Row],[Column3]]),Table1[[#This Row],[Column3]],Table1[[#This Row],[Column3]]="NEW",Table1[[#This Row],[Column3]]),"")</f>
        <v>100</v>
      </c>
      <c r="H455" s="15" cm="1">
        <f t="array" ref="H455">_xlfn.IFS(Table1[[#This Row],[Column4]]="NEW",AVERAGEIFS(Table1[Column4],Table1[Year],Table1[[#This Row],[Year]]),ISNUMBER(Table1[[#This Row],[Column4]]),Table1[[#This Row],[Column4]],Table1[[#This Row],[Column4]]="",H454*(1+Table1[[#This Row],[Ávöxtun]]))</f>
        <v>100</v>
      </c>
      <c r="I455" cm="1">
        <f t="array" ref="I455">_xlfn.IFS(Table1[[#This Row],[Column4]]="NEW",_xlfn.XLOOKUP(Table1[[#This Row],[Year]],$N$2:$N$27,$P$2:$P$27),ISNUMBER(Table1[[#This Row],[Column4]]),Table1[[#This Row],[Column4]],Table1[[#This Row],[Column4]]="",I454*(1+Table1[[#This Row],[Ávöxtun]]))</f>
        <v>100</v>
      </c>
      <c r="L455" s="33">
        <v>100</v>
      </c>
      <c r="M455" s="33">
        <v>100</v>
      </c>
    </row>
    <row r="456" spans="1:13">
      <c r="A456" t="s">
        <v>107</v>
      </c>
      <c r="B456">
        <v>1998</v>
      </c>
      <c r="C456" s="16">
        <v>0.11</v>
      </c>
      <c r="D456" s="1">
        <v>1309344.56</v>
      </c>
      <c r="E456" s="29">
        <f>Table1[[#This Row],[Ávöxtun]]*Table1[[#This Row],[Eignir]]/SUMIFS(Table1[Eignir],Table1[Year],Table1[[#This Row],[Year]])</f>
        <v>3.6776063017067678E-4</v>
      </c>
      <c r="F456" s="23">
        <f>IF(B456=1997, 100, IF(COUNTIF(A$1:A455,A456)=0, "NEW", F455*(1+Table1[[#This Row],[Ávöxtun]])))</f>
        <v>111.00000000000001</v>
      </c>
      <c r="G456" s="18" cm="1">
        <f t="array" ref="G456">IFERROR(_xlfn.IFS(ISNUMBER(Table1[[#This Row],[Column3]]),Table1[[#This Row],[Column3]],Table1[[#This Row],[Column3]]="NEW",Table1[[#This Row],[Column3]]),"")</f>
        <v>111.00000000000001</v>
      </c>
      <c r="H456" s="15" cm="1">
        <f t="array" ref="H456">_xlfn.IFS(Table1[[#This Row],[Column4]]="NEW",AVERAGEIFS(Table1[Column4],Table1[Year],Table1[[#This Row],[Year]]),ISNUMBER(Table1[[#This Row],[Column4]]),Table1[[#This Row],[Column4]],Table1[[#This Row],[Column4]]="",H455*(1+Table1[[#This Row],[Ávöxtun]]))</f>
        <v>111.00000000000001</v>
      </c>
      <c r="I456" cm="1">
        <f t="array" ref="I456">_xlfn.IFS(Table1[[#This Row],[Column4]]="NEW",_xlfn.XLOOKUP(Table1[[#This Row],[Year]],$N$2:$N$27,$P$2:$P$27),ISNUMBER(Table1[[#This Row],[Column4]]),Table1[[#This Row],[Column4]],Table1[[#This Row],[Column4]]="",I455*(1+Table1[[#This Row],[Ávöxtun]]))</f>
        <v>111.00000000000001</v>
      </c>
      <c r="L456" s="33">
        <v>111.00000000000001</v>
      </c>
      <c r="M456" s="33">
        <v>111.00000000000001</v>
      </c>
    </row>
    <row r="457" spans="1:13">
      <c r="A457" t="s">
        <v>107</v>
      </c>
      <c r="B457">
        <v>1999</v>
      </c>
      <c r="C457" s="16">
        <v>0.06</v>
      </c>
      <c r="D457" s="1">
        <v>1536501.38</v>
      </c>
      <c r="E457" s="29">
        <f>Table1[[#This Row],[Ávöxtun]]*Table1[[#This Row],[Eignir]]/SUMIFS(Table1[Eignir],Table1[Year],Table1[[#This Row],[Year]])</f>
        <v>1.7704461028123235E-4</v>
      </c>
      <c r="F457" s="23">
        <f>IF(B457=1997, 100, IF(COUNTIF(A$1:A456,A457)=0, "NEW", F456*(1+Table1[[#This Row],[Ávöxtun]])))</f>
        <v>117.66000000000003</v>
      </c>
      <c r="G457" s="18" cm="1">
        <f t="array" ref="G457">IFERROR(_xlfn.IFS(ISNUMBER(Table1[[#This Row],[Column3]]),Table1[[#This Row],[Column3]],Table1[[#This Row],[Column3]]="NEW",Table1[[#This Row],[Column3]]),"")</f>
        <v>117.66000000000003</v>
      </c>
      <c r="H457" s="15" cm="1">
        <f t="array" ref="H457">_xlfn.IFS(Table1[[#This Row],[Column4]]="NEW",AVERAGEIFS(Table1[Column4],Table1[Year],Table1[[#This Row],[Year]]),ISNUMBER(Table1[[#This Row],[Column4]]),Table1[[#This Row],[Column4]],Table1[[#This Row],[Column4]]="",H456*(1+Table1[[#This Row],[Ávöxtun]]))</f>
        <v>117.66000000000003</v>
      </c>
      <c r="I457" cm="1">
        <f t="array" ref="I457">_xlfn.IFS(Table1[[#This Row],[Column4]]="NEW",_xlfn.XLOOKUP(Table1[[#This Row],[Year]],$N$2:$N$27,$P$2:$P$27),ISNUMBER(Table1[[#This Row],[Column4]]),Table1[[#This Row],[Column4]],Table1[[#This Row],[Column4]]="",I456*(1+Table1[[#This Row],[Ávöxtun]]))</f>
        <v>117.66000000000003</v>
      </c>
      <c r="L457" s="33">
        <v>117.66000000000003</v>
      </c>
      <c r="M457" s="33">
        <v>117.66000000000003</v>
      </c>
    </row>
    <row r="458" spans="1:13">
      <c r="A458" t="s">
        <v>94</v>
      </c>
      <c r="B458">
        <v>1997</v>
      </c>
      <c r="C458" s="16">
        <v>0.06</v>
      </c>
      <c r="D458" s="1">
        <v>1539299.63</v>
      </c>
      <c r="E458" s="29">
        <f>Table1[[#This Row],[Ávöxtun]]*Table1[[#This Row],[Eignir]]/SUMIFS(Table1[Eignir],Table1[Year],Table1[[#This Row],[Year]])</f>
        <v>2.7242204775644406E-4</v>
      </c>
      <c r="F458" s="23">
        <f>IF(B458=1997, 100, IF(COUNTIF(A$1:A457,A458)=0, "NEW", F457*(1+Table1[[#This Row],[Ávöxtun]])))</f>
        <v>100</v>
      </c>
      <c r="G458" s="18" cm="1">
        <f t="array" ref="G458">IFERROR(_xlfn.IFS(ISNUMBER(Table1[[#This Row],[Column3]]),Table1[[#This Row],[Column3]],Table1[[#This Row],[Column3]]="NEW",Table1[[#This Row],[Column3]]),"")</f>
        <v>100</v>
      </c>
      <c r="H458" s="15" cm="1">
        <f t="array" ref="H458">_xlfn.IFS(Table1[[#This Row],[Column4]]="NEW",AVERAGEIFS(Table1[Column4],Table1[Year],Table1[[#This Row],[Year]]),ISNUMBER(Table1[[#This Row],[Column4]]),Table1[[#This Row],[Column4]],Table1[[#This Row],[Column4]]="",H457*(1+Table1[[#This Row],[Ávöxtun]]))</f>
        <v>100</v>
      </c>
      <c r="I458" cm="1">
        <f t="array" ref="I458">_xlfn.IFS(Table1[[#This Row],[Column4]]="NEW",_xlfn.XLOOKUP(Table1[[#This Row],[Year]],$N$2:$N$27,$P$2:$P$27),ISNUMBER(Table1[[#This Row],[Column4]]),Table1[[#This Row],[Column4]],Table1[[#This Row],[Column4]]="",I457*(1+Table1[[#This Row],[Ávöxtun]]))</f>
        <v>100</v>
      </c>
      <c r="L458" s="33">
        <v>100</v>
      </c>
      <c r="M458" s="33">
        <v>100</v>
      </c>
    </row>
    <row r="459" spans="1:13">
      <c r="A459" t="s">
        <v>94</v>
      </c>
      <c r="B459">
        <v>1998</v>
      </c>
      <c r="C459" s="16">
        <v>7.0000000000000007E-2</v>
      </c>
      <c r="D459" s="1">
        <v>1695187.81</v>
      </c>
      <c r="E459" s="29">
        <f>Table1[[#This Row],[Ávöxtun]]*Table1[[#This Row],[Eignir]]/SUMIFS(Table1[Eignir],Table1[Year],Table1[[#This Row],[Year]])</f>
        <v>3.0299430265689201E-4</v>
      </c>
      <c r="F459" s="23">
        <f>IF(B459=1997, 100, IF(COUNTIF(A$1:A458,A459)=0, "NEW", F458*(1+Table1[[#This Row],[Ávöxtun]])))</f>
        <v>107</v>
      </c>
      <c r="G459" s="18" cm="1">
        <f t="array" ref="G459">IFERROR(_xlfn.IFS(ISNUMBER(Table1[[#This Row],[Column3]]),Table1[[#This Row],[Column3]],Table1[[#This Row],[Column3]]="NEW",Table1[[#This Row],[Column3]]),"")</f>
        <v>107</v>
      </c>
      <c r="H459" s="15" cm="1">
        <f t="array" ref="H459">_xlfn.IFS(Table1[[#This Row],[Column4]]="NEW",AVERAGEIFS(Table1[Column4],Table1[Year],Table1[[#This Row],[Year]]),ISNUMBER(Table1[[#This Row],[Column4]]),Table1[[#This Row],[Column4]],Table1[[#This Row],[Column4]]="",H458*(1+Table1[[#This Row],[Ávöxtun]]))</f>
        <v>107</v>
      </c>
      <c r="I459" cm="1">
        <f t="array" ref="I459">_xlfn.IFS(Table1[[#This Row],[Column4]]="NEW",_xlfn.XLOOKUP(Table1[[#This Row],[Year]],$N$2:$N$27,$P$2:$P$27),ISNUMBER(Table1[[#This Row],[Column4]]),Table1[[#This Row],[Column4]],Table1[[#This Row],[Column4]]="",I458*(1+Table1[[#This Row],[Ávöxtun]]))</f>
        <v>107</v>
      </c>
      <c r="L459" s="33">
        <v>107</v>
      </c>
      <c r="M459" s="33">
        <v>107</v>
      </c>
    </row>
    <row r="460" spans="1:13">
      <c r="A460" t="s">
        <v>94</v>
      </c>
      <c r="B460">
        <v>1999</v>
      </c>
      <c r="C460" s="16">
        <v>0.1</v>
      </c>
      <c r="D460" s="1">
        <v>1943546.67</v>
      </c>
      <c r="E460" s="29">
        <f>Table1[[#This Row],[Ávöxtun]]*Table1[[#This Row],[Eignir]]/SUMIFS(Table1[Eignir],Table1[Year],Table1[[#This Row],[Year]])</f>
        <v>3.7324455332145225E-4</v>
      </c>
      <c r="F460" s="23">
        <f>IF(B460=1997, 100, IF(COUNTIF(A$1:A459,A460)=0, "NEW", F459*(1+Table1[[#This Row],[Ávöxtun]])))</f>
        <v>117.7</v>
      </c>
      <c r="G460" s="18" cm="1">
        <f t="array" ref="G460">IFERROR(_xlfn.IFS(ISNUMBER(Table1[[#This Row],[Column3]]),Table1[[#This Row],[Column3]],Table1[[#This Row],[Column3]]="NEW",Table1[[#This Row],[Column3]]),"")</f>
        <v>117.7</v>
      </c>
      <c r="H460" s="15" cm="1">
        <f t="array" ref="H460">_xlfn.IFS(Table1[[#This Row],[Column4]]="NEW",AVERAGEIFS(Table1[Column4],Table1[Year],Table1[[#This Row],[Year]]),ISNUMBER(Table1[[#This Row],[Column4]]),Table1[[#This Row],[Column4]],Table1[[#This Row],[Column4]]="",H459*(1+Table1[[#This Row],[Ávöxtun]]))</f>
        <v>117.7</v>
      </c>
      <c r="I460" cm="1">
        <f t="array" ref="I460">_xlfn.IFS(Table1[[#This Row],[Column4]]="NEW",_xlfn.XLOOKUP(Table1[[#This Row],[Year]],$N$2:$N$27,$P$2:$P$27),ISNUMBER(Table1[[#This Row],[Column4]]),Table1[[#This Row],[Column4]],Table1[[#This Row],[Column4]]="",I459*(1+Table1[[#This Row],[Ávöxtun]]))</f>
        <v>117.7</v>
      </c>
      <c r="L460" s="33">
        <v>117.7</v>
      </c>
      <c r="M460" s="33">
        <v>117.7</v>
      </c>
    </row>
    <row r="461" spans="1:13">
      <c r="A461" t="s">
        <v>94</v>
      </c>
      <c r="B461">
        <v>2000</v>
      </c>
      <c r="C461" s="16">
        <v>0.02</v>
      </c>
      <c r="D461" s="1">
        <v>2010196.24</v>
      </c>
      <c r="E461" s="29">
        <f>Table1[[#This Row],[Ávöxtun]]*Table1[[#This Row],[Eignir]]/SUMIFS(Table1[Eignir],Table1[Year],Table1[[#This Row],[Year]])</f>
        <v>5.6554377122618338E-5</v>
      </c>
      <c r="F461" s="23">
        <f>IF(B461=1997, 100, IF(COUNTIF(A$1:A460,A461)=0, "NEW", F460*(1+Table1[[#This Row],[Ávöxtun]])))</f>
        <v>120.054</v>
      </c>
      <c r="G461" s="18" cm="1">
        <f t="array" ref="G461">IFERROR(_xlfn.IFS(ISNUMBER(Table1[[#This Row],[Column3]]),Table1[[#This Row],[Column3]],Table1[[#This Row],[Column3]]="NEW",Table1[[#This Row],[Column3]]),"")</f>
        <v>120.054</v>
      </c>
      <c r="H461" s="15" cm="1">
        <f t="array" ref="H461">_xlfn.IFS(Table1[[#This Row],[Column4]]="NEW",AVERAGEIFS(Table1[Column4],Table1[Year],Table1[[#This Row],[Year]]),ISNUMBER(Table1[[#This Row],[Column4]]),Table1[[#This Row],[Column4]],Table1[[#This Row],[Column4]]="",H460*(1+Table1[[#This Row],[Ávöxtun]]))</f>
        <v>120.054</v>
      </c>
      <c r="I461" cm="1">
        <f t="array" ref="I461">_xlfn.IFS(Table1[[#This Row],[Column4]]="NEW",_xlfn.XLOOKUP(Table1[[#This Row],[Year]],$N$2:$N$27,$P$2:$P$27),ISNUMBER(Table1[[#This Row],[Column4]]),Table1[[#This Row],[Column4]],Table1[[#This Row],[Column4]]="",I460*(1+Table1[[#This Row],[Ávöxtun]]))</f>
        <v>120.054</v>
      </c>
      <c r="L461" s="33">
        <v>120.054</v>
      </c>
      <c r="M461" s="33">
        <v>120.054</v>
      </c>
    </row>
    <row r="462" spans="1:13">
      <c r="A462" t="s">
        <v>94</v>
      </c>
      <c r="B462">
        <v>2001</v>
      </c>
      <c r="C462" s="16">
        <v>0.01</v>
      </c>
      <c r="D462" s="1">
        <v>2106773</v>
      </c>
      <c r="E462" s="29">
        <f>Table1[[#This Row],[Ávöxtun]]*Table1[[#This Row],[Eignir]]/SUMIFS(Table1[Eignir],Table1[Year],Table1[[#This Row],[Year]])</f>
        <v>1.8194527952776822E-5</v>
      </c>
      <c r="F462" s="23">
        <f>IF(B462=1997, 100, IF(COUNTIF(A$1:A461,A462)=0, "NEW", F461*(1+Table1[[#This Row],[Ávöxtun]])))</f>
        <v>121.25454000000001</v>
      </c>
      <c r="G462" s="18" cm="1">
        <f t="array" ref="G462">IFERROR(_xlfn.IFS(ISNUMBER(Table1[[#This Row],[Column3]]),Table1[[#This Row],[Column3]],Table1[[#This Row],[Column3]]="NEW",Table1[[#This Row],[Column3]]),"")</f>
        <v>121.25454000000001</v>
      </c>
      <c r="H462" s="15" cm="1">
        <f t="array" ref="H462">_xlfn.IFS(Table1[[#This Row],[Column4]]="NEW",AVERAGEIFS(Table1[Column4],Table1[Year],Table1[[#This Row],[Year]]),ISNUMBER(Table1[[#This Row],[Column4]]),Table1[[#This Row],[Column4]],Table1[[#This Row],[Column4]]="",H461*(1+Table1[[#This Row],[Ávöxtun]]))</f>
        <v>121.25454000000001</v>
      </c>
      <c r="I462" cm="1">
        <f t="array" ref="I462">_xlfn.IFS(Table1[[#This Row],[Column4]]="NEW",_xlfn.XLOOKUP(Table1[[#This Row],[Year]],$N$2:$N$27,$P$2:$P$27),ISNUMBER(Table1[[#This Row],[Column4]]),Table1[[#This Row],[Column4]],Table1[[#This Row],[Column4]]="",I461*(1+Table1[[#This Row],[Ávöxtun]]))</f>
        <v>121.25454000000001</v>
      </c>
      <c r="L462" s="33">
        <v>121.25454000000001</v>
      </c>
      <c r="M462" s="33">
        <v>121.25454000000001</v>
      </c>
    </row>
    <row r="463" spans="1:13">
      <c r="A463" t="s">
        <v>94</v>
      </c>
      <c r="B463">
        <v>2002</v>
      </c>
      <c r="C463" s="16">
        <v>0.03</v>
      </c>
      <c r="D463" s="1">
        <v>2110670</v>
      </c>
      <c r="E463" s="29">
        <f>Table1[[#This Row],[Ávöxtun]]*Table1[[#This Row],[Eignir]]/SUMIFS(Table1[Eignir],Table1[Year],Table1[[#This Row],[Year]])</f>
        <v>9.9690921579327922E-5</v>
      </c>
      <c r="F463" s="23">
        <f>IF(B463=1997, 100, IF(COUNTIF(A$1:A462,A463)=0, "NEW", F462*(1+Table1[[#This Row],[Ávöxtun]])))</f>
        <v>124.89217620000001</v>
      </c>
      <c r="G463" s="18" cm="1">
        <f t="array" ref="G463">IFERROR(_xlfn.IFS(ISNUMBER(Table1[[#This Row],[Column3]]),Table1[[#This Row],[Column3]],Table1[[#This Row],[Column3]]="NEW",Table1[[#This Row],[Column3]]),"")</f>
        <v>124.89217620000001</v>
      </c>
      <c r="H463" s="15" cm="1">
        <f t="array" ref="H463">_xlfn.IFS(Table1[[#This Row],[Column4]]="NEW",AVERAGEIFS(Table1[Column4],Table1[Year],Table1[[#This Row],[Year]]),ISNUMBER(Table1[[#This Row],[Column4]]),Table1[[#This Row],[Column4]],Table1[[#This Row],[Column4]]="",H462*(1+Table1[[#This Row],[Ávöxtun]]))</f>
        <v>124.89217620000001</v>
      </c>
      <c r="I463" cm="1">
        <f t="array" ref="I463">_xlfn.IFS(Table1[[#This Row],[Column4]]="NEW",_xlfn.XLOOKUP(Table1[[#This Row],[Year]],$N$2:$N$27,$P$2:$P$27),ISNUMBER(Table1[[#This Row],[Column4]]),Table1[[#This Row],[Column4]],Table1[[#This Row],[Column4]]="",I462*(1+Table1[[#This Row],[Ávöxtun]]))</f>
        <v>124.89217620000001</v>
      </c>
      <c r="L463" s="33">
        <v>124.89217620000001</v>
      </c>
      <c r="M463" s="33">
        <v>124.89217620000001</v>
      </c>
    </row>
    <row r="464" spans="1:13">
      <c r="A464" t="s">
        <v>94</v>
      </c>
      <c r="B464">
        <v>2003</v>
      </c>
      <c r="C464" s="16">
        <v>0.09</v>
      </c>
      <c r="D464" s="1">
        <v>2252809</v>
      </c>
      <c r="E464" s="29">
        <f>Table1[[#This Row],[Ávöxtun]]*Table1[[#This Row],[Eignir]]/SUMIFS(Table1[Eignir],Table1[Year],Table1[[#This Row],[Year]])</f>
        <v>2.6681814186708399E-4</v>
      </c>
      <c r="F464" s="23">
        <f>IF(B464=1997, 100, IF(COUNTIF(A$1:A463,A464)=0, "NEW", F463*(1+Table1[[#This Row],[Ávöxtun]])))</f>
        <v>136.13247205800002</v>
      </c>
      <c r="G464" s="18" cm="1">
        <f t="array" ref="G464">IFERROR(_xlfn.IFS(ISNUMBER(Table1[[#This Row],[Column3]]),Table1[[#This Row],[Column3]],Table1[[#This Row],[Column3]]="NEW",Table1[[#This Row],[Column3]]),"")</f>
        <v>136.13247205800002</v>
      </c>
      <c r="H464" s="15" cm="1">
        <f t="array" ref="H464">_xlfn.IFS(Table1[[#This Row],[Column4]]="NEW",AVERAGEIFS(Table1[Column4],Table1[Year],Table1[[#This Row],[Year]]),ISNUMBER(Table1[[#This Row],[Column4]]),Table1[[#This Row],[Column4]],Table1[[#This Row],[Column4]]="",H463*(1+Table1[[#This Row],[Ávöxtun]]))</f>
        <v>136.13247205800002</v>
      </c>
      <c r="I464" cm="1">
        <f t="array" ref="I464">_xlfn.IFS(Table1[[#This Row],[Column4]]="NEW",_xlfn.XLOOKUP(Table1[[#This Row],[Year]],$N$2:$N$27,$P$2:$P$27),ISNUMBER(Table1[[#This Row],[Column4]]),Table1[[#This Row],[Column4]],Table1[[#This Row],[Column4]]="",I463*(1+Table1[[#This Row],[Ávöxtun]]))</f>
        <v>136.13247205800002</v>
      </c>
      <c r="L464" s="33">
        <v>136.13247205800002</v>
      </c>
      <c r="M464" s="33">
        <v>136.13247205800002</v>
      </c>
    </row>
    <row r="465" spans="1:13">
      <c r="A465" t="s">
        <v>94</v>
      </c>
      <c r="B465">
        <v>2004</v>
      </c>
      <c r="C465" s="16">
        <v>0.08</v>
      </c>
      <c r="D465" s="1">
        <v>2420800</v>
      </c>
      <c r="E465" s="29">
        <f>Table1[[#This Row],[Ávöxtun]]*Table1[[#This Row],[Eignir]]/SUMIFS(Table1[Eignir],Table1[Year],Table1[[#This Row],[Year]])</f>
        <v>2.1336378783638846E-4</v>
      </c>
      <c r="F465" s="23">
        <f>IF(B465=1997, 100, IF(COUNTIF(A$1:A464,A465)=0, "NEW", F464*(1+Table1[[#This Row],[Ávöxtun]])))</f>
        <v>147.02306982264002</v>
      </c>
      <c r="G465" s="18" cm="1">
        <f t="array" ref="G465">IFERROR(_xlfn.IFS(ISNUMBER(Table1[[#This Row],[Column3]]),Table1[[#This Row],[Column3]],Table1[[#This Row],[Column3]]="NEW",Table1[[#This Row],[Column3]]),"")</f>
        <v>147.02306982264002</v>
      </c>
      <c r="H465" s="15" cm="1">
        <f t="array" ref="H465">_xlfn.IFS(Table1[[#This Row],[Column4]]="NEW",AVERAGEIFS(Table1[Column4],Table1[Year],Table1[[#This Row],[Year]]),ISNUMBER(Table1[[#This Row],[Column4]]),Table1[[#This Row],[Column4]],Table1[[#This Row],[Column4]]="",H464*(1+Table1[[#This Row],[Ávöxtun]]))</f>
        <v>147.02306982264002</v>
      </c>
      <c r="I465" cm="1">
        <f t="array" ref="I465">_xlfn.IFS(Table1[[#This Row],[Column4]]="NEW",_xlfn.XLOOKUP(Table1[[#This Row],[Year]],$N$2:$N$27,$P$2:$P$27),ISNUMBER(Table1[[#This Row],[Column4]]),Table1[[#This Row],[Column4]],Table1[[#This Row],[Column4]]="",I464*(1+Table1[[#This Row],[Ávöxtun]]))</f>
        <v>147.02306982264002</v>
      </c>
      <c r="L465" s="33">
        <v>147.02306982264002</v>
      </c>
      <c r="M465" s="33">
        <v>147.02306982264002</v>
      </c>
    </row>
    <row r="466" spans="1:13">
      <c r="A466" t="s">
        <v>94</v>
      </c>
      <c r="B466">
        <v>2005</v>
      </c>
      <c r="C466" s="16">
        <v>0.09</v>
      </c>
      <c r="D466" s="1">
        <v>2637386</v>
      </c>
      <c r="E466" s="29">
        <f>Table1[[#This Row],[Ávöxtun]]*Table1[[#This Row],[Eignir]]/SUMIFS(Table1[Eignir],Table1[Year],Table1[[#This Row],[Year]])</f>
        <v>2.1167997055759492E-4</v>
      </c>
      <c r="F466" s="23">
        <f>IF(B466=1997, 100, IF(COUNTIF(A$1:A465,A466)=0, "NEW", F465*(1+Table1[[#This Row],[Ávöxtun]])))</f>
        <v>160.25514610667764</v>
      </c>
      <c r="G466" s="18" cm="1">
        <f t="array" ref="G466">IFERROR(_xlfn.IFS(ISNUMBER(Table1[[#This Row],[Column3]]),Table1[[#This Row],[Column3]],Table1[[#This Row],[Column3]]="NEW",Table1[[#This Row],[Column3]]),"")</f>
        <v>160.25514610667764</v>
      </c>
      <c r="H466" s="15" cm="1">
        <f t="array" ref="H466">_xlfn.IFS(Table1[[#This Row],[Column4]]="NEW",AVERAGEIFS(Table1[Column4],Table1[Year],Table1[[#This Row],[Year]]),ISNUMBER(Table1[[#This Row],[Column4]]),Table1[[#This Row],[Column4]],Table1[[#This Row],[Column4]]="",H465*(1+Table1[[#This Row],[Ávöxtun]]))</f>
        <v>160.25514610667764</v>
      </c>
      <c r="I466" cm="1">
        <f t="array" ref="I466">_xlfn.IFS(Table1[[#This Row],[Column4]]="NEW",_xlfn.XLOOKUP(Table1[[#This Row],[Year]],$N$2:$N$27,$P$2:$P$27),ISNUMBER(Table1[[#This Row],[Column4]]),Table1[[#This Row],[Column4]],Table1[[#This Row],[Column4]]="",I465*(1+Table1[[#This Row],[Ávöxtun]]))</f>
        <v>160.25514610667764</v>
      </c>
      <c r="L466" s="33">
        <v>160.25514610667764</v>
      </c>
      <c r="M466" s="33">
        <v>160.25514610667764</v>
      </c>
    </row>
    <row r="467" spans="1:13">
      <c r="A467" t="s">
        <v>94</v>
      </c>
      <c r="B467">
        <v>2006</v>
      </c>
      <c r="C467" s="16">
        <v>6.88E-2</v>
      </c>
      <c r="D467" s="1">
        <v>2889366</v>
      </c>
      <c r="E467" s="29">
        <f>Table1[[#This Row],[Ávöxtun]]*Table1[[#This Row],[Eignir]]/SUMIFS(Table1[Eignir],Table1[Year],Table1[[#This Row],[Year]])</f>
        <v>1.4481817481659396E-4</v>
      </c>
      <c r="F467" s="23">
        <f>IF(B467=1997, 100, IF(COUNTIF(A$1:A466,A467)=0, "NEW", F466*(1+Table1[[#This Row],[Ávöxtun]])))</f>
        <v>171.28070015881707</v>
      </c>
      <c r="G467" s="18" cm="1">
        <f t="array" ref="G467">IFERROR(_xlfn.IFS(ISNUMBER(Table1[[#This Row],[Column3]]),Table1[[#This Row],[Column3]],Table1[[#This Row],[Column3]]="NEW",Table1[[#This Row],[Column3]]),"")</f>
        <v>171.28070015881707</v>
      </c>
      <c r="H467" s="15" cm="1">
        <f t="array" ref="H467">_xlfn.IFS(Table1[[#This Row],[Column4]]="NEW",AVERAGEIFS(Table1[Column4],Table1[Year],Table1[[#This Row],[Year]]),ISNUMBER(Table1[[#This Row],[Column4]]),Table1[[#This Row],[Column4]],Table1[[#This Row],[Column4]]="",H466*(1+Table1[[#This Row],[Ávöxtun]]))</f>
        <v>171.28070015881707</v>
      </c>
      <c r="I467" cm="1">
        <f t="array" ref="I467">_xlfn.IFS(Table1[[#This Row],[Column4]]="NEW",_xlfn.XLOOKUP(Table1[[#This Row],[Year]],$N$2:$N$27,$P$2:$P$27),ISNUMBER(Table1[[#This Row],[Column4]]),Table1[[#This Row],[Column4]],Table1[[#This Row],[Column4]]="",I466*(1+Table1[[#This Row],[Ávöxtun]]))</f>
        <v>171.28070015881707</v>
      </c>
      <c r="L467" s="33">
        <v>171.28070015881707</v>
      </c>
      <c r="M467" s="33">
        <v>171.28070015881707</v>
      </c>
    </row>
    <row r="468" spans="1:13">
      <c r="A468" t="s">
        <v>109</v>
      </c>
      <c r="B468">
        <v>1997</v>
      </c>
      <c r="C468" s="16">
        <v>0.06</v>
      </c>
      <c r="D468" s="1">
        <v>4289599.13</v>
      </c>
      <c r="E468" s="29">
        <f>Table1[[#This Row],[Ávöxtun]]*Table1[[#This Row],[Eignir]]/SUMIFS(Table1[Eignir],Table1[Year],Table1[[#This Row],[Year]])</f>
        <v>7.591643343985349E-4</v>
      </c>
      <c r="F468" s="23">
        <f>IF(B468=1997, 100, IF(COUNTIF(A$1:A467,A468)=0, "NEW", F467*(1+Table1[[#This Row],[Ávöxtun]])))</f>
        <v>100</v>
      </c>
      <c r="G468" s="18" cm="1">
        <f t="array" ref="G468">IFERROR(_xlfn.IFS(ISNUMBER(Table1[[#This Row],[Column3]]),Table1[[#This Row],[Column3]],Table1[[#This Row],[Column3]]="NEW",Table1[[#This Row],[Column3]]),"")</f>
        <v>100</v>
      </c>
      <c r="H468" s="15" cm="1">
        <f t="array" ref="H468">_xlfn.IFS(Table1[[#This Row],[Column4]]="NEW",AVERAGEIFS(Table1[Column4],Table1[Year],Table1[[#This Row],[Year]]),ISNUMBER(Table1[[#This Row],[Column4]]),Table1[[#This Row],[Column4]],Table1[[#This Row],[Column4]]="",H467*(1+Table1[[#This Row],[Ávöxtun]]))</f>
        <v>100</v>
      </c>
      <c r="I468" cm="1">
        <f t="array" ref="I468">_xlfn.IFS(Table1[[#This Row],[Column4]]="NEW",_xlfn.XLOOKUP(Table1[[#This Row],[Year]],$N$2:$N$27,$P$2:$P$27),ISNUMBER(Table1[[#This Row],[Column4]]),Table1[[#This Row],[Column4]],Table1[[#This Row],[Column4]]="",I467*(1+Table1[[#This Row],[Ávöxtun]]))</f>
        <v>100</v>
      </c>
      <c r="L468" s="33">
        <v>100</v>
      </c>
      <c r="M468" s="33">
        <v>100</v>
      </c>
    </row>
    <row r="469" spans="1:13">
      <c r="A469" t="s">
        <v>109</v>
      </c>
      <c r="B469">
        <v>1998</v>
      </c>
      <c r="C469" s="16">
        <v>7.0000000000000007E-2</v>
      </c>
      <c r="D469" s="1">
        <v>4700192.82</v>
      </c>
      <c r="E469" s="29">
        <f>Table1[[#This Row],[Ávöxtun]]*Table1[[#This Row],[Eignir]]/SUMIFS(Table1[Eignir],Table1[Year],Table1[[#This Row],[Year]])</f>
        <v>8.4010257591979201E-4</v>
      </c>
      <c r="F469" s="23">
        <f>IF(B469=1997, 100, IF(COUNTIF(A$1:A468,A469)=0, "NEW", F468*(1+Table1[[#This Row],[Ávöxtun]])))</f>
        <v>107</v>
      </c>
      <c r="G469" s="18" cm="1">
        <f t="array" ref="G469">IFERROR(_xlfn.IFS(ISNUMBER(Table1[[#This Row],[Column3]]),Table1[[#This Row],[Column3]],Table1[[#This Row],[Column3]]="NEW",Table1[[#This Row],[Column3]]),"")</f>
        <v>107</v>
      </c>
      <c r="H469" s="15" cm="1">
        <f t="array" ref="H469">_xlfn.IFS(Table1[[#This Row],[Column4]]="NEW",AVERAGEIFS(Table1[Column4],Table1[Year],Table1[[#This Row],[Year]]),ISNUMBER(Table1[[#This Row],[Column4]]),Table1[[#This Row],[Column4]],Table1[[#This Row],[Column4]]="",H468*(1+Table1[[#This Row],[Ávöxtun]]))</f>
        <v>107</v>
      </c>
      <c r="I469" cm="1">
        <f t="array" ref="I469">_xlfn.IFS(Table1[[#This Row],[Column4]]="NEW",_xlfn.XLOOKUP(Table1[[#This Row],[Year]],$N$2:$N$27,$P$2:$P$27),ISNUMBER(Table1[[#This Row],[Column4]]),Table1[[#This Row],[Column4]],Table1[[#This Row],[Column4]]="",I468*(1+Table1[[#This Row],[Ávöxtun]]))</f>
        <v>107</v>
      </c>
      <c r="L469" s="33">
        <v>107</v>
      </c>
      <c r="M469" s="33">
        <v>107</v>
      </c>
    </row>
    <row r="470" spans="1:13">
      <c r="A470" t="s">
        <v>109</v>
      </c>
      <c r="B470">
        <v>1999</v>
      </c>
      <c r="C470" s="16">
        <v>0.09</v>
      </c>
      <c r="D470" s="1">
        <v>6326788.7800000003</v>
      </c>
      <c r="E470" s="29">
        <f>Table1[[#This Row],[Ávöxtun]]*Table1[[#This Row],[Eignir]]/SUMIFS(Table1[Eignir],Table1[Year],Table1[[#This Row],[Year]])</f>
        <v>1.093514007016486E-3</v>
      </c>
      <c r="F470" s="23">
        <f>IF(B470=1997, 100, IF(COUNTIF(A$1:A469,A470)=0, "NEW", F469*(1+Table1[[#This Row],[Ávöxtun]])))</f>
        <v>116.63000000000001</v>
      </c>
      <c r="G470" s="18" cm="1">
        <f t="array" ref="G470">IFERROR(_xlfn.IFS(ISNUMBER(Table1[[#This Row],[Column3]]),Table1[[#This Row],[Column3]],Table1[[#This Row],[Column3]]="NEW",Table1[[#This Row],[Column3]]),"")</f>
        <v>116.63000000000001</v>
      </c>
      <c r="H470" s="15" cm="1">
        <f t="array" ref="H470">_xlfn.IFS(Table1[[#This Row],[Column4]]="NEW",AVERAGEIFS(Table1[Column4],Table1[Year],Table1[[#This Row],[Year]]),ISNUMBER(Table1[[#This Row],[Column4]]),Table1[[#This Row],[Column4]],Table1[[#This Row],[Column4]]="",H469*(1+Table1[[#This Row],[Ávöxtun]]))</f>
        <v>116.63000000000001</v>
      </c>
      <c r="I470" cm="1">
        <f t="array" ref="I470">_xlfn.IFS(Table1[[#This Row],[Column4]]="NEW",_xlfn.XLOOKUP(Table1[[#This Row],[Year]],$N$2:$N$27,$P$2:$P$27),ISNUMBER(Table1[[#This Row],[Column4]]),Table1[[#This Row],[Column4]],Table1[[#This Row],[Column4]]="",I469*(1+Table1[[#This Row],[Ávöxtun]]))</f>
        <v>116.63000000000001</v>
      </c>
      <c r="L470" s="33">
        <v>116.63000000000001</v>
      </c>
      <c r="M470" s="33">
        <v>116.63000000000001</v>
      </c>
    </row>
    <row r="471" spans="1:13">
      <c r="A471" t="s">
        <v>109</v>
      </c>
      <c r="B471">
        <v>2000</v>
      </c>
      <c r="C471" s="16">
        <v>0.01</v>
      </c>
      <c r="D471" s="1">
        <v>7562626.8399999999</v>
      </c>
      <c r="E471" s="29">
        <f>Table1[[#This Row],[Ávöxtun]]*Table1[[#This Row],[Eignir]]/SUMIFS(Table1[Eignir],Table1[Year],Table1[[#This Row],[Year]])</f>
        <v>1.0638256152220129E-4</v>
      </c>
      <c r="F471" s="23">
        <f>IF(B471=1997, 100, IF(COUNTIF(A$1:A470,A471)=0, "NEW", F470*(1+Table1[[#This Row],[Ávöxtun]])))</f>
        <v>117.79630000000002</v>
      </c>
      <c r="G471" s="18" cm="1">
        <f t="array" ref="G471">IFERROR(_xlfn.IFS(ISNUMBER(Table1[[#This Row],[Column3]]),Table1[[#This Row],[Column3]],Table1[[#This Row],[Column3]]="NEW",Table1[[#This Row],[Column3]]),"")</f>
        <v>117.79630000000002</v>
      </c>
      <c r="H471" s="15" cm="1">
        <f t="array" ref="H471">_xlfn.IFS(Table1[[#This Row],[Column4]]="NEW",AVERAGEIFS(Table1[Column4],Table1[Year],Table1[[#This Row],[Year]]),ISNUMBER(Table1[[#This Row],[Column4]]),Table1[[#This Row],[Column4]],Table1[[#This Row],[Column4]]="",H470*(1+Table1[[#This Row],[Ávöxtun]]))</f>
        <v>117.79630000000002</v>
      </c>
      <c r="I471" cm="1">
        <f t="array" ref="I471">_xlfn.IFS(Table1[[#This Row],[Column4]]="NEW",_xlfn.XLOOKUP(Table1[[#This Row],[Year]],$N$2:$N$27,$P$2:$P$27),ISNUMBER(Table1[[#This Row],[Column4]]),Table1[[#This Row],[Column4]],Table1[[#This Row],[Column4]]="",I470*(1+Table1[[#This Row],[Ávöxtun]]))</f>
        <v>117.79630000000002</v>
      </c>
      <c r="L471" s="33">
        <v>117.79630000000002</v>
      </c>
      <c r="M471" s="33">
        <v>117.79630000000002</v>
      </c>
    </row>
    <row r="472" spans="1:13">
      <c r="A472" t="s">
        <v>109</v>
      </c>
      <c r="B472">
        <v>2001</v>
      </c>
      <c r="C472" s="16">
        <v>-0.01</v>
      </c>
      <c r="D472" s="1">
        <v>9604011</v>
      </c>
      <c r="E472" s="29">
        <f>Table1[[#This Row],[Ávöxtun]]*Table1[[#This Row],[Eignir]]/SUMIFS(Table1[Eignir],Table1[Year],Table1[[#This Row],[Year]])</f>
        <v>-8.2942228041785277E-5</v>
      </c>
      <c r="F472" s="23">
        <f>IF(B472=1997, 100, IF(COUNTIF(A$1:A471,A472)=0, "NEW", F471*(1+Table1[[#This Row],[Ávöxtun]])))</f>
        <v>116.61833700000001</v>
      </c>
      <c r="G472" s="18" cm="1">
        <f t="array" ref="G472">IFERROR(_xlfn.IFS(ISNUMBER(Table1[[#This Row],[Column3]]),Table1[[#This Row],[Column3]],Table1[[#This Row],[Column3]]="NEW",Table1[[#This Row],[Column3]]),"")</f>
        <v>116.61833700000001</v>
      </c>
      <c r="H472" s="15" cm="1">
        <f t="array" ref="H472">_xlfn.IFS(Table1[[#This Row],[Column4]]="NEW",AVERAGEIFS(Table1[Column4],Table1[Year],Table1[[#This Row],[Year]]),ISNUMBER(Table1[[#This Row],[Column4]]),Table1[[#This Row],[Column4]],Table1[[#This Row],[Column4]]="",H471*(1+Table1[[#This Row],[Ávöxtun]]))</f>
        <v>116.61833700000001</v>
      </c>
      <c r="I472" cm="1">
        <f t="array" ref="I472">_xlfn.IFS(Table1[[#This Row],[Column4]]="NEW",_xlfn.XLOOKUP(Table1[[#This Row],[Year]],$N$2:$N$27,$P$2:$P$27),ISNUMBER(Table1[[#This Row],[Column4]]),Table1[[#This Row],[Column4]],Table1[[#This Row],[Column4]]="",I471*(1+Table1[[#This Row],[Ávöxtun]]))</f>
        <v>116.61833700000001</v>
      </c>
      <c r="L472" s="33">
        <v>116.61833700000001</v>
      </c>
      <c r="M472" s="33">
        <v>116.61833700000001</v>
      </c>
    </row>
    <row r="473" spans="1:13">
      <c r="A473" t="s">
        <v>109</v>
      </c>
      <c r="B473">
        <v>2002</v>
      </c>
      <c r="C473" s="16">
        <v>-0.03</v>
      </c>
      <c r="D473" s="1">
        <v>10506131</v>
      </c>
      <c r="E473" s="29">
        <f>Table1[[#This Row],[Ávöxtun]]*Table1[[#This Row],[Eignir]]/SUMIFS(Table1[Eignir],Table1[Year],Table1[[#This Row],[Year]])</f>
        <v>-4.962243655441855E-4</v>
      </c>
      <c r="F473" s="23">
        <f>IF(B473=1997, 100, IF(COUNTIF(A$1:A472,A473)=0, "NEW", F472*(1+Table1[[#This Row],[Ávöxtun]])))</f>
        <v>113.11978689000001</v>
      </c>
      <c r="G473" s="18" cm="1">
        <f t="array" ref="G473">IFERROR(_xlfn.IFS(ISNUMBER(Table1[[#This Row],[Column3]]),Table1[[#This Row],[Column3]],Table1[[#This Row],[Column3]]="NEW",Table1[[#This Row],[Column3]]),"")</f>
        <v>113.11978689000001</v>
      </c>
      <c r="H473" s="15" cm="1">
        <f t="array" ref="H473">_xlfn.IFS(Table1[[#This Row],[Column4]]="NEW",AVERAGEIFS(Table1[Column4],Table1[Year],Table1[[#This Row],[Year]]),ISNUMBER(Table1[[#This Row],[Column4]]),Table1[[#This Row],[Column4]],Table1[[#This Row],[Column4]]="",H472*(1+Table1[[#This Row],[Ávöxtun]]))</f>
        <v>113.11978689000001</v>
      </c>
      <c r="I473" cm="1">
        <f t="array" ref="I473">_xlfn.IFS(Table1[[#This Row],[Column4]]="NEW",_xlfn.XLOOKUP(Table1[[#This Row],[Year]],$N$2:$N$27,$P$2:$P$27),ISNUMBER(Table1[[#This Row],[Column4]]),Table1[[#This Row],[Column4]],Table1[[#This Row],[Column4]]="",I472*(1+Table1[[#This Row],[Ávöxtun]]))</f>
        <v>113.11978689000001</v>
      </c>
      <c r="L473" s="33">
        <v>113.11978689000001</v>
      </c>
      <c r="M473" s="33">
        <v>113.11978689000001</v>
      </c>
    </row>
    <row r="474" spans="1:13">
      <c r="A474" t="s">
        <v>109</v>
      </c>
      <c r="B474">
        <v>2003</v>
      </c>
      <c r="C474" s="16">
        <v>0.12</v>
      </c>
      <c r="D474" s="1">
        <v>12978154</v>
      </c>
      <c r="E474" s="29">
        <f>Table1[[#This Row],[Ávöxtun]]*Table1[[#This Row],[Eignir]]/SUMIFS(Table1[Eignir],Table1[Year],Table1[[#This Row],[Year]])</f>
        <v>2.0494750835630027E-3</v>
      </c>
      <c r="F474" s="23">
        <f>IF(B474=1997, 100, IF(COUNTIF(A$1:A473,A474)=0, "NEW", F473*(1+Table1[[#This Row],[Ávöxtun]])))</f>
        <v>126.69416131680003</v>
      </c>
      <c r="G474" s="18" cm="1">
        <f t="array" ref="G474">IFERROR(_xlfn.IFS(ISNUMBER(Table1[[#This Row],[Column3]]),Table1[[#This Row],[Column3]],Table1[[#This Row],[Column3]]="NEW",Table1[[#This Row],[Column3]]),"")</f>
        <v>126.69416131680003</v>
      </c>
      <c r="H474" s="15" cm="1">
        <f t="array" ref="H474">_xlfn.IFS(Table1[[#This Row],[Column4]]="NEW",AVERAGEIFS(Table1[Column4],Table1[Year],Table1[[#This Row],[Year]]),ISNUMBER(Table1[[#This Row],[Column4]]),Table1[[#This Row],[Column4]],Table1[[#This Row],[Column4]]="",H473*(1+Table1[[#This Row],[Ávöxtun]]))</f>
        <v>126.69416131680003</v>
      </c>
      <c r="I474" cm="1">
        <f t="array" ref="I474">_xlfn.IFS(Table1[[#This Row],[Column4]]="NEW",_xlfn.XLOOKUP(Table1[[#This Row],[Year]],$N$2:$N$27,$P$2:$P$27),ISNUMBER(Table1[[#This Row],[Column4]]),Table1[[#This Row],[Column4]],Table1[[#This Row],[Column4]]="",I473*(1+Table1[[#This Row],[Ávöxtun]]))</f>
        <v>126.69416131680003</v>
      </c>
      <c r="L474" s="33">
        <v>126.69416131680003</v>
      </c>
      <c r="M474" s="33">
        <v>126.69416131680003</v>
      </c>
    </row>
    <row r="475" spans="1:13">
      <c r="A475" t="s">
        <v>109</v>
      </c>
      <c r="B475">
        <v>2004</v>
      </c>
      <c r="C475" s="16">
        <v>0.09</v>
      </c>
      <c r="D475" s="1">
        <v>15523906</v>
      </c>
      <c r="E475" s="29">
        <f>Table1[[#This Row],[Ávöxtun]]*Table1[[#This Row],[Eignir]]/SUMIFS(Table1[Eignir],Table1[Year],Table1[[#This Row],[Year]])</f>
        <v>1.5392718561830976E-3</v>
      </c>
      <c r="F475" s="23">
        <f>IF(B475=1997, 100, IF(COUNTIF(A$1:A474,A475)=0, "NEW", F474*(1+Table1[[#This Row],[Ávöxtun]])))</f>
        <v>138.09663583531204</v>
      </c>
      <c r="G475" s="18" cm="1">
        <f t="array" ref="G475">IFERROR(_xlfn.IFS(ISNUMBER(Table1[[#This Row],[Column3]]),Table1[[#This Row],[Column3]],Table1[[#This Row],[Column3]]="NEW",Table1[[#This Row],[Column3]]),"")</f>
        <v>138.09663583531204</v>
      </c>
      <c r="H475" s="15" cm="1">
        <f t="array" ref="H475">_xlfn.IFS(Table1[[#This Row],[Column4]]="NEW",AVERAGEIFS(Table1[Column4],Table1[Year],Table1[[#This Row],[Year]]),ISNUMBER(Table1[[#This Row],[Column4]]),Table1[[#This Row],[Column4]],Table1[[#This Row],[Column4]]="",H474*(1+Table1[[#This Row],[Ávöxtun]]))</f>
        <v>138.09663583531204</v>
      </c>
      <c r="I475" cm="1">
        <f t="array" ref="I475">_xlfn.IFS(Table1[[#This Row],[Column4]]="NEW",_xlfn.XLOOKUP(Table1[[#This Row],[Year]],$N$2:$N$27,$P$2:$P$27),ISNUMBER(Table1[[#This Row],[Column4]]),Table1[[#This Row],[Column4]],Table1[[#This Row],[Column4]]="",I474*(1+Table1[[#This Row],[Ávöxtun]]))</f>
        <v>138.09663583531204</v>
      </c>
      <c r="L475" s="33">
        <v>138.09663583531204</v>
      </c>
      <c r="M475" s="33">
        <v>138.09663583531204</v>
      </c>
    </row>
    <row r="476" spans="1:13">
      <c r="A476" t="s">
        <v>109</v>
      </c>
      <c r="B476">
        <v>2005</v>
      </c>
      <c r="C476" s="16">
        <v>0.14000000000000001</v>
      </c>
      <c r="D476" s="1">
        <v>18614234</v>
      </c>
      <c r="E476" s="29">
        <f>Table1[[#This Row],[Ávöxtun]]*Table1[[#This Row],[Eignir]]/SUMIFS(Table1[Eignir],Table1[Year],Table1[[#This Row],[Year]])</f>
        <v>2.324003433324198E-3</v>
      </c>
      <c r="F476" s="23">
        <f>IF(B476=1997, 100, IF(COUNTIF(A$1:A475,A476)=0, "NEW", F475*(1+Table1[[#This Row],[Ávöxtun]])))</f>
        <v>157.43016485225576</v>
      </c>
      <c r="G476" s="18" cm="1">
        <f t="array" ref="G476">IFERROR(_xlfn.IFS(ISNUMBER(Table1[[#This Row],[Column3]]),Table1[[#This Row],[Column3]],Table1[[#This Row],[Column3]]="NEW",Table1[[#This Row],[Column3]]),"")</f>
        <v>157.43016485225576</v>
      </c>
      <c r="H476" s="15" cm="1">
        <f t="array" ref="H476">_xlfn.IFS(Table1[[#This Row],[Column4]]="NEW",AVERAGEIFS(Table1[Column4],Table1[Year],Table1[[#This Row],[Year]]),ISNUMBER(Table1[[#This Row],[Column4]]),Table1[[#This Row],[Column4]],Table1[[#This Row],[Column4]]="",H475*(1+Table1[[#This Row],[Ávöxtun]]))</f>
        <v>157.43016485225576</v>
      </c>
      <c r="I476" cm="1">
        <f t="array" ref="I476">_xlfn.IFS(Table1[[#This Row],[Column4]]="NEW",_xlfn.XLOOKUP(Table1[[#This Row],[Year]],$N$2:$N$27,$P$2:$P$27),ISNUMBER(Table1[[#This Row],[Column4]]),Table1[[#This Row],[Column4]],Table1[[#This Row],[Column4]]="",I475*(1+Table1[[#This Row],[Ávöxtun]]))</f>
        <v>157.43016485225576</v>
      </c>
      <c r="L476" s="33">
        <v>157.43016485225576</v>
      </c>
      <c r="M476" s="33">
        <v>157.43016485225576</v>
      </c>
    </row>
    <row r="477" spans="1:13">
      <c r="A477" t="s">
        <v>109</v>
      </c>
      <c r="B477">
        <v>2006</v>
      </c>
      <c r="C477" s="16">
        <v>0.1109</v>
      </c>
      <c r="D477" s="1">
        <v>22367837</v>
      </c>
      <c r="E477" s="29">
        <f>Table1[[#This Row],[Ávöxtun]]*Table1[[#This Row],[Eignir]]/SUMIFS(Table1[Eignir],Table1[Year],Table1[[#This Row],[Year]])</f>
        <v>1.8071225648762879E-3</v>
      </c>
      <c r="F477" s="23">
        <f>IF(B477=1997, 100, IF(COUNTIF(A$1:A476,A477)=0, "NEW", F476*(1+Table1[[#This Row],[Ávöxtun]])))</f>
        <v>174.88917013437091</v>
      </c>
      <c r="G477" s="18" cm="1">
        <f t="array" ref="G477">IFERROR(_xlfn.IFS(ISNUMBER(Table1[[#This Row],[Column3]]),Table1[[#This Row],[Column3]],Table1[[#This Row],[Column3]]="NEW",Table1[[#This Row],[Column3]]),"")</f>
        <v>174.88917013437091</v>
      </c>
      <c r="H477" s="15" cm="1">
        <f t="array" ref="H477">_xlfn.IFS(Table1[[#This Row],[Column4]]="NEW",AVERAGEIFS(Table1[Column4],Table1[Year],Table1[[#This Row],[Year]]),ISNUMBER(Table1[[#This Row],[Column4]]),Table1[[#This Row],[Column4]],Table1[[#This Row],[Column4]]="",H476*(1+Table1[[#This Row],[Ávöxtun]]))</f>
        <v>174.88917013437091</v>
      </c>
      <c r="I477" cm="1">
        <f t="array" ref="I477">_xlfn.IFS(Table1[[#This Row],[Column4]]="NEW",_xlfn.XLOOKUP(Table1[[#This Row],[Year]],$N$2:$N$27,$P$2:$P$27),ISNUMBER(Table1[[#This Row],[Column4]]),Table1[[#This Row],[Column4]],Table1[[#This Row],[Column4]]="",I476*(1+Table1[[#This Row],[Ávöxtun]]))</f>
        <v>174.88917013437091</v>
      </c>
      <c r="L477" s="33">
        <v>174.88917013437091</v>
      </c>
      <c r="M477" s="33">
        <v>174.88917013437091</v>
      </c>
    </row>
    <row r="478" spans="1:13">
      <c r="A478" t="s">
        <v>109</v>
      </c>
      <c r="B478">
        <v>2007</v>
      </c>
      <c r="C478" s="16">
        <v>-1.47E-2</v>
      </c>
      <c r="D478" s="1">
        <v>23208801</v>
      </c>
      <c r="E478" s="29">
        <f>Table1[[#This Row],[Ávöxtun]]*Table1[[#This Row],[Eignir]]/SUMIFS(Table1[Eignir],Table1[Year],Table1[[#This Row],[Year]])</f>
        <v>-2.2062054389148164E-4</v>
      </c>
      <c r="F478" s="23">
        <f>IF(B478=1997, 100, IF(COUNTIF(A$1:A477,A478)=0, "NEW", F477*(1+Table1[[#This Row],[Ávöxtun]])))</f>
        <v>172.31829933339566</v>
      </c>
      <c r="G478" s="18" cm="1">
        <f t="array" ref="G478">IFERROR(_xlfn.IFS(ISNUMBER(Table1[[#This Row],[Column3]]),Table1[[#This Row],[Column3]],Table1[[#This Row],[Column3]]="NEW",Table1[[#This Row],[Column3]]),"")</f>
        <v>172.31829933339566</v>
      </c>
      <c r="H478" s="15" cm="1">
        <f t="array" ref="H478">_xlfn.IFS(Table1[[#This Row],[Column4]]="NEW",AVERAGEIFS(Table1[Column4],Table1[Year],Table1[[#This Row],[Year]]),ISNUMBER(Table1[[#This Row],[Column4]]),Table1[[#This Row],[Column4]],Table1[[#This Row],[Column4]]="",H477*(1+Table1[[#This Row],[Ávöxtun]]))</f>
        <v>172.31829933339566</v>
      </c>
      <c r="I478" cm="1">
        <f t="array" ref="I478">_xlfn.IFS(Table1[[#This Row],[Column4]]="NEW",_xlfn.XLOOKUP(Table1[[#This Row],[Year]],$N$2:$N$27,$P$2:$P$27),ISNUMBER(Table1[[#This Row],[Column4]]),Table1[[#This Row],[Column4]],Table1[[#This Row],[Column4]]="",I477*(1+Table1[[#This Row],[Ávöxtun]]))</f>
        <v>172.31829933339566</v>
      </c>
      <c r="L478" s="33">
        <v>172.31829933339566</v>
      </c>
      <c r="M478" s="33">
        <v>172.31829933339566</v>
      </c>
    </row>
    <row r="479" spans="1:13">
      <c r="A479" t="s">
        <v>109</v>
      </c>
      <c r="B479">
        <v>2008</v>
      </c>
      <c r="C479" s="16">
        <v>-0.26730000000000004</v>
      </c>
      <c r="D479" s="1">
        <v>21133490</v>
      </c>
      <c r="E479" s="29">
        <f>Table1[[#This Row],[Ávöxtun]]*Table1[[#This Row],[Eignir]]/SUMIFS(Table1[Eignir],Table1[Year],Table1[[#This Row],[Year]])</f>
        <v>-3.7727338125421021E-3</v>
      </c>
      <c r="F479" s="23">
        <f>IF(B479=1997, 100, IF(COUNTIF(A$1:A478,A479)=0, "NEW", F478*(1+Table1[[#This Row],[Ávöxtun]])))</f>
        <v>126.25761792157898</v>
      </c>
      <c r="G479" s="18" cm="1">
        <f t="array" ref="G479">IFERROR(_xlfn.IFS(ISNUMBER(Table1[[#This Row],[Column3]]),Table1[[#This Row],[Column3]],Table1[[#This Row],[Column3]]="NEW",Table1[[#This Row],[Column3]]),"")</f>
        <v>126.25761792157898</v>
      </c>
      <c r="H479" s="15" cm="1">
        <f t="array" ref="H479">_xlfn.IFS(Table1[[#This Row],[Column4]]="NEW",AVERAGEIFS(Table1[Column4],Table1[Year],Table1[[#This Row],[Year]]),ISNUMBER(Table1[[#This Row],[Column4]]),Table1[[#This Row],[Column4]],Table1[[#This Row],[Column4]]="",H478*(1+Table1[[#This Row],[Ávöxtun]]))</f>
        <v>126.25761792157898</v>
      </c>
      <c r="I479" cm="1">
        <f t="array" ref="I479">_xlfn.IFS(Table1[[#This Row],[Column4]]="NEW",_xlfn.XLOOKUP(Table1[[#This Row],[Year]],$N$2:$N$27,$P$2:$P$27),ISNUMBER(Table1[[#This Row],[Column4]]),Table1[[#This Row],[Column4]],Table1[[#This Row],[Column4]]="",I478*(1+Table1[[#This Row],[Ávöxtun]]))</f>
        <v>126.25761792157898</v>
      </c>
      <c r="L479" s="33">
        <v>126.25761792157898</v>
      </c>
      <c r="M479" s="33">
        <v>126.25761792157898</v>
      </c>
    </row>
    <row r="480" spans="1:13">
      <c r="A480" t="s">
        <v>109</v>
      </c>
      <c r="B480">
        <v>2009</v>
      </c>
      <c r="C480" s="16">
        <v>2.53E-2</v>
      </c>
      <c r="D480" s="1">
        <v>22965845</v>
      </c>
      <c r="E480" s="29">
        <f>Table1[[#This Row],[Ávöxtun]]*Table1[[#This Row],[Eignir]]/SUMIFS(Table1[Eignir],Table1[Year],Table1[[#This Row],[Year]])</f>
        <v>3.4828890624882987E-4</v>
      </c>
      <c r="F480" s="23">
        <f>IF(B480=1997, 100, IF(COUNTIF(A$1:A479,A480)=0, "NEW", F479*(1+Table1[[#This Row],[Ávöxtun]])))</f>
        <v>129.45193565499494</v>
      </c>
      <c r="G480" s="18" cm="1">
        <f t="array" ref="G480">IFERROR(_xlfn.IFS(ISNUMBER(Table1[[#This Row],[Column3]]),Table1[[#This Row],[Column3]],Table1[[#This Row],[Column3]]="NEW",Table1[[#This Row],[Column3]]),"")</f>
        <v>129.45193565499494</v>
      </c>
      <c r="H480" s="15" cm="1">
        <f t="array" ref="H480">_xlfn.IFS(Table1[[#This Row],[Column4]]="NEW",AVERAGEIFS(Table1[Column4],Table1[Year],Table1[[#This Row],[Year]]),ISNUMBER(Table1[[#This Row],[Column4]]),Table1[[#This Row],[Column4]],Table1[[#This Row],[Column4]]="",H479*(1+Table1[[#This Row],[Ávöxtun]]))</f>
        <v>129.45193565499494</v>
      </c>
      <c r="I480" cm="1">
        <f t="array" ref="I480">_xlfn.IFS(Table1[[#This Row],[Column4]]="NEW",_xlfn.XLOOKUP(Table1[[#This Row],[Year]],$N$2:$N$27,$P$2:$P$27),ISNUMBER(Table1[[#This Row],[Column4]]),Table1[[#This Row],[Column4]],Table1[[#This Row],[Column4]]="",I479*(1+Table1[[#This Row],[Ávöxtun]]))</f>
        <v>129.45193565499494</v>
      </c>
      <c r="L480" s="33">
        <v>129.45193565499494</v>
      </c>
      <c r="M480" s="33">
        <v>129.45193565499494</v>
      </c>
    </row>
    <row r="481" spans="1:13">
      <c r="A481" t="s">
        <v>109</v>
      </c>
      <c r="B481">
        <v>2010</v>
      </c>
      <c r="C481" s="16">
        <v>1.83E-2</v>
      </c>
      <c r="D481" s="1">
        <v>23330418</v>
      </c>
      <c r="E481" s="29">
        <f>Table1[[#This Row],[Ávöxtun]]*Table1[[#This Row],[Eignir]]/SUMIFS(Table1[Eignir],Table1[Year],Table1[[#This Row],[Year]])</f>
        <v>2.3881298763025324E-4</v>
      </c>
      <c r="F481" s="23">
        <f>IF(B481=1997, 100, IF(COUNTIF(A$1:A480,A481)=0, "NEW", F480*(1+Table1[[#This Row],[Ávöxtun]])))</f>
        <v>131.82090607748134</v>
      </c>
      <c r="G481" s="18" cm="1">
        <f t="array" ref="G481">IFERROR(_xlfn.IFS(ISNUMBER(Table1[[#This Row],[Column3]]),Table1[[#This Row],[Column3]],Table1[[#This Row],[Column3]]="NEW",Table1[[#This Row],[Column3]]),"")</f>
        <v>131.82090607748134</v>
      </c>
      <c r="H481" s="15" cm="1">
        <f t="array" ref="H481">_xlfn.IFS(Table1[[#This Row],[Column4]]="NEW",AVERAGEIFS(Table1[Column4],Table1[Year],Table1[[#This Row],[Year]]),ISNUMBER(Table1[[#This Row],[Column4]]),Table1[[#This Row],[Column4]],Table1[[#This Row],[Column4]]="",H480*(1+Table1[[#This Row],[Ávöxtun]]))</f>
        <v>131.82090607748134</v>
      </c>
      <c r="I481" cm="1">
        <f t="array" ref="I481">_xlfn.IFS(Table1[[#This Row],[Column4]]="NEW",_xlfn.XLOOKUP(Table1[[#This Row],[Year]],$N$2:$N$27,$P$2:$P$27),ISNUMBER(Table1[[#This Row],[Column4]]),Table1[[#This Row],[Column4]],Table1[[#This Row],[Column4]]="",I480*(1+Table1[[#This Row],[Ávöxtun]]))</f>
        <v>131.82090607748134</v>
      </c>
      <c r="L481" s="33">
        <v>131.82090607748134</v>
      </c>
      <c r="M481" s="33">
        <v>131.82090607748134</v>
      </c>
    </row>
    <row r="482" spans="1:13">
      <c r="A482" t="s">
        <v>109</v>
      </c>
      <c r="B482">
        <v>2011</v>
      </c>
      <c r="C482" s="16">
        <v>1.6E-2</v>
      </c>
      <c r="D482" s="1">
        <v>23806386</v>
      </c>
      <c r="E482" s="29">
        <f>Table1[[#This Row],[Ávöxtun]]*Table1[[#This Row],[Eignir]]/SUMIFS(Table1[Eignir],Table1[Year],Table1[[#This Row],[Year]])</f>
        <v>1.9527848562136019E-4</v>
      </c>
      <c r="F482" s="23">
        <f>IF(B482=1997, 100, IF(COUNTIF(A$1:A481,A482)=0, "NEW", F481*(1+Table1[[#This Row],[Ávöxtun]])))</f>
        <v>133.93004057472103</v>
      </c>
      <c r="G482" s="18" cm="1">
        <f t="array" ref="G482">IFERROR(_xlfn.IFS(ISNUMBER(Table1[[#This Row],[Column3]]),Table1[[#This Row],[Column3]],Table1[[#This Row],[Column3]]="NEW",Table1[[#This Row],[Column3]]),"")</f>
        <v>133.93004057472103</v>
      </c>
      <c r="H482" s="15" cm="1">
        <f t="array" ref="H482">_xlfn.IFS(Table1[[#This Row],[Column4]]="NEW",AVERAGEIFS(Table1[Column4],Table1[Year],Table1[[#This Row],[Year]]),ISNUMBER(Table1[[#This Row],[Column4]]),Table1[[#This Row],[Column4]],Table1[[#This Row],[Column4]]="",H481*(1+Table1[[#This Row],[Ávöxtun]]))</f>
        <v>133.93004057472103</v>
      </c>
      <c r="I482" cm="1">
        <f t="array" ref="I482">_xlfn.IFS(Table1[[#This Row],[Column4]]="NEW",_xlfn.XLOOKUP(Table1[[#This Row],[Year]],$N$2:$N$27,$P$2:$P$27),ISNUMBER(Table1[[#This Row],[Column4]]),Table1[[#This Row],[Column4]],Table1[[#This Row],[Column4]]="",I481*(1+Table1[[#This Row],[Ávöxtun]]))</f>
        <v>133.93004057472103</v>
      </c>
      <c r="L482" s="33">
        <v>133.93004057472103</v>
      </c>
      <c r="M482" s="33">
        <v>133.93004057472103</v>
      </c>
    </row>
    <row r="483" spans="1:13">
      <c r="A483" t="s">
        <v>109</v>
      </c>
      <c r="B483">
        <v>2012</v>
      </c>
      <c r="C483" s="16">
        <v>9.6000000000000002E-2</v>
      </c>
      <c r="D483" s="1">
        <v>25622182</v>
      </c>
      <c r="E483" s="29">
        <f>Table1[[#This Row],[Ávöxtun]]*Table1[[#This Row],[Eignir]]/SUMIFS(Table1[Eignir],Table1[Year],Table1[[#This Row],[Year]])</f>
        <v>1.1166158761277678E-3</v>
      </c>
      <c r="F483" s="23">
        <f>IF(B483=1997, 100, IF(COUNTIF(A$1:A482,A483)=0, "NEW", F482*(1+Table1[[#This Row],[Ávöxtun]])))</f>
        <v>146.78732446989426</v>
      </c>
      <c r="G483" s="18" cm="1">
        <f t="array" ref="G483">IFERROR(_xlfn.IFS(ISNUMBER(Table1[[#This Row],[Column3]]),Table1[[#This Row],[Column3]],Table1[[#This Row],[Column3]]="NEW",Table1[[#This Row],[Column3]]),"")</f>
        <v>146.78732446989426</v>
      </c>
      <c r="H483" s="15" cm="1">
        <f t="array" ref="H483">_xlfn.IFS(Table1[[#This Row],[Column4]]="NEW",AVERAGEIFS(Table1[Column4],Table1[Year],Table1[[#This Row],[Year]]),ISNUMBER(Table1[[#This Row],[Column4]]),Table1[[#This Row],[Column4]],Table1[[#This Row],[Column4]]="",H482*(1+Table1[[#This Row],[Ávöxtun]]))</f>
        <v>146.78732446989426</v>
      </c>
      <c r="I483" cm="1">
        <f t="array" ref="I483">_xlfn.IFS(Table1[[#This Row],[Column4]]="NEW",_xlfn.XLOOKUP(Table1[[#This Row],[Year]],$N$2:$N$27,$P$2:$P$27),ISNUMBER(Table1[[#This Row],[Column4]]),Table1[[#This Row],[Column4]],Table1[[#This Row],[Column4]]="",I482*(1+Table1[[#This Row],[Ávöxtun]]))</f>
        <v>146.78732446989426</v>
      </c>
      <c r="L483" s="33">
        <v>146.78732446989426</v>
      </c>
      <c r="M483" s="33">
        <v>146.78732446989426</v>
      </c>
    </row>
    <row r="484" spans="1:13">
      <c r="A484" t="s">
        <v>109</v>
      </c>
      <c r="B484">
        <v>2013</v>
      </c>
      <c r="C484" s="16">
        <v>7.3499999999999996E-2</v>
      </c>
      <c r="D484" s="1">
        <v>26385503</v>
      </c>
      <c r="E484" s="29">
        <f>Table1[[#This Row],[Ávöxtun]]*Table1[[#This Row],[Eignir]]/SUMIFS(Table1[Eignir],Table1[Year],Table1[[#This Row],[Year]])</f>
        <v>7.9690613970038917E-4</v>
      </c>
      <c r="F484" s="23">
        <f>IF(B484=1997, 100, IF(COUNTIF(A$1:A483,A484)=0, "NEW", F483*(1+Table1[[#This Row],[Ávöxtun]])))</f>
        <v>157.57619281843148</v>
      </c>
      <c r="G484" s="18" cm="1">
        <f t="array" ref="G484">IFERROR(_xlfn.IFS(ISNUMBER(Table1[[#This Row],[Column3]]),Table1[[#This Row],[Column3]],Table1[[#This Row],[Column3]]="NEW",Table1[[#This Row],[Column3]]),"")</f>
        <v>157.57619281843148</v>
      </c>
      <c r="H484" s="15" cm="1">
        <f t="array" ref="H484">_xlfn.IFS(Table1[[#This Row],[Column4]]="NEW",AVERAGEIFS(Table1[Column4],Table1[Year],Table1[[#This Row],[Year]]),ISNUMBER(Table1[[#This Row],[Column4]]),Table1[[#This Row],[Column4]],Table1[[#This Row],[Column4]]="",H483*(1+Table1[[#This Row],[Ávöxtun]]))</f>
        <v>157.57619281843148</v>
      </c>
      <c r="I484" cm="1">
        <f t="array" ref="I484">_xlfn.IFS(Table1[[#This Row],[Column4]]="NEW",_xlfn.XLOOKUP(Table1[[#This Row],[Year]],$N$2:$N$27,$P$2:$P$27),ISNUMBER(Table1[[#This Row],[Column4]]),Table1[[#This Row],[Column4]],Table1[[#This Row],[Column4]]="",I483*(1+Table1[[#This Row],[Ávöxtun]]))</f>
        <v>157.57619281843148</v>
      </c>
      <c r="L484" s="33">
        <v>157.57619281843148</v>
      </c>
      <c r="M484" s="33">
        <v>157.57619281843148</v>
      </c>
    </row>
    <row r="485" spans="1:13">
      <c r="A485" t="s">
        <v>109</v>
      </c>
      <c r="B485">
        <v>2014</v>
      </c>
      <c r="C485" s="16">
        <v>9.3000000000000013E-2</v>
      </c>
      <c r="D485" s="1">
        <v>27645876</v>
      </c>
      <c r="E485" s="29">
        <f>Table1[[#This Row],[Ávöxtun]]*Table1[[#This Row],[Eignir]]/SUMIFS(Table1[Eignir],Table1[Year],Table1[[#This Row],[Year]])</f>
        <v>9.6910990217803498E-4</v>
      </c>
      <c r="F485" s="23">
        <f>IF(B485=1997, 100, IF(COUNTIF(A$1:A484,A485)=0, "NEW", F484*(1+Table1[[#This Row],[Ávöxtun]])))</f>
        <v>172.2307787505456</v>
      </c>
      <c r="G485" s="18" cm="1">
        <f t="array" ref="G485">IFERROR(_xlfn.IFS(ISNUMBER(Table1[[#This Row],[Column3]]),Table1[[#This Row],[Column3]],Table1[[#This Row],[Column3]]="NEW",Table1[[#This Row],[Column3]]),"")</f>
        <v>172.2307787505456</v>
      </c>
      <c r="H485" s="15" cm="1">
        <f t="array" ref="H485">_xlfn.IFS(Table1[[#This Row],[Column4]]="NEW",AVERAGEIFS(Table1[Column4],Table1[Year],Table1[[#This Row],[Year]]),ISNUMBER(Table1[[#This Row],[Column4]]),Table1[[#This Row],[Column4]],Table1[[#This Row],[Column4]]="",H484*(1+Table1[[#This Row],[Ávöxtun]]))</f>
        <v>172.2307787505456</v>
      </c>
      <c r="I485" cm="1">
        <f t="array" ref="I485">_xlfn.IFS(Table1[[#This Row],[Column4]]="NEW",_xlfn.XLOOKUP(Table1[[#This Row],[Year]],$N$2:$N$27,$P$2:$P$27),ISNUMBER(Table1[[#This Row],[Column4]]),Table1[[#This Row],[Column4]],Table1[[#This Row],[Column4]]="",I484*(1+Table1[[#This Row],[Ávöxtun]]))</f>
        <v>172.2307787505456</v>
      </c>
      <c r="L485" s="33">
        <v>172.2307787505456</v>
      </c>
      <c r="M485" s="33">
        <v>172.2307787505456</v>
      </c>
    </row>
    <row r="486" spans="1:13">
      <c r="A486" t="s">
        <v>109</v>
      </c>
      <c r="B486">
        <v>2015</v>
      </c>
      <c r="C486" s="16">
        <v>5.0999999999999997E-2</v>
      </c>
      <c r="D486" s="1">
        <v>27883167</v>
      </c>
      <c r="E486" s="29">
        <f>Table1[[#This Row],[Ávöxtun]]*Table1[[#This Row],[Eignir]]/SUMIFS(Table1[Eignir],Table1[Year],Table1[[#This Row],[Year]])</f>
        <v>4.8019584352575683E-4</v>
      </c>
      <c r="F486" s="23">
        <f>IF(B486=1997, 100, IF(COUNTIF(A$1:A485,A486)=0, "NEW", F485*(1+Table1[[#This Row],[Ávöxtun]])))</f>
        <v>181.01454846682341</v>
      </c>
      <c r="G486" s="18" cm="1">
        <f t="array" ref="G486">IFERROR(_xlfn.IFS(ISNUMBER(Table1[[#This Row],[Column3]]),Table1[[#This Row],[Column3]],Table1[[#This Row],[Column3]]="NEW",Table1[[#This Row],[Column3]]),"")</f>
        <v>181.01454846682341</v>
      </c>
      <c r="H486" s="15" cm="1">
        <f t="array" ref="H486">_xlfn.IFS(Table1[[#This Row],[Column4]]="NEW",AVERAGEIFS(Table1[Column4],Table1[Year],Table1[[#This Row],[Year]]),ISNUMBER(Table1[[#This Row],[Column4]]),Table1[[#This Row],[Column4]],Table1[[#This Row],[Column4]]="",H485*(1+Table1[[#This Row],[Ávöxtun]]))</f>
        <v>181.01454846682341</v>
      </c>
      <c r="I486" cm="1">
        <f t="array" ref="I486">_xlfn.IFS(Table1[[#This Row],[Column4]]="NEW",_xlfn.XLOOKUP(Table1[[#This Row],[Year]],$N$2:$N$27,$P$2:$P$27),ISNUMBER(Table1[[#This Row],[Column4]]),Table1[[#This Row],[Column4]],Table1[[#This Row],[Column4]]="",I485*(1+Table1[[#This Row],[Ávöxtun]]))</f>
        <v>181.01454846682341</v>
      </c>
      <c r="L486" s="33">
        <v>181.01454846682341</v>
      </c>
      <c r="M486" s="33">
        <v>181.01454846682341</v>
      </c>
    </row>
    <row r="487" spans="1:13">
      <c r="A487" t="s">
        <v>109</v>
      </c>
      <c r="B487">
        <v>2016</v>
      </c>
      <c r="C487" s="16">
        <v>-9.7000000000000003E-3</v>
      </c>
      <c r="D487" s="1">
        <v>26626803.609999999</v>
      </c>
      <c r="E487" s="29">
        <f>Table1[[#This Row],[Ávöxtun]]*Table1[[#This Row],[Eignir]]/SUMIFS(Table1[Eignir],Table1[Year],Table1[[#This Row],[Year]])</f>
        <v>-8.0711321626595304E-5</v>
      </c>
      <c r="F487" s="23">
        <f>IF(B487=1997, 100, IF(COUNTIF(A$1:A486,A487)=0, "NEW", F486*(1+Table1[[#This Row],[Ávöxtun]])))</f>
        <v>179.25870734669522</v>
      </c>
      <c r="G487" s="18" cm="1">
        <f t="array" ref="G487">IFERROR(_xlfn.IFS(ISNUMBER(Table1[[#This Row],[Column3]]),Table1[[#This Row],[Column3]],Table1[[#This Row],[Column3]]="NEW",Table1[[#This Row],[Column3]]),"")</f>
        <v>179.25870734669522</v>
      </c>
      <c r="H487" s="15" cm="1">
        <f t="array" ref="H487">_xlfn.IFS(Table1[[#This Row],[Column4]]="NEW",AVERAGEIFS(Table1[Column4],Table1[Year],Table1[[#This Row],[Year]]),ISNUMBER(Table1[[#This Row],[Column4]]),Table1[[#This Row],[Column4]],Table1[[#This Row],[Column4]]="",H486*(1+Table1[[#This Row],[Ávöxtun]]))</f>
        <v>179.25870734669522</v>
      </c>
      <c r="I487" cm="1">
        <f t="array" ref="I487">_xlfn.IFS(Table1[[#This Row],[Column4]]="NEW",_xlfn.XLOOKUP(Table1[[#This Row],[Year]],$N$2:$N$27,$P$2:$P$27),ISNUMBER(Table1[[#This Row],[Column4]]),Table1[[#This Row],[Column4]],Table1[[#This Row],[Column4]]="",I486*(1+Table1[[#This Row],[Ávöxtun]]))</f>
        <v>179.25870734669522</v>
      </c>
      <c r="L487" s="33">
        <v>179.25870734669522</v>
      </c>
      <c r="M487" s="33">
        <v>179.25870734669522</v>
      </c>
    </row>
    <row r="488" spans="1:13">
      <c r="A488" t="s">
        <v>109</v>
      </c>
      <c r="B488">
        <v>2017</v>
      </c>
      <c r="C488" s="16">
        <v>7.2000000000000008E-2</v>
      </c>
      <c r="D488" s="1">
        <v>26839154</v>
      </c>
      <c r="E488" s="29">
        <f>Table1[[#This Row],[Ávöxtun]]*Table1[[#This Row],[Eignir]]/SUMIFS(Table1[Eignir],Table1[Year],Table1[[#This Row],[Year]])</f>
        <v>5.4294378820839444E-4</v>
      </c>
      <c r="F488" s="23">
        <f>IF(B488=1997, 100, IF(COUNTIF(A$1:A487,A488)=0, "NEW", F487*(1+Table1[[#This Row],[Ávöxtun]])))</f>
        <v>192.16533427565727</v>
      </c>
      <c r="G488" s="18" cm="1">
        <f t="array" ref="G488">IFERROR(_xlfn.IFS(ISNUMBER(Table1[[#This Row],[Column3]]),Table1[[#This Row],[Column3]],Table1[[#This Row],[Column3]]="NEW",Table1[[#This Row],[Column3]]),"")</f>
        <v>192.16533427565727</v>
      </c>
      <c r="H488" s="15" cm="1">
        <f t="array" ref="H488">_xlfn.IFS(Table1[[#This Row],[Column4]]="NEW",AVERAGEIFS(Table1[Column4],Table1[Year],Table1[[#This Row],[Year]]),ISNUMBER(Table1[[#This Row],[Column4]]),Table1[[#This Row],[Column4]],Table1[[#This Row],[Column4]]="",H487*(1+Table1[[#This Row],[Ávöxtun]]))</f>
        <v>192.16533427565727</v>
      </c>
      <c r="I488" cm="1">
        <f t="array" ref="I488">_xlfn.IFS(Table1[[#This Row],[Column4]]="NEW",_xlfn.XLOOKUP(Table1[[#This Row],[Year]],$N$2:$N$27,$P$2:$P$27),ISNUMBER(Table1[[#This Row],[Column4]]),Table1[[#This Row],[Column4]],Table1[[#This Row],[Column4]]="",I487*(1+Table1[[#This Row],[Ávöxtun]]))</f>
        <v>192.16533427565727</v>
      </c>
      <c r="L488" s="33">
        <v>192.16533427565727</v>
      </c>
      <c r="M488" s="33">
        <v>192.16533427565727</v>
      </c>
    </row>
    <row r="489" spans="1:13">
      <c r="A489" t="s">
        <v>110</v>
      </c>
      <c r="B489">
        <v>1997</v>
      </c>
      <c r="C489" s="16">
        <v>0.06</v>
      </c>
      <c r="D489" s="1">
        <v>167252.48000000001</v>
      </c>
      <c r="E489" s="29">
        <f>Table1[[#This Row],[Ávöxtun]]*Table1[[#This Row],[Eignir]]/SUMIFS(Table1[Eignir],Table1[Year],Table1[[#This Row],[Year]])</f>
        <v>2.9599996131970563E-5</v>
      </c>
      <c r="F489" s="23">
        <f>IF(B489=1997, 100, IF(COUNTIF(A$1:A488,A489)=0, "NEW", F488*(1+Table1[[#This Row],[Ávöxtun]])))</f>
        <v>100</v>
      </c>
      <c r="G489" s="18" cm="1">
        <f t="array" ref="G489">IFERROR(_xlfn.IFS(ISNUMBER(Table1[[#This Row],[Column3]]),Table1[[#This Row],[Column3]],Table1[[#This Row],[Column3]]="NEW",Table1[[#This Row],[Column3]]),"")</f>
        <v>100</v>
      </c>
      <c r="H489" s="15" cm="1">
        <f t="array" ref="H489">_xlfn.IFS(Table1[[#This Row],[Column4]]="NEW",AVERAGEIFS(Table1[Column4],Table1[Year],Table1[[#This Row],[Year]]),ISNUMBER(Table1[[#This Row],[Column4]]),Table1[[#This Row],[Column4]],Table1[[#This Row],[Column4]]="",H488*(1+Table1[[#This Row],[Ávöxtun]]))</f>
        <v>100</v>
      </c>
      <c r="I489" cm="1">
        <f t="array" ref="I489">_xlfn.IFS(Table1[[#This Row],[Column4]]="NEW",_xlfn.XLOOKUP(Table1[[#This Row],[Year]],$N$2:$N$27,$P$2:$P$27),ISNUMBER(Table1[[#This Row],[Column4]]),Table1[[#This Row],[Column4]],Table1[[#This Row],[Column4]]="",I488*(1+Table1[[#This Row],[Ávöxtun]]))</f>
        <v>100</v>
      </c>
      <c r="L489" s="33">
        <v>100</v>
      </c>
      <c r="M489" s="33">
        <v>100</v>
      </c>
    </row>
    <row r="490" spans="1:13">
      <c r="A490" t="s">
        <v>110</v>
      </c>
      <c r="B490">
        <v>1998</v>
      </c>
      <c r="C490" s="16">
        <v>0.06</v>
      </c>
      <c r="D490" s="1">
        <v>163463.51999999999</v>
      </c>
      <c r="E490" s="29">
        <f>Table1[[#This Row],[Ávöxtun]]*Table1[[#This Row],[Eignir]]/SUMIFS(Table1[Eignir],Table1[Year],Table1[[#This Row],[Year]])</f>
        <v>2.5043250560744269E-5</v>
      </c>
      <c r="F490" s="23">
        <f>IF(B490=1997, 100, IF(COUNTIF(A$1:A489,A490)=0, "NEW", F489*(1+Table1[[#This Row],[Ávöxtun]])))</f>
        <v>106</v>
      </c>
      <c r="G490" s="18" cm="1">
        <f t="array" ref="G490">IFERROR(_xlfn.IFS(ISNUMBER(Table1[[#This Row],[Column3]]),Table1[[#This Row],[Column3]],Table1[[#This Row],[Column3]]="NEW",Table1[[#This Row],[Column3]]),"")</f>
        <v>106</v>
      </c>
      <c r="H490" s="15" cm="1">
        <f t="array" ref="H490">_xlfn.IFS(Table1[[#This Row],[Column4]]="NEW",AVERAGEIFS(Table1[Column4],Table1[Year],Table1[[#This Row],[Year]]),ISNUMBER(Table1[[#This Row],[Column4]]),Table1[[#This Row],[Column4]],Table1[[#This Row],[Column4]]="",H489*(1+Table1[[#This Row],[Ávöxtun]]))</f>
        <v>106</v>
      </c>
      <c r="I490" cm="1">
        <f t="array" ref="I490">_xlfn.IFS(Table1[[#This Row],[Column4]]="NEW",_xlfn.XLOOKUP(Table1[[#This Row],[Year]],$N$2:$N$27,$P$2:$P$27),ISNUMBER(Table1[[#This Row],[Column4]]),Table1[[#This Row],[Column4]],Table1[[#This Row],[Column4]]="",I489*(1+Table1[[#This Row],[Ávöxtun]]))</f>
        <v>106</v>
      </c>
      <c r="L490" s="33">
        <v>106</v>
      </c>
      <c r="M490" s="33">
        <v>106</v>
      </c>
    </row>
    <row r="491" spans="1:13">
      <c r="A491" t="s">
        <v>110</v>
      </c>
      <c r="B491">
        <v>1999</v>
      </c>
      <c r="C491" s="16">
        <v>0.06</v>
      </c>
      <c r="D491" s="1">
        <v>165834.60999999999</v>
      </c>
      <c r="E491" s="29">
        <f>Table1[[#This Row],[Ávöxtun]]*Table1[[#This Row],[Eignir]]/SUMIFS(Table1[Eignir],Table1[Year],Table1[[#This Row],[Year]])</f>
        <v>1.9108426637788087E-5</v>
      </c>
      <c r="F491" s="23">
        <f>IF(B491=1997, 100, IF(COUNTIF(A$1:A490,A491)=0, "NEW", F490*(1+Table1[[#This Row],[Ávöxtun]])))</f>
        <v>112.36</v>
      </c>
      <c r="G491" s="18" cm="1">
        <f t="array" ref="G491">IFERROR(_xlfn.IFS(ISNUMBER(Table1[[#This Row],[Column3]]),Table1[[#This Row],[Column3]],Table1[[#This Row],[Column3]]="NEW",Table1[[#This Row],[Column3]]),"")</f>
        <v>112.36</v>
      </c>
      <c r="H491" s="15" cm="1">
        <f t="array" ref="H491">_xlfn.IFS(Table1[[#This Row],[Column4]]="NEW",AVERAGEIFS(Table1[Column4],Table1[Year],Table1[[#This Row],[Year]]),ISNUMBER(Table1[[#This Row],[Column4]]),Table1[[#This Row],[Column4]],Table1[[#This Row],[Column4]]="",H490*(1+Table1[[#This Row],[Ávöxtun]]))</f>
        <v>112.36</v>
      </c>
      <c r="I491" cm="1">
        <f t="array" ref="I491">_xlfn.IFS(Table1[[#This Row],[Column4]]="NEW",_xlfn.XLOOKUP(Table1[[#This Row],[Year]],$N$2:$N$27,$P$2:$P$27),ISNUMBER(Table1[[#This Row],[Column4]]),Table1[[#This Row],[Column4]],Table1[[#This Row],[Column4]]="",I490*(1+Table1[[#This Row],[Ávöxtun]]))</f>
        <v>112.36</v>
      </c>
      <c r="L491" s="33">
        <v>112.36</v>
      </c>
      <c r="M491" s="33">
        <v>112.36</v>
      </c>
    </row>
    <row r="492" spans="1:13">
      <c r="A492" t="s">
        <v>97</v>
      </c>
      <c r="B492">
        <v>1997</v>
      </c>
      <c r="C492" s="16">
        <v>0.06</v>
      </c>
      <c r="D492" s="1">
        <v>996815.56</v>
      </c>
      <c r="E492" s="29">
        <f>Table1[[#This Row],[Ávöxtun]]*Table1[[#This Row],[Eignir]]/SUMIFS(Table1[Eignir],Table1[Year],Table1[[#This Row],[Year]])</f>
        <v>1.7641434506853392E-4</v>
      </c>
      <c r="F492" s="23">
        <f>IF(B492=1997, 100, IF(COUNTIF(A$1:A491,A492)=0, "NEW", F491*(1+Table1[[#This Row],[Ávöxtun]])))</f>
        <v>100</v>
      </c>
      <c r="G492" s="18" cm="1">
        <f t="array" ref="G492">IFERROR(_xlfn.IFS(ISNUMBER(Table1[[#This Row],[Column3]]),Table1[[#This Row],[Column3]],Table1[[#This Row],[Column3]]="NEW",Table1[[#This Row],[Column3]]),"")</f>
        <v>100</v>
      </c>
      <c r="H492" s="15" cm="1">
        <f t="array" ref="H492">_xlfn.IFS(Table1[[#This Row],[Column4]]="NEW",AVERAGEIFS(Table1[Column4],Table1[Year],Table1[[#This Row],[Year]]),ISNUMBER(Table1[[#This Row],[Column4]]),Table1[[#This Row],[Column4]],Table1[[#This Row],[Column4]]="",H491*(1+Table1[[#This Row],[Ávöxtun]]))</f>
        <v>100</v>
      </c>
      <c r="I492" cm="1">
        <f t="array" ref="I492">_xlfn.IFS(Table1[[#This Row],[Column4]]="NEW",_xlfn.XLOOKUP(Table1[[#This Row],[Year]],$N$2:$N$27,$P$2:$P$27),ISNUMBER(Table1[[#This Row],[Column4]]),Table1[[#This Row],[Column4]],Table1[[#This Row],[Column4]]="",I491*(1+Table1[[#This Row],[Ávöxtun]]))</f>
        <v>100</v>
      </c>
      <c r="L492" s="33">
        <v>100</v>
      </c>
      <c r="M492" s="33">
        <v>100</v>
      </c>
    </row>
    <row r="493" spans="1:13">
      <c r="A493" t="s">
        <v>97</v>
      </c>
      <c r="B493">
        <v>1998</v>
      </c>
      <c r="C493" s="16">
        <v>0.06</v>
      </c>
      <c r="D493" s="1">
        <v>1059315.1499999999</v>
      </c>
      <c r="E493" s="29">
        <f>Table1[[#This Row],[Ávöxtun]]*Table1[[#This Row],[Eignir]]/SUMIFS(Table1[Eignir],Table1[Year],Table1[[#This Row],[Year]])</f>
        <v>1.6229122390269341E-4</v>
      </c>
      <c r="F493" s="23">
        <f>IF(B493=1997, 100, IF(COUNTIF(A$1:A492,A493)=0, "NEW", F492*(1+Table1[[#This Row],[Ávöxtun]])))</f>
        <v>106</v>
      </c>
      <c r="G493" s="18" cm="1">
        <f t="array" ref="G493">IFERROR(_xlfn.IFS(ISNUMBER(Table1[[#This Row],[Column3]]),Table1[[#This Row],[Column3]],Table1[[#This Row],[Column3]]="NEW",Table1[[#This Row],[Column3]]),"")</f>
        <v>106</v>
      </c>
      <c r="H493" s="15" cm="1">
        <f t="array" ref="H493">_xlfn.IFS(Table1[[#This Row],[Column4]]="NEW",AVERAGEIFS(Table1[Column4],Table1[Year],Table1[[#This Row],[Year]]),ISNUMBER(Table1[[#This Row],[Column4]]),Table1[[#This Row],[Column4]],Table1[[#This Row],[Column4]]="",H492*(1+Table1[[#This Row],[Ávöxtun]]))</f>
        <v>106</v>
      </c>
      <c r="I493" cm="1">
        <f t="array" ref="I493">_xlfn.IFS(Table1[[#This Row],[Column4]]="NEW",_xlfn.XLOOKUP(Table1[[#This Row],[Year]],$N$2:$N$27,$P$2:$P$27),ISNUMBER(Table1[[#This Row],[Column4]]),Table1[[#This Row],[Column4]],Table1[[#This Row],[Column4]]="",I492*(1+Table1[[#This Row],[Ávöxtun]]))</f>
        <v>106</v>
      </c>
      <c r="L493" s="33">
        <v>106</v>
      </c>
      <c r="M493" s="33">
        <v>106</v>
      </c>
    </row>
    <row r="494" spans="1:13">
      <c r="A494" t="s">
        <v>97</v>
      </c>
      <c r="B494">
        <v>1999</v>
      </c>
      <c r="C494" s="16">
        <v>0.09</v>
      </c>
      <c r="D494" s="1">
        <v>1161341.6599999999</v>
      </c>
      <c r="E494" s="29">
        <f>Table1[[#This Row],[Ávöxtun]]*Table1[[#This Row],[Eignir]]/SUMIFS(Table1[Eignir],Table1[Year],Table1[[#This Row],[Year]])</f>
        <v>2.0072479361983337E-4</v>
      </c>
      <c r="F494" s="23">
        <f>IF(B494=1997, 100, IF(COUNTIF(A$1:A493,A494)=0, "NEW", F493*(1+Table1[[#This Row],[Ávöxtun]])))</f>
        <v>115.54</v>
      </c>
      <c r="G494" s="18" cm="1">
        <f t="array" ref="G494">IFERROR(_xlfn.IFS(ISNUMBER(Table1[[#This Row],[Column3]]),Table1[[#This Row],[Column3]],Table1[[#This Row],[Column3]]="NEW",Table1[[#This Row],[Column3]]),"")</f>
        <v>115.54</v>
      </c>
      <c r="H494" s="15" cm="1">
        <f t="array" ref="H494">_xlfn.IFS(Table1[[#This Row],[Column4]]="NEW",AVERAGEIFS(Table1[Column4],Table1[Year],Table1[[#This Row],[Year]]),ISNUMBER(Table1[[#This Row],[Column4]]),Table1[[#This Row],[Column4]],Table1[[#This Row],[Column4]]="",H493*(1+Table1[[#This Row],[Ávöxtun]]))</f>
        <v>115.54</v>
      </c>
      <c r="I494" cm="1">
        <f t="array" ref="I494">_xlfn.IFS(Table1[[#This Row],[Column4]]="NEW",_xlfn.XLOOKUP(Table1[[#This Row],[Year]],$N$2:$N$27,$P$2:$P$27),ISNUMBER(Table1[[#This Row],[Column4]]),Table1[[#This Row],[Column4]],Table1[[#This Row],[Column4]]="",I493*(1+Table1[[#This Row],[Ávöxtun]]))</f>
        <v>115.54</v>
      </c>
      <c r="L494" s="33">
        <v>115.54</v>
      </c>
      <c r="M494" s="33">
        <v>115.54</v>
      </c>
    </row>
    <row r="495" spans="1:13">
      <c r="A495" t="s">
        <v>97</v>
      </c>
      <c r="B495">
        <v>2000</v>
      </c>
      <c r="C495" s="16">
        <v>0.03</v>
      </c>
      <c r="D495" s="1">
        <v>1195355.19</v>
      </c>
      <c r="E495" s="29">
        <f>Table1[[#This Row],[Ávöxtun]]*Table1[[#This Row],[Eignir]]/SUMIFS(Table1[Eignir],Table1[Year],Table1[[#This Row],[Year]])</f>
        <v>5.0444752755138293E-5</v>
      </c>
      <c r="F495" s="23">
        <f>IF(B495=1997, 100, IF(COUNTIF(A$1:A494,A495)=0, "NEW", F494*(1+Table1[[#This Row],[Ávöxtun]])))</f>
        <v>119.00620000000001</v>
      </c>
      <c r="G495" s="18" cm="1">
        <f t="array" ref="G495">IFERROR(_xlfn.IFS(ISNUMBER(Table1[[#This Row],[Column3]]),Table1[[#This Row],[Column3]],Table1[[#This Row],[Column3]]="NEW",Table1[[#This Row],[Column3]]),"")</f>
        <v>119.00620000000001</v>
      </c>
      <c r="H495" s="15" cm="1">
        <f t="array" ref="H495">_xlfn.IFS(Table1[[#This Row],[Column4]]="NEW",AVERAGEIFS(Table1[Column4],Table1[Year],Table1[[#This Row],[Year]]),ISNUMBER(Table1[[#This Row],[Column4]]),Table1[[#This Row],[Column4]],Table1[[#This Row],[Column4]]="",H494*(1+Table1[[#This Row],[Ávöxtun]]))</f>
        <v>119.00620000000001</v>
      </c>
      <c r="I495" cm="1">
        <f t="array" ref="I495">_xlfn.IFS(Table1[[#This Row],[Column4]]="NEW",_xlfn.XLOOKUP(Table1[[#This Row],[Year]],$N$2:$N$27,$P$2:$P$27),ISNUMBER(Table1[[#This Row],[Column4]]),Table1[[#This Row],[Column4]],Table1[[#This Row],[Column4]]="",I494*(1+Table1[[#This Row],[Ávöxtun]]))</f>
        <v>119.00620000000001</v>
      </c>
      <c r="L495" s="33">
        <v>119.00620000000001</v>
      </c>
      <c r="M495" s="33">
        <v>119.00620000000001</v>
      </c>
    </row>
    <row r="496" spans="1:13">
      <c r="A496" t="s">
        <v>97</v>
      </c>
      <c r="B496">
        <v>2001</v>
      </c>
      <c r="C496" s="16">
        <v>0.03</v>
      </c>
      <c r="D496" s="1">
        <v>1261185</v>
      </c>
      <c r="E496" s="29">
        <f>Table1[[#This Row],[Ávöxtun]]*Table1[[#This Row],[Eignir]]/SUMIFS(Table1[Eignir],Table1[Year],Table1[[#This Row],[Year]])</f>
        <v>3.2675564575950282E-5</v>
      </c>
      <c r="F496" s="23">
        <f>IF(B496=1997, 100, IF(COUNTIF(A$1:A495,A496)=0, "NEW", F495*(1+Table1[[#This Row],[Ávöxtun]])))</f>
        <v>122.57638600000001</v>
      </c>
      <c r="G496" s="18" cm="1">
        <f t="array" ref="G496">IFERROR(_xlfn.IFS(ISNUMBER(Table1[[#This Row],[Column3]]),Table1[[#This Row],[Column3]],Table1[[#This Row],[Column3]]="NEW",Table1[[#This Row],[Column3]]),"")</f>
        <v>122.57638600000001</v>
      </c>
      <c r="H496" s="15" cm="1">
        <f t="array" ref="H496">_xlfn.IFS(Table1[[#This Row],[Column4]]="NEW",AVERAGEIFS(Table1[Column4],Table1[Year],Table1[[#This Row],[Year]]),ISNUMBER(Table1[[#This Row],[Column4]]),Table1[[#This Row],[Column4]],Table1[[#This Row],[Column4]]="",H495*(1+Table1[[#This Row],[Ávöxtun]]))</f>
        <v>122.57638600000001</v>
      </c>
      <c r="I496" cm="1">
        <f t="array" ref="I496">_xlfn.IFS(Table1[[#This Row],[Column4]]="NEW",_xlfn.XLOOKUP(Table1[[#This Row],[Year]],$N$2:$N$27,$P$2:$P$27),ISNUMBER(Table1[[#This Row],[Column4]]),Table1[[#This Row],[Column4]],Table1[[#This Row],[Column4]]="",I495*(1+Table1[[#This Row],[Ávöxtun]]))</f>
        <v>122.57638600000001</v>
      </c>
      <c r="L496" s="33">
        <v>122.57638600000001</v>
      </c>
      <c r="M496" s="33">
        <v>122.57638600000001</v>
      </c>
    </row>
    <row r="497" spans="1:13">
      <c r="A497" t="s">
        <v>97</v>
      </c>
      <c r="B497">
        <v>2002</v>
      </c>
      <c r="C497" s="16">
        <v>0.03</v>
      </c>
      <c r="D497" s="1">
        <v>1252986</v>
      </c>
      <c r="E497" s="29">
        <f>Table1[[#This Row],[Ávöxtun]]*Table1[[#This Row],[Eignir]]/SUMIFS(Table1[Eignir],Table1[Year],Table1[[#This Row],[Year]])</f>
        <v>5.9180889985642372E-5</v>
      </c>
      <c r="F497" s="23">
        <f>IF(B497=1997, 100, IF(COUNTIF(A$1:A496,A497)=0, "NEW", F496*(1+Table1[[#This Row],[Ávöxtun]])))</f>
        <v>126.25367758000002</v>
      </c>
      <c r="G497" s="18" cm="1">
        <f t="array" ref="G497">IFERROR(_xlfn.IFS(ISNUMBER(Table1[[#This Row],[Column3]]),Table1[[#This Row],[Column3]],Table1[[#This Row],[Column3]]="NEW",Table1[[#This Row],[Column3]]),"")</f>
        <v>126.25367758000002</v>
      </c>
      <c r="H497" s="15" cm="1">
        <f t="array" ref="H497">_xlfn.IFS(Table1[[#This Row],[Column4]]="NEW",AVERAGEIFS(Table1[Column4],Table1[Year],Table1[[#This Row],[Year]]),ISNUMBER(Table1[[#This Row],[Column4]]),Table1[[#This Row],[Column4]],Table1[[#This Row],[Column4]]="",H496*(1+Table1[[#This Row],[Ávöxtun]]))</f>
        <v>126.25367758000002</v>
      </c>
      <c r="I497" cm="1">
        <f t="array" ref="I497">_xlfn.IFS(Table1[[#This Row],[Column4]]="NEW",_xlfn.XLOOKUP(Table1[[#This Row],[Year]],$N$2:$N$27,$P$2:$P$27),ISNUMBER(Table1[[#This Row],[Column4]]),Table1[[#This Row],[Column4]],Table1[[#This Row],[Column4]]="",I496*(1+Table1[[#This Row],[Ávöxtun]]))</f>
        <v>126.25367758000002</v>
      </c>
      <c r="L497" s="33">
        <v>126.25367758000002</v>
      </c>
      <c r="M497" s="33">
        <v>126.25367758000002</v>
      </c>
    </row>
    <row r="498" spans="1:13">
      <c r="A498" t="s">
        <v>97</v>
      </c>
      <c r="B498">
        <v>2003</v>
      </c>
      <c r="C498" s="16">
        <v>0.12</v>
      </c>
      <c r="D498" s="1">
        <v>1371428</v>
      </c>
      <c r="E498" s="29">
        <f>Table1[[#This Row],[Ávöxtun]]*Table1[[#This Row],[Eignir]]/SUMIFS(Table1[Eignir],Table1[Year],Table1[[#This Row],[Year]])</f>
        <v>2.1657221164894804E-4</v>
      </c>
      <c r="F498" s="23">
        <f>IF(B498=1997, 100, IF(COUNTIF(A$1:A497,A498)=0, "NEW", F497*(1+Table1[[#This Row],[Ávöxtun]])))</f>
        <v>141.40411888960003</v>
      </c>
      <c r="G498" s="18" cm="1">
        <f t="array" ref="G498">IFERROR(_xlfn.IFS(ISNUMBER(Table1[[#This Row],[Column3]]),Table1[[#This Row],[Column3]],Table1[[#This Row],[Column3]]="NEW",Table1[[#This Row],[Column3]]),"")</f>
        <v>141.40411888960003</v>
      </c>
      <c r="H498" s="15" cm="1">
        <f t="array" ref="H498">_xlfn.IFS(Table1[[#This Row],[Column4]]="NEW",AVERAGEIFS(Table1[Column4],Table1[Year],Table1[[#This Row],[Year]]),ISNUMBER(Table1[[#This Row],[Column4]]),Table1[[#This Row],[Column4]],Table1[[#This Row],[Column4]]="",H497*(1+Table1[[#This Row],[Ávöxtun]]))</f>
        <v>141.40411888960003</v>
      </c>
      <c r="I498" cm="1">
        <f t="array" ref="I498">_xlfn.IFS(Table1[[#This Row],[Column4]]="NEW",_xlfn.XLOOKUP(Table1[[#This Row],[Year]],$N$2:$N$27,$P$2:$P$27),ISNUMBER(Table1[[#This Row],[Column4]]),Table1[[#This Row],[Column4]],Table1[[#This Row],[Column4]]="",I497*(1+Table1[[#This Row],[Ávöxtun]]))</f>
        <v>141.40411888960003</v>
      </c>
      <c r="L498" s="33">
        <v>141.40411888960003</v>
      </c>
      <c r="M498" s="33">
        <v>141.40411888960003</v>
      </c>
    </row>
    <row r="499" spans="1:13">
      <c r="A499" t="s">
        <v>97</v>
      </c>
      <c r="B499">
        <v>2004</v>
      </c>
      <c r="C499" s="16">
        <v>0.09</v>
      </c>
      <c r="D499" s="1">
        <v>1482603</v>
      </c>
      <c r="E499" s="29">
        <f>Table1[[#This Row],[Ávöxtun]]*Table1[[#This Row],[Eignir]]/SUMIFS(Table1[Eignir],Table1[Year],Table1[[#This Row],[Year]])</f>
        <v>1.4700740083021816E-4</v>
      </c>
      <c r="F499" s="23">
        <f>IF(B499=1997, 100, IF(COUNTIF(A$1:A498,A499)=0, "NEW", F498*(1+Table1[[#This Row],[Ávöxtun]])))</f>
        <v>154.13048958966405</v>
      </c>
      <c r="G499" s="18" cm="1">
        <f t="array" ref="G499">IFERROR(_xlfn.IFS(ISNUMBER(Table1[[#This Row],[Column3]]),Table1[[#This Row],[Column3]],Table1[[#This Row],[Column3]]="NEW",Table1[[#This Row],[Column3]]),"")</f>
        <v>154.13048958966405</v>
      </c>
      <c r="H499" s="15" cm="1">
        <f t="array" ref="H499">_xlfn.IFS(Table1[[#This Row],[Column4]]="NEW",AVERAGEIFS(Table1[Column4],Table1[Year],Table1[[#This Row],[Year]]),ISNUMBER(Table1[[#This Row],[Column4]]),Table1[[#This Row],[Column4]],Table1[[#This Row],[Column4]]="",H498*(1+Table1[[#This Row],[Ávöxtun]]))</f>
        <v>154.13048958966405</v>
      </c>
      <c r="I499" cm="1">
        <f t="array" ref="I499">_xlfn.IFS(Table1[[#This Row],[Column4]]="NEW",_xlfn.XLOOKUP(Table1[[#This Row],[Year]],$N$2:$N$27,$P$2:$P$27),ISNUMBER(Table1[[#This Row],[Column4]]),Table1[[#This Row],[Column4]],Table1[[#This Row],[Column4]]="",I498*(1+Table1[[#This Row],[Ávöxtun]]))</f>
        <v>154.13048958966405</v>
      </c>
      <c r="L499" s="33">
        <v>154.13048958966405</v>
      </c>
      <c r="M499" s="33">
        <v>154.13048958966405</v>
      </c>
    </row>
    <row r="500" spans="1:13">
      <c r="A500" t="s">
        <v>97</v>
      </c>
      <c r="B500">
        <v>2005</v>
      </c>
      <c r="C500" s="16">
        <v>0.08</v>
      </c>
      <c r="D500" s="1">
        <v>1598629</v>
      </c>
      <c r="E500" s="29">
        <f>Table1[[#This Row],[Ávöxtun]]*Table1[[#This Row],[Eignir]]/SUMIFS(Table1[Eignir],Table1[Year],Table1[[#This Row],[Year]])</f>
        <v>1.1405156120576878E-4</v>
      </c>
      <c r="F500" s="23">
        <f>IF(B500=1997, 100, IF(COUNTIF(A$1:A499,A500)=0, "NEW", F499*(1+Table1[[#This Row],[Ávöxtun]])))</f>
        <v>166.46092875683718</v>
      </c>
      <c r="G500" s="18" cm="1">
        <f t="array" ref="G500">IFERROR(_xlfn.IFS(ISNUMBER(Table1[[#This Row],[Column3]]),Table1[[#This Row],[Column3]],Table1[[#This Row],[Column3]]="NEW",Table1[[#This Row],[Column3]]),"")</f>
        <v>166.46092875683718</v>
      </c>
      <c r="H500" s="15" cm="1">
        <f t="array" ref="H500">_xlfn.IFS(Table1[[#This Row],[Column4]]="NEW",AVERAGEIFS(Table1[Column4],Table1[Year],Table1[[#This Row],[Year]]),ISNUMBER(Table1[[#This Row],[Column4]]),Table1[[#This Row],[Column4]],Table1[[#This Row],[Column4]]="",H499*(1+Table1[[#This Row],[Ávöxtun]]))</f>
        <v>166.46092875683718</v>
      </c>
      <c r="I500" cm="1">
        <f t="array" ref="I500">_xlfn.IFS(Table1[[#This Row],[Column4]]="NEW",_xlfn.XLOOKUP(Table1[[#This Row],[Year]],$N$2:$N$27,$P$2:$P$27),ISNUMBER(Table1[[#This Row],[Column4]]),Table1[[#This Row],[Column4]],Table1[[#This Row],[Column4]]="",I499*(1+Table1[[#This Row],[Ávöxtun]]))</f>
        <v>166.46092875683718</v>
      </c>
      <c r="L500" s="33">
        <v>166.46092875683718</v>
      </c>
      <c r="M500" s="33">
        <v>166.46092875683718</v>
      </c>
    </row>
    <row r="501" spans="1:13">
      <c r="A501" t="s">
        <v>97</v>
      </c>
      <c r="B501">
        <v>2006</v>
      </c>
      <c r="C501" s="16">
        <v>7.4900000000000008E-2</v>
      </c>
      <c r="D501" s="1">
        <v>1769815</v>
      </c>
      <c r="E501" s="29">
        <f>Table1[[#This Row],[Ávöxtun]]*Table1[[#This Row],[Eignir]]/SUMIFS(Table1[Eignir],Table1[Year],Table1[[#This Row],[Year]])</f>
        <v>9.6569895783974141E-5</v>
      </c>
      <c r="F501" s="23">
        <f>IF(B501=1997, 100, IF(COUNTIF(A$1:A500,A501)=0, "NEW", F500*(1+Table1[[#This Row],[Ávöxtun]])))</f>
        <v>178.92885232072427</v>
      </c>
      <c r="G501" s="18" cm="1">
        <f t="array" ref="G501">IFERROR(_xlfn.IFS(ISNUMBER(Table1[[#This Row],[Column3]]),Table1[[#This Row],[Column3]],Table1[[#This Row],[Column3]]="NEW",Table1[[#This Row],[Column3]]),"")</f>
        <v>178.92885232072427</v>
      </c>
      <c r="H501" s="15" cm="1">
        <f t="array" ref="H501">_xlfn.IFS(Table1[[#This Row],[Column4]]="NEW",AVERAGEIFS(Table1[Column4],Table1[Year],Table1[[#This Row],[Year]]),ISNUMBER(Table1[[#This Row],[Column4]]),Table1[[#This Row],[Column4]],Table1[[#This Row],[Column4]]="",H500*(1+Table1[[#This Row],[Ávöxtun]]))</f>
        <v>178.92885232072427</v>
      </c>
      <c r="I501" cm="1">
        <f t="array" ref="I501">_xlfn.IFS(Table1[[#This Row],[Column4]]="NEW",_xlfn.XLOOKUP(Table1[[#This Row],[Year]],$N$2:$N$27,$P$2:$P$27),ISNUMBER(Table1[[#This Row],[Column4]]),Table1[[#This Row],[Column4]],Table1[[#This Row],[Column4]]="",I500*(1+Table1[[#This Row],[Ávöxtun]]))</f>
        <v>178.92885232072427</v>
      </c>
      <c r="L501" s="33">
        <v>178.92885232072427</v>
      </c>
      <c r="M501" s="33">
        <v>178.92885232072427</v>
      </c>
    </row>
    <row r="502" spans="1:13">
      <c r="A502" t="s">
        <v>98</v>
      </c>
      <c r="B502">
        <v>1997</v>
      </c>
      <c r="C502" s="16">
        <v>0.08</v>
      </c>
      <c r="D502" s="1">
        <v>12918896.17</v>
      </c>
      <c r="E502" s="29">
        <f>Table1[[#This Row],[Ávöxtun]]*Table1[[#This Row],[Eignir]]/SUMIFS(Table1[Eignir],Table1[Year],Table1[[#This Row],[Year]])</f>
        <v>3.0484791748086825E-3</v>
      </c>
      <c r="F502" s="23">
        <f>IF(B502=1997, 100, IF(COUNTIF(A$1:A501,A502)=0, "NEW", F501*(1+Table1[[#This Row],[Ávöxtun]])))</f>
        <v>100</v>
      </c>
      <c r="G502" s="18" cm="1">
        <f t="array" ref="G502">IFERROR(_xlfn.IFS(ISNUMBER(Table1[[#This Row],[Column3]]),Table1[[#This Row],[Column3]],Table1[[#This Row],[Column3]]="NEW",Table1[[#This Row],[Column3]]),"")</f>
        <v>100</v>
      </c>
      <c r="H502" s="15" cm="1">
        <f t="array" ref="H502">_xlfn.IFS(Table1[[#This Row],[Column4]]="NEW",AVERAGEIFS(Table1[Column4],Table1[Year],Table1[[#This Row],[Year]]),ISNUMBER(Table1[[#This Row],[Column4]]),Table1[[#This Row],[Column4]],Table1[[#This Row],[Column4]]="",H501*(1+Table1[[#This Row],[Ávöxtun]]))</f>
        <v>100</v>
      </c>
      <c r="I502" cm="1">
        <f t="array" ref="I502">_xlfn.IFS(Table1[[#This Row],[Column4]]="NEW",_xlfn.XLOOKUP(Table1[[#This Row],[Year]],$N$2:$N$27,$P$2:$P$27),ISNUMBER(Table1[[#This Row],[Column4]]),Table1[[#This Row],[Column4]],Table1[[#This Row],[Column4]]="",I501*(1+Table1[[#This Row],[Ávöxtun]]))</f>
        <v>100</v>
      </c>
      <c r="L502" s="33">
        <v>100</v>
      </c>
      <c r="M502" s="33">
        <v>100</v>
      </c>
    </row>
    <row r="503" spans="1:13">
      <c r="A503" t="s">
        <v>98</v>
      </c>
      <c r="B503">
        <v>1998</v>
      </c>
      <c r="C503" s="16">
        <v>0.1</v>
      </c>
      <c r="D503" s="1">
        <v>14831105.6</v>
      </c>
      <c r="E503" s="29">
        <f>Table1[[#This Row],[Ávöxtun]]*Table1[[#This Row],[Eignir]]/SUMIFS(Table1[Eignir],Table1[Year],Table1[[#This Row],[Year]])</f>
        <v>3.7869723025832466E-3</v>
      </c>
      <c r="F503" s="23">
        <f>IF(B503=1997, 100, IF(COUNTIF(A$1:A502,A503)=0, "NEW", F502*(1+Table1[[#This Row],[Ávöxtun]])))</f>
        <v>110.00000000000001</v>
      </c>
      <c r="G503" s="18" cm="1">
        <f t="array" ref="G503">IFERROR(_xlfn.IFS(ISNUMBER(Table1[[#This Row],[Column3]]),Table1[[#This Row],[Column3]],Table1[[#This Row],[Column3]]="NEW",Table1[[#This Row],[Column3]]),"")</f>
        <v>110.00000000000001</v>
      </c>
      <c r="H503" s="15" cm="1">
        <f t="array" ref="H503">_xlfn.IFS(Table1[[#This Row],[Column4]]="NEW",AVERAGEIFS(Table1[Column4],Table1[Year],Table1[[#This Row],[Year]]),ISNUMBER(Table1[[#This Row],[Column4]]),Table1[[#This Row],[Column4]],Table1[[#This Row],[Column4]]="",H502*(1+Table1[[#This Row],[Ávöxtun]]))</f>
        <v>110.00000000000001</v>
      </c>
      <c r="I503" cm="1">
        <f t="array" ref="I503">_xlfn.IFS(Table1[[#This Row],[Column4]]="NEW",_xlfn.XLOOKUP(Table1[[#This Row],[Year]],$N$2:$N$27,$P$2:$P$27),ISNUMBER(Table1[[#This Row],[Column4]]),Table1[[#This Row],[Column4]],Table1[[#This Row],[Column4]]="",I502*(1+Table1[[#This Row],[Ávöxtun]]))</f>
        <v>110.00000000000001</v>
      </c>
      <c r="L503" s="33">
        <v>110.00000000000001</v>
      </c>
      <c r="M503" s="33">
        <v>110.00000000000001</v>
      </c>
    </row>
    <row r="504" spans="1:13">
      <c r="A504" t="s">
        <v>98</v>
      </c>
      <c r="B504">
        <v>1999</v>
      </c>
      <c r="C504" s="16">
        <v>0.16</v>
      </c>
      <c r="D504" s="1">
        <v>18759203.879999999</v>
      </c>
      <c r="E504" s="29">
        <f>Table1[[#This Row],[Ávöxtun]]*Table1[[#This Row],[Eignir]]/SUMIFS(Table1[Eignir],Table1[Year],Table1[[#This Row],[Year]])</f>
        <v>5.7641183767254967E-3</v>
      </c>
      <c r="F504" s="23">
        <f>IF(B504=1997, 100, IF(COUNTIF(A$1:A503,A504)=0, "NEW", F503*(1+Table1[[#This Row],[Ávöxtun]])))</f>
        <v>127.60000000000001</v>
      </c>
      <c r="G504" s="18" cm="1">
        <f t="array" ref="G504">IFERROR(_xlfn.IFS(ISNUMBER(Table1[[#This Row],[Column3]]),Table1[[#This Row],[Column3]],Table1[[#This Row],[Column3]]="NEW",Table1[[#This Row],[Column3]]),"")</f>
        <v>127.60000000000001</v>
      </c>
      <c r="H504" s="15" cm="1">
        <f t="array" ref="H504">_xlfn.IFS(Table1[[#This Row],[Column4]]="NEW",AVERAGEIFS(Table1[Column4],Table1[Year],Table1[[#This Row],[Year]]),ISNUMBER(Table1[[#This Row],[Column4]]),Table1[[#This Row],[Column4]],Table1[[#This Row],[Column4]]="",H503*(1+Table1[[#This Row],[Ávöxtun]]))</f>
        <v>127.60000000000001</v>
      </c>
      <c r="I504" cm="1">
        <f t="array" ref="I504">_xlfn.IFS(Table1[[#This Row],[Column4]]="NEW",_xlfn.XLOOKUP(Table1[[#This Row],[Year]],$N$2:$N$27,$P$2:$P$27),ISNUMBER(Table1[[#This Row],[Column4]]),Table1[[#This Row],[Column4]],Table1[[#This Row],[Column4]]="",I503*(1+Table1[[#This Row],[Ávöxtun]]))</f>
        <v>127.60000000000001</v>
      </c>
      <c r="L504" s="33">
        <v>127.60000000000001</v>
      </c>
      <c r="M504" s="33">
        <v>127.60000000000001</v>
      </c>
    </row>
    <row r="505" spans="1:13">
      <c r="A505" t="s">
        <v>98</v>
      </c>
      <c r="B505">
        <v>2000</v>
      </c>
      <c r="C505" s="16">
        <v>-0.03</v>
      </c>
      <c r="D505" s="1">
        <v>19525603.260000002</v>
      </c>
      <c r="E505" s="29">
        <f>Table1[[#This Row],[Ávöxtun]]*Table1[[#This Row],[Eignir]]/SUMIFS(Table1[Eignir],Table1[Year],Table1[[#This Row],[Year]])</f>
        <v>-8.2399293288350748E-4</v>
      </c>
      <c r="F505" s="23">
        <f>IF(B505=1997, 100, IF(COUNTIF(A$1:A504,A505)=0, "NEW", F504*(1+Table1[[#This Row],[Ávöxtun]])))</f>
        <v>123.77200000000001</v>
      </c>
      <c r="G505" s="18" cm="1">
        <f t="array" ref="G505">IFERROR(_xlfn.IFS(ISNUMBER(Table1[[#This Row],[Column3]]),Table1[[#This Row],[Column3]],Table1[[#This Row],[Column3]]="NEW",Table1[[#This Row],[Column3]]),"")</f>
        <v>123.77200000000001</v>
      </c>
      <c r="H505" s="15" cm="1">
        <f t="array" ref="H505">_xlfn.IFS(Table1[[#This Row],[Column4]]="NEW",AVERAGEIFS(Table1[Column4],Table1[Year],Table1[[#This Row],[Year]]),ISNUMBER(Table1[[#This Row],[Column4]]),Table1[[#This Row],[Column4]],Table1[[#This Row],[Column4]]="",H504*(1+Table1[[#This Row],[Ávöxtun]]))</f>
        <v>123.77200000000001</v>
      </c>
      <c r="I505" cm="1">
        <f t="array" ref="I505">_xlfn.IFS(Table1[[#This Row],[Column4]]="NEW",_xlfn.XLOOKUP(Table1[[#This Row],[Year]],$N$2:$N$27,$P$2:$P$27),ISNUMBER(Table1[[#This Row],[Column4]]),Table1[[#This Row],[Column4]],Table1[[#This Row],[Column4]]="",I504*(1+Table1[[#This Row],[Ávöxtun]]))</f>
        <v>123.77200000000001</v>
      </c>
      <c r="L505" s="33">
        <v>123.77200000000001</v>
      </c>
      <c r="M505" s="33">
        <v>123.77200000000001</v>
      </c>
    </row>
    <row r="506" spans="1:13">
      <c r="A506" t="s">
        <v>98</v>
      </c>
      <c r="B506">
        <v>2001</v>
      </c>
      <c r="C506" s="16">
        <v>-0.04</v>
      </c>
      <c r="D506" s="1">
        <v>56446787</v>
      </c>
      <c r="E506" s="29">
        <f>Table1[[#This Row],[Ávöxtun]]*Table1[[#This Row],[Eignir]]/SUMIFS(Table1[Eignir],Table1[Year],Table1[[#This Row],[Year]])</f>
        <v>-1.9499445719419024E-3</v>
      </c>
      <c r="F506" s="23">
        <f>IF(B506=1997, 100, IF(COUNTIF(A$1:A505,A506)=0, "NEW", F505*(1+Table1[[#This Row],[Ávöxtun]])))</f>
        <v>118.82112000000001</v>
      </c>
      <c r="G506" s="18" cm="1">
        <f t="array" ref="G506">IFERROR(_xlfn.IFS(ISNUMBER(Table1[[#This Row],[Column3]]),Table1[[#This Row],[Column3]],Table1[[#This Row],[Column3]]="NEW",Table1[[#This Row],[Column3]]),"")</f>
        <v>118.82112000000001</v>
      </c>
      <c r="H506" s="15" cm="1">
        <f t="array" ref="H506">_xlfn.IFS(Table1[[#This Row],[Column4]]="NEW",AVERAGEIFS(Table1[Column4],Table1[Year],Table1[[#This Row],[Year]]),ISNUMBER(Table1[[#This Row],[Column4]]),Table1[[#This Row],[Column4]],Table1[[#This Row],[Column4]]="",H505*(1+Table1[[#This Row],[Ávöxtun]]))</f>
        <v>118.82112000000001</v>
      </c>
      <c r="I506" cm="1">
        <f t="array" ref="I506">_xlfn.IFS(Table1[[#This Row],[Column4]]="NEW",_xlfn.XLOOKUP(Table1[[#This Row],[Year]],$N$2:$N$27,$P$2:$P$27),ISNUMBER(Table1[[#This Row],[Column4]]),Table1[[#This Row],[Column4]],Table1[[#This Row],[Column4]]="",I505*(1+Table1[[#This Row],[Ávöxtun]]))</f>
        <v>118.82112000000001</v>
      </c>
      <c r="L506" s="33">
        <v>118.82112000000001</v>
      </c>
      <c r="M506" s="33">
        <v>118.82112000000001</v>
      </c>
    </row>
    <row r="507" spans="1:13">
      <c r="A507" t="s">
        <v>98</v>
      </c>
      <c r="B507">
        <v>2002</v>
      </c>
      <c r="C507" s="16">
        <v>-0.02</v>
      </c>
      <c r="D507" s="1">
        <v>27968753</v>
      </c>
      <c r="E507" s="29">
        <f>Table1[[#This Row],[Ávöxtun]]*Table1[[#This Row],[Eignir]]/SUMIFS(Table1[Eignir],Table1[Year],Table1[[#This Row],[Year]])</f>
        <v>-8.8067794017842444E-4</v>
      </c>
      <c r="F507" s="23">
        <f>IF(B507=1997, 100, IF(COUNTIF(A$1:A506,A507)=0, "NEW", F506*(1+Table1[[#This Row],[Ávöxtun]])))</f>
        <v>116.44469760000001</v>
      </c>
      <c r="G507" s="18" cm="1">
        <f t="array" ref="G507">IFERROR(_xlfn.IFS(ISNUMBER(Table1[[#This Row],[Column3]]),Table1[[#This Row],[Column3]],Table1[[#This Row],[Column3]]="NEW",Table1[[#This Row],[Column3]]),"")</f>
        <v>116.44469760000001</v>
      </c>
      <c r="H507" s="15" cm="1">
        <f t="array" ref="H507">_xlfn.IFS(Table1[[#This Row],[Column4]]="NEW",AVERAGEIFS(Table1[Column4],Table1[Year],Table1[[#This Row],[Year]]),ISNUMBER(Table1[[#This Row],[Column4]]),Table1[[#This Row],[Column4]],Table1[[#This Row],[Column4]]="",H506*(1+Table1[[#This Row],[Ávöxtun]]))</f>
        <v>116.44469760000001</v>
      </c>
      <c r="I507" cm="1">
        <f t="array" ref="I507">_xlfn.IFS(Table1[[#This Row],[Column4]]="NEW",_xlfn.XLOOKUP(Table1[[#This Row],[Year]],$N$2:$N$27,$P$2:$P$27),ISNUMBER(Table1[[#This Row],[Column4]]),Table1[[#This Row],[Column4]],Table1[[#This Row],[Column4]]="",I506*(1+Table1[[#This Row],[Ávöxtun]]))</f>
        <v>116.44469760000001</v>
      </c>
      <c r="L507" s="33">
        <v>116.44469760000001</v>
      </c>
      <c r="M507" s="33">
        <v>116.44469760000001</v>
      </c>
    </row>
    <row r="508" spans="1:13">
      <c r="A508" t="s">
        <v>98</v>
      </c>
      <c r="B508">
        <v>2003</v>
      </c>
      <c r="C508" s="16">
        <v>0.09</v>
      </c>
      <c r="D508" s="1">
        <v>32242102</v>
      </c>
      <c r="E508" s="29">
        <f>Table1[[#This Row],[Ávöxtun]]*Table1[[#This Row],[Eignir]]/SUMIFS(Table1[Eignir],Table1[Year],Table1[[#This Row],[Year]])</f>
        <v>3.8186893542812511E-3</v>
      </c>
      <c r="F508" s="23">
        <f>IF(B508=1997, 100, IF(COUNTIF(A$1:A507,A508)=0, "NEW", F507*(1+Table1[[#This Row],[Ávöxtun]])))</f>
        <v>126.92472038400003</v>
      </c>
      <c r="G508" s="18" cm="1">
        <f t="array" ref="G508">IFERROR(_xlfn.IFS(ISNUMBER(Table1[[#This Row],[Column3]]),Table1[[#This Row],[Column3]],Table1[[#This Row],[Column3]]="NEW",Table1[[#This Row],[Column3]]),"")</f>
        <v>126.92472038400003</v>
      </c>
      <c r="H508" s="15" cm="1">
        <f t="array" ref="H508">_xlfn.IFS(Table1[[#This Row],[Column4]]="NEW",AVERAGEIFS(Table1[Column4],Table1[Year],Table1[[#This Row],[Year]]),ISNUMBER(Table1[[#This Row],[Column4]]),Table1[[#This Row],[Column4]],Table1[[#This Row],[Column4]]="",H507*(1+Table1[[#This Row],[Ávöxtun]]))</f>
        <v>126.92472038400003</v>
      </c>
      <c r="I508" cm="1">
        <f t="array" ref="I508">_xlfn.IFS(Table1[[#This Row],[Column4]]="NEW",_xlfn.XLOOKUP(Table1[[#This Row],[Year]],$N$2:$N$27,$P$2:$P$27),ISNUMBER(Table1[[#This Row],[Column4]]),Table1[[#This Row],[Column4]],Table1[[#This Row],[Column4]]="",I507*(1+Table1[[#This Row],[Ávöxtun]]))</f>
        <v>126.92472038400003</v>
      </c>
      <c r="L508" s="33">
        <v>126.92472038400003</v>
      </c>
      <c r="M508" s="33">
        <v>126.92472038400003</v>
      </c>
    </row>
    <row r="509" spans="1:13">
      <c r="A509" t="s">
        <v>98</v>
      </c>
      <c r="B509">
        <v>2004</v>
      </c>
      <c r="C509" s="16">
        <v>0.13</v>
      </c>
      <c r="D509" s="1">
        <v>38019390.359999999</v>
      </c>
      <c r="E509" s="29">
        <f>Table1[[#This Row],[Ávöxtun]]*Table1[[#This Row],[Eignir]]/SUMIFS(Table1[Eignir],Table1[Year],Table1[[#This Row],[Year]])</f>
        <v>5.4452812499854565E-3</v>
      </c>
      <c r="F509" s="23">
        <f>IF(B509=1997, 100, IF(COUNTIF(A$1:A508,A509)=0, "NEW", F508*(1+Table1[[#This Row],[Ávöxtun]])))</f>
        <v>143.42493403392001</v>
      </c>
      <c r="G509" s="18" cm="1">
        <f t="array" ref="G509">IFERROR(_xlfn.IFS(ISNUMBER(Table1[[#This Row],[Column3]]),Table1[[#This Row],[Column3]],Table1[[#This Row],[Column3]]="NEW",Table1[[#This Row],[Column3]]),"")</f>
        <v>143.42493403392001</v>
      </c>
      <c r="H509" s="15" cm="1">
        <f t="array" ref="H509">_xlfn.IFS(Table1[[#This Row],[Column4]]="NEW",AVERAGEIFS(Table1[Column4],Table1[Year],Table1[[#This Row],[Year]]),ISNUMBER(Table1[[#This Row],[Column4]]),Table1[[#This Row],[Column4]],Table1[[#This Row],[Column4]]="",H508*(1+Table1[[#This Row],[Ávöxtun]]))</f>
        <v>143.42493403392001</v>
      </c>
      <c r="I509" cm="1">
        <f t="array" ref="I509">_xlfn.IFS(Table1[[#This Row],[Column4]]="NEW",_xlfn.XLOOKUP(Table1[[#This Row],[Year]],$N$2:$N$27,$P$2:$P$27),ISNUMBER(Table1[[#This Row],[Column4]]),Table1[[#This Row],[Column4]],Table1[[#This Row],[Column4]]="",I508*(1+Table1[[#This Row],[Ávöxtun]]))</f>
        <v>143.42493403392001</v>
      </c>
      <c r="L509" s="33">
        <v>143.42493403392001</v>
      </c>
      <c r="M509" s="33">
        <v>143.42493403392001</v>
      </c>
    </row>
    <row r="510" spans="1:13">
      <c r="A510" t="s">
        <v>98</v>
      </c>
      <c r="B510">
        <v>2005</v>
      </c>
      <c r="C510" s="16">
        <v>0.14000000000000001</v>
      </c>
      <c r="D510" s="1">
        <v>46325670</v>
      </c>
      <c r="E510" s="29">
        <f>Table1[[#This Row],[Ávöxtun]]*Table1[[#This Row],[Eignir]]/SUMIFS(Table1[Eignir],Table1[Year],Table1[[#This Row],[Year]])</f>
        <v>5.7838005115356242E-3</v>
      </c>
      <c r="F510" s="23">
        <f>IF(B510=1997, 100, IF(COUNTIF(A$1:A509,A510)=0, "NEW", F509*(1+Table1[[#This Row],[Ávöxtun]])))</f>
        <v>163.50442479866882</v>
      </c>
      <c r="G510" s="18" cm="1">
        <f t="array" ref="G510">IFERROR(_xlfn.IFS(ISNUMBER(Table1[[#This Row],[Column3]]),Table1[[#This Row],[Column3]],Table1[[#This Row],[Column3]]="NEW",Table1[[#This Row],[Column3]]),"")</f>
        <v>163.50442479866882</v>
      </c>
      <c r="H510" s="15" cm="1">
        <f t="array" ref="H510">_xlfn.IFS(Table1[[#This Row],[Column4]]="NEW",AVERAGEIFS(Table1[Column4],Table1[Year],Table1[[#This Row],[Year]]),ISNUMBER(Table1[[#This Row],[Column4]]),Table1[[#This Row],[Column4]],Table1[[#This Row],[Column4]]="",H509*(1+Table1[[#This Row],[Ávöxtun]]))</f>
        <v>163.50442479866882</v>
      </c>
      <c r="I510" cm="1">
        <f t="array" ref="I510">_xlfn.IFS(Table1[[#This Row],[Column4]]="NEW",_xlfn.XLOOKUP(Table1[[#This Row],[Year]],$N$2:$N$27,$P$2:$P$27),ISNUMBER(Table1[[#This Row],[Column4]]),Table1[[#This Row],[Column4]],Table1[[#This Row],[Column4]]="",I509*(1+Table1[[#This Row],[Ávöxtun]]))</f>
        <v>163.50442479866882</v>
      </c>
      <c r="L510" s="33">
        <v>163.50442479866882</v>
      </c>
      <c r="M510" s="33">
        <v>163.50442479866882</v>
      </c>
    </row>
    <row r="511" spans="1:13">
      <c r="A511" t="s">
        <v>98</v>
      </c>
      <c r="B511">
        <v>2006</v>
      </c>
      <c r="C511" s="16">
        <v>8.6400000000000005E-2</v>
      </c>
      <c r="D511" s="1">
        <v>55126217</v>
      </c>
      <c r="E511" s="29">
        <f>Table1[[#This Row],[Ávöxtun]]*Table1[[#This Row],[Eignir]]/SUMIFS(Table1[Eignir],Table1[Year],Table1[[#This Row],[Year]])</f>
        <v>3.4697965127435354E-3</v>
      </c>
      <c r="F511" s="23">
        <f>IF(B511=1997, 100, IF(COUNTIF(A$1:A510,A511)=0, "NEW", F510*(1+Table1[[#This Row],[Ávöxtun]])))</f>
        <v>177.63120710127382</v>
      </c>
      <c r="G511" s="18" cm="1">
        <f t="array" ref="G511">IFERROR(_xlfn.IFS(ISNUMBER(Table1[[#This Row],[Column3]]),Table1[[#This Row],[Column3]],Table1[[#This Row],[Column3]]="NEW",Table1[[#This Row],[Column3]]),"")</f>
        <v>177.63120710127382</v>
      </c>
      <c r="H511" s="15" cm="1">
        <f t="array" ref="H511">_xlfn.IFS(Table1[[#This Row],[Column4]]="NEW",AVERAGEIFS(Table1[Column4],Table1[Year],Table1[[#This Row],[Year]]),ISNUMBER(Table1[[#This Row],[Column4]]),Table1[[#This Row],[Column4]],Table1[[#This Row],[Column4]]="",H510*(1+Table1[[#This Row],[Ávöxtun]]))</f>
        <v>177.63120710127382</v>
      </c>
      <c r="I511" cm="1">
        <f t="array" ref="I511">_xlfn.IFS(Table1[[#This Row],[Column4]]="NEW",_xlfn.XLOOKUP(Table1[[#This Row],[Year]],$N$2:$N$27,$P$2:$P$27),ISNUMBER(Table1[[#This Row],[Column4]]),Table1[[#This Row],[Column4]],Table1[[#This Row],[Column4]]="",I510*(1+Table1[[#This Row],[Ávöxtun]]))</f>
        <v>177.63120710127382</v>
      </c>
      <c r="L511" s="33">
        <v>177.63120710127382</v>
      </c>
      <c r="M511" s="33">
        <v>177.63120710127382</v>
      </c>
    </row>
    <row r="512" spans="1:13">
      <c r="A512" t="s">
        <v>141</v>
      </c>
      <c r="B512">
        <v>1997</v>
      </c>
      <c r="C512" s="16">
        <v>0</v>
      </c>
      <c r="D512" s="1">
        <v>9495.1</v>
      </c>
      <c r="E512" s="29">
        <f>Table1[[#This Row],[Ávöxtun]]*Table1[[#This Row],[Eignir]]/SUMIFS(Table1[Eignir],Table1[Year],Table1[[#This Row],[Year]])</f>
        <v>0</v>
      </c>
      <c r="F512" s="23">
        <f>IF(B512=1997, 100, IF(COUNTIF(A$1:A511,A512)=0, "NEW", F511*(1+Table1[[#This Row],[Ávöxtun]])))</f>
        <v>100</v>
      </c>
      <c r="G512" s="18" cm="1">
        <f t="array" ref="G512">IFERROR(_xlfn.IFS(ISNUMBER(Table1[[#This Row],[Column3]]),Table1[[#This Row],[Column3]],Table1[[#This Row],[Column3]]="NEW",Table1[[#This Row],[Column3]]),"")</f>
        <v>100</v>
      </c>
      <c r="H512" s="15" cm="1">
        <f t="array" ref="H512">_xlfn.IFS(Table1[[#This Row],[Column4]]="NEW",AVERAGEIFS(Table1[Column4],Table1[Year],Table1[[#This Row],[Year]]),ISNUMBER(Table1[[#This Row],[Column4]]),Table1[[#This Row],[Column4]],Table1[[#This Row],[Column4]]="",H511*(1+Table1[[#This Row],[Ávöxtun]]))</f>
        <v>100</v>
      </c>
      <c r="I512" cm="1">
        <f t="array" ref="I512">_xlfn.IFS(Table1[[#This Row],[Column4]]="NEW",_xlfn.XLOOKUP(Table1[[#This Row],[Year]],$N$2:$N$27,$P$2:$P$27),ISNUMBER(Table1[[#This Row],[Column4]]),Table1[[#This Row],[Column4]],Table1[[#This Row],[Column4]]="",I511*(1+Table1[[#This Row],[Ávöxtun]]))</f>
        <v>100</v>
      </c>
      <c r="L512" s="33">
        <v>100</v>
      </c>
      <c r="M512" s="33">
        <v>100</v>
      </c>
    </row>
    <row r="513" spans="1:13">
      <c r="A513" t="s">
        <v>141</v>
      </c>
      <c r="B513">
        <v>1998</v>
      </c>
      <c r="C513" s="16">
        <v>0</v>
      </c>
      <c r="D513" s="1">
        <v>6062.53</v>
      </c>
      <c r="E513" s="29">
        <f>Table1[[#This Row],[Ávöxtun]]*Table1[[#This Row],[Eignir]]/SUMIFS(Table1[Eignir],Table1[Year],Table1[[#This Row],[Year]])</f>
        <v>0</v>
      </c>
      <c r="F513" s="23">
        <f>IF(B513=1997, 100, IF(COUNTIF(A$1:A512,A513)=0, "NEW", F512*(1+Table1[[#This Row],[Ávöxtun]])))</f>
        <v>100</v>
      </c>
      <c r="G513" s="18" cm="1">
        <f t="array" ref="G513">IFERROR(_xlfn.IFS(ISNUMBER(Table1[[#This Row],[Column3]]),Table1[[#This Row],[Column3]],Table1[[#This Row],[Column3]]="NEW",Table1[[#This Row],[Column3]]),"")</f>
        <v>100</v>
      </c>
      <c r="H513" s="15" cm="1">
        <f t="array" ref="H513">_xlfn.IFS(Table1[[#This Row],[Column4]]="NEW",AVERAGEIFS(Table1[Column4],Table1[Year],Table1[[#This Row],[Year]]),ISNUMBER(Table1[[#This Row],[Column4]]),Table1[[#This Row],[Column4]],Table1[[#This Row],[Column4]]="",H512*(1+Table1[[#This Row],[Ávöxtun]]))</f>
        <v>100</v>
      </c>
      <c r="I513" cm="1">
        <f t="array" ref="I513">_xlfn.IFS(Table1[[#This Row],[Column4]]="NEW",_xlfn.XLOOKUP(Table1[[#This Row],[Year]],$N$2:$N$27,$P$2:$P$27),ISNUMBER(Table1[[#This Row],[Column4]]),Table1[[#This Row],[Column4]],Table1[[#This Row],[Column4]]="",I512*(1+Table1[[#This Row],[Ávöxtun]]))</f>
        <v>100</v>
      </c>
      <c r="L513" s="33">
        <v>100</v>
      </c>
      <c r="M513" s="33">
        <v>100</v>
      </c>
    </row>
    <row r="514" spans="1:13">
      <c r="A514" t="s">
        <v>99</v>
      </c>
      <c r="B514">
        <v>1997</v>
      </c>
      <c r="C514" s="16">
        <v>0.05</v>
      </c>
      <c r="D514" s="1">
        <v>1267436.26</v>
      </c>
      <c r="E514" s="29">
        <f>Table1[[#This Row],[Ávöxtun]]*Table1[[#This Row],[Eignir]]/SUMIFS(Table1[Eignir],Table1[Year],Table1[[#This Row],[Year]])</f>
        <v>1.8692352819680777E-4</v>
      </c>
      <c r="F514" s="23">
        <f>IF(B514=1997, 100, IF(COUNTIF(A$1:A513,A514)=0, "NEW", F513*(1+Table1[[#This Row],[Ávöxtun]])))</f>
        <v>100</v>
      </c>
      <c r="G514" s="18" cm="1">
        <f t="array" ref="G514">IFERROR(_xlfn.IFS(ISNUMBER(Table1[[#This Row],[Column3]]),Table1[[#This Row],[Column3]],Table1[[#This Row],[Column3]]="NEW",Table1[[#This Row],[Column3]]),"")</f>
        <v>100</v>
      </c>
      <c r="H514" s="15" cm="1">
        <f t="array" ref="H514">_xlfn.IFS(Table1[[#This Row],[Column4]]="NEW",AVERAGEIFS(Table1[Column4],Table1[Year],Table1[[#This Row],[Year]]),ISNUMBER(Table1[[#This Row],[Column4]]),Table1[[#This Row],[Column4]],Table1[[#This Row],[Column4]]="",H513*(1+Table1[[#This Row],[Ávöxtun]]))</f>
        <v>100</v>
      </c>
      <c r="I514" cm="1">
        <f t="array" ref="I514">_xlfn.IFS(Table1[[#This Row],[Column4]]="NEW",_xlfn.XLOOKUP(Table1[[#This Row],[Year]],$N$2:$N$27,$P$2:$P$27),ISNUMBER(Table1[[#This Row],[Column4]]),Table1[[#This Row],[Column4]],Table1[[#This Row],[Column4]]="",I513*(1+Table1[[#This Row],[Ávöxtun]]))</f>
        <v>100</v>
      </c>
      <c r="L514" s="33">
        <v>100</v>
      </c>
      <c r="M514" s="33">
        <v>100</v>
      </c>
    </row>
    <row r="515" spans="1:13">
      <c r="A515" t="s">
        <v>99</v>
      </c>
      <c r="B515">
        <v>1998</v>
      </c>
      <c r="C515" s="16">
        <v>0.06</v>
      </c>
      <c r="D515" s="1">
        <v>1417601.36</v>
      </c>
      <c r="E515" s="29">
        <f>Table1[[#This Row],[Ávöxtun]]*Table1[[#This Row],[Eignir]]/SUMIFS(Table1[Eignir],Table1[Year],Table1[[#This Row],[Year]])</f>
        <v>2.1718207251215346E-4</v>
      </c>
      <c r="F515" s="23">
        <f>IF(B515=1997, 100, IF(COUNTIF(A$1:A514,A515)=0, "NEW", F514*(1+Table1[[#This Row],[Ávöxtun]])))</f>
        <v>106</v>
      </c>
      <c r="G515" s="18" cm="1">
        <f t="array" ref="G515">IFERROR(_xlfn.IFS(ISNUMBER(Table1[[#This Row],[Column3]]),Table1[[#This Row],[Column3]],Table1[[#This Row],[Column3]]="NEW",Table1[[#This Row],[Column3]]),"")</f>
        <v>106</v>
      </c>
      <c r="H515" s="15" cm="1">
        <f t="array" ref="H515">_xlfn.IFS(Table1[[#This Row],[Column4]]="NEW",AVERAGEIFS(Table1[Column4],Table1[Year],Table1[[#This Row],[Year]]),ISNUMBER(Table1[[#This Row],[Column4]]),Table1[[#This Row],[Column4]],Table1[[#This Row],[Column4]]="",H514*(1+Table1[[#This Row],[Ávöxtun]]))</f>
        <v>106</v>
      </c>
      <c r="I515" cm="1">
        <f t="array" ref="I515">_xlfn.IFS(Table1[[#This Row],[Column4]]="NEW",_xlfn.XLOOKUP(Table1[[#This Row],[Year]],$N$2:$N$27,$P$2:$P$27),ISNUMBER(Table1[[#This Row],[Column4]]),Table1[[#This Row],[Column4]],Table1[[#This Row],[Column4]]="",I514*(1+Table1[[#This Row],[Ávöxtun]]))</f>
        <v>106</v>
      </c>
      <c r="L515" s="33">
        <v>106</v>
      </c>
      <c r="M515" s="33">
        <v>106</v>
      </c>
    </row>
    <row r="516" spans="1:13">
      <c r="A516" t="s">
        <v>99</v>
      </c>
      <c r="B516">
        <v>1999</v>
      </c>
      <c r="C516" s="16">
        <v>0.05</v>
      </c>
      <c r="D516" s="1">
        <v>1646109.34</v>
      </c>
      <c r="E516" s="29">
        <f>Table1[[#This Row],[Ávöxtun]]*Table1[[#This Row],[Eignir]]/SUMIFS(Table1[Eignir],Table1[Year],Table1[[#This Row],[Year]])</f>
        <v>1.5806189653438333E-4</v>
      </c>
      <c r="F516" s="23">
        <f>IF(B516=1997, 100, IF(COUNTIF(A$1:A515,A516)=0, "NEW", F515*(1+Table1[[#This Row],[Ávöxtun]])))</f>
        <v>111.30000000000001</v>
      </c>
      <c r="G516" s="18" cm="1">
        <f t="array" ref="G516">IFERROR(_xlfn.IFS(ISNUMBER(Table1[[#This Row],[Column3]]),Table1[[#This Row],[Column3]],Table1[[#This Row],[Column3]]="NEW",Table1[[#This Row],[Column3]]),"")</f>
        <v>111.30000000000001</v>
      </c>
      <c r="H516" s="15" cm="1">
        <f t="array" ref="H516">_xlfn.IFS(Table1[[#This Row],[Column4]]="NEW",AVERAGEIFS(Table1[Column4],Table1[Year],Table1[[#This Row],[Year]]),ISNUMBER(Table1[[#This Row],[Column4]]),Table1[[#This Row],[Column4]],Table1[[#This Row],[Column4]]="",H515*(1+Table1[[#This Row],[Ávöxtun]]))</f>
        <v>111.30000000000001</v>
      </c>
      <c r="I516" cm="1">
        <f t="array" ref="I516">_xlfn.IFS(Table1[[#This Row],[Column4]]="NEW",_xlfn.XLOOKUP(Table1[[#This Row],[Year]],$N$2:$N$27,$P$2:$P$27),ISNUMBER(Table1[[#This Row],[Column4]]),Table1[[#This Row],[Column4]],Table1[[#This Row],[Column4]]="",I515*(1+Table1[[#This Row],[Ávöxtun]]))</f>
        <v>111.30000000000001</v>
      </c>
      <c r="L516" s="33">
        <v>111.30000000000001</v>
      </c>
      <c r="M516" s="33">
        <v>111.30000000000001</v>
      </c>
    </row>
    <row r="517" spans="1:13">
      <c r="A517" t="s">
        <v>99</v>
      </c>
      <c r="B517">
        <v>2000</v>
      </c>
      <c r="C517" s="16">
        <v>0.03</v>
      </c>
      <c r="D517" s="1">
        <v>1875408.81</v>
      </c>
      <c r="E517" s="29">
        <f>Table1[[#This Row],[Ávöxtun]]*Table1[[#This Row],[Eignir]]/SUMIFS(Table1[Eignir],Table1[Year],Table1[[#This Row],[Year]])</f>
        <v>7.91434500194525E-5</v>
      </c>
      <c r="F517" s="23">
        <f>IF(B517=1997, 100, IF(COUNTIF(A$1:A516,A517)=0, "NEW", F516*(1+Table1[[#This Row],[Ávöxtun]])))</f>
        <v>114.63900000000001</v>
      </c>
      <c r="G517" s="18" cm="1">
        <f t="array" ref="G517">IFERROR(_xlfn.IFS(ISNUMBER(Table1[[#This Row],[Column3]]),Table1[[#This Row],[Column3]],Table1[[#This Row],[Column3]]="NEW",Table1[[#This Row],[Column3]]),"")</f>
        <v>114.63900000000001</v>
      </c>
      <c r="H517" s="15" cm="1">
        <f t="array" ref="H517">_xlfn.IFS(Table1[[#This Row],[Column4]]="NEW",AVERAGEIFS(Table1[Column4],Table1[Year],Table1[[#This Row],[Year]]),ISNUMBER(Table1[[#This Row],[Column4]]),Table1[[#This Row],[Column4]],Table1[[#This Row],[Column4]]="",H516*(1+Table1[[#This Row],[Ávöxtun]]))</f>
        <v>114.63900000000001</v>
      </c>
      <c r="I517" cm="1">
        <f t="array" ref="I517">_xlfn.IFS(Table1[[#This Row],[Column4]]="NEW",_xlfn.XLOOKUP(Table1[[#This Row],[Year]],$N$2:$N$27,$P$2:$P$27),ISNUMBER(Table1[[#This Row],[Column4]]),Table1[[#This Row],[Column4]],Table1[[#This Row],[Column4]]="",I516*(1+Table1[[#This Row],[Ávöxtun]]))</f>
        <v>114.63900000000001</v>
      </c>
      <c r="L517" s="33">
        <v>114.63900000000001</v>
      </c>
      <c r="M517" s="33">
        <v>114.63900000000001</v>
      </c>
    </row>
    <row r="518" spans="1:13">
      <c r="A518" t="s">
        <v>99</v>
      </c>
      <c r="B518">
        <v>2001</v>
      </c>
      <c r="C518" s="16">
        <v>0.04</v>
      </c>
      <c r="D518" s="1">
        <v>2207701</v>
      </c>
      <c r="E518" s="29">
        <f>Table1[[#This Row],[Ávöxtun]]*Table1[[#This Row],[Eignir]]/SUMIFS(Table1[Eignir],Table1[Year],Table1[[#This Row],[Year]])</f>
        <v>7.6264652254178972E-5</v>
      </c>
      <c r="F518" s="23">
        <f>IF(B518=1997, 100, IF(COUNTIF(A$1:A517,A518)=0, "NEW", F517*(1+Table1[[#This Row],[Ávöxtun]])))</f>
        <v>119.22456000000001</v>
      </c>
      <c r="G518" s="18" cm="1">
        <f t="array" ref="G518">IFERROR(_xlfn.IFS(ISNUMBER(Table1[[#This Row],[Column3]]),Table1[[#This Row],[Column3]],Table1[[#This Row],[Column3]]="NEW",Table1[[#This Row],[Column3]]),"")</f>
        <v>119.22456000000001</v>
      </c>
      <c r="H518" s="15" cm="1">
        <f t="array" ref="H518">_xlfn.IFS(Table1[[#This Row],[Column4]]="NEW",AVERAGEIFS(Table1[Column4],Table1[Year],Table1[[#This Row],[Year]]),ISNUMBER(Table1[[#This Row],[Column4]]),Table1[[#This Row],[Column4]],Table1[[#This Row],[Column4]]="",H517*(1+Table1[[#This Row],[Ávöxtun]]))</f>
        <v>119.22456000000001</v>
      </c>
      <c r="I518" cm="1">
        <f t="array" ref="I518">_xlfn.IFS(Table1[[#This Row],[Column4]]="NEW",_xlfn.XLOOKUP(Table1[[#This Row],[Year]],$N$2:$N$27,$P$2:$P$27),ISNUMBER(Table1[[#This Row],[Column4]]),Table1[[#This Row],[Column4]],Table1[[#This Row],[Column4]]="",I517*(1+Table1[[#This Row],[Ávöxtun]]))</f>
        <v>119.22456000000001</v>
      </c>
      <c r="L518" s="33">
        <v>119.22456000000001</v>
      </c>
      <c r="M518" s="33">
        <v>119.22456000000001</v>
      </c>
    </row>
    <row r="519" spans="1:13">
      <c r="A519" t="s">
        <v>99</v>
      </c>
      <c r="B519">
        <v>2002</v>
      </c>
      <c r="C519" s="16">
        <v>0.04</v>
      </c>
      <c r="D519" s="1">
        <v>2384937.79</v>
      </c>
      <c r="E519" s="29">
        <f>Table1[[#This Row],[Ávöxtun]]*Table1[[#This Row],[Eignir]]/SUMIFS(Table1[Eignir],Table1[Year],Table1[[#This Row],[Year]])</f>
        <v>1.501934748646737E-4</v>
      </c>
      <c r="F519" s="23">
        <f>IF(B519=1997, 100, IF(COUNTIF(A$1:A518,A519)=0, "NEW", F518*(1+Table1[[#This Row],[Ávöxtun]])))</f>
        <v>123.99354240000001</v>
      </c>
      <c r="G519" s="18" cm="1">
        <f t="array" ref="G519">IFERROR(_xlfn.IFS(ISNUMBER(Table1[[#This Row],[Column3]]),Table1[[#This Row],[Column3]],Table1[[#This Row],[Column3]]="NEW",Table1[[#This Row],[Column3]]),"")</f>
        <v>123.99354240000001</v>
      </c>
      <c r="H519" s="15" cm="1">
        <f t="array" ref="H519">_xlfn.IFS(Table1[[#This Row],[Column4]]="NEW",AVERAGEIFS(Table1[Column4],Table1[Year],Table1[[#This Row],[Year]]),ISNUMBER(Table1[[#This Row],[Column4]]),Table1[[#This Row],[Column4]],Table1[[#This Row],[Column4]]="",H518*(1+Table1[[#This Row],[Ávöxtun]]))</f>
        <v>123.99354240000001</v>
      </c>
      <c r="I519" cm="1">
        <f t="array" ref="I519">_xlfn.IFS(Table1[[#This Row],[Column4]]="NEW",_xlfn.XLOOKUP(Table1[[#This Row],[Year]],$N$2:$N$27,$P$2:$P$27),ISNUMBER(Table1[[#This Row],[Column4]]),Table1[[#This Row],[Column4]],Table1[[#This Row],[Column4]]="",I518*(1+Table1[[#This Row],[Ávöxtun]]))</f>
        <v>123.99354240000001</v>
      </c>
      <c r="L519" s="33">
        <v>123.99354240000001</v>
      </c>
      <c r="M519" s="33">
        <v>123.99354240000001</v>
      </c>
    </row>
    <row r="520" spans="1:13">
      <c r="A520" t="s">
        <v>99</v>
      </c>
      <c r="B520">
        <v>2003</v>
      </c>
      <c r="C520" s="16">
        <v>7.0000000000000007E-2</v>
      </c>
      <c r="D520" s="1">
        <v>2672915</v>
      </c>
      <c r="E520" s="29">
        <f>Table1[[#This Row],[Ávöxtun]]*Table1[[#This Row],[Eignir]]/SUMIFS(Table1[Eignir],Table1[Year],Table1[[#This Row],[Year]])</f>
        <v>2.4622472535303449E-4</v>
      </c>
      <c r="F520" s="23">
        <f>IF(B520=1997, 100, IF(COUNTIF(A$1:A519,A520)=0, "NEW", F519*(1+Table1[[#This Row],[Ávöxtun]])))</f>
        <v>132.673090368</v>
      </c>
      <c r="G520" s="18" cm="1">
        <f t="array" ref="G520">IFERROR(_xlfn.IFS(ISNUMBER(Table1[[#This Row],[Column3]]),Table1[[#This Row],[Column3]],Table1[[#This Row],[Column3]]="NEW",Table1[[#This Row],[Column3]]),"")</f>
        <v>132.673090368</v>
      </c>
      <c r="H520" s="15" cm="1">
        <f t="array" ref="H520">_xlfn.IFS(Table1[[#This Row],[Column4]]="NEW",AVERAGEIFS(Table1[Column4],Table1[Year],Table1[[#This Row],[Year]]),ISNUMBER(Table1[[#This Row],[Column4]]),Table1[[#This Row],[Column4]],Table1[[#This Row],[Column4]]="",H519*(1+Table1[[#This Row],[Ávöxtun]]))</f>
        <v>132.673090368</v>
      </c>
      <c r="I520" cm="1">
        <f t="array" ref="I520">_xlfn.IFS(Table1[[#This Row],[Column4]]="NEW",_xlfn.XLOOKUP(Table1[[#This Row],[Year]],$N$2:$N$27,$P$2:$P$27),ISNUMBER(Table1[[#This Row],[Column4]]),Table1[[#This Row],[Column4]],Table1[[#This Row],[Column4]]="",I519*(1+Table1[[#This Row],[Ávöxtun]]))</f>
        <v>132.673090368</v>
      </c>
      <c r="L520" s="33">
        <v>132.673090368</v>
      </c>
      <c r="M520" s="33">
        <v>132.673090368</v>
      </c>
    </row>
    <row r="521" spans="1:13">
      <c r="A521" t="s">
        <v>99</v>
      </c>
      <c r="B521">
        <v>2004</v>
      </c>
      <c r="C521" s="16">
        <v>0.05</v>
      </c>
      <c r="D521" s="1">
        <v>2960624</v>
      </c>
      <c r="E521" s="29">
        <f>Table1[[#This Row],[Ávöxtun]]*Table1[[#This Row],[Eignir]]/SUMIFS(Table1[Eignir],Table1[Year],Table1[[#This Row],[Year]])</f>
        <v>1.6308915208797706E-4</v>
      </c>
      <c r="F521" s="23">
        <f>IF(B521=1997, 100, IF(COUNTIF(A$1:A520,A521)=0, "NEW", F520*(1+Table1[[#This Row],[Ávöxtun]])))</f>
        <v>139.3067448864</v>
      </c>
      <c r="G521" s="18" cm="1">
        <f t="array" ref="G521">IFERROR(_xlfn.IFS(ISNUMBER(Table1[[#This Row],[Column3]]),Table1[[#This Row],[Column3]],Table1[[#This Row],[Column3]]="NEW",Table1[[#This Row],[Column3]]),"")</f>
        <v>139.3067448864</v>
      </c>
      <c r="H521" s="15" cm="1">
        <f t="array" ref="H521">_xlfn.IFS(Table1[[#This Row],[Column4]]="NEW",AVERAGEIFS(Table1[Column4],Table1[Year],Table1[[#This Row],[Year]]),ISNUMBER(Table1[[#This Row],[Column4]]),Table1[[#This Row],[Column4]],Table1[[#This Row],[Column4]]="",H520*(1+Table1[[#This Row],[Ávöxtun]]))</f>
        <v>139.3067448864</v>
      </c>
      <c r="I521" cm="1">
        <f t="array" ref="I521">_xlfn.IFS(Table1[[#This Row],[Column4]]="NEW",_xlfn.XLOOKUP(Table1[[#This Row],[Year]],$N$2:$N$27,$P$2:$P$27),ISNUMBER(Table1[[#This Row],[Column4]]),Table1[[#This Row],[Column4]],Table1[[#This Row],[Column4]]="",I520*(1+Table1[[#This Row],[Ávöxtun]]))</f>
        <v>139.3067448864</v>
      </c>
      <c r="L521" s="33">
        <v>139.3067448864</v>
      </c>
      <c r="M521" s="33">
        <v>139.3067448864</v>
      </c>
    </row>
    <row r="522" spans="1:13">
      <c r="A522" t="s">
        <v>99</v>
      </c>
      <c r="B522">
        <v>2005</v>
      </c>
      <c r="C522" s="16">
        <v>0.06</v>
      </c>
      <c r="D522" s="1">
        <v>3332256</v>
      </c>
      <c r="E522" s="29">
        <f>Table1[[#This Row],[Ávöxtun]]*Table1[[#This Row],[Eignir]]/SUMIFS(Table1[Eignir],Table1[Year],Table1[[#This Row],[Year]])</f>
        <v>1.7830074980059018E-4</v>
      </c>
      <c r="F522" s="23">
        <f>IF(B522=1997, 100, IF(COUNTIF(A$1:A521,A522)=0, "NEW", F521*(1+Table1[[#This Row],[Ávöxtun]])))</f>
        <v>147.66514957958401</v>
      </c>
      <c r="G522" s="18" cm="1">
        <f t="array" ref="G522">IFERROR(_xlfn.IFS(ISNUMBER(Table1[[#This Row],[Column3]]),Table1[[#This Row],[Column3]],Table1[[#This Row],[Column3]]="NEW",Table1[[#This Row],[Column3]]),"")</f>
        <v>147.66514957958401</v>
      </c>
      <c r="H522" s="15" cm="1">
        <f t="array" ref="H522">_xlfn.IFS(Table1[[#This Row],[Column4]]="NEW",AVERAGEIFS(Table1[Column4],Table1[Year],Table1[[#This Row],[Year]]),ISNUMBER(Table1[[#This Row],[Column4]]),Table1[[#This Row],[Column4]],Table1[[#This Row],[Column4]]="",H521*(1+Table1[[#This Row],[Ávöxtun]]))</f>
        <v>147.66514957958401</v>
      </c>
      <c r="I522" cm="1">
        <f t="array" ref="I522">_xlfn.IFS(Table1[[#This Row],[Column4]]="NEW",_xlfn.XLOOKUP(Table1[[#This Row],[Year]],$N$2:$N$27,$P$2:$P$27),ISNUMBER(Table1[[#This Row],[Column4]]),Table1[[#This Row],[Column4]],Table1[[#This Row],[Column4]]="",I521*(1+Table1[[#This Row],[Ávöxtun]]))</f>
        <v>147.66514957958401</v>
      </c>
      <c r="L522" s="33">
        <v>147.66514957958401</v>
      </c>
      <c r="M522" s="33">
        <v>147.66514957958401</v>
      </c>
    </row>
    <row r="523" spans="1:13">
      <c r="A523" t="s">
        <v>99</v>
      </c>
      <c r="B523">
        <v>2006</v>
      </c>
      <c r="C523" s="16">
        <v>6.7599999999999993E-2</v>
      </c>
      <c r="D523" s="1">
        <v>3883469</v>
      </c>
      <c r="E523" s="29">
        <f>Table1[[#This Row],[Ávöxtun]]*Table1[[#This Row],[Eignir]]/SUMIFS(Table1[Eignir],Table1[Year],Table1[[#This Row],[Year]])</f>
        <v>1.9124875298289694E-4</v>
      </c>
      <c r="F523" s="23">
        <f>IF(B523=1997, 100, IF(COUNTIF(A$1:A522,A523)=0, "NEW", F522*(1+Table1[[#This Row],[Ávöxtun]])))</f>
        <v>157.6473136911639</v>
      </c>
      <c r="G523" s="18" cm="1">
        <f t="array" ref="G523">IFERROR(_xlfn.IFS(ISNUMBER(Table1[[#This Row],[Column3]]),Table1[[#This Row],[Column3]],Table1[[#This Row],[Column3]]="NEW",Table1[[#This Row],[Column3]]),"")</f>
        <v>157.6473136911639</v>
      </c>
      <c r="H523" s="15" cm="1">
        <f t="array" ref="H523">_xlfn.IFS(Table1[[#This Row],[Column4]]="NEW",AVERAGEIFS(Table1[Column4],Table1[Year],Table1[[#This Row],[Year]]),ISNUMBER(Table1[[#This Row],[Column4]]),Table1[[#This Row],[Column4]],Table1[[#This Row],[Column4]]="",H522*(1+Table1[[#This Row],[Ávöxtun]]))</f>
        <v>157.6473136911639</v>
      </c>
      <c r="I523" cm="1">
        <f t="array" ref="I523">_xlfn.IFS(Table1[[#This Row],[Column4]]="NEW",_xlfn.XLOOKUP(Table1[[#This Row],[Year]],$N$2:$N$27,$P$2:$P$27),ISNUMBER(Table1[[#This Row],[Column4]]),Table1[[#This Row],[Column4]],Table1[[#This Row],[Column4]]="",I522*(1+Table1[[#This Row],[Ávöxtun]]))</f>
        <v>157.6473136911639</v>
      </c>
      <c r="L523" s="33">
        <v>157.6473136911639</v>
      </c>
      <c r="M523" s="33">
        <v>157.6473136911639</v>
      </c>
    </row>
    <row r="524" spans="1:13">
      <c r="A524" t="s">
        <v>99</v>
      </c>
      <c r="B524">
        <v>2007</v>
      </c>
      <c r="C524" s="16">
        <v>0.01</v>
      </c>
      <c r="D524" s="1">
        <v>4277591</v>
      </c>
      <c r="E524" s="29">
        <f>Table1[[#This Row],[Ávöxtun]]*Table1[[#This Row],[Eignir]]/SUMIFS(Table1[Eignir],Table1[Year],Table1[[#This Row],[Year]])</f>
        <v>2.7661464449883607E-5</v>
      </c>
      <c r="F524" s="23">
        <f>IF(B524=1997, 100, IF(COUNTIF(A$1:A523,A524)=0, "NEW", F523*(1+Table1[[#This Row],[Ávöxtun]])))</f>
        <v>159.22378682807553</v>
      </c>
      <c r="G524" s="18" cm="1">
        <f t="array" ref="G524">IFERROR(_xlfn.IFS(ISNUMBER(Table1[[#This Row],[Column3]]),Table1[[#This Row],[Column3]],Table1[[#This Row],[Column3]]="NEW",Table1[[#This Row],[Column3]]),"")</f>
        <v>159.22378682807553</v>
      </c>
      <c r="H524" s="15" cm="1">
        <f t="array" ref="H524">_xlfn.IFS(Table1[[#This Row],[Column4]]="NEW",AVERAGEIFS(Table1[Column4],Table1[Year],Table1[[#This Row],[Year]]),ISNUMBER(Table1[[#This Row],[Column4]]),Table1[[#This Row],[Column4]],Table1[[#This Row],[Column4]]="",H523*(1+Table1[[#This Row],[Ávöxtun]]))</f>
        <v>159.22378682807553</v>
      </c>
      <c r="I524" cm="1">
        <f t="array" ref="I524">_xlfn.IFS(Table1[[#This Row],[Column4]]="NEW",_xlfn.XLOOKUP(Table1[[#This Row],[Year]],$N$2:$N$27,$P$2:$P$27),ISNUMBER(Table1[[#This Row],[Column4]]),Table1[[#This Row],[Column4]],Table1[[#This Row],[Column4]]="",I523*(1+Table1[[#This Row],[Ávöxtun]]))</f>
        <v>159.22378682807553</v>
      </c>
      <c r="L524" s="33">
        <v>159.22378682807553</v>
      </c>
      <c r="M524" s="33">
        <v>159.22378682807553</v>
      </c>
    </row>
    <row r="525" spans="1:13">
      <c r="A525" t="s">
        <v>99</v>
      </c>
      <c r="B525">
        <v>2008</v>
      </c>
      <c r="C525" s="16">
        <v>-0.1283</v>
      </c>
      <c r="D525" s="1">
        <v>4479466</v>
      </c>
      <c r="E525" s="29">
        <f>Table1[[#This Row],[Ávöxtun]]*Table1[[#This Row],[Eignir]]/SUMIFS(Table1[Eignir],Table1[Year],Table1[[#This Row],[Year]])</f>
        <v>-3.8382997159944464E-4</v>
      </c>
      <c r="F525" s="23">
        <f>IF(B525=1997, 100, IF(COUNTIF(A$1:A524,A525)=0, "NEW", F524*(1+Table1[[#This Row],[Ávöxtun]])))</f>
        <v>138.79537497803344</v>
      </c>
      <c r="G525" s="18" cm="1">
        <f t="array" ref="G525">IFERROR(_xlfn.IFS(ISNUMBER(Table1[[#This Row],[Column3]]),Table1[[#This Row],[Column3]],Table1[[#This Row],[Column3]]="NEW",Table1[[#This Row],[Column3]]),"")</f>
        <v>138.79537497803344</v>
      </c>
      <c r="H525" s="15" cm="1">
        <f t="array" ref="H525">_xlfn.IFS(Table1[[#This Row],[Column4]]="NEW",AVERAGEIFS(Table1[Column4],Table1[Year],Table1[[#This Row],[Year]]),ISNUMBER(Table1[[#This Row],[Column4]]),Table1[[#This Row],[Column4]],Table1[[#This Row],[Column4]]="",H524*(1+Table1[[#This Row],[Ávöxtun]]))</f>
        <v>138.79537497803344</v>
      </c>
      <c r="I525" cm="1">
        <f t="array" ref="I525">_xlfn.IFS(Table1[[#This Row],[Column4]]="NEW",_xlfn.XLOOKUP(Table1[[#This Row],[Year]],$N$2:$N$27,$P$2:$P$27),ISNUMBER(Table1[[#This Row],[Column4]]),Table1[[#This Row],[Column4]],Table1[[#This Row],[Column4]]="",I524*(1+Table1[[#This Row],[Ávöxtun]]))</f>
        <v>138.79537497803344</v>
      </c>
      <c r="L525" s="33">
        <v>138.79537497803344</v>
      </c>
      <c r="M525" s="33">
        <v>138.79537497803344</v>
      </c>
    </row>
    <row r="526" spans="1:13">
      <c r="A526" t="s">
        <v>99</v>
      </c>
      <c r="B526">
        <v>2009</v>
      </c>
      <c r="C526" s="16">
        <v>-1.9800000000000002E-2</v>
      </c>
      <c r="D526" s="1">
        <v>4892437</v>
      </c>
      <c r="E526" s="29">
        <f>Table1[[#This Row],[Ávöxtun]]*Table1[[#This Row],[Eignir]]/SUMIFS(Table1[Eignir],Table1[Year],Table1[[#This Row],[Year]])</f>
        <v>-5.8066697039779916E-5</v>
      </c>
      <c r="F526" s="23">
        <f>IF(B526=1997, 100, IF(COUNTIF(A$1:A525,A526)=0, "NEW", F525*(1+Table1[[#This Row],[Ávöxtun]])))</f>
        <v>136.04722655346836</v>
      </c>
      <c r="G526" s="18" cm="1">
        <f t="array" ref="G526">IFERROR(_xlfn.IFS(ISNUMBER(Table1[[#This Row],[Column3]]),Table1[[#This Row],[Column3]],Table1[[#This Row],[Column3]]="NEW",Table1[[#This Row],[Column3]]),"")</f>
        <v>136.04722655346836</v>
      </c>
      <c r="H526" s="15" cm="1">
        <f t="array" ref="H526">_xlfn.IFS(Table1[[#This Row],[Column4]]="NEW",AVERAGEIFS(Table1[Column4],Table1[Year],Table1[[#This Row],[Year]]),ISNUMBER(Table1[[#This Row],[Column4]]),Table1[[#This Row],[Column4]],Table1[[#This Row],[Column4]]="",H525*(1+Table1[[#This Row],[Ávöxtun]]))</f>
        <v>136.04722655346836</v>
      </c>
      <c r="I526" cm="1">
        <f t="array" ref="I526">_xlfn.IFS(Table1[[#This Row],[Column4]]="NEW",_xlfn.XLOOKUP(Table1[[#This Row],[Year]],$N$2:$N$27,$P$2:$P$27),ISNUMBER(Table1[[#This Row],[Column4]]),Table1[[#This Row],[Column4]],Table1[[#This Row],[Column4]]="",I525*(1+Table1[[#This Row],[Ávöxtun]]))</f>
        <v>136.04722655346836</v>
      </c>
      <c r="L526" s="33">
        <v>136.04722655346836</v>
      </c>
      <c r="M526" s="33">
        <v>136.04722655346836</v>
      </c>
    </row>
    <row r="527" spans="1:13">
      <c r="A527" t="s">
        <v>99</v>
      </c>
      <c r="B527">
        <v>2010</v>
      </c>
      <c r="C527" s="16">
        <v>9.2600000000000002E-2</v>
      </c>
      <c r="D527" s="1">
        <v>5619868</v>
      </c>
      <c r="E527" s="29">
        <f>Table1[[#This Row],[Ávöxtun]]*Table1[[#This Row],[Eignir]]/SUMIFS(Table1[Eignir],Table1[Year],Table1[[#This Row],[Year]])</f>
        <v>2.9108607746278507E-4</v>
      </c>
      <c r="F527" s="23">
        <f>IF(B527=1997, 100, IF(COUNTIF(A$1:A526,A527)=0, "NEW", F526*(1+Table1[[#This Row],[Ávöxtun]])))</f>
        <v>148.64519973231953</v>
      </c>
      <c r="G527" s="18" cm="1">
        <f t="array" ref="G527">IFERROR(_xlfn.IFS(ISNUMBER(Table1[[#This Row],[Column3]]),Table1[[#This Row],[Column3]],Table1[[#This Row],[Column3]]="NEW",Table1[[#This Row],[Column3]]),"")</f>
        <v>148.64519973231953</v>
      </c>
      <c r="H527" s="15" cm="1">
        <f t="array" ref="H527">_xlfn.IFS(Table1[[#This Row],[Column4]]="NEW",AVERAGEIFS(Table1[Column4],Table1[Year],Table1[[#This Row],[Year]]),ISNUMBER(Table1[[#This Row],[Column4]]),Table1[[#This Row],[Column4]],Table1[[#This Row],[Column4]]="",H526*(1+Table1[[#This Row],[Ávöxtun]]))</f>
        <v>148.64519973231953</v>
      </c>
      <c r="I527" cm="1">
        <f t="array" ref="I527">_xlfn.IFS(Table1[[#This Row],[Column4]]="NEW",_xlfn.XLOOKUP(Table1[[#This Row],[Year]],$N$2:$N$27,$P$2:$P$27),ISNUMBER(Table1[[#This Row],[Column4]]),Table1[[#This Row],[Column4]],Table1[[#This Row],[Column4]]="",I526*(1+Table1[[#This Row],[Ávöxtun]]))</f>
        <v>148.64519973231953</v>
      </c>
      <c r="L527" s="33">
        <v>148.64519973231953</v>
      </c>
      <c r="M527" s="33">
        <v>148.64519973231953</v>
      </c>
    </row>
    <row r="528" spans="1:13">
      <c r="A528" t="s">
        <v>99</v>
      </c>
      <c r="B528">
        <v>2011</v>
      </c>
      <c r="C528" s="16">
        <v>3.2000000000000001E-2</v>
      </c>
      <c r="D528" s="1">
        <v>6244872</v>
      </c>
      <c r="E528" s="29">
        <f>Table1[[#This Row],[Ávöxtun]]*Table1[[#This Row],[Eignir]]/SUMIFS(Table1[Eignir],Table1[Year],Table1[[#This Row],[Year]])</f>
        <v>1.0245059011134531E-4</v>
      </c>
      <c r="F528" s="23">
        <f>IF(B528=1997, 100, IF(COUNTIF(A$1:A527,A528)=0, "NEW", F527*(1+Table1[[#This Row],[Ávöxtun]])))</f>
        <v>153.40184612375376</v>
      </c>
      <c r="G528" s="18" cm="1">
        <f t="array" ref="G528">IFERROR(_xlfn.IFS(ISNUMBER(Table1[[#This Row],[Column3]]),Table1[[#This Row],[Column3]],Table1[[#This Row],[Column3]]="NEW",Table1[[#This Row],[Column3]]),"")</f>
        <v>153.40184612375376</v>
      </c>
      <c r="H528" s="15" cm="1">
        <f t="array" ref="H528">_xlfn.IFS(Table1[[#This Row],[Column4]]="NEW",AVERAGEIFS(Table1[Column4],Table1[Year],Table1[[#This Row],[Year]]),ISNUMBER(Table1[[#This Row],[Column4]]),Table1[[#This Row],[Column4]],Table1[[#This Row],[Column4]]="",H527*(1+Table1[[#This Row],[Ávöxtun]]))</f>
        <v>153.40184612375376</v>
      </c>
      <c r="I528" cm="1">
        <f t="array" ref="I528">_xlfn.IFS(Table1[[#This Row],[Column4]]="NEW",_xlfn.XLOOKUP(Table1[[#This Row],[Year]],$N$2:$N$27,$P$2:$P$27),ISNUMBER(Table1[[#This Row],[Column4]]),Table1[[#This Row],[Column4]],Table1[[#This Row],[Column4]]="",I527*(1+Table1[[#This Row],[Ávöxtun]]))</f>
        <v>153.40184612375376</v>
      </c>
      <c r="L528" s="33">
        <v>153.40184612375376</v>
      </c>
      <c r="M528" s="33">
        <v>153.40184612375376</v>
      </c>
    </row>
    <row r="529" spans="1:13">
      <c r="A529" t="s">
        <v>99</v>
      </c>
      <c r="B529">
        <v>2012</v>
      </c>
      <c r="C529" s="16">
        <v>5.2999999999999999E-2</v>
      </c>
      <c r="D529" s="1">
        <v>7019544</v>
      </c>
      <c r="E529" s="29">
        <f>Table1[[#This Row],[Ávöxtun]]*Table1[[#This Row],[Eignir]]/SUMIFS(Table1[Eignir],Table1[Year],Table1[[#This Row],[Year]])</f>
        <v>1.6888894540171735E-4</v>
      </c>
      <c r="F529" s="23">
        <f>IF(B529=1997, 100, IF(COUNTIF(A$1:A528,A529)=0, "NEW", F528*(1+Table1[[#This Row],[Ávöxtun]])))</f>
        <v>161.53214396831271</v>
      </c>
      <c r="G529" s="18" cm="1">
        <f t="array" ref="G529">IFERROR(_xlfn.IFS(ISNUMBER(Table1[[#This Row],[Column3]]),Table1[[#This Row],[Column3]],Table1[[#This Row],[Column3]]="NEW",Table1[[#This Row],[Column3]]),"")</f>
        <v>161.53214396831271</v>
      </c>
      <c r="H529" s="15" cm="1">
        <f t="array" ref="H529">_xlfn.IFS(Table1[[#This Row],[Column4]]="NEW",AVERAGEIFS(Table1[Column4],Table1[Year],Table1[[#This Row],[Year]]),ISNUMBER(Table1[[#This Row],[Column4]]),Table1[[#This Row],[Column4]],Table1[[#This Row],[Column4]]="",H528*(1+Table1[[#This Row],[Ávöxtun]]))</f>
        <v>161.53214396831271</v>
      </c>
      <c r="I529" cm="1">
        <f t="array" ref="I529">_xlfn.IFS(Table1[[#This Row],[Column4]]="NEW",_xlfn.XLOOKUP(Table1[[#This Row],[Year]],$N$2:$N$27,$P$2:$P$27),ISNUMBER(Table1[[#This Row],[Column4]]),Table1[[#This Row],[Column4]],Table1[[#This Row],[Column4]]="",I528*(1+Table1[[#This Row],[Ávöxtun]]))</f>
        <v>161.53214396831271</v>
      </c>
      <c r="L529" s="33">
        <v>161.53214396831271</v>
      </c>
      <c r="M529" s="33">
        <v>161.53214396831271</v>
      </c>
    </row>
    <row r="530" spans="1:13">
      <c r="A530" t="s">
        <v>99</v>
      </c>
      <c r="B530">
        <v>2013</v>
      </c>
      <c r="C530" s="16">
        <v>4.4000000000000004E-2</v>
      </c>
      <c r="D530" s="1">
        <v>7781988</v>
      </c>
      <c r="E530" s="29">
        <f>Table1[[#This Row],[Ávöxtun]]*Table1[[#This Row],[Eignir]]/SUMIFS(Table1[Eignir],Table1[Year],Table1[[#This Row],[Year]])</f>
        <v>1.4070116365525053E-4</v>
      </c>
      <c r="F530" s="23">
        <f>IF(B530=1997, 100, IF(COUNTIF(A$1:A529,A530)=0, "NEW", F529*(1+Table1[[#This Row],[Ávöxtun]])))</f>
        <v>168.63955830291849</v>
      </c>
      <c r="G530" s="18" cm="1">
        <f t="array" ref="G530">IFERROR(_xlfn.IFS(ISNUMBER(Table1[[#This Row],[Column3]]),Table1[[#This Row],[Column3]],Table1[[#This Row],[Column3]]="NEW",Table1[[#This Row],[Column3]]),"")</f>
        <v>168.63955830291849</v>
      </c>
      <c r="H530" s="15" cm="1">
        <f t="array" ref="H530">_xlfn.IFS(Table1[[#This Row],[Column4]]="NEW",AVERAGEIFS(Table1[Column4],Table1[Year],Table1[[#This Row],[Year]]),ISNUMBER(Table1[[#This Row],[Column4]]),Table1[[#This Row],[Column4]],Table1[[#This Row],[Column4]]="",H529*(1+Table1[[#This Row],[Ávöxtun]]))</f>
        <v>168.63955830291849</v>
      </c>
      <c r="I530" cm="1">
        <f t="array" ref="I530">_xlfn.IFS(Table1[[#This Row],[Column4]]="NEW",_xlfn.XLOOKUP(Table1[[#This Row],[Year]],$N$2:$N$27,$P$2:$P$27),ISNUMBER(Table1[[#This Row],[Column4]]),Table1[[#This Row],[Column4]],Table1[[#This Row],[Column4]]="",I529*(1+Table1[[#This Row],[Ávöxtun]]))</f>
        <v>168.63955830291849</v>
      </c>
      <c r="L530" s="33">
        <v>168.63955830291849</v>
      </c>
      <c r="M530" s="33">
        <v>168.63955830291849</v>
      </c>
    </row>
    <row r="531" spans="1:13">
      <c r="A531" t="s">
        <v>99</v>
      </c>
      <c r="B531">
        <v>2014</v>
      </c>
      <c r="C531" s="16">
        <v>4.2000000000000003E-2</v>
      </c>
      <c r="D531" s="1">
        <v>8384042</v>
      </c>
      <c r="E531" s="29">
        <f>Table1[[#This Row],[Ávöxtun]]*Table1[[#This Row],[Eignir]]/SUMIFS(Table1[Eignir],Table1[Year],Table1[[#This Row],[Year]])</f>
        <v>1.3272797315484048E-4</v>
      </c>
      <c r="F531" s="23">
        <f>IF(B531=1997, 100, IF(COUNTIF(A$1:A530,A531)=0, "NEW", F530*(1+Table1[[#This Row],[Ávöxtun]])))</f>
        <v>175.72241975164107</v>
      </c>
      <c r="G531" s="18" cm="1">
        <f t="array" ref="G531">IFERROR(_xlfn.IFS(ISNUMBER(Table1[[#This Row],[Column3]]),Table1[[#This Row],[Column3]],Table1[[#This Row],[Column3]]="NEW",Table1[[#This Row],[Column3]]),"")</f>
        <v>175.72241975164107</v>
      </c>
      <c r="H531" s="15" cm="1">
        <f t="array" ref="H531">_xlfn.IFS(Table1[[#This Row],[Column4]]="NEW",AVERAGEIFS(Table1[Column4],Table1[Year],Table1[[#This Row],[Year]]),ISNUMBER(Table1[[#This Row],[Column4]]),Table1[[#This Row],[Column4]],Table1[[#This Row],[Column4]]="",H530*(1+Table1[[#This Row],[Ávöxtun]]))</f>
        <v>175.72241975164107</v>
      </c>
      <c r="I531" cm="1">
        <f t="array" ref="I531">_xlfn.IFS(Table1[[#This Row],[Column4]]="NEW",_xlfn.XLOOKUP(Table1[[#This Row],[Year]],$N$2:$N$27,$P$2:$P$27),ISNUMBER(Table1[[#This Row],[Column4]]),Table1[[#This Row],[Column4]],Table1[[#This Row],[Column4]]="",I530*(1+Table1[[#This Row],[Ávöxtun]]))</f>
        <v>175.72241975164107</v>
      </c>
      <c r="L531" s="33">
        <v>175.72241975164107</v>
      </c>
      <c r="M531" s="33">
        <v>175.72241975164107</v>
      </c>
    </row>
    <row r="532" spans="1:13">
      <c r="A532" t="s">
        <v>99</v>
      </c>
      <c r="B532">
        <v>2015</v>
      </c>
      <c r="C532" s="16">
        <v>6.7000000000000004E-2</v>
      </c>
      <c r="D532" s="1">
        <v>9355308</v>
      </c>
      <c r="E532" s="29">
        <f>Table1[[#This Row],[Ávöxtun]]*Table1[[#This Row],[Eignir]]/SUMIFS(Table1[Eignir],Table1[Year],Table1[[#This Row],[Year]])</f>
        <v>2.1166010802602927E-4</v>
      </c>
      <c r="F532" s="23">
        <f>IF(B532=1997, 100, IF(COUNTIF(A$1:A531,A532)=0, "NEW", F531*(1+Table1[[#This Row],[Ávöxtun]])))</f>
        <v>187.49582187500101</v>
      </c>
      <c r="G532" s="18" cm="1">
        <f t="array" ref="G532">IFERROR(_xlfn.IFS(ISNUMBER(Table1[[#This Row],[Column3]]),Table1[[#This Row],[Column3]],Table1[[#This Row],[Column3]]="NEW",Table1[[#This Row],[Column3]]),"")</f>
        <v>187.49582187500101</v>
      </c>
      <c r="H532" s="15" cm="1">
        <f t="array" ref="H532">_xlfn.IFS(Table1[[#This Row],[Column4]]="NEW",AVERAGEIFS(Table1[Column4],Table1[Year],Table1[[#This Row],[Year]]),ISNUMBER(Table1[[#This Row],[Column4]]),Table1[[#This Row],[Column4]],Table1[[#This Row],[Column4]]="",H531*(1+Table1[[#This Row],[Ávöxtun]]))</f>
        <v>187.49582187500101</v>
      </c>
      <c r="I532" cm="1">
        <f t="array" ref="I532">_xlfn.IFS(Table1[[#This Row],[Column4]]="NEW",_xlfn.XLOOKUP(Table1[[#This Row],[Year]],$N$2:$N$27,$P$2:$P$27),ISNUMBER(Table1[[#This Row],[Column4]]),Table1[[#This Row],[Column4]],Table1[[#This Row],[Column4]]="",I531*(1+Table1[[#This Row],[Ávöxtun]]))</f>
        <v>187.49582187500101</v>
      </c>
      <c r="L532" s="33">
        <v>187.49582187500101</v>
      </c>
      <c r="M532" s="33">
        <v>187.49582187500101</v>
      </c>
    </row>
    <row r="533" spans="1:13">
      <c r="A533" t="s">
        <v>99</v>
      </c>
      <c r="B533">
        <v>2016</v>
      </c>
      <c r="C533" s="16">
        <v>7.000000000000001E-4</v>
      </c>
      <c r="D533" s="1">
        <v>10148760</v>
      </c>
      <c r="E533" s="29">
        <f>Table1[[#This Row],[Ávöxtun]]*Table1[[#This Row],[Eignir]]/SUMIFS(Table1[Eignir],Table1[Year],Table1[[#This Row],[Year]])</f>
        <v>2.2200088810286977E-6</v>
      </c>
      <c r="F533" s="23">
        <f>IF(B533=1997, 100, IF(COUNTIF(A$1:A532,A533)=0, "NEW", F532*(1+Table1[[#This Row],[Ávöxtun]])))</f>
        <v>187.62706895031349</v>
      </c>
      <c r="G533" s="18" cm="1">
        <f t="array" ref="G533">IFERROR(_xlfn.IFS(ISNUMBER(Table1[[#This Row],[Column3]]),Table1[[#This Row],[Column3]],Table1[[#This Row],[Column3]]="NEW",Table1[[#This Row],[Column3]]),"")</f>
        <v>187.62706895031349</v>
      </c>
      <c r="H533" s="15" cm="1">
        <f t="array" ref="H533">_xlfn.IFS(Table1[[#This Row],[Column4]]="NEW",AVERAGEIFS(Table1[Column4],Table1[Year],Table1[[#This Row],[Year]]),ISNUMBER(Table1[[#This Row],[Column4]]),Table1[[#This Row],[Column4]],Table1[[#This Row],[Column4]]="",H532*(1+Table1[[#This Row],[Ávöxtun]]))</f>
        <v>187.62706895031349</v>
      </c>
      <c r="I533" cm="1">
        <f t="array" ref="I533">_xlfn.IFS(Table1[[#This Row],[Column4]]="NEW",_xlfn.XLOOKUP(Table1[[#This Row],[Year]],$N$2:$N$27,$P$2:$P$27),ISNUMBER(Table1[[#This Row],[Column4]]),Table1[[#This Row],[Column4]],Table1[[#This Row],[Column4]]="",I532*(1+Table1[[#This Row],[Ávöxtun]]))</f>
        <v>187.62706895031349</v>
      </c>
      <c r="L533" s="33">
        <v>187.62706895031349</v>
      </c>
      <c r="M533" s="33">
        <v>187.62706895031349</v>
      </c>
    </row>
    <row r="534" spans="1:13">
      <c r="A534" t="s">
        <v>99</v>
      </c>
      <c r="B534">
        <v>2017</v>
      </c>
      <c r="C534" s="16">
        <v>5.7000000000000002E-2</v>
      </c>
      <c r="D534" s="1">
        <v>11270032</v>
      </c>
      <c r="E534" s="29">
        <f>Table1[[#This Row],[Ávöxtun]]*Table1[[#This Row],[Eignir]]/SUMIFS(Table1[Eignir],Table1[Year],Table1[[#This Row],[Year]])</f>
        <v>1.8049017037895257E-4</v>
      </c>
      <c r="F534" s="23">
        <f>IF(B534=1997, 100, IF(COUNTIF(A$1:A533,A534)=0, "NEW", F533*(1+Table1[[#This Row],[Ávöxtun]])))</f>
        <v>198.32181188048133</v>
      </c>
      <c r="G534" s="18" cm="1">
        <f t="array" ref="G534">IFERROR(_xlfn.IFS(ISNUMBER(Table1[[#This Row],[Column3]]),Table1[[#This Row],[Column3]],Table1[[#This Row],[Column3]]="NEW",Table1[[#This Row],[Column3]]),"")</f>
        <v>198.32181188048133</v>
      </c>
      <c r="H534" s="15" cm="1">
        <f t="array" ref="H534">_xlfn.IFS(Table1[[#This Row],[Column4]]="NEW",AVERAGEIFS(Table1[Column4],Table1[Year],Table1[[#This Row],[Year]]),ISNUMBER(Table1[[#This Row],[Column4]]),Table1[[#This Row],[Column4]],Table1[[#This Row],[Column4]]="",H533*(1+Table1[[#This Row],[Ávöxtun]]))</f>
        <v>198.32181188048133</v>
      </c>
      <c r="I534" cm="1">
        <f t="array" ref="I534">_xlfn.IFS(Table1[[#This Row],[Column4]]="NEW",_xlfn.XLOOKUP(Table1[[#This Row],[Year]],$N$2:$N$27,$P$2:$P$27),ISNUMBER(Table1[[#This Row],[Column4]]),Table1[[#This Row],[Column4]],Table1[[#This Row],[Column4]]="",I533*(1+Table1[[#This Row],[Ávöxtun]]))</f>
        <v>198.32181188048133</v>
      </c>
      <c r="L534" s="33">
        <v>198.32181188048133</v>
      </c>
      <c r="M534" s="33">
        <v>198.32181188048133</v>
      </c>
    </row>
    <row r="535" spans="1:13">
      <c r="A535" t="s">
        <v>99</v>
      </c>
      <c r="B535">
        <v>2018</v>
      </c>
      <c r="C535" s="16">
        <v>2.6000000000000002E-2</v>
      </c>
      <c r="D535" s="1">
        <v>12420748</v>
      </c>
      <c r="E535" s="29">
        <f>Table1[[#This Row],[Ávöxtun]]*Table1[[#This Row],[Eignir]]/SUMIFS(Table1[Eignir],Table1[Year],Table1[[#This Row],[Year]])</f>
        <v>8.4576353599594129E-5</v>
      </c>
      <c r="F535" s="23">
        <f>IF(B535=1997, 100, IF(COUNTIF(A$1:A534,A535)=0, "NEW", F534*(1+Table1[[#This Row],[Ávöxtun]])))</f>
        <v>203.47817898937384</v>
      </c>
      <c r="G535" s="18" cm="1">
        <f t="array" ref="G535">IFERROR(_xlfn.IFS(ISNUMBER(Table1[[#This Row],[Column3]]),Table1[[#This Row],[Column3]],Table1[[#This Row],[Column3]]="NEW",Table1[[#This Row],[Column3]]),"")</f>
        <v>203.47817898937384</v>
      </c>
      <c r="H535" s="15" cm="1">
        <f t="array" ref="H535">_xlfn.IFS(Table1[[#This Row],[Column4]]="NEW",AVERAGEIFS(Table1[Column4],Table1[Year],Table1[[#This Row],[Year]]),ISNUMBER(Table1[[#This Row],[Column4]]),Table1[[#This Row],[Column4]],Table1[[#This Row],[Column4]]="",H534*(1+Table1[[#This Row],[Ávöxtun]]))</f>
        <v>203.47817898937384</v>
      </c>
      <c r="I535" cm="1">
        <f t="array" ref="I535">_xlfn.IFS(Table1[[#This Row],[Column4]]="NEW",_xlfn.XLOOKUP(Table1[[#This Row],[Year]],$N$2:$N$27,$P$2:$P$27),ISNUMBER(Table1[[#This Row],[Column4]]),Table1[[#This Row],[Column4]],Table1[[#This Row],[Column4]]="",I534*(1+Table1[[#This Row],[Ávöxtun]]))</f>
        <v>203.47817898937384</v>
      </c>
      <c r="L535" s="33">
        <v>203.47817898937384</v>
      </c>
      <c r="M535" s="33">
        <v>203.47817898937384</v>
      </c>
    </row>
    <row r="536" spans="1:13">
      <c r="A536" t="s">
        <v>99</v>
      </c>
      <c r="B536">
        <v>2019</v>
      </c>
      <c r="C536" s="16">
        <v>7.7200000000000005E-2</v>
      </c>
      <c r="D536" s="1">
        <v>14311168</v>
      </c>
      <c r="E536" s="29">
        <f>Table1[[#This Row],[Ávöxtun]]*Table1[[#This Row],[Eignir]]/SUMIFS(Table1[Eignir],Table1[Year],Table1[[#This Row],[Year]])</f>
        <v>2.4957134561866663E-4</v>
      </c>
      <c r="F536" s="23">
        <f>IF(B536=1997, 100, IF(COUNTIF(A$1:A535,A536)=0, "NEW", F535*(1+Table1[[#This Row],[Ávöxtun]])))</f>
        <v>219.18669440735349</v>
      </c>
      <c r="G536" s="18" cm="1">
        <f t="array" ref="G536">IFERROR(_xlfn.IFS(ISNUMBER(Table1[[#This Row],[Column3]]),Table1[[#This Row],[Column3]],Table1[[#This Row],[Column3]]="NEW",Table1[[#This Row],[Column3]]),"")</f>
        <v>219.18669440735349</v>
      </c>
      <c r="H536" s="15" cm="1">
        <f t="array" ref="H536">_xlfn.IFS(Table1[[#This Row],[Column4]]="NEW",AVERAGEIFS(Table1[Column4],Table1[Year],Table1[[#This Row],[Year]]),ISNUMBER(Table1[[#This Row],[Column4]]),Table1[[#This Row],[Column4]],Table1[[#This Row],[Column4]]="",H535*(1+Table1[[#This Row],[Ávöxtun]]))</f>
        <v>219.18669440735349</v>
      </c>
      <c r="I536" cm="1">
        <f t="array" ref="I536">_xlfn.IFS(Table1[[#This Row],[Column4]]="NEW",_xlfn.XLOOKUP(Table1[[#This Row],[Year]],$N$2:$N$27,$P$2:$P$27),ISNUMBER(Table1[[#This Row],[Column4]]),Table1[[#This Row],[Column4]],Table1[[#This Row],[Column4]]="",I535*(1+Table1[[#This Row],[Ávöxtun]]))</f>
        <v>219.18669440735349</v>
      </c>
      <c r="L536" s="33">
        <v>219.18669440735349</v>
      </c>
      <c r="M536" s="33">
        <v>219.18669440735349</v>
      </c>
    </row>
    <row r="537" spans="1:13">
      <c r="A537" t="s">
        <v>99</v>
      </c>
      <c r="B537">
        <v>2020</v>
      </c>
      <c r="C537" s="16">
        <v>7.0800000000000002E-2</v>
      </c>
      <c r="D537" s="1">
        <v>16282896</v>
      </c>
      <c r="E537" s="29">
        <f>Table1[[#This Row],[Ávöxtun]]*Table1[[#This Row],[Eignir]]/SUMIFS(Table1[Eignir],Table1[Year],Table1[[#This Row],[Year]])</f>
        <v>2.2443366840661143E-4</v>
      </c>
      <c r="F537" s="23">
        <f>IF(B537=1997, 100, IF(COUNTIF(A$1:A536,A537)=0, "NEW", F536*(1+Table1[[#This Row],[Ávöxtun]])))</f>
        <v>234.70511237139411</v>
      </c>
      <c r="G537" s="18" cm="1">
        <f t="array" ref="G537">IFERROR(_xlfn.IFS(ISNUMBER(Table1[[#This Row],[Column3]]),Table1[[#This Row],[Column3]],Table1[[#This Row],[Column3]]="NEW",Table1[[#This Row],[Column3]]),"")</f>
        <v>234.70511237139411</v>
      </c>
      <c r="H537" s="15" cm="1">
        <f t="array" ref="H537">_xlfn.IFS(Table1[[#This Row],[Column4]]="NEW",AVERAGEIFS(Table1[Column4],Table1[Year],Table1[[#This Row],[Year]]),ISNUMBER(Table1[[#This Row],[Column4]]),Table1[[#This Row],[Column4]],Table1[[#This Row],[Column4]]="",H536*(1+Table1[[#This Row],[Ávöxtun]]))</f>
        <v>234.70511237139411</v>
      </c>
      <c r="I537" cm="1">
        <f t="array" ref="I537">_xlfn.IFS(Table1[[#This Row],[Column4]]="NEW",_xlfn.XLOOKUP(Table1[[#This Row],[Year]],$N$2:$N$27,$P$2:$P$27),ISNUMBER(Table1[[#This Row],[Column4]]),Table1[[#This Row],[Column4]],Table1[[#This Row],[Column4]]="",I536*(1+Table1[[#This Row],[Ávöxtun]]))</f>
        <v>234.70511237139411</v>
      </c>
      <c r="L537" s="33">
        <v>234.70511237139411</v>
      </c>
      <c r="M537" s="33">
        <v>234.70511237139411</v>
      </c>
    </row>
    <row r="538" spans="1:13">
      <c r="A538" t="s">
        <v>99</v>
      </c>
      <c r="B538">
        <v>2021</v>
      </c>
      <c r="C538" s="16">
        <v>8.0600000000000005E-2</v>
      </c>
      <c r="D538" s="1">
        <v>18966050</v>
      </c>
      <c r="E538" s="29">
        <f>Table1[[#This Row],[Ávöxtun]]*Table1[[#This Row],[Eignir]]/SUMIFS(Table1[Eignir],Table1[Year],Table1[[#This Row],[Year]])</f>
        <v>2.5311103280315715E-4</v>
      </c>
      <c r="F538" s="23">
        <f>IF(B538=1997, 100, IF(COUNTIF(A$1:A537,A538)=0, "NEW", F537*(1+Table1[[#This Row],[Ávöxtun]])))</f>
        <v>253.62234442852846</v>
      </c>
      <c r="G538" s="18" cm="1">
        <f t="array" ref="G538">IFERROR(_xlfn.IFS(ISNUMBER(Table1[[#This Row],[Column3]]),Table1[[#This Row],[Column3]],Table1[[#This Row],[Column3]]="NEW",Table1[[#This Row],[Column3]]),"")</f>
        <v>253.62234442852846</v>
      </c>
      <c r="H538" s="15" cm="1">
        <f t="array" ref="H538">_xlfn.IFS(Table1[[#This Row],[Column4]]="NEW",AVERAGEIFS(Table1[Column4],Table1[Year],Table1[[#This Row],[Year]]),ISNUMBER(Table1[[#This Row],[Column4]]),Table1[[#This Row],[Column4]],Table1[[#This Row],[Column4]]="",H537*(1+Table1[[#This Row],[Ávöxtun]]))</f>
        <v>253.62234442852846</v>
      </c>
      <c r="I538" cm="1">
        <f t="array" ref="I538">_xlfn.IFS(Table1[[#This Row],[Column4]]="NEW",_xlfn.XLOOKUP(Table1[[#This Row],[Year]],$N$2:$N$27,$P$2:$P$27),ISNUMBER(Table1[[#This Row],[Column4]]),Table1[[#This Row],[Column4]],Table1[[#This Row],[Column4]]="",I537*(1+Table1[[#This Row],[Ávöxtun]]))</f>
        <v>253.62234442852846</v>
      </c>
      <c r="L538" s="33">
        <v>253.62234442852846</v>
      </c>
      <c r="M538" s="33">
        <v>253.62234442852846</v>
      </c>
    </row>
    <row r="539" spans="1:13">
      <c r="A539" t="s">
        <v>111</v>
      </c>
      <c r="B539">
        <v>1997</v>
      </c>
      <c r="C539" s="16">
        <v>7.0000000000000007E-2</v>
      </c>
      <c r="D539" s="1">
        <v>28695766.84</v>
      </c>
      <c r="E539" s="29">
        <f>Table1[[#This Row],[Ávöxtun]]*Table1[[#This Row],[Eignir]]/SUMIFS(Table1[Eignir],Table1[Year],Table1[[#This Row],[Year]])</f>
        <v>5.9249366708697968E-3</v>
      </c>
      <c r="F539" s="23">
        <f>IF(B539=1997, 100, IF(COUNTIF(A$1:A538,A539)=0, "NEW", F538*(1+Table1[[#This Row],[Ávöxtun]])))</f>
        <v>100</v>
      </c>
      <c r="G539" s="18" cm="1">
        <f t="array" ref="G539">IFERROR(_xlfn.IFS(ISNUMBER(Table1[[#This Row],[Column3]]),Table1[[#This Row],[Column3]],Table1[[#This Row],[Column3]]="NEW",Table1[[#This Row],[Column3]]),"")</f>
        <v>100</v>
      </c>
      <c r="H539" s="15" cm="1">
        <f t="array" ref="H539">_xlfn.IFS(Table1[[#This Row],[Column4]]="NEW",AVERAGEIFS(Table1[Column4],Table1[Year],Table1[[#This Row],[Year]]),ISNUMBER(Table1[[#This Row],[Column4]]),Table1[[#This Row],[Column4]],Table1[[#This Row],[Column4]]="",H538*(1+Table1[[#This Row],[Ávöxtun]]))</f>
        <v>100</v>
      </c>
      <c r="I539" cm="1">
        <f t="array" ref="I539">_xlfn.IFS(Table1[[#This Row],[Column4]]="NEW",_xlfn.XLOOKUP(Table1[[#This Row],[Year]],$N$2:$N$27,$P$2:$P$27),ISNUMBER(Table1[[#This Row],[Column4]]),Table1[[#This Row],[Column4]],Table1[[#This Row],[Column4]]="",I538*(1+Table1[[#This Row],[Ávöxtun]]))</f>
        <v>100</v>
      </c>
      <c r="L539" s="33">
        <v>100</v>
      </c>
      <c r="M539" s="33">
        <v>100</v>
      </c>
    </row>
    <row r="540" spans="1:13">
      <c r="A540" t="s">
        <v>111</v>
      </c>
      <c r="B540">
        <v>1998</v>
      </c>
      <c r="C540" s="16">
        <v>0.08</v>
      </c>
      <c r="D540" s="1">
        <v>32170922.469999999</v>
      </c>
      <c r="E540" s="29">
        <f>Table1[[#This Row],[Ávöxtun]]*Table1[[#This Row],[Eignir]]/SUMIFS(Table1[Eignir],Table1[Year],Table1[[#This Row],[Year]])</f>
        <v>6.5716148547923774E-3</v>
      </c>
      <c r="F540" s="23">
        <f>IF(B540=1997, 100, IF(COUNTIF(A$1:A539,A540)=0, "NEW", F539*(1+Table1[[#This Row],[Ávöxtun]])))</f>
        <v>108</v>
      </c>
      <c r="G540" s="18" cm="1">
        <f t="array" ref="G540">IFERROR(_xlfn.IFS(ISNUMBER(Table1[[#This Row],[Column3]]),Table1[[#This Row],[Column3]],Table1[[#This Row],[Column3]]="NEW",Table1[[#This Row],[Column3]]),"")</f>
        <v>108</v>
      </c>
      <c r="H540" s="15" cm="1">
        <f t="array" ref="H540">_xlfn.IFS(Table1[[#This Row],[Column4]]="NEW",AVERAGEIFS(Table1[Column4],Table1[Year],Table1[[#This Row],[Year]]),ISNUMBER(Table1[[#This Row],[Column4]]),Table1[[#This Row],[Column4]],Table1[[#This Row],[Column4]]="",H539*(1+Table1[[#This Row],[Ávöxtun]]))</f>
        <v>108</v>
      </c>
      <c r="I540" cm="1">
        <f t="array" ref="I540">_xlfn.IFS(Table1[[#This Row],[Column4]]="NEW",_xlfn.XLOOKUP(Table1[[#This Row],[Year]],$N$2:$N$27,$P$2:$P$27),ISNUMBER(Table1[[#This Row],[Column4]]),Table1[[#This Row],[Column4]],Table1[[#This Row],[Column4]]="",I539*(1+Table1[[#This Row],[Ávöxtun]]))</f>
        <v>108</v>
      </c>
      <c r="L540" s="33">
        <v>108</v>
      </c>
      <c r="M540" s="33">
        <v>108</v>
      </c>
    </row>
    <row r="541" spans="1:13">
      <c r="A541" t="s">
        <v>111</v>
      </c>
      <c r="B541">
        <v>1999</v>
      </c>
      <c r="C541" s="16">
        <v>0.12</v>
      </c>
      <c r="D541" s="1">
        <v>38967903.960000001</v>
      </c>
      <c r="E541" s="29">
        <f>Table1[[#This Row],[Ávöxtun]]*Table1[[#This Row],[Eignir]]/SUMIFS(Table1[Eignir],Table1[Year],Table1[[#This Row],[Year]])</f>
        <v>8.9802163016276526E-3</v>
      </c>
      <c r="F541" s="23">
        <f>IF(B541=1997, 100, IF(COUNTIF(A$1:A540,A541)=0, "NEW", F540*(1+Table1[[#This Row],[Ávöxtun]])))</f>
        <v>120.96000000000001</v>
      </c>
      <c r="G541" s="18" cm="1">
        <f t="array" ref="G541">IFERROR(_xlfn.IFS(ISNUMBER(Table1[[#This Row],[Column3]]),Table1[[#This Row],[Column3]],Table1[[#This Row],[Column3]]="NEW",Table1[[#This Row],[Column3]]),"")</f>
        <v>120.96000000000001</v>
      </c>
      <c r="H541" s="15" cm="1">
        <f t="array" ref="H541">_xlfn.IFS(Table1[[#This Row],[Column4]]="NEW",AVERAGEIFS(Table1[Column4],Table1[Year],Table1[[#This Row],[Year]]),ISNUMBER(Table1[[#This Row],[Column4]]),Table1[[#This Row],[Column4]],Table1[[#This Row],[Column4]]="",H540*(1+Table1[[#This Row],[Ávöxtun]]))</f>
        <v>120.96000000000001</v>
      </c>
      <c r="I541" cm="1">
        <f t="array" ref="I541">_xlfn.IFS(Table1[[#This Row],[Column4]]="NEW",_xlfn.XLOOKUP(Table1[[#This Row],[Year]],$N$2:$N$27,$P$2:$P$27),ISNUMBER(Table1[[#This Row],[Column4]]),Table1[[#This Row],[Column4]],Table1[[#This Row],[Column4]]="",I540*(1+Table1[[#This Row],[Ávöxtun]]))</f>
        <v>120.96000000000001</v>
      </c>
      <c r="L541" s="33">
        <v>120.96000000000001</v>
      </c>
      <c r="M541" s="33">
        <v>120.96000000000001</v>
      </c>
    </row>
    <row r="542" spans="1:13">
      <c r="A542" t="s">
        <v>111</v>
      </c>
      <c r="B542">
        <v>2000</v>
      </c>
      <c r="C542" s="16">
        <v>-0.01</v>
      </c>
      <c r="D542" s="1">
        <v>41515181.030000001</v>
      </c>
      <c r="E542" s="29">
        <f>Table1[[#This Row],[Ávöxtun]]*Table1[[#This Row],[Eignir]]/SUMIFS(Table1[Eignir],Table1[Year],Table1[[#This Row],[Year]])</f>
        <v>-5.839890547910862E-4</v>
      </c>
      <c r="F542" s="23">
        <f>IF(B542=1997, 100, IF(COUNTIF(A$1:A541,A542)=0, "NEW", F541*(1+Table1[[#This Row],[Ávöxtun]])))</f>
        <v>119.75040000000001</v>
      </c>
      <c r="G542" s="18" cm="1">
        <f t="array" ref="G542">IFERROR(_xlfn.IFS(ISNUMBER(Table1[[#This Row],[Column3]]),Table1[[#This Row],[Column3]],Table1[[#This Row],[Column3]]="NEW",Table1[[#This Row],[Column3]]),"")</f>
        <v>119.75040000000001</v>
      </c>
      <c r="H542" s="15" cm="1">
        <f t="array" ref="H542">_xlfn.IFS(Table1[[#This Row],[Column4]]="NEW",AVERAGEIFS(Table1[Column4],Table1[Year],Table1[[#This Row],[Year]]),ISNUMBER(Table1[[#This Row],[Column4]]),Table1[[#This Row],[Column4]],Table1[[#This Row],[Column4]]="",H541*(1+Table1[[#This Row],[Ávöxtun]]))</f>
        <v>119.75040000000001</v>
      </c>
      <c r="I542" cm="1">
        <f t="array" ref="I542">_xlfn.IFS(Table1[[#This Row],[Column4]]="NEW",_xlfn.XLOOKUP(Table1[[#This Row],[Year]],$N$2:$N$27,$P$2:$P$27),ISNUMBER(Table1[[#This Row],[Column4]]),Table1[[#This Row],[Column4]],Table1[[#This Row],[Column4]]="",I541*(1+Table1[[#This Row],[Ávöxtun]]))</f>
        <v>119.75040000000001</v>
      </c>
      <c r="L542" s="33">
        <v>119.75040000000001</v>
      </c>
      <c r="M542" s="33">
        <v>119.75040000000001</v>
      </c>
    </row>
    <row r="543" spans="1:13">
      <c r="A543" t="s">
        <v>111</v>
      </c>
      <c r="B543">
        <v>2001</v>
      </c>
      <c r="C543" s="16">
        <v>-0.03</v>
      </c>
      <c r="D543" s="1">
        <v>90003599</v>
      </c>
      <c r="E543" s="29">
        <f>Table1[[#This Row],[Ávöxtun]]*Table1[[#This Row],[Eignir]]/SUMIFS(Table1[Eignir],Table1[Year],Table1[[#This Row],[Year]])</f>
        <v>-2.3318691636773623E-3</v>
      </c>
      <c r="F543" s="23">
        <f>IF(B543=1997, 100, IF(COUNTIF(A$1:A542,A543)=0, "NEW", F542*(1+Table1[[#This Row],[Ávöxtun]])))</f>
        <v>116.15788800000001</v>
      </c>
      <c r="G543" s="18" cm="1">
        <f t="array" ref="G543">IFERROR(_xlfn.IFS(ISNUMBER(Table1[[#This Row],[Column3]]),Table1[[#This Row],[Column3]],Table1[[#This Row],[Column3]]="NEW",Table1[[#This Row],[Column3]]),"")</f>
        <v>116.15788800000001</v>
      </c>
      <c r="H543" s="15" cm="1">
        <f t="array" ref="H543">_xlfn.IFS(Table1[[#This Row],[Column4]]="NEW",AVERAGEIFS(Table1[Column4],Table1[Year],Table1[[#This Row],[Year]]),ISNUMBER(Table1[[#This Row],[Column4]]),Table1[[#This Row],[Column4]],Table1[[#This Row],[Column4]]="",H542*(1+Table1[[#This Row],[Ávöxtun]]))</f>
        <v>116.15788800000001</v>
      </c>
      <c r="I543" cm="1">
        <f t="array" ref="I543">_xlfn.IFS(Table1[[#This Row],[Column4]]="NEW",_xlfn.XLOOKUP(Table1[[#This Row],[Year]],$N$2:$N$27,$P$2:$P$27),ISNUMBER(Table1[[#This Row],[Column4]]),Table1[[#This Row],[Column4]],Table1[[#This Row],[Column4]]="",I542*(1+Table1[[#This Row],[Ávöxtun]]))</f>
        <v>116.15788800000001</v>
      </c>
      <c r="L543" s="33">
        <v>116.15788800000001</v>
      </c>
      <c r="M543" s="33">
        <v>116.15788800000001</v>
      </c>
    </row>
    <row r="544" spans="1:13">
      <c r="A544" t="s">
        <v>111</v>
      </c>
      <c r="B544">
        <v>2002</v>
      </c>
      <c r="C544" s="16">
        <v>0</v>
      </c>
      <c r="D544" s="1">
        <v>47018568</v>
      </c>
      <c r="E544" s="29">
        <f>Table1[[#This Row],[Ávöxtun]]*Table1[[#This Row],[Eignir]]/SUMIFS(Table1[Eignir],Table1[Year],Table1[[#This Row],[Year]])</f>
        <v>0</v>
      </c>
      <c r="F544" s="23">
        <f>IF(B544=1997, 100, IF(COUNTIF(A$1:A543,A544)=0, "NEW", F543*(1+Table1[[#This Row],[Ávöxtun]])))</f>
        <v>116.15788800000001</v>
      </c>
      <c r="G544" s="18" cm="1">
        <f t="array" ref="G544">IFERROR(_xlfn.IFS(ISNUMBER(Table1[[#This Row],[Column3]]),Table1[[#This Row],[Column3]],Table1[[#This Row],[Column3]]="NEW",Table1[[#This Row],[Column3]]),"")</f>
        <v>116.15788800000001</v>
      </c>
      <c r="H544" s="15" cm="1">
        <f t="array" ref="H544">_xlfn.IFS(Table1[[#This Row],[Column4]]="NEW",AVERAGEIFS(Table1[Column4],Table1[Year],Table1[[#This Row],[Year]]),ISNUMBER(Table1[[#This Row],[Column4]]),Table1[[#This Row],[Column4]],Table1[[#This Row],[Column4]]="",H543*(1+Table1[[#This Row],[Ávöxtun]]))</f>
        <v>116.15788800000001</v>
      </c>
      <c r="I544" cm="1">
        <f t="array" ref="I544">_xlfn.IFS(Table1[[#This Row],[Column4]]="NEW",_xlfn.XLOOKUP(Table1[[#This Row],[Year]],$N$2:$N$27,$P$2:$P$27),ISNUMBER(Table1[[#This Row],[Column4]]),Table1[[#This Row],[Column4]],Table1[[#This Row],[Column4]]="",I543*(1+Table1[[#This Row],[Ávöxtun]]))</f>
        <v>116.15788800000001</v>
      </c>
      <c r="L544" s="33">
        <v>116.15788800000001</v>
      </c>
      <c r="M544" s="33">
        <v>116.15788800000001</v>
      </c>
    </row>
    <row r="545" spans="1:13">
      <c r="A545" t="s">
        <v>111</v>
      </c>
      <c r="B545">
        <v>2003</v>
      </c>
      <c r="C545" s="16">
        <v>0.15</v>
      </c>
      <c r="D545" s="1">
        <v>56142043</v>
      </c>
      <c r="E545" s="29">
        <f>Table1[[#This Row],[Ávöxtun]]*Table1[[#This Row],[Eignir]]/SUMIFS(Table1[Eignir],Table1[Year],Table1[[#This Row],[Year]])</f>
        <v>1.1082250051588874E-2</v>
      </c>
      <c r="F545" s="23">
        <f>IF(B545=1997, 100, IF(COUNTIF(A$1:A544,A545)=0, "NEW", F544*(1+Table1[[#This Row],[Ávöxtun]])))</f>
        <v>133.58157120000001</v>
      </c>
      <c r="G545" s="18" cm="1">
        <f t="array" ref="G545">IFERROR(_xlfn.IFS(ISNUMBER(Table1[[#This Row],[Column3]]),Table1[[#This Row],[Column3]],Table1[[#This Row],[Column3]]="NEW",Table1[[#This Row],[Column3]]),"")</f>
        <v>133.58157120000001</v>
      </c>
      <c r="H545" s="15" cm="1">
        <f t="array" ref="H545">_xlfn.IFS(Table1[[#This Row],[Column4]]="NEW",AVERAGEIFS(Table1[Column4],Table1[Year],Table1[[#This Row],[Year]]),ISNUMBER(Table1[[#This Row],[Column4]]),Table1[[#This Row],[Column4]],Table1[[#This Row],[Column4]]="",H544*(1+Table1[[#This Row],[Ávöxtun]]))</f>
        <v>133.58157120000001</v>
      </c>
      <c r="I545" cm="1">
        <f t="array" ref="I545">_xlfn.IFS(Table1[[#This Row],[Column4]]="NEW",_xlfn.XLOOKUP(Table1[[#This Row],[Year]],$N$2:$N$27,$P$2:$P$27),ISNUMBER(Table1[[#This Row],[Column4]]),Table1[[#This Row],[Column4]],Table1[[#This Row],[Column4]]="",I544*(1+Table1[[#This Row],[Ávöxtun]]))</f>
        <v>133.58157120000001</v>
      </c>
      <c r="L545" s="33">
        <v>133.58157120000001</v>
      </c>
      <c r="M545" s="33">
        <v>133.58157120000001</v>
      </c>
    </row>
    <row r="546" spans="1:13">
      <c r="A546" t="s">
        <v>111</v>
      </c>
      <c r="B546">
        <v>2004</v>
      </c>
      <c r="C546" s="16">
        <v>0.16</v>
      </c>
      <c r="D546" s="1">
        <v>68288832</v>
      </c>
      <c r="E546" s="29">
        <f>Table1[[#This Row],[Ávöxtun]]*Table1[[#This Row],[Eignir]]/SUMIFS(Table1[Eignir],Table1[Year],Table1[[#This Row],[Year]])</f>
        <v>1.2037643640484779E-2</v>
      </c>
      <c r="F546" s="23">
        <f>IF(B546=1997, 100, IF(COUNTIF(A$1:A545,A546)=0, "NEW", F545*(1+Table1[[#This Row],[Ávöxtun]])))</f>
        <v>154.95462259199999</v>
      </c>
      <c r="G546" s="18" cm="1">
        <f t="array" ref="G546">IFERROR(_xlfn.IFS(ISNUMBER(Table1[[#This Row],[Column3]]),Table1[[#This Row],[Column3]],Table1[[#This Row],[Column3]]="NEW",Table1[[#This Row],[Column3]]),"")</f>
        <v>154.95462259199999</v>
      </c>
      <c r="H546" s="15" cm="1">
        <f t="array" ref="H546">_xlfn.IFS(Table1[[#This Row],[Column4]]="NEW",AVERAGEIFS(Table1[Column4],Table1[Year],Table1[[#This Row],[Year]]),ISNUMBER(Table1[[#This Row],[Column4]]),Table1[[#This Row],[Column4]],Table1[[#This Row],[Column4]]="",H545*(1+Table1[[#This Row],[Ávöxtun]]))</f>
        <v>154.95462259199999</v>
      </c>
      <c r="I546" cm="1">
        <f t="array" ref="I546">_xlfn.IFS(Table1[[#This Row],[Column4]]="NEW",_xlfn.XLOOKUP(Table1[[#This Row],[Year]],$N$2:$N$27,$P$2:$P$27),ISNUMBER(Table1[[#This Row],[Column4]]),Table1[[#This Row],[Column4]],Table1[[#This Row],[Column4]]="",I545*(1+Table1[[#This Row],[Ávöxtun]]))</f>
        <v>154.95462259199999</v>
      </c>
      <c r="L546" s="33">
        <v>154.95462259199999</v>
      </c>
      <c r="M546" s="33">
        <v>154.95462259199999</v>
      </c>
    </row>
    <row r="547" spans="1:13">
      <c r="A547" t="s">
        <v>112</v>
      </c>
      <c r="B547">
        <v>1997</v>
      </c>
      <c r="C547" s="16">
        <v>0.05</v>
      </c>
      <c r="D547" s="1">
        <v>38314</v>
      </c>
      <c r="E547" s="29">
        <f>Table1[[#This Row],[Ávöxtun]]*Table1[[#This Row],[Eignir]]/SUMIFS(Table1[Eignir],Table1[Year],Table1[[#This Row],[Year]])</f>
        <v>5.6506100427744528E-6</v>
      </c>
      <c r="F547" s="23">
        <f>IF(B547=1997, 100, IF(COUNTIF(A$1:A546,A547)=0, "NEW", F546*(1+Table1[[#This Row],[Ávöxtun]])))</f>
        <v>100</v>
      </c>
      <c r="G547" s="18" cm="1">
        <f t="array" ref="G547">IFERROR(_xlfn.IFS(ISNUMBER(Table1[[#This Row],[Column3]]),Table1[[#This Row],[Column3]],Table1[[#This Row],[Column3]]="NEW",Table1[[#This Row],[Column3]]),"")</f>
        <v>100</v>
      </c>
      <c r="H547" s="15" cm="1">
        <f t="array" ref="H547">_xlfn.IFS(Table1[[#This Row],[Column4]]="NEW",AVERAGEIFS(Table1[Column4],Table1[Year],Table1[[#This Row],[Year]]),ISNUMBER(Table1[[#This Row],[Column4]]),Table1[[#This Row],[Column4]],Table1[[#This Row],[Column4]]="",H546*(1+Table1[[#This Row],[Ávöxtun]]))</f>
        <v>100</v>
      </c>
      <c r="I547" cm="1">
        <f t="array" ref="I547">_xlfn.IFS(Table1[[#This Row],[Column4]]="NEW",_xlfn.XLOOKUP(Table1[[#This Row],[Year]],$N$2:$N$27,$P$2:$P$27),ISNUMBER(Table1[[#This Row],[Column4]]),Table1[[#This Row],[Column4]],Table1[[#This Row],[Column4]]="",I546*(1+Table1[[#This Row],[Ávöxtun]]))</f>
        <v>100</v>
      </c>
      <c r="L547" s="33">
        <v>100</v>
      </c>
      <c r="M547" s="33">
        <v>100</v>
      </c>
    </row>
    <row r="548" spans="1:13">
      <c r="A548" t="s">
        <v>112</v>
      </c>
      <c r="B548">
        <v>1998</v>
      </c>
      <c r="C548" s="16">
        <v>0.05</v>
      </c>
      <c r="D548" s="1">
        <v>37913.39</v>
      </c>
      <c r="E548" s="29">
        <f>Table1[[#This Row],[Ávöxtun]]*Table1[[#This Row],[Eignir]]/SUMIFS(Table1[Eignir],Table1[Year],Table1[[#This Row],[Year]])</f>
        <v>4.8403996876347721E-6</v>
      </c>
      <c r="F548" s="23">
        <f>IF(B548=1997, 100, IF(COUNTIF(A$1:A547,A548)=0, "NEW", F547*(1+Table1[[#This Row],[Ávöxtun]])))</f>
        <v>105</v>
      </c>
      <c r="G548" s="18" cm="1">
        <f t="array" ref="G548">IFERROR(_xlfn.IFS(ISNUMBER(Table1[[#This Row],[Column3]]),Table1[[#This Row],[Column3]],Table1[[#This Row],[Column3]]="NEW",Table1[[#This Row],[Column3]]),"")</f>
        <v>105</v>
      </c>
      <c r="H548" s="15" cm="1">
        <f t="array" ref="H548">_xlfn.IFS(Table1[[#This Row],[Column4]]="NEW",AVERAGEIFS(Table1[Column4],Table1[Year],Table1[[#This Row],[Year]]),ISNUMBER(Table1[[#This Row],[Column4]]),Table1[[#This Row],[Column4]],Table1[[#This Row],[Column4]]="",H547*(1+Table1[[#This Row],[Ávöxtun]]))</f>
        <v>105</v>
      </c>
      <c r="I548" cm="1">
        <f t="array" ref="I548">_xlfn.IFS(Table1[[#This Row],[Column4]]="NEW",_xlfn.XLOOKUP(Table1[[#This Row],[Year]],$N$2:$N$27,$P$2:$P$27),ISNUMBER(Table1[[#This Row],[Column4]]),Table1[[#This Row],[Column4]],Table1[[#This Row],[Column4]]="",I547*(1+Table1[[#This Row],[Ávöxtun]]))</f>
        <v>105</v>
      </c>
      <c r="L548" s="33">
        <v>105</v>
      </c>
      <c r="M548" s="33">
        <v>105</v>
      </c>
    </row>
    <row r="549" spans="1:13">
      <c r="A549" t="s">
        <v>112</v>
      </c>
      <c r="B549">
        <v>1999</v>
      </c>
      <c r="C549" s="16">
        <v>0.06</v>
      </c>
      <c r="D549" s="1">
        <v>39726.46</v>
      </c>
      <c r="E549" s="29">
        <f>Table1[[#This Row],[Ávöxtun]]*Table1[[#This Row],[Eignir]]/SUMIFS(Table1[Eignir],Table1[Year],Table1[[#This Row],[Year]])</f>
        <v>4.5775133820920914E-6</v>
      </c>
      <c r="F549" s="23">
        <f>IF(B549=1997, 100, IF(COUNTIF(A$1:A548,A549)=0, "NEW", F548*(1+Table1[[#This Row],[Ávöxtun]])))</f>
        <v>111.30000000000001</v>
      </c>
      <c r="G549" s="18" cm="1">
        <f t="array" ref="G549">IFERROR(_xlfn.IFS(ISNUMBER(Table1[[#This Row],[Column3]]),Table1[[#This Row],[Column3]],Table1[[#This Row],[Column3]]="NEW",Table1[[#This Row],[Column3]]),"")</f>
        <v>111.30000000000001</v>
      </c>
      <c r="H549" s="15" cm="1">
        <f t="array" ref="H549">_xlfn.IFS(Table1[[#This Row],[Column4]]="NEW",AVERAGEIFS(Table1[Column4],Table1[Year],Table1[[#This Row],[Year]]),ISNUMBER(Table1[[#This Row],[Column4]]),Table1[[#This Row],[Column4]],Table1[[#This Row],[Column4]]="",H548*(1+Table1[[#This Row],[Ávöxtun]]))</f>
        <v>111.30000000000001</v>
      </c>
      <c r="I549" cm="1">
        <f t="array" ref="I549">_xlfn.IFS(Table1[[#This Row],[Column4]]="NEW",_xlfn.XLOOKUP(Table1[[#This Row],[Year]],$N$2:$N$27,$P$2:$P$27),ISNUMBER(Table1[[#This Row],[Column4]]),Table1[[#This Row],[Column4]],Table1[[#This Row],[Column4]]="",I548*(1+Table1[[#This Row],[Ávöxtun]]))</f>
        <v>111.30000000000001</v>
      </c>
      <c r="L549" s="33">
        <v>111.30000000000001</v>
      </c>
      <c r="M549" s="33">
        <v>111.30000000000001</v>
      </c>
    </row>
    <row r="550" spans="1:13">
      <c r="A550" t="s">
        <v>113</v>
      </c>
      <c r="B550">
        <v>1997</v>
      </c>
      <c r="C550" s="16">
        <v>0.05</v>
      </c>
      <c r="D550" s="1">
        <v>777612.59</v>
      </c>
      <c r="E550" s="29">
        <f>Table1[[#This Row],[Ávöxtun]]*Table1[[#This Row],[Eignir]]/SUMIFS(Table1[Eignir],Table1[Year],Table1[[#This Row],[Year]])</f>
        <v>1.1468354936685946E-4</v>
      </c>
      <c r="F550" s="23">
        <f>IF(B550=1997, 100, IF(COUNTIF(A$1:A549,A550)=0, "NEW", F549*(1+Table1[[#This Row],[Ávöxtun]])))</f>
        <v>100</v>
      </c>
      <c r="G550" s="18" cm="1">
        <f t="array" ref="G550">IFERROR(_xlfn.IFS(ISNUMBER(Table1[[#This Row],[Column3]]),Table1[[#This Row],[Column3]],Table1[[#This Row],[Column3]]="NEW",Table1[[#This Row],[Column3]]),"")</f>
        <v>100</v>
      </c>
      <c r="H550" s="15" cm="1">
        <f t="array" ref="H550">_xlfn.IFS(Table1[[#This Row],[Column4]]="NEW",AVERAGEIFS(Table1[Column4],Table1[Year],Table1[[#This Row],[Year]]),ISNUMBER(Table1[[#This Row],[Column4]]),Table1[[#This Row],[Column4]],Table1[[#This Row],[Column4]]="",H549*(1+Table1[[#This Row],[Ávöxtun]]))</f>
        <v>100</v>
      </c>
      <c r="I550" cm="1">
        <f t="array" ref="I550">_xlfn.IFS(Table1[[#This Row],[Column4]]="NEW",_xlfn.XLOOKUP(Table1[[#This Row],[Year]],$N$2:$N$27,$P$2:$P$27),ISNUMBER(Table1[[#This Row],[Column4]]),Table1[[#This Row],[Column4]],Table1[[#This Row],[Column4]]="",I549*(1+Table1[[#This Row],[Ávöxtun]]))</f>
        <v>100</v>
      </c>
      <c r="L550" s="33">
        <v>100</v>
      </c>
      <c r="M550" s="33">
        <v>100</v>
      </c>
    </row>
    <row r="551" spans="1:13">
      <c r="A551" t="s">
        <v>113</v>
      </c>
      <c r="B551">
        <v>1998</v>
      </c>
      <c r="C551" s="16">
        <v>7.0000000000000007E-2</v>
      </c>
      <c r="D551" s="1">
        <v>853427.34</v>
      </c>
      <c r="E551" s="29">
        <f>Table1[[#This Row],[Ávöxtun]]*Table1[[#This Row],[Eignir]]/SUMIFS(Table1[Eignir],Table1[Year],Table1[[#This Row],[Year]])</f>
        <v>1.5253980722739285E-4</v>
      </c>
      <c r="F551" s="23">
        <f>IF(B551=1997, 100, IF(COUNTIF(A$1:A550,A551)=0, "NEW", F550*(1+Table1[[#This Row],[Ávöxtun]])))</f>
        <v>107</v>
      </c>
      <c r="G551" s="18" cm="1">
        <f t="array" ref="G551">IFERROR(_xlfn.IFS(ISNUMBER(Table1[[#This Row],[Column3]]),Table1[[#This Row],[Column3]],Table1[[#This Row],[Column3]]="NEW",Table1[[#This Row],[Column3]]),"")</f>
        <v>107</v>
      </c>
      <c r="H551" s="15" cm="1">
        <f t="array" ref="H551">_xlfn.IFS(Table1[[#This Row],[Column4]]="NEW",AVERAGEIFS(Table1[Column4],Table1[Year],Table1[[#This Row],[Year]]),ISNUMBER(Table1[[#This Row],[Column4]]),Table1[[#This Row],[Column4]],Table1[[#This Row],[Column4]]="",H550*(1+Table1[[#This Row],[Ávöxtun]]))</f>
        <v>107</v>
      </c>
      <c r="I551" cm="1">
        <f t="array" ref="I551">_xlfn.IFS(Table1[[#This Row],[Column4]]="NEW",_xlfn.XLOOKUP(Table1[[#This Row],[Year]],$N$2:$N$27,$P$2:$P$27),ISNUMBER(Table1[[#This Row],[Column4]]),Table1[[#This Row],[Column4]],Table1[[#This Row],[Column4]]="",I550*(1+Table1[[#This Row],[Ávöxtun]]))</f>
        <v>107</v>
      </c>
      <c r="L551" s="33">
        <v>107</v>
      </c>
      <c r="M551" s="33">
        <v>107</v>
      </c>
    </row>
    <row r="552" spans="1:13">
      <c r="A552" t="s">
        <v>113</v>
      </c>
      <c r="B552">
        <v>1999</v>
      </c>
      <c r="C552" s="16">
        <v>0.09</v>
      </c>
      <c r="D552" s="1">
        <v>989697.96</v>
      </c>
      <c r="E552" s="29">
        <f>Table1[[#This Row],[Ávöxtun]]*Table1[[#This Row],[Eignir]]/SUMIFS(Table1[Eignir],Table1[Year],Table1[[#This Row],[Year]])</f>
        <v>1.7105811804509803E-4</v>
      </c>
      <c r="F552" s="23">
        <f>IF(B552=1997, 100, IF(COUNTIF(A$1:A551,A552)=0, "NEW", F551*(1+Table1[[#This Row],[Ávöxtun]])))</f>
        <v>116.63000000000001</v>
      </c>
      <c r="G552" s="18" cm="1">
        <f t="array" ref="G552">IFERROR(_xlfn.IFS(ISNUMBER(Table1[[#This Row],[Column3]]),Table1[[#This Row],[Column3]],Table1[[#This Row],[Column3]]="NEW",Table1[[#This Row],[Column3]]),"")</f>
        <v>116.63000000000001</v>
      </c>
      <c r="H552" s="15" cm="1">
        <f t="array" ref="H552">_xlfn.IFS(Table1[[#This Row],[Column4]]="NEW",AVERAGEIFS(Table1[Column4],Table1[Year],Table1[[#This Row],[Year]]),ISNUMBER(Table1[[#This Row],[Column4]]),Table1[[#This Row],[Column4]],Table1[[#This Row],[Column4]]="",H551*(1+Table1[[#This Row],[Ávöxtun]]))</f>
        <v>116.63000000000001</v>
      </c>
      <c r="I552" cm="1">
        <f t="array" ref="I552">_xlfn.IFS(Table1[[#This Row],[Column4]]="NEW",_xlfn.XLOOKUP(Table1[[#This Row],[Year]],$N$2:$N$27,$P$2:$P$27),ISNUMBER(Table1[[#This Row],[Column4]]),Table1[[#This Row],[Column4]],Table1[[#This Row],[Column4]]="",I551*(1+Table1[[#This Row],[Ávöxtun]]))</f>
        <v>116.63000000000001</v>
      </c>
      <c r="L552" s="33">
        <v>116.63000000000001</v>
      </c>
      <c r="M552" s="33">
        <v>116.63000000000001</v>
      </c>
    </row>
    <row r="553" spans="1:13">
      <c r="A553" t="s">
        <v>113</v>
      </c>
      <c r="B553">
        <v>2000</v>
      </c>
      <c r="C553" s="16">
        <v>0.03</v>
      </c>
      <c r="D553" s="1">
        <v>1066448.1299999999</v>
      </c>
      <c r="E553" s="29">
        <f>Table1[[#This Row],[Ávöxtun]]*Table1[[#This Row],[Eignir]]/SUMIFS(Table1[Eignir],Table1[Year],Table1[[#This Row],[Year]])</f>
        <v>4.5004792461753212E-5</v>
      </c>
      <c r="F553" s="23">
        <f>IF(B553=1997, 100, IF(COUNTIF(A$1:A552,A553)=0, "NEW", F552*(1+Table1[[#This Row],[Ávöxtun]])))</f>
        <v>120.12890000000002</v>
      </c>
      <c r="G553" s="18" cm="1">
        <f t="array" ref="G553">IFERROR(_xlfn.IFS(ISNUMBER(Table1[[#This Row],[Column3]]),Table1[[#This Row],[Column3]],Table1[[#This Row],[Column3]]="NEW",Table1[[#This Row],[Column3]]),"")</f>
        <v>120.12890000000002</v>
      </c>
      <c r="H553" s="15" cm="1">
        <f t="array" ref="H553">_xlfn.IFS(Table1[[#This Row],[Column4]]="NEW",AVERAGEIFS(Table1[Column4],Table1[Year],Table1[[#This Row],[Year]]),ISNUMBER(Table1[[#This Row],[Column4]]),Table1[[#This Row],[Column4]],Table1[[#This Row],[Column4]]="",H552*(1+Table1[[#This Row],[Ávöxtun]]))</f>
        <v>120.12890000000002</v>
      </c>
      <c r="I553" cm="1">
        <f t="array" ref="I553">_xlfn.IFS(Table1[[#This Row],[Column4]]="NEW",_xlfn.XLOOKUP(Table1[[#This Row],[Year]],$N$2:$N$27,$P$2:$P$27),ISNUMBER(Table1[[#This Row],[Column4]]),Table1[[#This Row],[Column4]],Table1[[#This Row],[Column4]]="",I552*(1+Table1[[#This Row],[Ávöxtun]]))</f>
        <v>120.12890000000002</v>
      </c>
      <c r="L553" s="33">
        <v>120.12890000000002</v>
      </c>
      <c r="M553" s="33">
        <v>120.12890000000002</v>
      </c>
    </row>
    <row r="554" spans="1:13">
      <c r="A554" t="s">
        <v>113</v>
      </c>
      <c r="B554">
        <v>2001</v>
      </c>
      <c r="C554" s="16">
        <v>0</v>
      </c>
      <c r="D554" s="1">
        <v>1133696.6499999999</v>
      </c>
      <c r="E554" s="29">
        <f>Table1[[#This Row],[Ávöxtun]]*Table1[[#This Row],[Eignir]]/SUMIFS(Table1[Eignir],Table1[Year],Table1[[#This Row],[Year]])</f>
        <v>0</v>
      </c>
      <c r="F554" s="23">
        <f>IF(B554=1997, 100, IF(COUNTIF(A$1:A553,A554)=0, "NEW", F553*(1+Table1[[#This Row],[Ávöxtun]])))</f>
        <v>120.12890000000002</v>
      </c>
      <c r="G554" s="18" cm="1">
        <f t="array" ref="G554">IFERROR(_xlfn.IFS(ISNUMBER(Table1[[#This Row],[Column3]]),Table1[[#This Row],[Column3]],Table1[[#This Row],[Column3]]="NEW",Table1[[#This Row],[Column3]]),"")</f>
        <v>120.12890000000002</v>
      </c>
      <c r="H554" s="15" cm="1">
        <f t="array" ref="H554">_xlfn.IFS(Table1[[#This Row],[Column4]]="NEW",AVERAGEIFS(Table1[Column4],Table1[Year],Table1[[#This Row],[Year]]),ISNUMBER(Table1[[#This Row],[Column4]]),Table1[[#This Row],[Column4]],Table1[[#This Row],[Column4]]="",H553*(1+Table1[[#This Row],[Ávöxtun]]))</f>
        <v>120.12890000000002</v>
      </c>
      <c r="I554" cm="1">
        <f t="array" ref="I554">_xlfn.IFS(Table1[[#This Row],[Column4]]="NEW",_xlfn.XLOOKUP(Table1[[#This Row],[Year]],$N$2:$N$27,$P$2:$P$27),ISNUMBER(Table1[[#This Row],[Column4]]),Table1[[#This Row],[Column4]],Table1[[#This Row],[Column4]]="",I553*(1+Table1[[#This Row],[Ávöxtun]]))</f>
        <v>120.12890000000002</v>
      </c>
      <c r="L554" s="33">
        <v>120.12890000000002</v>
      </c>
      <c r="M554" s="33">
        <v>120.12890000000002</v>
      </c>
    </row>
    <row r="555" spans="1:13">
      <c r="A555" t="s">
        <v>113</v>
      </c>
      <c r="B555">
        <v>2002</v>
      </c>
      <c r="C555" s="16">
        <v>-0.02</v>
      </c>
      <c r="D555" s="1">
        <v>1104587.3999999999</v>
      </c>
      <c r="E555" s="29">
        <f>Table1[[#This Row],[Ávöxtun]]*Table1[[#This Row],[Eignir]]/SUMIFS(Table1[Eignir],Table1[Year],Table1[[#This Row],[Year]])</f>
        <v>-3.4781162970656621E-5</v>
      </c>
      <c r="F555" s="23">
        <f>IF(B555=1997, 100, IF(COUNTIF(A$1:A554,A555)=0, "NEW", F554*(1+Table1[[#This Row],[Ávöxtun]])))</f>
        <v>117.72632200000001</v>
      </c>
      <c r="G555" s="18" cm="1">
        <f t="array" ref="G555">IFERROR(_xlfn.IFS(ISNUMBER(Table1[[#This Row],[Column3]]),Table1[[#This Row],[Column3]],Table1[[#This Row],[Column3]]="NEW",Table1[[#This Row],[Column3]]),"")</f>
        <v>117.72632200000001</v>
      </c>
      <c r="H555" s="15" cm="1">
        <f t="array" ref="H555">_xlfn.IFS(Table1[[#This Row],[Column4]]="NEW",AVERAGEIFS(Table1[Column4],Table1[Year],Table1[[#This Row],[Year]]),ISNUMBER(Table1[[#This Row],[Column4]]),Table1[[#This Row],[Column4]],Table1[[#This Row],[Column4]]="",H554*(1+Table1[[#This Row],[Ávöxtun]]))</f>
        <v>117.72632200000001</v>
      </c>
      <c r="I555" cm="1">
        <f t="array" ref="I555">_xlfn.IFS(Table1[[#This Row],[Column4]]="NEW",_xlfn.XLOOKUP(Table1[[#This Row],[Year]],$N$2:$N$27,$P$2:$P$27),ISNUMBER(Table1[[#This Row],[Column4]]),Table1[[#This Row],[Column4]],Table1[[#This Row],[Column4]]="",I554*(1+Table1[[#This Row],[Ávöxtun]]))</f>
        <v>117.72632200000001</v>
      </c>
      <c r="L555" s="33">
        <v>117.72632200000001</v>
      </c>
      <c r="M555" s="33">
        <v>117.72632200000001</v>
      </c>
    </row>
    <row r="556" spans="1:13">
      <c r="A556" t="s">
        <v>113</v>
      </c>
      <c r="B556">
        <v>2003</v>
      </c>
      <c r="C556" s="16">
        <v>0.08</v>
      </c>
      <c r="D556" s="1">
        <v>1184785</v>
      </c>
      <c r="E556" s="29">
        <f>Table1[[#This Row],[Ávöxtun]]*Table1[[#This Row],[Eignir]]/SUMIFS(Table1[Eignir],Table1[Year],Table1[[#This Row],[Year]])</f>
        <v>1.2473203491956264E-4</v>
      </c>
      <c r="F556" s="23">
        <f>IF(B556=1997, 100, IF(COUNTIF(A$1:A555,A556)=0, "NEW", F555*(1+Table1[[#This Row],[Ávöxtun]])))</f>
        <v>127.14442776000001</v>
      </c>
      <c r="G556" s="18" cm="1">
        <f t="array" ref="G556">IFERROR(_xlfn.IFS(ISNUMBER(Table1[[#This Row],[Column3]]),Table1[[#This Row],[Column3]],Table1[[#This Row],[Column3]]="NEW",Table1[[#This Row],[Column3]]),"")</f>
        <v>127.14442776000001</v>
      </c>
      <c r="H556" s="15" cm="1">
        <f t="array" ref="H556">_xlfn.IFS(Table1[[#This Row],[Column4]]="NEW",AVERAGEIFS(Table1[Column4],Table1[Year],Table1[[#This Row],[Year]]),ISNUMBER(Table1[[#This Row],[Column4]]),Table1[[#This Row],[Column4]],Table1[[#This Row],[Column4]]="",H555*(1+Table1[[#This Row],[Ávöxtun]]))</f>
        <v>127.14442776000001</v>
      </c>
      <c r="I556" cm="1">
        <f t="array" ref="I556">_xlfn.IFS(Table1[[#This Row],[Column4]]="NEW",_xlfn.XLOOKUP(Table1[[#This Row],[Year]],$N$2:$N$27,$P$2:$P$27),ISNUMBER(Table1[[#This Row],[Column4]]),Table1[[#This Row],[Column4]],Table1[[#This Row],[Column4]]="",I555*(1+Table1[[#This Row],[Ávöxtun]]))</f>
        <v>127.14442776000001</v>
      </c>
      <c r="L556" s="33">
        <v>127.14442776000001</v>
      </c>
      <c r="M556" s="33">
        <v>127.14442776000001</v>
      </c>
    </row>
    <row r="557" spans="1:13">
      <c r="A557" t="s">
        <v>113</v>
      </c>
      <c r="B557">
        <v>2004</v>
      </c>
      <c r="C557" s="16">
        <v>0.11</v>
      </c>
      <c r="D557" s="1">
        <v>1311725</v>
      </c>
      <c r="E557" s="29">
        <f>Table1[[#This Row],[Ávöxtun]]*Table1[[#This Row],[Eignir]]/SUMIFS(Table1[Eignir],Table1[Year],Table1[[#This Row],[Year]])</f>
        <v>1.5896711627336795E-4</v>
      </c>
      <c r="F557" s="23">
        <f>IF(B557=1997, 100, IF(COUNTIF(A$1:A556,A557)=0, "NEW", F556*(1+Table1[[#This Row],[Ávöxtun]])))</f>
        <v>141.13031481360002</v>
      </c>
      <c r="G557" s="18" cm="1">
        <f t="array" ref="G557">IFERROR(_xlfn.IFS(ISNUMBER(Table1[[#This Row],[Column3]]),Table1[[#This Row],[Column3]],Table1[[#This Row],[Column3]]="NEW",Table1[[#This Row],[Column3]]),"")</f>
        <v>141.13031481360002</v>
      </c>
      <c r="H557" s="15" cm="1">
        <f t="array" ref="H557">_xlfn.IFS(Table1[[#This Row],[Column4]]="NEW",AVERAGEIFS(Table1[Column4],Table1[Year],Table1[[#This Row],[Year]]),ISNUMBER(Table1[[#This Row],[Column4]]),Table1[[#This Row],[Column4]],Table1[[#This Row],[Column4]]="",H556*(1+Table1[[#This Row],[Ávöxtun]]))</f>
        <v>141.13031481360002</v>
      </c>
      <c r="I557" cm="1">
        <f t="array" ref="I557">_xlfn.IFS(Table1[[#This Row],[Column4]]="NEW",_xlfn.XLOOKUP(Table1[[#This Row],[Year]],$N$2:$N$27,$P$2:$P$27),ISNUMBER(Table1[[#This Row],[Column4]]),Table1[[#This Row],[Column4]],Table1[[#This Row],[Column4]]="",I556*(1+Table1[[#This Row],[Ávöxtun]]))</f>
        <v>141.13031481360002</v>
      </c>
      <c r="L557" s="33">
        <v>141.13031481360002</v>
      </c>
      <c r="M557" s="33">
        <v>141.13031481360002</v>
      </c>
    </row>
    <row r="558" spans="1:13">
      <c r="A558" t="s">
        <v>113</v>
      </c>
      <c r="B558">
        <v>2005</v>
      </c>
      <c r="C558" s="16">
        <v>0.1</v>
      </c>
      <c r="D558" s="1">
        <v>2147153</v>
      </c>
      <c r="E558" s="29">
        <f>Table1[[#This Row],[Ávöxtun]]*Table1[[#This Row],[Eignir]]/SUMIFS(Table1[Eignir],Table1[Year],Table1[[#This Row],[Year]])</f>
        <v>1.9148138170085904E-4</v>
      </c>
      <c r="F558" s="23">
        <f>IF(B558=1997, 100, IF(COUNTIF(A$1:A557,A558)=0, "NEW", F557*(1+Table1[[#This Row],[Ávöxtun]])))</f>
        <v>155.24334629496005</v>
      </c>
      <c r="G558" s="18" cm="1">
        <f t="array" ref="G558">IFERROR(_xlfn.IFS(ISNUMBER(Table1[[#This Row],[Column3]]),Table1[[#This Row],[Column3]],Table1[[#This Row],[Column3]]="NEW",Table1[[#This Row],[Column3]]),"")</f>
        <v>155.24334629496005</v>
      </c>
      <c r="H558" s="15" cm="1">
        <f t="array" ref="H558">_xlfn.IFS(Table1[[#This Row],[Column4]]="NEW",AVERAGEIFS(Table1[Column4],Table1[Year],Table1[[#This Row],[Year]]),ISNUMBER(Table1[[#This Row],[Column4]]),Table1[[#This Row],[Column4]],Table1[[#This Row],[Column4]]="",H557*(1+Table1[[#This Row],[Ávöxtun]]))</f>
        <v>155.24334629496005</v>
      </c>
      <c r="I558" cm="1">
        <f t="array" ref="I558">_xlfn.IFS(Table1[[#This Row],[Column4]]="NEW",_xlfn.XLOOKUP(Table1[[#This Row],[Year]],$N$2:$N$27,$P$2:$P$27),ISNUMBER(Table1[[#This Row],[Column4]]),Table1[[#This Row],[Column4]],Table1[[#This Row],[Column4]]="",I557*(1+Table1[[#This Row],[Ávöxtun]]))</f>
        <v>155.24334629496005</v>
      </c>
      <c r="L558" s="33">
        <v>155.24334629496005</v>
      </c>
      <c r="M558" s="33">
        <v>155.24334629496005</v>
      </c>
    </row>
    <row r="559" spans="1:13">
      <c r="A559" t="s">
        <v>113</v>
      </c>
      <c r="B559">
        <v>2006</v>
      </c>
      <c r="C559" s="16">
        <v>7.0599999999999996E-2</v>
      </c>
      <c r="D559" s="1">
        <v>2382635</v>
      </c>
      <c r="E559" s="29">
        <f>Table1[[#This Row],[Ávöxtun]]*Table1[[#This Row],[Eignir]]/SUMIFS(Table1[Eignir],Table1[Year],Table1[[#This Row],[Year]])</f>
        <v>1.22544631884048E-4</v>
      </c>
      <c r="F559" s="23">
        <f>IF(B559=1997, 100, IF(COUNTIF(A$1:A558,A559)=0, "NEW", F558*(1+Table1[[#This Row],[Ávöxtun]])))</f>
        <v>166.20352654338421</v>
      </c>
      <c r="G559" s="18" cm="1">
        <f t="array" ref="G559">IFERROR(_xlfn.IFS(ISNUMBER(Table1[[#This Row],[Column3]]),Table1[[#This Row],[Column3]],Table1[[#This Row],[Column3]]="NEW",Table1[[#This Row],[Column3]]),"")</f>
        <v>166.20352654338421</v>
      </c>
      <c r="H559" s="15" cm="1">
        <f t="array" ref="H559">_xlfn.IFS(Table1[[#This Row],[Column4]]="NEW",AVERAGEIFS(Table1[Column4],Table1[Year],Table1[[#This Row],[Year]]),ISNUMBER(Table1[[#This Row],[Column4]]),Table1[[#This Row],[Column4]],Table1[[#This Row],[Column4]]="",H558*(1+Table1[[#This Row],[Ávöxtun]]))</f>
        <v>166.20352654338421</v>
      </c>
      <c r="I559" cm="1">
        <f t="array" ref="I559">_xlfn.IFS(Table1[[#This Row],[Column4]]="NEW",_xlfn.XLOOKUP(Table1[[#This Row],[Year]],$N$2:$N$27,$P$2:$P$27),ISNUMBER(Table1[[#This Row],[Column4]]),Table1[[#This Row],[Column4]],Table1[[#This Row],[Column4]]="",I558*(1+Table1[[#This Row],[Ávöxtun]]))</f>
        <v>166.20352654338421</v>
      </c>
      <c r="L559" s="33">
        <v>166.20352654338421</v>
      </c>
      <c r="M559" s="33">
        <v>166.20352654338421</v>
      </c>
    </row>
    <row r="560" spans="1:13">
      <c r="A560" t="s">
        <v>113</v>
      </c>
      <c r="B560">
        <v>2007</v>
      </c>
      <c r="C560" s="16">
        <v>4.02E-2</v>
      </c>
      <c r="D560" s="1">
        <v>5935385</v>
      </c>
      <c r="E560" s="29">
        <f>Table1[[#This Row],[Ávöxtun]]*Table1[[#This Row],[Eignir]]/SUMIFS(Table1[Eignir],Table1[Year],Table1[[#This Row],[Year]])</f>
        <v>1.5429464703824348E-4</v>
      </c>
      <c r="F560" s="23">
        <f>IF(B560=1997, 100, IF(COUNTIF(A$1:A559,A560)=0, "NEW", F559*(1+Table1[[#This Row],[Ávöxtun]])))</f>
        <v>172.88490831042827</v>
      </c>
      <c r="G560" s="18" cm="1">
        <f t="array" ref="G560">IFERROR(_xlfn.IFS(ISNUMBER(Table1[[#This Row],[Column3]]),Table1[[#This Row],[Column3]],Table1[[#This Row],[Column3]]="NEW",Table1[[#This Row],[Column3]]),"")</f>
        <v>172.88490831042827</v>
      </c>
      <c r="H560" s="15" cm="1">
        <f t="array" ref="H560">_xlfn.IFS(Table1[[#This Row],[Column4]]="NEW",AVERAGEIFS(Table1[Column4],Table1[Year],Table1[[#This Row],[Year]]),ISNUMBER(Table1[[#This Row],[Column4]]),Table1[[#This Row],[Column4]],Table1[[#This Row],[Column4]]="",H559*(1+Table1[[#This Row],[Ávöxtun]]))</f>
        <v>172.88490831042827</v>
      </c>
      <c r="I560" cm="1">
        <f t="array" ref="I560">_xlfn.IFS(Table1[[#This Row],[Column4]]="NEW",_xlfn.XLOOKUP(Table1[[#This Row],[Year]],$N$2:$N$27,$P$2:$P$27),ISNUMBER(Table1[[#This Row],[Column4]]),Table1[[#This Row],[Column4]],Table1[[#This Row],[Column4]]="",I559*(1+Table1[[#This Row],[Ávöxtun]]))</f>
        <v>172.88490831042827</v>
      </c>
      <c r="L560" s="33">
        <v>172.88490831042827</v>
      </c>
      <c r="M560" s="33">
        <v>172.88490831042827</v>
      </c>
    </row>
    <row r="561" spans="1:13">
      <c r="A561" t="s">
        <v>113</v>
      </c>
      <c r="B561">
        <v>2008</v>
      </c>
      <c r="C561" s="16">
        <v>-5.6000000000000008E-3</v>
      </c>
      <c r="D561" s="1">
        <v>6904779</v>
      </c>
      <c r="E561" s="29">
        <f>Table1[[#This Row],[Ávöxtun]]*Table1[[#This Row],[Eignir]]/SUMIFS(Table1[Eignir],Table1[Year],Table1[[#This Row],[Year]])</f>
        <v>-2.5824016628901566E-5</v>
      </c>
      <c r="F561" s="23">
        <f>IF(B561=1997, 100, IF(COUNTIF(A$1:A560,A561)=0, "NEW", F560*(1+Table1[[#This Row],[Ávöxtun]])))</f>
        <v>171.91675282388988</v>
      </c>
      <c r="G561" s="18" cm="1">
        <f t="array" ref="G561">IFERROR(_xlfn.IFS(ISNUMBER(Table1[[#This Row],[Column3]]),Table1[[#This Row],[Column3]],Table1[[#This Row],[Column3]]="NEW",Table1[[#This Row],[Column3]]),"")</f>
        <v>171.91675282388988</v>
      </c>
      <c r="H561" s="15" cm="1">
        <f t="array" ref="H561">_xlfn.IFS(Table1[[#This Row],[Column4]]="NEW",AVERAGEIFS(Table1[Column4],Table1[Year],Table1[[#This Row],[Year]]),ISNUMBER(Table1[[#This Row],[Column4]]),Table1[[#This Row],[Column4]],Table1[[#This Row],[Column4]]="",H560*(1+Table1[[#This Row],[Ávöxtun]]))</f>
        <v>171.91675282388988</v>
      </c>
      <c r="I561" cm="1">
        <f t="array" ref="I561">_xlfn.IFS(Table1[[#This Row],[Column4]]="NEW",_xlfn.XLOOKUP(Table1[[#This Row],[Year]],$N$2:$N$27,$P$2:$P$27),ISNUMBER(Table1[[#This Row],[Column4]]),Table1[[#This Row],[Column4]],Table1[[#This Row],[Column4]]="",I560*(1+Table1[[#This Row],[Ávöxtun]]))</f>
        <v>171.91675282388988</v>
      </c>
      <c r="L561" s="33">
        <v>171.91675282388988</v>
      </c>
      <c r="M561" s="33">
        <v>171.91675282388988</v>
      </c>
    </row>
    <row r="562" spans="1:13">
      <c r="A562" t="s">
        <v>113</v>
      </c>
      <c r="B562">
        <v>2009</v>
      </c>
      <c r="C562" s="16">
        <v>3.1300000000000001E-2</v>
      </c>
      <c r="D562" s="1">
        <v>7588249</v>
      </c>
      <c r="E562" s="29">
        <f>Table1[[#This Row],[Ávöxtun]]*Table1[[#This Row],[Eignir]]/SUMIFS(Table1[Eignir],Table1[Year],Table1[[#This Row],[Year]])</f>
        <v>1.4237134955949753E-4</v>
      </c>
      <c r="F562" s="23">
        <f>IF(B562=1997, 100, IF(COUNTIF(A$1:A561,A562)=0, "NEW", F561*(1+Table1[[#This Row],[Ávöxtun]])))</f>
        <v>177.29774718727765</v>
      </c>
      <c r="G562" s="18" cm="1">
        <f t="array" ref="G562">IFERROR(_xlfn.IFS(ISNUMBER(Table1[[#This Row],[Column3]]),Table1[[#This Row],[Column3]],Table1[[#This Row],[Column3]]="NEW",Table1[[#This Row],[Column3]]),"")</f>
        <v>177.29774718727765</v>
      </c>
      <c r="H562" s="15" cm="1">
        <f t="array" ref="H562">_xlfn.IFS(Table1[[#This Row],[Column4]]="NEW",AVERAGEIFS(Table1[Column4],Table1[Year],Table1[[#This Row],[Year]]),ISNUMBER(Table1[[#This Row],[Column4]]),Table1[[#This Row],[Column4]],Table1[[#This Row],[Column4]]="",H561*(1+Table1[[#This Row],[Ávöxtun]]))</f>
        <v>177.29774718727765</v>
      </c>
      <c r="I562" cm="1">
        <f t="array" ref="I562">_xlfn.IFS(Table1[[#This Row],[Column4]]="NEW",_xlfn.XLOOKUP(Table1[[#This Row],[Year]],$N$2:$N$27,$P$2:$P$27),ISNUMBER(Table1[[#This Row],[Column4]]),Table1[[#This Row],[Column4]],Table1[[#This Row],[Column4]]="",I561*(1+Table1[[#This Row],[Ávöxtun]]))</f>
        <v>177.29774718727765</v>
      </c>
      <c r="L562" s="33">
        <v>177.29774718727765</v>
      </c>
      <c r="M562" s="33">
        <v>177.29774718727765</v>
      </c>
    </row>
    <row r="563" spans="1:13">
      <c r="A563" t="s">
        <v>113</v>
      </c>
      <c r="B563">
        <v>2010</v>
      </c>
      <c r="C563" s="16">
        <v>3.2500000000000001E-2</v>
      </c>
      <c r="D563" s="1">
        <v>7866337</v>
      </c>
      <c r="E563" s="29">
        <f>Table1[[#This Row],[Ávöxtun]]*Table1[[#This Row],[Eignir]]/SUMIFS(Table1[Eignir],Table1[Year],Table1[[#This Row],[Year]])</f>
        <v>1.430013841490124E-4</v>
      </c>
      <c r="F563" s="23">
        <f>IF(B563=1997, 100, IF(COUNTIF(A$1:A562,A563)=0, "NEW", F562*(1+Table1[[#This Row],[Ávöxtun]])))</f>
        <v>183.05992397086416</v>
      </c>
      <c r="G563" s="18" cm="1">
        <f t="array" ref="G563">IFERROR(_xlfn.IFS(ISNUMBER(Table1[[#This Row],[Column3]]),Table1[[#This Row],[Column3]],Table1[[#This Row],[Column3]]="NEW",Table1[[#This Row],[Column3]]),"")</f>
        <v>183.05992397086416</v>
      </c>
      <c r="H563" s="15" cm="1">
        <f t="array" ref="H563">_xlfn.IFS(Table1[[#This Row],[Column4]]="NEW",AVERAGEIFS(Table1[Column4],Table1[Year],Table1[[#This Row],[Year]]),ISNUMBER(Table1[[#This Row],[Column4]]),Table1[[#This Row],[Column4]],Table1[[#This Row],[Column4]]="",H562*(1+Table1[[#This Row],[Ávöxtun]]))</f>
        <v>183.05992397086416</v>
      </c>
      <c r="I563" cm="1">
        <f t="array" ref="I563">_xlfn.IFS(Table1[[#This Row],[Column4]]="NEW",_xlfn.XLOOKUP(Table1[[#This Row],[Year]],$N$2:$N$27,$P$2:$P$27),ISNUMBER(Table1[[#This Row],[Column4]]),Table1[[#This Row],[Column4]],Table1[[#This Row],[Column4]]="",I562*(1+Table1[[#This Row],[Ávöxtun]]))</f>
        <v>183.05992397086416</v>
      </c>
      <c r="L563" s="33">
        <v>183.05992397086416</v>
      </c>
      <c r="M563" s="33">
        <v>183.05992397086416</v>
      </c>
    </row>
    <row r="564" spans="1:13">
      <c r="A564" t="s">
        <v>113</v>
      </c>
      <c r="B564">
        <v>2011</v>
      </c>
      <c r="C564" s="16">
        <v>0.03</v>
      </c>
      <c r="D564" s="1">
        <v>8325781</v>
      </c>
      <c r="E564" s="29">
        <f>Table1[[#This Row],[Ávöxtun]]*Table1[[#This Row],[Eignir]]/SUMIFS(Table1[Eignir],Table1[Year],Table1[[#This Row],[Year]])</f>
        <v>1.2805224079069795E-4</v>
      </c>
      <c r="F564" s="23">
        <f>IF(B564=1997, 100, IF(COUNTIF(A$1:A563,A564)=0, "NEW", F563*(1+Table1[[#This Row],[Ávöxtun]])))</f>
        <v>188.5517216899901</v>
      </c>
      <c r="G564" s="18" cm="1">
        <f t="array" ref="G564">IFERROR(_xlfn.IFS(ISNUMBER(Table1[[#This Row],[Column3]]),Table1[[#This Row],[Column3]],Table1[[#This Row],[Column3]]="NEW",Table1[[#This Row],[Column3]]),"")</f>
        <v>188.5517216899901</v>
      </c>
      <c r="H564" s="15" cm="1">
        <f t="array" ref="H564">_xlfn.IFS(Table1[[#This Row],[Column4]]="NEW",AVERAGEIFS(Table1[Column4],Table1[Year],Table1[[#This Row],[Year]]),ISNUMBER(Table1[[#This Row],[Column4]]),Table1[[#This Row],[Column4]],Table1[[#This Row],[Column4]]="",H563*(1+Table1[[#This Row],[Ávöxtun]]))</f>
        <v>188.5517216899901</v>
      </c>
      <c r="I564" cm="1">
        <f t="array" ref="I564">_xlfn.IFS(Table1[[#This Row],[Column4]]="NEW",_xlfn.XLOOKUP(Table1[[#This Row],[Year]],$N$2:$N$27,$P$2:$P$27),ISNUMBER(Table1[[#This Row],[Column4]]),Table1[[#This Row],[Column4]],Table1[[#This Row],[Column4]]="",I563*(1+Table1[[#This Row],[Ávöxtun]]))</f>
        <v>188.5517216899901</v>
      </c>
      <c r="L564" s="33">
        <v>188.5517216899901</v>
      </c>
      <c r="M564" s="33">
        <v>188.5517216899901</v>
      </c>
    </row>
    <row r="565" spans="1:13">
      <c r="A565" t="s">
        <v>113</v>
      </c>
      <c r="B565">
        <v>2012</v>
      </c>
      <c r="C565" s="16">
        <v>0.03</v>
      </c>
      <c r="D565" s="1">
        <v>8693781</v>
      </c>
      <c r="E565" s="29">
        <f>Table1[[#This Row],[Ávöxtun]]*Table1[[#This Row],[Eignir]]/SUMIFS(Table1[Eignir],Table1[Year],Table1[[#This Row],[Year]])</f>
        <v>1.1839855559747436E-4</v>
      </c>
      <c r="F565" s="23">
        <f>IF(B565=1997, 100, IF(COUNTIF(A$1:A564,A565)=0, "NEW", F564*(1+Table1[[#This Row],[Ávöxtun]])))</f>
        <v>194.2082733406898</v>
      </c>
      <c r="G565" s="18" cm="1">
        <f t="array" ref="G565">IFERROR(_xlfn.IFS(ISNUMBER(Table1[[#This Row],[Column3]]),Table1[[#This Row],[Column3]],Table1[[#This Row],[Column3]]="NEW",Table1[[#This Row],[Column3]]),"")</f>
        <v>194.2082733406898</v>
      </c>
      <c r="H565" s="15" cm="1">
        <f t="array" ref="H565">_xlfn.IFS(Table1[[#This Row],[Column4]]="NEW",AVERAGEIFS(Table1[Column4],Table1[Year],Table1[[#This Row],[Year]]),ISNUMBER(Table1[[#This Row],[Column4]]),Table1[[#This Row],[Column4]],Table1[[#This Row],[Column4]]="",H564*(1+Table1[[#This Row],[Ávöxtun]]))</f>
        <v>194.2082733406898</v>
      </c>
      <c r="I565" cm="1">
        <f t="array" ref="I565">_xlfn.IFS(Table1[[#This Row],[Column4]]="NEW",_xlfn.XLOOKUP(Table1[[#This Row],[Year]],$N$2:$N$27,$P$2:$P$27),ISNUMBER(Table1[[#This Row],[Column4]]),Table1[[#This Row],[Column4]],Table1[[#This Row],[Column4]]="",I564*(1+Table1[[#This Row],[Ávöxtun]]))</f>
        <v>194.2082733406898</v>
      </c>
      <c r="L565" s="33">
        <v>194.2082733406898</v>
      </c>
      <c r="M565" s="33">
        <v>194.2082733406898</v>
      </c>
    </row>
    <row r="566" spans="1:13">
      <c r="A566" t="s">
        <v>113</v>
      </c>
      <c r="B566">
        <v>2013</v>
      </c>
      <c r="C566" s="16">
        <v>7.2000000000000008E-2</v>
      </c>
      <c r="D566" s="1">
        <v>9128704</v>
      </c>
      <c r="E566" s="29">
        <f>Table1[[#This Row],[Ávöxtun]]*Table1[[#This Row],[Eignir]]/SUMIFS(Table1[Eignir],Table1[Year],Table1[[#This Row],[Year]])</f>
        <v>2.7008227154994008E-4</v>
      </c>
      <c r="F566" s="23">
        <f>IF(B566=1997, 100, IF(COUNTIF(A$1:A565,A566)=0, "NEW", F565*(1+Table1[[#This Row],[Ávöxtun]])))</f>
        <v>208.19126902121948</v>
      </c>
      <c r="G566" s="18" cm="1">
        <f t="array" ref="G566">IFERROR(_xlfn.IFS(ISNUMBER(Table1[[#This Row],[Column3]]),Table1[[#This Row],[Column3]],Table1[[#This Row],[Column3]]="NEW",Table1[[#This Row],[Column3]]),"")</f>
        <v>208.19126902121948</v>
      </c>
      <c r="H566" s="15" cm="1">
        <f t="array" ref="H566">_xlfn.IFS(Table1[[#This Row],[Column4]]="NEW",AVERAGEIFS(Table1[Column4],Table1[Year],Table1[[#This Row],[Year]]),ISNUMBER(Table1[[#This Row],[Column4]]),Table1[[#This Row],[Column4]],Table1[[#This Row],[Column4]]="",H565*(1+Table1[[#This Row],[Ávöxtun]]))</f>
        <v>208.19126902121948</v>
      </c>
      <c r="I566" cm="1">
        <f t="array" ref="I566">_xlfn.IFS(Table1[[#This Row],[Column4]]="NEW",_xlfn.XLOOKUP(Table1[[#This Row],[Year]],$N$2:$N$27,$P$2:$P$27),ISNUMBER(Table1[[#This Row],[Column4]]),Table1[[#This Row],[Column4]],Table1[[#This Row],[Column4]]="",I565*(1+Table1[[#This Row],[Ávöxtun]]))</f>
        <v>208.19126902121948</v>
      </c>
      <c r="L566" s="33">
        <v>208.19126902121948</v>
      </c>
      <c r="M566" s="33">
        <v>208.19126902121948</v>
      </c>
    </row>
    <row r="567" spans="1:13">
      <c r="A567" t="s">
        <v>113</v>
      </c>
      <c r="B567">
        <v>2014</v>
      </c>
      <c r="C567" s="16">
        <v>0.05</v>
      </c>
      <c r="D567" s="1">
        <v>9397602</v>
      </c>
      <c r="E567" s="29">
        <f>Table1[[#This Row],[Ávöxtun]]*Table1[[#This Row],[Eignir]]/SUMIFS(Table1[Eignir],Table1[Year],Table1[[#This Row],[Year]])</f>
        <v>1.7711150738962742E-4</v>
      </c>
      <c r="F567" s="23">
        <f>IF(B567=1997, 100, IF(COUNTIF(A$1:A566,A567)=0, "NEW", F566*(1+Table1[[#This Row],[Ávöxtun]])))</f>
        <v>218.60083247228047</v>
      </c>
      <c r="G567" s="18" cm="1">
        <f t="array" ref="G567">IFERROR(_xlfn.IFS(ISNUMBER(Table1[[#This Row],[Column3]]),Table1[[#This Row],[Column3]],Table1[[#This Row],[Column3]]="NEW",Table1[[#This Row],[Column3]]),"")</f>
        <v>218.60083247228047</v>
      </c>
      <c r="H567" s="15" cm="1">
        <f t="array" ref="H567">_xlfn.IFS(Table1[[#This Row],[Column4]]="NEW",AVERAGEIFS(Table1[Column4],Table1[Year],Table1[[#This Row],[Year]]),ISNUMBER(Table1[[#This Row],[Column4]]),Table1[[#This Row],[Column4]],Table1[[#This Row],[Column4]]="",H566*(1+Table1[[#This Row],[Ávöxtun]]))</f>
        <v>218.60083247228047</v>
      </c>
      <c r="I567" cm="1">
        <f t="array" ref="I567">_xlfn.IFS(Table1[[#This Row],[Column4]]="NEW",_xlfn.XLOOKUP(Table1[[#This Row],[Year]],$N$2:$N$27,$P$2:$P$27),ISNUMBER(Table1[[#This Row],[Column4]]),Table1[[#This Row],[Column4]],Table1[[#This Row],[Column4]]="",I566*(1+Table1[[#This Row],[Ávöxtun]]))</f>
        <v>218.60083247228047</v>
      </c>
      <c r="L567" s="33">
        <v>218.60083247228047</v>
      </c>
      <c r="M567" s="33">
        <v>218.60083247228047</v>
      </c>
    </row>
    <row r="568" spans="1:13">
      <c r="A568" t="s">
        <v>113</v>
      </c>
      <c r="B568">
        <v>2015</v>
      </c>
      <c r="C568" s="16">
        <v>0.09</v>
      </c>
      <c r="D568" s="1">
        <v>10346055</v>
      </c>
      <c r="E568" s="29">
        <f>Table1[[#This Row],[Ávöxtun]]*Table1[[#This Row],[Eignir]]/SUMIFS(Table1[Eignir],Table1[Year],Table1[[#This Row],[Year]])</f>
        <v>3.1442959250112994E-4</v>
      </c>
      <c r="F568" s="23">
        <f>IF(B568=1997, 100, IF(COUNTIF(A$1:A567,A568)=0, "NEW", F567*(1+Table1[[#This Row],[Ávöxtun]])))</f>
        <v>238.27490739478574</v>
      </c>
      <c r="G568" s="18" cm="1">
        <f t="array" ref="G568">IFERROR(_xlfn.IFS(ISNUMBER(Table1[[#This Row],[Column3]]),Table1[[#This Row],[Column3]],Table1[[#This Row],[Column3]]="NEW",Table1[[#This Row],[Column3]]),"")</f>
        <v>238.27490739478574</v>
      </c>
      <c r="H568" s="15" cm="1">
        <f t="array" ref="H568">_xlfn.IFS(Table1[[#This Row],[Column4]]="NEW",AVERAGEIFS(Table1[Column4],Table1[Year],Table1[[#This Row],[Year]]),ISNUMBER(Table1[[#This Row],[Column4]]),Table1[[#This Row],[Column4]],Table1[[#This Row],[Column4]]="",H567*(1+Table1[[#This Row],[Ávöxtun]]))</f>
        <v>238.27490739478574</v>
      </c>
      <c r="I568" cm="1">
        <f t="array" ref="I568">_xlfn.IFS(Table1[[#This Row],[Column4]]="NEW",_xlfn.XLOOKUP(Table1[[#This Row],[Year]],$N$2:$N$27,$P$2:$P$27),ISNUMBER(Table1[[#This Row],[Column4]]),Table1[[#This Row],[Column4]],Table1[[#This Row],[Column4]]="",I567*(1+Table1[[#This Row],[Ávöxtun]]))</f>
        <v>238.27490739478574</v>
      </c>
      <c r="L568" s="33">
        <v>238.27490739478574</v>
      </c>
      <c r="M568" s="33">
        <v>238.27490739478574</v>
      </c>
    </row>
    <row r="569" spans="1:13">
      <c r="A569" t="s">
        <v>113</v>
      </c>
      <c r="B569">
        <v>2016</v>
      </c>
      <c r="C569" s="16">
        <v>2.2499999999999999E-2</v>
      </c>
      <c r="D569" s="1">
        <v>10443166.810000001</v>
      </c>
      <c r="E569" s="29">
        <f>Table1[[#This Row],[Ávöxtun]]*Table1[[#This Row],[Eignir]]/SUMIFS(Table1[Eignir],Table1[Year],Table1[[#This Row],[Year]])</f>
        <v>7.3427446019576063E-5</v>
      </c>
      <c r="F569" s="23">
        <f>IF(B569=1997, 100, IF(COUNTIF(A$1:A568,A569)=0, "NEW", F568*(1+Table1[[#This Row],[Ávöxtun]])))</f>
        <v>243.63609281116842</v>
      </c>
      <c r="G569" s="18" cm="1">
        <f t="array" ref="G569">IFERROR(_xlfn.IFS(ISNUMBER(Table1[[#This Row],[Column3]]),Table1[[#This Row],[Column3]],Table1[[#This Row],[Column3]]="NEW",Table1[[#This Row],[Column3]]),"")</f>
        <v>243.63609281116842</v>
      </c>
      <c r="H569" s="15" cm="1">
        <f t="array" ref="H569">_xlfn.IFS(Table1[[#This Row],[Column4]]="NEW",AVERAGEIFS(Table1[Column4],Table1[Year],Table1[[#This Row],[Year]]),ISNUMBER(Table1[[#This Row],[Column4]]),Table1[[#This Row],[Column4]],Table1[[#This Row],[Column4]]="",H568*(1+Table1[[#This Row],[Ávöxtun]]))</f>
        <v>243.63609281116842</v>
      </c>
      <c r="I569" cm="1">
        <f t="array" ref="I569">_xlfn.IFS(Table1[[#This Row],[Column4]]="NEW",_xlfn.XLOOKUP(Table1[[#This Row],[Year]],$N$2:$N$27,$P$2:$P$27),ISNUMBER(Table1[[#This Row],[Column4]]),Table1[[#This Row],[Column4]],Table1[[#This Row],[Column4]]="",I568*(1+Table1[[#This Row],[Ávöxtun]]))</f>
        <v>243.63609281116842</v>
      </c>
      <c r="L569" s="33">
        <v>243.63609281116842</v>
      </c>
      <c r="M569" s="33">
        <v>243.63609281116842</v>
      </c>
    </row>
    <row r="570" spans="1:13">
      <c r="A570" t="s">
        <v>113</v>
      </c>
      <c r="B570">
        <v>2017</v>
      </c>
      <c r="C570" s="16">
        <v>3.4000000000000002E-2</v>
      </c>
      <c r="D570" s="1">
        <v>11991979</v>
      </c>
      <c r="E570" s="29">
        <f>Table1[[#This Row],[Ávöxtun]]*Table1[[#This Row],[Eignir]]/SUMIFS(Table1[Eignir],Table1[Year],Table1[[#This Row],[Year]])</f>
        <v>1.1455744698003492E-4</v>
      </c>
      <c r="F570" s="23">
        <f>IF(B570=1997, 100, IF(COUNTIF(A$1:A569,A570)=0, "NEW", F569*(1+Table1[[#This Row],[Ávöxtun]])))</f>
        <v>251.91971996674815</v>
      </c>
      <c r="G570" s="18" cm="1">
        <f t="array" ref="G570">IFERROR(_xlfn.IFS(ISNUMBER(Table1[[#This Row],[Column3]]),Table1[[#This Row],[Column3]],Table1[[#This Row],[Column3]]="NEW",Table1[[#This Row],[Column3]]),"")</f>
        <v>251.91971996674815</v>
      </c>
      <c r="H570" s="15" cm="1">
        <f t="array" ref="H570">_xlfn.IFS(Table1[[#This Row],[Column4]]="NEW",AVERAGEIFS(Table1[Column4],Table1[Year],Table1[[#This Row],[Year]]),ISNUMBER(Table1[[#This Row],[Column4]]),Table1[[#This Row],[Column4]],Table1[[#This Row],[Column4]]="",H569*(1+Table1[[#This Row],[Ávöxtun]]))</f>
        <v>251.91971996674815</v>
      </c>
      <c r="I570" cm="1">
        <f t="array" ref="I570">_xlfn.IFS(Table1[[#This Row],[Column4]]="NEW",_xlfn.XLOOKUP(Table1[[#This Row],[Year]],$N$2:$N$27,$P$2:$P$27),ISNUMBER(Table1[[#This Row],[Column4]]),Table1[[#This Row],[Column4]],Table1[[#This Row],[Column4]]="",I569*(1+Table1[[#This Row],[Ávöxtun]]))</f>
        <v>251.91971996674815</v>
      </c>
      <c r="L570" s="33">
        <v>251.91971996674815</v>
      </c>
      <c r="M570" s="33">
        <v>251.91971996674815</v>
      </c>
    </row>
    <row r="571" spans="1:13">
      <c r="A571" t="s">
        <v>113</v>
      </c>
      <c r="B571">
        <v>2018</v>
      </c>
      <c r="C571" s="16">
        <v>6.9999999999999993E-3</v>
      </c>
      <c r="D571" s="1">
        <v>12025984</v>
      </c>
      <c r="E571" s="29">
        <f>Table1[[#This Row],[Ávöxtun]]*Table1[[#This Row],[Eignir]]/SUMIFS(Table1[Eignir],Table1[Year],Table1[[#This Row],[Year]])</f>
        <v>2.2046848628320653E-5</v>
      </c>
      <c r="F571" s="23">
        <f>IF(B571=1997, 100, IF(COUNTIF(A$1:A570,A571)=0, "NEW", F570*(1+Table1[[#This Row],[Ávöxtun]])))</f>
        <v>253.68315800651536</v>
      </c>
      <c r="G571" s="18" cm="1">
        <f t="array" ref="G571">IFERROR(_xlfn.IFS(ISNUMBER(Table1[[#This Row],[Column3]]),Table1[[#This Row],[Column3]],Table1[[#This Row],[Column3]]="NEW",Table1[[#This Row],[Column3]]),"")</f>
        <v>253.68315800651536</v>
      </c>
      <c r="H571" s="15" cm="1">
        <f t="array" ref="H571">_xlfn.IFS(Table1[[#This Row],[Column4]]="NEW",AVERAGEIFS(Table1[Column4],Table1[Year],Table1[[#This Row],[Year]]),ISNUMBER(Table1[[#This Row],[Column4]]),Table1[[#This Row],[Column4]],Table1[[#This Row],[Column4]]="",H570*(1+Table1[[#This Row],[Ávöxtun]]))</f>
        <v>253.68315800651536</v>
      </c>
      <c r="I571" cm="1">
        <f t="array" ref="I571">_xlfn.IFS(Table1[[#This Row],[Column4]]="NEW",_xlfn.XLOOKUP(Table1[[#This Row],[Year]],$N$2:$N$27,$P$2:$P$27),ISNUMBER(Table1[[#This Row],[Column4]]),Table1[[#This Row],[Column4]],Table1[[#This Row],[Column4]]="",I570*(1+Table1[[#This Row],[Ávöxtun]]))</f>
        <v>253.68315800651536</v>
      </c>
      <c r="L571" s="33">
        <v>253.68315800651536</v>
      </c>
      <c r="M571" s="33">
        <v>253.68315800651536</v>
      </c>
    </row>
    <row r="572" spans="1:13">
      <c r="A572" t="s">
        <v>113</v>
      </c>
      <c r="B572">
        <v>2019</v>
      </c>
      <c r="C572" s="16">
        <v>6.7000000000000004E-2</v>
      </c>
      <c r="D572" s="1">
        <v>12726848.77</v>
      </c>
      <c r="E572" s="29">
        <f>Table1[[#This Row],[Ávöxtun]]*Table1[[#This Row],[Eignir]]/SUMIFS(Table1[Eignir],Table1[Year],Table1[[#This Row],[Year]])</f>
        <v>1.9261851332056176E-4</v>
      </c>
      <c r="F572" s="23">
        <f>IF(B572=1997, 100, IF(COUNTIF(A$1:A571,A572)=0, "NEW", F571*(1+Table1[[#This Row],[Ávöxtun]])))</f>
        <v>270.67992959295185</v>
      </c>
      <c r="G572" s="18" cm="1">
        <f t="array" ref="G572">IFERROR(_xlfn.IFS(ISNUMBER(Table1[[#This Row],[Column3]]),Table1[[#This Row],[Column3]],Table1[[#This Row],[Column3]]="NEW",Table1[[#This Row],[Column3]]),"")</f>
        <v>270.67992959295185</v>
      </c>
      <c r="H572" s="15" cm="1">
        <f t="array" ref="H572">_xlfn.IFS(Table1[[#This Row],[Column4]]="NEW",AVERAGEIFS(Table1[Column4],Table1[Year],Table1[[#This Row],[Year]]),ISNUMBER(Table1[[#This Row],[Column4]]),Table1[[#This Row],[Column4]],Table1[[#This Row],[Column4]]="",H571*(1+Table1[[#This Row],[Ávöxtun]]))</f>
        <v>270.67992959295185</v>
      </c>
      <c r="I572" cm="1">
        <f t="array" ref="I572">_xlfn.IFS(Table1[[#This Row],[Column4]]="NEW",_xlfn.XLOOKUP(Table1[[#This Row],[Year]],$N$2:$N$27,$P$2:$P$27),ISNUMBER(Table1[[#This Row],[Column4]]),Table1[[#This Row],[Column4]],Table1[[#This Row],[Column4]]="",I571*(1+Table1[[#This Row],[Ávöxtun]]))</f>
        <v>270.67992959295185</v>
      </c>
      <c r="L572" s="33">
        <v>270.67992959295185</v>
      </c>
      <c r="M572" s="33">
        <v>270.67992959295185</v>
      </c>
    </row>
    <row r="573" spans="1:13">
      <c r="A573" t="s">
        <v>113</v>
      </c>
      <c r="B573">
        <v>2020</v>
      </c>
      <c r="C573" s="16">
        <v>7.4200000000000002E-2</v>
      </c>
      <c r="D573" s="1">
        <v>13505036.48</v>
      </c>
      <c r="E573" s="29">
        <f>Table1[[#This Row],[Ávöxtun]]*Table1[[#This Row],[Eignir]]/SUMIFS(Table1[Eignir],Table1[Year],Table1[[#This Row],[Year]])</f>
        <v>1.9508450156564109E-4</v>
      </c>
      <c r="F573" s="23">
        <f>IF(B573=1997, 100, IF(COUNTIF(A$1:A572,A573)=0, "NEW", F572*(1+Table1[[#This Row],[Ávöxtun]])))</f>
        <v>290.7643803687489</v>
      </c>
      <c r="G573" s="18" cm="1">
        <f t="array" ref="G573">IFERROR(_xlfn.IFS(ISNUMBER(Table1[[#This Row],[Column3]]),Table1[[#This Row],[Column3]],Table1[[#This Row],[Column3]]="NEW",Table1[[#This Row],[Column3]]),"")</f>
        <v>290.7643803687489</v>
      </c>
      <c r="H573" s="15" cm="1">
        <f t="array" ref="H573">_xlfn.IFS(Table1[[#This Row],[Column4]]="NEW",AVERAGEIFS(Table1[Column4],Table1[Year],Table1[[#This Row],[Year]]),ISNUMBER(Table1[[#This Row],[Column4]]),Table1[[#This Row],[Column4]],Table1[[#This Row],[Column4]]="",H572*(1+Table1[[#This Row],[Ávöxtun]]))</f>
        <v>290.7643803687489</v>
      </c>
      <c r="I573" cm="1">
        <f t="array" ref="I573">_xlfn.IFS(Table1[[#This Row],[Column4]]="NEW",_xlfn.XLOOKUP(Table1[[#This Row],[Year]],$N$2:$N$27,$P$2:$P$27),ISNUMBER(Table1[[#This Row],[Column4]]),Table1[[#This Row],[Column4]],Table1[[#This Row],[Column4]]="",I572*(1+Table1[[#This Row],[Ávöxtun]]))</f>
        <v>290.7643803687489</v>
      </c>
      <c r="L573" s="33">
        <v>290.7643803687489</v>
      </c>
      <c r="M573" s="33">
        <v>290.7643803687489</v>
      </c>
    </row>
    <row r="574" spans="1:13">
      <c r="A574" t="s">
        <v>113</v>
      </c>
      <c r="B574">
        <v>2021</v>
      </c>
      <c r="C574" s="16">
        <v>0.08</v>
      </c>
      <c r="D574" s="1">
        <v>14586205.210000001</v>
      </c>
      <c r="E574" s="29">
        <f>Table1[[#This Row],[Ávöxtun]]*Table1[[#This Row],[Eignir]]/SUMIFS(Table1[Eignir],Table1[Year],Table1[[#This Row],[Year]])</f>
        <v>1.932108224688719E-4</v>
      </c>
      <c r="F574" s="23">
        <f>IF(B574=1997, 100, IF(COUNTIF(A$1:A573,A574)=0, "NEW", F573*(1+Table1[[#This Row],[Ávöxtun]])))</f>
        <v>314.02553079824884</v>
      </c>
      <c r="G574" s="18" cm="1">
        <f t="array" ref="G574">IFERROR(_xlfn.IFS(ISNUMBER(Table1[[#This Row],[Column3]]),Table1[[#This Row],[Column3]],Table1[[#This Row],[Column3]]="NEW",Table1[[#This Row],[Column3]]),"")</f>
        <v>314.02553079824884</v>
      </c>
      <c r="H574" s="15" cm="1">
        <f t="array" ref="H574">_xlfn.IFS(Table1[[#This Row],[Column4]]="NEW",AVERAGEIFS(Table1[Column4],Table1[Year],Table1[[#This Row],[Year]]),ISNUMBER(Table1[[#This Row],[Column4]]),Table1[[#This Row],[Column4]],Table1[[#This Row],[Column4]]="",H573*(1+Table1[[#This Row],[Ávöxtun]]))</f>
        <v>314.02553079824884</v>
      </c>
      <c r="I574" cm="1">
        <f t="array" ref="I574">_xlfn.IFS(Table1[[#This Row],[Column4]]="NEW",_xlfn.XLOOKUP(Table1[[#This Row],[Year]],$N$2:$N$27,$P$2:$P$27),ISNUMBER(Table1[[#This Row],[Column4]]),Table1[[#This Row],[Column4]],Table1[[#This Row],[Column4]]="",I573*(1+Table1[[#This Row],[Ávöxtun]]))</f>
        <v>314.02553079824884</v>
      </c>
      <c r="L574" s="33">
        <v>314.02553079824884</v>
      </c>
      <c r="M574" s="33">
        <v>314.02553079824884</v>
      </c>
    </row>
    <row r="575" spans="1:13">
      <c r="A575" t="s">
        <v>114</v>
      </c>
      <c r="B575">
        <v>1997</v>
      </c>
      <c r="C575" s="16">
        <v>0.02</v>
      </c>
      <c r="D575" s="1">
        <v>4701050</v>
      </c>
      <c r="E575" s="29">
        <f>Table1[[#This Row],[Ávöxtun]]*Table1[[#This Row],[Eignir]]/SUMIFS(Table1[Eignir],Table1[Year],Table1[[#This Row],[Year]])</f>
        <v>2.7732735127196161E-4</v>
      </c>
      <c r="F575" s="23">
        <f>IF(B575=1997, 100, IF(COUNTIF(A$1:A574,A575)=0, "NEW", F574*(1+Table1[[#This Row],[Ávöxtun]])))</f>
        <v>100</v>
      </c>
      <c r="G575" s="18" cm="1">
        <f t="array" ref="G575">IFERROR(_xlfn.IFS(ISNUMBER(Table1[[#This Row],[Column3]]),Table1[[#This Row],[Column3]],Table1[[#This Row],[Column3]]="NEW",Table1[[#This Row],[Column3]]),"")</f>
        <v>100</v>
      </c>
      <c r="H575" s="15" cm="1">
        <f t="array" ref="H575">_xlfn.IFS(Table1[[#This Row],[Column4]]="NEW",AVERAGEIFS(Table1[Column4],Table1[Year],Table1[[#This Row],[Year]]),ISNUMBER(Table1[[#This Row],[Column4]]),Table1[[#This Row],[Column4]],Table1[[#This Row],[Column4]]="",H574*(1+Table1[[#This Row],[Ávöxtun]]))</f>
        <v>100</v>
      </c>
      <c r="I575" cm="1">
        <f t="array" ref="I575">_xlfn.IFS(Table1[[#This Row],[Column4]]="NEW",_xlfn.XLOOKUP(Table1[[#This Row],[Year]],$N$2:$N$27,$P$2:$P$27),ISNUMBER(Table1[[#This Row],[Column4]]),Table1[[#This Row],[Column4]],Table1[[#This Row],[Column4]]="",I574*(1+Table1[[#This Row],[Ávöxtun]]))</f>
        <v>100</v>
      </c>
      <c r="L575" s="33">
        <v>100</v>
      </c>
      <c r="M575" s="33">
        <v>100</v>
      </c>
    </row>
    <row r="576" spans="1:13">
      <c r="A576" t="s">
        <v>114</v>
      </c>
      <c r="B576">
        <v>1998</v>
      </c>
      <c r="C576" s="16">
        <v>0.1</v>
      </c>
      <c r="D576" s="1">
        <v>5380107.6100000003</v>
      </c>
      <c r="E576" s="29">
        <f>Table1[[#This Row],[Ávöxtun]]*Table1[[#This Row],[Eignir]]/SUMIFS(Table1[Eignir],Table1[Year],Table1[[#This Row],[Year]])</f>
        <v>1.3737558785898839E-3</v>
      </c>
      <c r="F576" s="23">
        <f>IF(B576=1997, 100, IF(COUNTIF(A$1:A575,A576)=0, "NEW", F575*(1+Table1[[#This Row],[Ávöxtun]])))</f>
        <v>110.00000000000001</v>
      </c>
      <c r="G576" s="18" cm="1">
        <f t="array" ref="G576">IFERROR(_xlfn.IFS(ISNUMBER(Table1[[#This Row],[Column3]]),Table1[[#This Row],[Column3]],Table1[[#This Row],[Column3]]="NEW",Table1[[#This Row],[Column3]]),"")</f>
        <v>110.00000000000001</v>
      </c>
      <c r="H576" s="15" cm="1">
        <f t="array" ref="H576">_xlfn.IFS(Table1[[#This Row],[Column4]]="NEW",AVERAGEIFS(Table1[Column4],Table1[Year],Table1[[#This Row],[Year]]),ISNUMBER(Table1[[#This Row],[Column4]]),Table1[[#This Row],[Column4]],Table1[[#This Row],[Column4]]="",H575*(1+Table1[[#This Row],[Ávöxtun]]))</f>
        <v>110.00000000000001</v>
      </c>
      <c r="I576" cm="1">
        <f t="array" ref="I576">_xlfn.IFS(Table1[[#This Row],[Column4]]="NEW",_xlfn.XLOOKUP(Table1[[#This Row],[Year]],$N$2:$N$27,$P$2:$P$27),ISNUMBER(Table1[[#This Row],[Column4]]),Table1[[#This Row],[Column4]],Table1[[#This Row],[Column4]]="",I575*(1+Table1[[#This Row],[Ávöxtun]]))</f>
        <v>110.00000000000001</v>
      </c>
      <c r="L576" s="33">
        <v>110.00000000000001</v>
      </c>
      <c r="M576" s="33">
        <v>110.00000000000001</v>
      </c>
    </row>
    <row r="577" spans="1:13">
      <c r="A577" t="s">
        <v>114</v>
      </c>
      <c r="B577">
        <v>1999</v>
      </c>
      <c r="C577" s="16">
        <v>0.14000000000000001</v>
      </c>
      <c r="D577" s="1">
        <v>5992910.3499999996</v>
      </c>
      <c r="E577" s="29">
        <f>Table1[[#This Row],[Ávöxtun]]*Table1[[#This Row],[Eignir]]/SUMIFS(Table1[Eignir],Table1[Year],Table1[[#This Row],[Year]])</f>
        <v>1.6112551623747532E-3</v>
      </c>
      <c r="F577" s="23">
        <f>IF(B577=1997, 100, IF(COUNTIF(A$1:A576,A577)=0, "NEW", F576*(1+Table1[[#This Row],[Ávöxtun]])))</f>
        <v>125.40000000000003</v>
      </c>
      <c r="G577" s="18" cm="1">
        <f t="array" ref="G577">IFERROR(_xlfn.IFS(ISNUMBER(Table1[[#This Row],[Column3]]),Table1[[#This Row],[Column3]],Table1[[#This Row],[Column3]]="NEW",Table1[[#This Row],[Column3]]),"")</f>
        <v>125.40000000000003</v>
      </c>
      <c r="H577" s="15" cm="1">
        <f t="array" ref="H577">_xlfn.IFS(Table1[[#This Row],[Column4]]="NEW",AVERAGEIFS(Table1[Column4],Table1[Year],Table1[[#This Row],[Year]]),ISNUMBER(Table1[[#This Row],[Column4]]),Table1[[#This Row],[Column4]],Table1[[#This Row],[Column4]]="",H576*(1+Table1[[#This Row],[Ávöxtun]]))</f>
        <v>125.40000000000003</v>
      </c>
      <c r="I577" cm="1">
        <f t="array" ref="I577">_xlfn.IFS(Table1[[#This Row],[Column4]]="NEW",_xlfn.XLOOKUP(Table1[[#This Row],[Year]],$N$2:$N$27,$P$2:$P$27),ISNUMBER(Table1[[#This Row],[Column4]]),Table1[[#This Row],[Column4]],Table1[[#This Row],[Column4]]="",I576*(1+Table1[[#This Row],[Ávöxtun]]))</f>
        <v>125.40000000000003</v>
      </c>
      <c r="L577" s="33">
        <v>125.40000000000003</v>
      </c>
      <c r="M577" s="33">
        <v>125.40000000000003</v>
      </c>
    </row>
    <row r="578" spans="1:13">
      <c r="A578" t="s">
        <v>114</v>
      </c>
      <c r="B578">
        <v>2000</v>
      </c>
      <c r="C578" s="16">
        <v>-0.01</v>
      </c>
      <c r="D578" s="1">
        <v>6122434.2400000002</v>
      </c>
      <c r="E578" s="29">
        <f>Table1[[#This Row],[Ávöxtun]]*Table1[[#This Row],[Eignir]]/SUMIFS(Table1[Eignir],Table1[Year],Table1[[#This Row],[Year]])</f>
        <v>-8.6123545559261221E-5</v>
      </c>
      <c r="F578" s="23">
        <f>IF(B578=1997, 100, IF(COUNTIF(A$1:A577,A578)=0, "NEW", F577*(1+Table1[[#This Row],[Ávöxtun]])))</f>
        <v>124.14600000000003</v>
      </c>
      <c r="G578" s="18" cm="1">
        <f t="array" ref="G578">IFERROR(_xlfn.IFS(ISNUMBER(Table1[[#This Row],[Column3]]),Table1[[#This Row],[Column3]],Table1[[#This Row],[Column3]]="NEW",Table1[[#This Row],[Column3]]),"")</f>
        <v>124.14600000000003</v>
      </c>
      <c r="H578" s="15" cm="1">
        <f t="array" ref="H578">_xlfn.IFS(Table1[[#This Row],[Column4]]="NEW",AVERAGEIFS(Table1[Column4],Table1[Year],Table1[[#This Row],[Year]]),ISNUMBER(Table1[[#This Row],[Column4]]),Table1[[#This Row],[Column4]],Table1[[#This Row],[Column4]]="",H577*(1+Table1[[#This Row],[Ávöxtun]]))</f>
        <v>124.14600000000003</v>
      </c>
      <c r="I578" cm="1">
        <f t="array" ref="I578">_xlfn.IFS(Table1[[#This Row],[Column4]]="NEW",_xlfn.XLOOKUP(Table1[[#This Row],[Year]],$N$2:$N$27,$P$2:$P$27),ISNUMBER(Table1[[#This Row],[Column4]]),Table1[[#This Row],[Column4]],Table1[[#This Row],[Column4]]="",I577*(1+Table1[[#This Row],[Ávöxtun]]))</f>
        <v>124.14600000000003</v>
      </c>
      <c r="L578" s="33">
        <v>124.14600000000003</v>
      </c>
      <c r="M578" s="33">
        <v>124.14600000000003</v>
      </c>
    </row>
    <row r="579" spans="1:13">
      <c r="A579" t="s">
        <v>114</v>
      </c>
      <c r="B579">
        <v>2001</v>
      </c>
      <c r="C579" s="16">
        <v>-0.02</v>
      </c>
      <c r="D579" s="1">
        <v>6362109.0599999996</v>
      </c>
      <c r="E579" s="29">
        <f>Table1[[#This Row],[Ávöxtun]]*Table1[[#This Row],[Eignir]]/SUMIFS(Table1[Eignir],Table1[Year],Table1[[#This Row],[Year]])</f>
        <v>-1.0988898294290336E-4</v>
      </c>
      <c r="F579" s="23">
        <f>IF(B579=1997, 100, IF(COUNTIF(A$1:A578,A579)=0, "NEW", F578*(1+Table1[[#This Row],[Ávöxtun]])))</f>
        <v>121.66308000000002</v>
      </c>
      <c r="G579" s="18" cm="1">
        <f t="array" ref="G579">IFERROR(_xlfn.IFS(ISNUMBER(Table1[[#This Row],[Column3]]),Table1[[#This Row],[Column3]],Table1[[#This Row],[Column3]]="NEW",Table1[[#This Row],[Column3]]),"")</f>
        <v>121.66308000000002</v>
      </c>
      <c r="H579" s="15" cm="1">
        <f t="array" ref="H579">_xlfn.IFS(Table1[[#This Row],[Column4]]="NEW",AVERAGEIFS(Table1[Column4],Table1[Year],Table1[[#This Row],[Year]]),ISNUMBER(Table1[[#This Row],[Column4]]),Table1[[#This Row],[Column4]],Table1[[#This Row],[Column4]]="",H578*(1+Table1[[#This Row],[Ávöxtun]]))</f>
        <v>121.66308000000002</v>
      </c>
      <c r="I579" cm="1">
        <f t="array" ref="I579">_xlfn.IFS(Table1[[#This Row],[Column4]]="NEW",_xlfn.XLOOKUP(Table1[[#This Row],[Year]],$N$2:$N$27,$P$2:$P$27),ISNUMBER(Table1[[#This Row],[Column4]]),Table1[[#This Row],[Column4]],Table1[[#This Row],[Column4]]="",I578*(1+Table1[[#This Row],[Ávöxtun]]))</f>
        <v>121.66308000000002</v>
      </c>
      <c r="L579" s="33">
        <v>121.66308000000002</v>
      </c>
      <c r="M579" s="33">
        <v>121.66308000000002</v>
      </c>
    </row>
    <row r="580" spans="1:13">
      <c r="A580" t="s">
        <v>114</v>
      </c>
      <c r="B580">
        <v>2002</v>
      </c>
      <c r="C580" s="16">
        <v>0.05</v>
      </c>
      <c r="D580" s="1">
        <v>6712815.9199999999</v>
      </c>
      <c r="E580" s="29">
        <f>Table1[[#This Row],[Ávöxtun]]*Table1[[#This Row],[Eignir]]/SUMIFS(Table1[Eignir],Table1[Year],Table1[[#This Row],[Year]])</f>
        <v>5.2843157659035922E-4</v>
      </c>
      <c r="F580" s="23">
        <f>IF(B580=1997, 100, IF(COUNTIF(A$1:A579,A580)=0, "NEW", F579*(1+Table1[[#This Row],[Ávöxtun]])))</f>
        <v>127.74623400000003</v>
      </c>
      <c r="G580" s="18" cm="1">
        <f t="array" ref="G580">IFERROR(_xlfn.IFS(ISNUMBER(Table1[[#This Row],[Column3]]),Table1[[#This Row],[Column3]],Table1[[#This Row],[Column3]]="NEW",Table1[[#This Row],[Column3]]),"")</f>
        <v>127.74623400000003</v>
      </c>
      <c r="H580" s="15" cm="1">
        <f t="array" ref="H580">_xlfn.IFS(Table1[[#This Row],[Column4]]="NEW",AVERAGEIFS(Table1[Column4],Table1[Year],Table1[[#This Row],[Year]]),ISNUMBER(Table1[[#This Row],[Column4]]),Table1[[#This Row],[Column4]],Table1[[#This Row],[Column4]]="",H579*(1+Table1[[#This Row],[Ávöxtun]]))</f>
        <v>127.74623400000003</v>
      </c>
      <c r="I580" cm="1">
        <f t="array" ref="I580">_xlfn.IFS(Table1[[#This Row],[Column4]]="NEW",_xlfn.XLOOKUP(Table1[[#This Row],[Year]],$N$2:$N$27,$P$2:$P$27),ISNUMBER(Table1[[#This Row],[Column4]]),Table1[[#This Row],[Column4]],Table1[[#This Row],[Column4]]="",I579*(1+Table1[[#This Row],[Ávöxtun]]))</f>
        <v>127.74623400000003</v>
      </c>
      <c r="L580" s="33">
        <v>127.74623400000003</v>
      </c>
      <c r="M580" s="33">
        <v>127.74623400000003</v>
      </c>
    </row>
    <row r="581" spans="1:13">
      <c r="A581" t="s">
        <v>114</v>
      </c>
      <c r="B581">
        <v>2003</v>
      </c>
      <c r="C581" s="16">
        <v>0.11</v>
      </c>
      <c r="D581" s="1">
        <v>7503172</v>
      </c>
      <c r="E581" s="29">
        <f>Table1[[#This Row],[Ávöxtun]]*Table1[[#This Row],[Eignir]]/SUMIFS(Table1[Eignir],Table1[Year],Table1[[#This Row],[Year]])</f>
        <v>1.0861406321638874E-3</v>
      </c>
      <c r="F581" s="23">
        <f>IF(B581=1997, 100, IF(COUNTIF(A$1:A580,A581)=0, "NEW", F580*(1+Table1[[#This Row],[Ávöxtun]])))</f>
        <v>141.79831974000004</v>
      </c>
      <c r="G581" s="18" cm="1">
        <f t="array" ref="G581">IFERROR(_xlfn.IFS(ISNUMBER(Table1[[#This Row],[Column3]]),Table1[[#This Row],[Column3]],Table1[[#This Row],[Column3]]="NEW",Table1[[#This Row],[Column3]]),"")</f>
        <v>141.79831974000004</v>
      </c>
      <c r="H581" s="15" cm="1">
        <f t="array" ref="H581">_xlfn.IFS(Table1[[#This Row],[Column4]]="NEW",AVERAGEIFS(Table1[Column4],Table1[Year],Table1[[#This Row],[Year]]),ISNUMBER(Table1[[#This Row],[Column4]]),Table1[[#This Row],[Column4]],Table1[[#This Row],[Column4]]="",H580*(1+Table1[[#This Row],[Ávöxtun]]))</f>
        <v>141.79831974000004</v>
      </c>
      <c r="I581" cm="1">
        <f t="array" ref="I581">_xlfn.IFS(Table1[[#This Row],[Column4]]="NEW",_xlfn.XLOOKUP(Table1[[#This Row],[Year]],$N$2:$N$27,$P$2:$P$27),ISNUMBER(Table1[[#This Row],[Column4]]),Table1[[#This Row],[Column4]],Table1[[#This Row],[Column4]]="",I580*(1+Table1[[#This Row],[Ávöxtun]]))</f>
        <v>141.79831974000004</v>
      </c>
      <c r="L581" s="33">
        <v>141.79831974000004</v>
      </c>
      <c r="M581" s="33">
        <v>141.79831974000004</v>
      </c>
    </row>
    <row r="582" spans="1:13">
      <c r="A582" t="s">
        <v>114</v>
      </c>
      <c r="B582">
        <v>2004</v>
      </c>
      <c r="C582" s="16">
        <v>0.19</v>
      </c>
      <c r="D582" s="1">
        <v>9080552.8100000005</v>
      </c>
      <c r="E582" s="29">
        <f>Table1[[#This Row],[Ávöxtun]]*Table1[[#This Row],[Eignir]]/SUMIFS(Table1[Eignir],Table1[Year],Table1[[#This Row],[Year]])</f>
        <v>1.9008056076818235E-3</v>
      </c>
      <c r="F582" s="23">
        <f>IF(B582=1997, 100, IF(COUNTIF(A$1:A581,A582)=0, "NEW", F581*(1+Table1[[#This Row],[Ávöxtun]])))</f>
        <v>168.74000049060004</v>
      </c>
      <c r="G582" s="18" cm="1">
        <f t="array" ref="G582">IFERROR(_xlfn.IFS(ISNUMBER(Table1[[#This Row],[Column3]]),Table1[[#This Row],[Column3]],Table1[[#This Row],[Column3]]="NEW",Table1[[#This Row],[Column3]]),"")</f>
        <v>168.74000049060004</v>
      </c>
      <c r="H582" s="15" cm="1">
        <f t="array" ref="H582">_xlfn.IFS(Table1[[#This Row],[Column4]]="NEW",AVERAGEIFS(Table1[Column4],Table1[Year],Table1[[#This Row],[Year]]),ISNUMBER(Table1[[#This Row],[Column4]]),Table1[[#This Row],[Column4]],Table1[[#This Row],[Column4]]="",H581*(1+Table1[[#This Row],[Ávöxtun]]))</f>
        <v>168.74000049060004</v>
      </c>
      <c r="I582" cm="1">
        <f t="array" ref="I582">_xlfn.IFS(Table1[[#This Row],[Column4]]="NEW",_xlfn.XLOOKUP(Table1[[#This Row],[Year]],$N$2:$N$27,$P$2:$P$27),ISNUMBER(Table1[[#This Row],[Column4]]),Table1[[#This Row],[Column4]],Table1[[#This Row],[Column4]]="",I581*(1+Table1[[#This Row],[Ávöxtun]]))</f>
        <v>168.74000049060004</v>
      </c>
      <c r="L582" s="33">
        <v>168.74000049060004</v>
      </c>
      <c r="M582" s="33">
        <v>168.74000049060004</v>
      </c>
    </row>
    <row r="583" spans="1:13">
      <c r="A583" t="s">
        <v>114</v>
      </c>
      <c r="B583">
        <v>2005</v>
      </c>
      <c r="C583" s="16">
        <v>0.16</v>
      </c>
      <c r="D583" s="1">
        <v>10695930</v>
      </c>
      <c r="E583" s="29">
        <f>Table1[[#This Row],[Ávöxtun]]*Table1[[#This Row],[Eignir]]/SUMIFS(Table1[Eignir],Table1[Year],Table1[[#This Row],[Year]])</f>
        <v>1.5261671282675573E-3</v>
      </c>
      <c r="F583" s="23">
        <f>IF(B583=1997, 100, IF(COUNTIF(A$1:A582,A583)=0, "NEW", F582*(1+Table1[[#This Row],[Ávöxtun]])))</f>
        <v>195.73840056909603</v>
      </c>
      <c r="G583" s="18" cm="1">
        <f t="array" ref="G583">IFERROR(_xlfn.IFS(ISNUMBER(Table1[[#This Row],[Column3]]),Table1[[#This Row],[Column3]],Table1[[#This Row],[Column3]]="NEW",Table1[[#This Row],[Column3]]),"")</f>
        <v>195.73840056909603</v>
      </c>
      <c r="H583" s="15" cm="1">
        <f t="array" ref="H583">_xlfn.IFS(Table1[[#This Row],[Column4]]="NEW",AVERAGEIFS(Table1[Column4],Table1[Year],Table1[[#This Row],[Year]]),ISNUMBER(Table1[[#This Row],[Column4]]),Table1[[#This Row],[Column4]],Table1[[#This Row],[Column4]]="",H582*(1+Table1[[#This Row],[Ávöxtun]]))</f>
        <v>195.73840056909603</v>
      </c>
      <c r="I583" cm="1">
        <f t="array" ref="I583">_xlfn.IFS(Table1[[#This Row],[Column4]]="NEW",_xlfn.XLOOKUP(Table1[[#This Row],[Year]],$N$2:$N$27,$P$2:$P$27),ISNUMBER(Table1[[#This Row],[Column4]]),Table1[[#This Row],[Column4]],Table1[[#This Row],[Column4]]="",I582*(1+Table1[[#This Row],[Ávöxtun]]))</f>
        <v>195.73840056909603</v>
      </c>
      <c r="L583" s="33">
        <v>195.73840056909603</v>
      </c>
      <c r="M583" s="33">
        <v>195.73840056909603</v>
      </c>
    </row>
    <row r="584" spans="1:13">
      <c r="A584" t="s">
        <v>114</v>
      </c>
      <c r="B584">
        <v>2006</v>
      </c>
      <c r="C584" s="16">
        <v>6.4600000000000005E-2</v>
      </c>
      <c r="D584" s="1">
        <v>11972512</v>
      </c>
      <c r="E584" s="29">
        <f>Table1[[#This Row],[Ávöxtun]]*Table1[[#This Row],[Eignir]]/SUMIFS(Table1[Eignir],Table1[Year],Table1[[#This Row],[Year]])</f>
        <v>5.6344285034445581E-4</v>
      </c>
      <c r="F584" s="23">
        <f>IF(B584=1997, 100, IF(COUNTIF(A$1:A583,A584)=0, "NEW", F583*(1+Table1[[#This Row],[Ávöxtun]])))</f>
        <v>208.38310124585962</v>
      </c>
      <c r="G584" s="18" cm="1">
        <f t="array" ref="G584">IFERROR(_xlfn.IFS(ISNUMBER(Table1[[#This Row],[Column3]]),Table1[[#This Row],[Column3]],Table1[[#This Row],[Column3]]="NEW",Table1[[#This Row],[Column3]]),"")</f>
        <v>208.38310124585962</v>
      </c>
      <c r="H584" s="15" cm="1">
        <f t="array" ref="H584">_xlfn.IFS(Table1[[#This Row],[Column4]]="NEW",AVERAGEIFS(Table1[Column4],Table1[Year],Table1[[#This Row],[Year]]),ISNUMBER(Table1[[#This Row],[Column4]]),Table1[[#This Row],[Column4]],Table1[[#This Row],[Column4]]="",H583*(1+Table1[[#This Row],[Ávöxtun]]))</f>
        <v>208.38310124585962</v>
      </c>
      <c r="I584" cm="1">
        <f t="array" ref="I584">_xlfn.IFS(Table1[[#This Row],[Column4]]="NEW",_xlfn.XLOOKUP(Table1[[#This Row],[Year]],$N$2:$N$27,$P$2:$P$27),ISNUMBER(Table1[[#This Row],[Column4]]),Table1[[#This Row],[Column4]],Table1[[#This Row],[Column4]]="",I583*(1+Table1[[#This Row],[Ávöxtun]]))</f>
        <v>208.38310124585962</v>
      </c>
      <c r="L584" s="33">
        <v>208.38310124585962</v>
      </c>
      <c r="M584" s="33">
        <v>208.38310124585962</v>
      </c>
    </row>
    <row r="585" spans="1:13">
      <c r="A585" t="s">
        <v>114</v>
      </c>
      <c r="B585">
        <v>2007</v>
      </c>
      <c r="C585" s="16">
        <v>5.8200000000000002E-2</v>
      </c>
      <c r="D585" s="1">
        <v>12974259</v>
      </c>
      <c r="E585" s="29">
        <f>Table1[[#This Row],[Ávöxtun]]*Table1[[#This Row],[Eignir]]/SUMIFS(Table1[Eignir],Table1[Year],Table1[[#This Row],[Year]])</f>
        <v>4.8829408043357106E-4</v>
      </c>
      <c r="F585" s="23">
        <f>IF(B585=1997, 100, IF(COUNTIF(A$1:A584,A585)=0, "NEW", F584*(1+Table1[[#This Row],[Ávöxtun]])))</f>
        <v>220.51099773836864</v>
      </c>
      <c r="G585" s="18" cm="1">
        <f t="array" ref="G585">IFERROR(_xlfn.IFS(ISNUMBER(Table1[[#This Row],[Column3]]),Table1[[#This Row],[Column3]],Table1[[#This Row],[Column3]]="NEW",Table1[[#This Row],[Column3]]),"")</f>
        <v>220.51099773836864</v>
      </c>
      <c r="H585" s="15" cm="1">
        <f t="array" ref="H585">_xlfn.IFS(Table1[[#This Row],[Column4]]="NEW",AVERAGEIFS(Table1[Column4],Table1[Year],Table1[[#This Row],[Year]]),ISNUMBER(Table1[[#This Row],[Column4]]),Table1[[#This Row],[Column4]],Table1[[#This Row],[Column4]]="",H584*(1+Table1[[#This Row],[Ávöxtun]]))</f>
        <v>220.51099773836864</v>
      </c>
      <c r="I585" cm="1">
        <f t="array" ref="I585">_xlfn.IFS(Table1[[#This Row],[Column4]]="NEW",_xlfn.XLOOKUP(Table1[[#This Row],[Year]],$N$2:$N$27,$P$2:$P$27),ISNUMBER(Table1[[#This Row],[Column4]]),Table1[[#This Row],[Column4]],Table1[[#This Row],[Column4]]="",I584*(1+Table1[[#This Row],[Ávöxtun]]))</f>
        <v>220.51099773836864</v>
      </c>
      <c r="L585" s="33">
        <v>220.51099773836864</v>
      </c>
      <c r="M585" s="33">
        <v>220.51099773836864</v>
      </c>
    </row>
    <row r="586" spans="1:13">
      <c r="A586" t="s">
        <v>114</v>
      </c>
      <c r="B586">
        <v>2008</v>
      </c>
      <c r="C586" s="16">
        <v>-4.5899999999999996E-2</v>
      </c>
      <c r="D586" s="1">
        <v>13978654</v>
      </c>
      <c r="E586" s="29">
        <f>Table1[[#This Row],[Ávöxtun]]*Table1[[#This Row],[Eignir]]/SUMIFS(Table1[Eignir],Table1[Year],Table1[[#This Row],[Year]])</f>
        <v>-4.2851302167894596E-4</v>
      </c>
      <c r="F586" s="23">
        <f>IF(B586=1997, 100, IF(COUNTIF(A$1:A585,A586)=0, "NEW", F585*(1+Table1[[#This Row],[Ávöxtun]])))</f>
        <v>210.38954294217751</v>
      </c>
      <c r="G586" s="18" cm="1">
        <f t="array" ref="G586">IFERROR(_xlfn.IFS(ISNUMBER(Table1[[#This Row],[Column3]]),Table1[[#This Row],[Column3]],Table1[[#This Row],[Column3]]="NEW",Table1[[#This Row],[Column3]]),"")</f>
        <v>210.38954294217751</v>
      </c>
      <c r="H586" s="15" cm="1">
        <f t="array" ref="H586">_xlfn.IFS(Table1[[#This Row],[Column4]]="NEW",AVERAGEIFS(Table1[Column4],Table1[Year],Table1[[#This Row],[Year]]),ISNUMBER(Table1[[#This Row],[Column4]]),Table1[[#This Row],[Column4]],Table1[[#This Row],[Column4]]="",H585*(1+Table1[[#This Row],[Ávöxtun]]))</f>
        <v>210.38954294217751</v>
      </c>
      <c r="I586" cm="1">
        <f t="array" ref="I586">_xlfn.IFS(Table1[[#This Row],[Column4]]="NEW",_xlfn.XLOOKUP(Table1[[#This Row],[Year]],$N$2:$N$27,$P$2:$P$27),ISNUMBER(Table1[[#This Row],[Column4]]),Table1[[#This Row],[Column4]],Table1[[#This Row],[Column4]]="",I585*(1+Table1[[#This Row],[Ávöxtun]]))</f>
        <v>210.38954294217751</v>
      </c>
      <c r="L586" s="33">
        <v>210.38954294217751</v>
      </c>
      <c r="M586" s="33">
        <v>210.38954294217751</v>
      </c>
    </row>
    <row r="587" spans="1:13">
      <c r="A587" t="s">
        <v>114</v>
      </c>
      <c r="B587">
        <v>2009</v>
      </c>
      <c r="C587" s="16">
        <v>4.4800000000000006E-2</v>
      </c>
      <c r="D587" s="1">
        <v>15428962</v>
      </c>
      <c r="E587" s="29">
        <f>Table1[[#This Row],[Ávöxtun]]*Table1[[#This Row],[Eignir]]/SUMIFS(Table1[Eignir],Table1[Year],Table1[[#This Row],[Year]])</f>
        <v>4.1433480293963853E-4</v>
      </c>
      <c r="F587" s="23">
        <f>IF(B587=1997, 100, IF(COUNTIF(A$1:A586,A587)=0, "NEW", F586*(1+Table1[[#This Row],[Ávöxtun]])))</f>
        <v>219.81499446598707</v>
      </c>
      <c r="G587" s="18" cm="1">
        <f t="array" ref="G587">IFERROR(_xlfn.IFS(ISNUMBER(Table1[[#This Row],[Column3]]),Table1[[#This Row],[Column3]],Table1[[#This Row],[Column3]]="NEW",Table1[[#This Row],[Column3]]),"")</f>
        <v>219.81499446598707</v>
      </c>
      <c r="H587" s="15" cm="1">
        <f t="array" ref="H587">_xlfn.IFS(Table1[[#This Row],[Column4]]="NEW",AVERAGEIFS(Table1[Column4],Table1[Year],Table1[[#This Row],[Year]]),ISNUMBER(Table1[[#This Row],[Column4]]),Table1[[#This Row],[Column4]],Table1[[#This Row],[Column4]]="",H586*(1+Table1[[#This Row],[Ávöxtun]]))</f>
        <v>219.81499446598707</v>
      </c>
      <c r="I587" cm="1">
        <f t="array" ref="I587">_xlfn.IFS(Table1[[#This Row],[Column4]]="NEW",_xlfn.XLOOKUP(Table1[[#This Row],[Year]],$N$2:$N$27,$P$2:$P$27),ISNUMBER(Table1[[#This Row],[Column4]]),Table1[[#This Row],[Column4]],Table1[[#This Row],[Column4]]="",I586*(1+Table1[[#This Row],[Ávöxtun]]))</f>
        <v>219.81499446598707</v>
      </c>
      <c r="L587" s="33">
        <v>219.81499446598707</v>
      </c>
      <c r="M587" s="33">
        <v>219.81499446598707</v>
      </c>
    </row>
    <row r="588" spans="1:13">
      <c r="A588" t="s">
        <v>114</v>
      </c>
      <c r="B588">
        <v>2010</v>
      </c>
      <c r="C588" s="16">
        <v>5.0099999999999999E-2</v>
      </c>
      <c r="D588" s="1">
        <v>16108136</v>
      </c>
      <c r="E588" s="29">
        <f>Table1[[#This Row],[Ávöxtun]]*Table1[[#This Row],[Eignir]]/SUMIFS(Table1[Eignir],Table1[Year],Table1[[#This Row],[Year]])</f>
        <v>4.5140601910073982E-4</v>
      </c>
      <c r="F588" s="23">
        <f>IF(B588=1997, 100, IF(COUNTIF(A$1:A587,A588)=0, "NEW", F587*(1+Table1[[#This Row],[Ávöxtun]])))</f>
        <v>230.82772568873304</v>
      </c>
      <c r="G588" s="18" cm="1">
        <f t="array" ref="G588">IFERROR(_xlfn.IFS(ISNUMBER(Table1[[#This Row],[Column3]]),Table1[[#This Row],[Column3]],Table1[[#This Row],[Column3]]="NEW",Table1[[#This Row],[Column3]]),"")</f>
        <v>230.82772568873304</v>
      </c>
      <c r="H588" s="15" cm="1">
        <f t="array" ref="H588">_xlfn.IFS(Table1[[#This Row],[Column4]]="NEW",AVERAGEIFS(Table1[Column4],Table1[Year],Table1[[#This Row],[Year]]),ISNUMBER(Table1[[#This Row],[Column4]]),Table1[[#This Row],[Column4]],Table1[[#This Row],[Column4]]="",H587*(1+Table1[[#This Row],[Ávöxtun]]))</f>
        <v>230.82772568873304</v>
      </c>
      <c r="I588" cm="1">
        <f t="array" ref="I588">_xlfn.IFS(Table1[[#This Row],[Column4]]="NEW",_xlfn.XLOOKUP(Table1[[#This Row],[Year]],$N$2:$N$27,$P$2:$P$27),ISNUMBER(Table1[[#This Row],[Column4]]),Table1[[#This Row],[Column4]],Table1[[#This Row],[Column4]]="",I587*(1+Table1[[#This Row],[Ávöxtun]]))</f>
        <v>230.82772568873304</v>
      </c>
      <c r="L588" s="33">
        <v>230.82772568873304</v>
      </c>
      <c r="M588" s="33">
        <v>230.82772568873304</v>
      </c>
    </row>
    <row r="589" spans="1:13">
      <c r="A589" t="s">
        <v>114</v>
      </c>
      <c r="B589">
        <v>2011</v>
      </c>
      <c r="C589" s="16">
        <v>4.7E-2</v>
      </c>
      <c r="D589" s="1">
        <v>17134433</v>
      </c>
      <c r="E589" s="29">
        <f>Table1[[#This Row],[Ávöxtun]]*Table1[[#This Row],[Eignir]]/SUMIFS(Table1[Eignir],Table1[Year],Table1[[#This Row],[Year]])</f>
        <v>4.1286544928105371E-4</v>
      </c>
      <c r="F589" s="23">
        <f>IF(B589=1997, 100, IF(COUNTIF(A$1:A588,A589)=0, "NEW", F588*(1+Table1[[#This Row],[Ávöxtun]])))</f>
        <v>241.67662879610347</v>
      </c>
      <c r="G589" s="18" cm="1">
        <f t="array" ref="G589">IFERROR(_xlfn.IFS(ISNUMBER(Table1[[#This Row],[Column3]]),Table1[[#This Row],[Column3]],Table1[[#This Row],[Column3]]="NEW",Table1[[#This Row],[Column3]]),"")</f>
        <v>241.67662879610347</v>
      </c>
      <c r="H589" s="15" cm="1">
        <f t="array" ref="H589">_xlfn.IFS(Table1[[#This Row],[Column4]]="NEW",AVERAGEIFS(Table1[Column4],Table1[Year],Table1[[#This Row],[Year]]),ISNUMBER(Table1[[#This Row],[Column4]]),Table1[[#This Row],[Column4]],Table1[[#This Row],[Column4]]="",H588*(1+Table1[[#This Row],[Ávöxtun]]))</f>
        <v>241.67662879610347</v>
      </c>
      <c r="I589" cm="1">
        <f t="array" ref="I589">_xlfn.IFS(Table1[[#This Row],[Column4]]="NEW",_xlfn.XLOOKUP(Table1[[#This Row],[Year]],$N$2:$N$27,$P$2:$P$27),ISNUMBER(Table1[[#This Row],[Column4]]),Table1[[#This Row],[Column4]],Table1[[#This Row],[Column4]]="",I588*(1+Table1[[#This Row],[Ávöxtun]]))</f>
        <v>241.67662879610347</v>
      </c>
      <c r="L589" s="33">
        <v>241.67662879610347</v>
      </c>
      <c r="M589" s="33">
        <v>241.67662879610347</v>
      </c>
    </row>
    <row r="590" spans="1:13">
      <c r="A590" t="s">
        <v>114</v>
      </c>
      <c r="B590">
        <v>2012</v>
      </c>
      <c r="C590" s="16">
        <v>5.9000000000000004E-2</v>
      </c>
      <c r="D590" s="1">
        <v>18234471</v>
      </c>
      <c r="E590" s="29">
        <f>Table1[[#This Row],[Ávöxtun]]*Table1[[#This Row],[Eignir]]/SUMIFS(Table1[Eignir],Table1[Year],Table1[[#This Row],[Year]])</f>
        <v>4.8838423190308118E-4</v>
      </c>
      <c r="F590" s="23">
        <f>IF(B590=1997, 100, IF(COUNTIF(A$1:A589,A590)=0, "NEW", F589*(1+Table1[[#This Row],[Ávöxtun]])))</f>
        <v>255.93554989507356</v>
      </c>
      <c r="G590" s="18" cm="1">
        <f t="array" ref="G590">IFERROR(_xlfn.IFS(ISNUMBER(Table1[[#This Row],[Column3]]),Table1[[#This Row],[Column3]],Table1[[#This Row],[Column3]]="NEW",Table1[[#This Row],[Column3]]),"")</f>
        <v>255.93554989507356</v>
      </c>
      <c r="H590" s="15" cm="1">
        <f t="array" ref="H590">_xlfn.IFS(Table1[[#This Row],[Column4]]="NEW",AVERAGEIFS(Table1[Column4],Table1[Year],Table1[[#This Row],[Year]]),ISNUMBER(Table1[[#This Row],[Column4]]),Table1[[#This Row],[Column4]],Table1[[#This Row],[Column4]]="",H589*(1+Table1[[#This Row],[Ávöxtun]]))</f>
        <v>255.93554989507356</v>
      </c>
      <c r="I590" cm="1">
        <f t="array" ref="I590">_xlfn.IFS(Table1[[#This Row],[Column4]]="NEW",_xlfn.XLOOKUP(Table1[[#This Row],[Year]],$N$2:$N$27,$P$2:$P$27),ISNUMBER(Table1[[#This Row],[Column4]]),Table1[[#This Row],[Column4]],Table1[[#This Row],[Column4]]="",I589*(1+Table1[[#This Row],[Ávöxtun]]))</f>
        <v>255.93554989507356</v>
      </c>
      <c r="L590" s="33">
        <v>255.93554989507356</v>
      </c>
      <c r="M590" s="33">
        <v>255.93554989507356</v>
      </c>
    </row>
    <row r="591" spans="1:13">
      <c r="A591" t="s">
        <v>114</v>
      </c>
      <c r="B591">
        <v>2013</v>
      </c>
      <c r="C591" s="16">
        <v>8.3000000000000004E-2</v>
      </c>
      <c r="D591" s="1">
        <v>19591955</v>
      </c>
      <c r="E591" s="29">
        <f>Table1[[#This Row],[Ávöxtun]]*Table1[[#This Row],[Eignir]]/SUMIFS(Table1[Eignir],Table1[Year],Table1[[#This Row],[Year]])</f>
        <v>6.6820592613366873E-4</v>
      </c>
      <c r="F591" s="23">
        <f>IF(B591=1997, 100, IF(COUNTIF(A$1:A590,A591)=0, "NEW", F590*(1+Table1[[#This Row],[Ávöxtun]])))</f>
        <v>277.17820053636467</v>
      </c>
      <c r="G591" s="18" cm="1">
        <f t="array" ref="G591">IFERROR(_xlfn.IFS(ISNUMBER(Table1[[#This Row],[Column3]]),Table1[[#This Row],[Column3]],Table1[[#This Row],[Column3]]="NEW",Table1[[#This Row],[Column3]]),"")</f>
        <v>277.17820053636467</v>
      </c>
      <c r="H591" s="15" cm="1">
        <f t="array" ref="H591">_xlfn.IFS(Table1[[#This Row],[Column4]]="NEW",AVERAGEIFS(Table1[Column4],Table1[Year],Table1[[#This Row],[Year]]),ISNUMBER(Table1[[#This Row],[Column4]]),Table1[[#This Row],[Column4]],Table1[[#This Row],[Column4]]="",H590*(1+Table1[[#This Row],[Ávöxtun]]))</f>
        <v>277.17820053636467</v>
      </c>
      <c r="I591" cm="1">
        <f t="array" ref="I591">_xlfn.IFS(Table1[[#This Row],[Column4]]="NEW",_xlfn.XLOOKUP(Table1[[#This Row],[Year]],$N$2:$N$27,$P$2:$P$27),ISNUMBER(Table1[[#This Row],[Column4]]),Table1[[#This Row],[Column4]],Table1[[#This Row],[Column4]]="",I590*(1+Table1[[#This Row],[Ávöxtun]]))</f>
        <v>277.17820053636467</v>
      </c>
      <c r="L591" s="33">
        <v>277.17820053636467</v>
      </c>
      <c r="M591" s="33">
        <v>277.17820053636467</v>
      </c>
    </row>
    <row r="592" spans="1:13">
      <c r="A592" t="s">
        <v>114</v>
      </c>
      <c r="B592">
        <v>2014</v>
      </c>
      <c r="C592" s="16">
        <v>5.4000000000000006E-2</v>
      </c>
      <c r="D592" s="1">
        <v>19894069</v>
      </c>
      <c r="E592" s="29">
        <f>Table1[[#This Row],[Ávöxtun]]*Table1[[#This Row],[Eignir]]/SUMIFS(Table1[Eignir],Table1[Year],Table1[[#This Row],[Year]])</f>
        <v>4.0492734557172333E-4</v>
      </c>
      <c r="F592" s="23">
        <f>IF(B592=1997, 100, IF(COUNTIF(A$1:A591,A592)=0, "NEW", F591*(1+Table1[[#This Row],[Ávöxtun]])))</f>
        <v>292.1458233653284</v>
      </c>
      <c r="G592" s="18" cm="1">
        <f t="array" ref="G592">IFERROR(_xlfn.IFS(ISNUMBER(Table1[[#This Row],[Column3]]),Table1[[#This Row],[Column3]],Table1[[#This Row],[Column3]]="NEW",Table1[[#This Row],[Column3]]),"")</f>
        <v>292.1458233653284</v>
      </c>
      <c r="H592" s="15" cm="1">
        <f t="array" ref="H592">_xlfn.IFS(Table1[[#This Row],[Column4]]="NEW",AVERAGEIFS(Table1[Column4],Table1[Year],Table1[[#This Row],[Year]]),ISNUMBER(Table1[[#This Row],[Column4]]),Table1[[#This Row],[Column4]],Table1[[#This Row],[Column4]]="",H591*(1+Table1[[#This Row],[Ávöxtun]]))</f>
        <v>292.1458233653284</v>
      </c>
      <c r="I592" cm="1">
        <f t="array" ref="I592">_xlfn.IFS(Table1[[#This Row],[Column4]]="NEW",_xlfn.XLOOKUP(Table1[[#This Row],[Year]],$N$2:$N$27,$P$2:$P$27),ISNUMBER(Table1[[#This Row],[Column4]]),Table1[[#This Row],[Column4]],Table1[[#This Row],[Column4]]="",I591*(1+Table1[[#This Row],[Ávöxtun]]))</f>
        <v>292.1458233653284</v>
      </c>
      <c r="L592" s="33">
        <v>292.1458233653284</v>
      </c>
      <c r="M592" s="33">
        <v>292.1458233653284</v>
      </c>
    </row>
    <row r="593" spans="1:13">
      <c r="A593" t="s">
        <v>114</v>
      </c>
      <c r="B593">
        <v>2015</v>
      </c>
      <c r="C593" s="16">
        <v>9.9000000000000005E-2</v>
      </c>
      <c r="D593" s="1">
        <v>21260118</v>
      </c>
      <c r="E593" s="29">
        <f>Table1[[#This Row],[Ávöxtun]]*Table1[[#This Row],[Eignir]]/SUMIFS(Table1[Eignir],Table1[Year],Table1[[#This Row],[Year]])</f>
        <v>7.1073382687338624E-4</v>
      </c>
      <c r="F593" s="23">
        <f>IF(B593=1997, 100, IF(COUNTIF(A$1:A592,A593)=0, "NEW", F592*(1+Table1[[#This Row],[Ávöxtun]])))</f>
        <v>321.06825987849589</v>
      </c>
      <c r="G593" s="18" cm="1">
        <f t="array" ref="G593">IFERROR(_xlfn.IFS(ISNUMBER(Table1[[#This Row],[Column3]]),Table1[[#This Row],[Column3]],Table1[[#This Row],[Column3]]="NEW",Table1[[#This Row],[Column3]]),"")</f>
        <v>321.06825987849589</v>
      </c>
      <c r="H593" s="15" cm="1">
        <f t="array" ref="H593">_xlfn.IFS(Table1[[#This Row],[Column4]]="NEW",AVERAGEIFS(Table1[Column4],Table1[Year],Table1[[#This Row],[Year]]),ISNUMBER(Table1[[#This Row],[Column4]]),Table1[[#This Row],[Column4]],Table1[[#This Row],[Column4]]="",H592*(1+Table1[[#This Row],[Ávöxtun]]))</f>
        <v>321.06825987849589</v>
      </c>
      <c r="I593" cm="1">
        <f t="array" ref="I593">_xlfn.IFS(Table1[[#This Row],[Column4]]="NEW",_xlfn.XLOOKUP(Table1[[#This Row],[Year]],$N$2:$N$27,$P$2:$P$27),ISNUMBER(Table1[[#This Row],[Column4]]),Table1[[#This Row],[Column4]],Table1[[#This Row],[Column4]]="",I592*(1+Table1[[#This Row],[Ávöxtun]]))</f>
        <v>321.06825987849589</v>
      </c>
      <c r="L593" s="33">
        <v>321.06825987849589</v>
      </c>
      <c r="M593" s="33">
        <v>321.06825987849589</v>
      </c>
    </row>
    <row r="594" spans="1:13">
      <c r="A594" t="s">
        <v>114</v>
      </c>
      <c r="B594">
        <v>2016</v>
      </c>
      <c r="C594" s="16">
        <v>4.8999999999999998E-3</v>
      </c>
      <c r="D594" s="1">
        <v>22254498</v>
      </c>
      <c r="E594" s="29">
        <f>Table1[[#This Row],[Ávöxtun]]*Table1[[#This Row],[Eignir]]/SUMIFS(Table1[Eignir],Table1[Year],Table1[[#This Row],[Year]])</f>
        <v>3.407670320510562E-5</v>
      </c>
      <c r="F594" s="23">
        <f>IF(B594=1997, 100, IF(COUNTIF(A$1:A593,A594)=0, "NEW", F593*(1+Table1[[#This Row],[Ávöxtun]])))</f>
        <v>322.64149435190052</v>
      </c>
      <c r="G594" s="18" cm="1">
        <f t="array" ref="G594">IFERROR(_xlfn.IFS(ISNUMBER(Table1[[#This Row],[Column3]]),Table1[[#This Row],[Column3]],Table1[[#This Row],[Column3]]="NEW",Table1[[#This Row],[Column3]]),"")</f>
        <v>322.64149435190052</v>
      </c>
      <c r="H594" s="15" cm="1">
        <f t="array" ref="H594">_xlfn.IFS(Table1[[#This Row],[Column4]]="NEW",AVERAGEIFS(Table1[Column4],Table1[Year],Table1[[#This Row],[Year]]),ISNUMBER(Table1[[#This Row],[Column4]]),Table1[[#This Row],[Column4]],Table1[[#This Row],[Column4]]="",H593*(1+Table1[[#This Row],[Ávöxtun]]))</f>
        <v>322.64149435190052</v>
      </c>
      <c r="I594" cm="1">
        <f t="array" ref="I594">_xlfn.IFS(Table1[[#This Row],[Column4]]="NEW",_xlfn.XLOOKUP(Table1[[#This Row],[Year]],$N$2:$N$27,$P$2:$P$27),ISNUMBER(Table1[[#This Row],[Column4]]),Table1[[#This Row],[Column4]],Table1[[#This Row],[Column4]]="",I593*(1+Table1[[#This Row],[Ávöxtun]]))</f>
        <v>322.64149435190052</v>
      </c>
      <c r="L594" s="33">
        <v>322.64149435190052</v>
      </c>
      <c r="M594" s="33">
        <v>322.64149435190052</v>
      </c>
    </row>
    <row r="595" spans="1:13">
      <c r="A595" t="s">
        <v>114</v>
      </c>
      <c r="B595">
        <v>2017</v>
      </c>
      <c r="C595" s="16">
        <v>7.2000000000000008E-2</v>
      </c>
      <c r="D595" s="1">
        <v>22978501</v>
      </c>
      <c r="E595" s="29">
        <f>Table1[[#This Row],[Ávöxtun]]*Table1[[#This Row],[Eignir]]/SUMIFS(Table1[Eignir],Table1[Year],Table1[[#This Row],[Year]])</f>
        <v>4.6484454689929415E-4</v>
      </c>
      <c r="F595" s="23">
        <f>IF(B595=1997, 100, IF(COUNTIF(A$1:A594,A595)=0, "NEW", F594*(1+Table1[[#This Row],[Ávöxtun]])))</f>
        <v>345.87168194523736</v>
      </c>
      <c r="G595" s="18" cm="1">
        <f t="array" ref="G595">IFERROR(_xlfn.IFS(ISNUMBER(Table1[[#This Row],[Column3]]),Table1[[#This Row],[Column3]],Table1[[#This Row],[Column3]]="NEW",Table1[[#This Row],[Column3]]),"")</f>
        <v>345.87168194523736</v>
      </c>
      <c r="H595" s="15" cm="1">
        <f t="array" ref="H595">_xlfn.IFS(Table1[[#This Row],[Column4]]="NEW",AVERAGEIFS(Table1[Column4],Table1[Year],Table1[[#This Row],[Year]]),ISNUMBER(Table1[[#This Row],[Column4]]),Table1[[#This Row],[Column4]],Table1[[#This Row],[Column4]]="",H594*(1+Table1[[#This Row],[Ávöxtun]]))</f>
        <v>345.87168194523736</v>
      </c>
      <c r="I595" cm="1">
        <f t="array" ref="I595">_xlfn.IFS(Table1[[#This Row],[Column4]]="NEW",_xlfn.XLOOKUP(Table1[[#This Row],[Year]],$N$2:$N$27,$P$2:$P$27),ISNUMBER(Table1[[#This Row],[Column4]]),Table1[[#This Row],[Column4]],Table1[[#This Row],[Column4]]="",I594*(1+Table1[[#This Row],[Ávöxtun]]))</f>
        <v>345.87168194523736</v>
      </c>
      <c r="L595" s="33">
        <v>345.87168194523736</v>
      </c>
      <c r="M595" s="33">
        <v>345.87168194523736</v>
      </c>
    </row>
    <row r="596" spans="1:13">
      <c r="A596" t="s">
        <v>114</v>
      </c>
      <c r="B596">
        <v>2018</v>
      </c>
      <c r="C596" s="16">
        <v>5.7000000000000002E-2</v>
      </c>
      <c r="D596" s="1">
        <v>23788914</v>
      </c>
      <c r="E596" s="29">
        <f>Table1[[#This Row],[Ávöxtun]]*Table1[[#This Row],[Eignir]]/SUMIFS(Table1[Eignir],Table1[Year],Table1[[#This Row],[Year]])</f>
        <v>3.5512179771304093E-4</v>
      </c>
      <c r="F596" s="23">
        <f>IF(B596=1997, 100, IF(COUNTIF(A$1:A595,A596)=0, "NEW", F595*(1+Table1[[#This Row],[Ávöxtun]])))</f>
        <v>365.58636781611585</v>
      </c>
      <c r="G596" s="18" cm="1">
        <f t="array" ref="G596">IFERROR(_xlfn.IFS(ISNUMBER(Table1[[#This Row],[Column3]]),Table1[[#This Row],[Column3]],Table1[[#This Row],[Column3]]="NEW",Table1[[#This Row],[Column3]]),"")</f>
        <v>365.58636781611585</v>
      </c>
      <c r="H596" s="15" cm="1">
        <f t="array" ref="H596">_xlfn.IFS(Table1[[#This Row],[Column4]]="NEW",AVERAGEIFS(Table1[Column4],Table1[Year],Table1[[#This Row],[Year]]),ISNUMBER(Table1[[#This Row],[Column4]]),Table1[[#This Row],[Column4]],Table1[[#This Row],[Column4]]="",H595*(1+Table1[[#This Row],[Ávöxtun]]))</f>
        <v>365.58636781611585</v>
      </c>
      <c r="I596" cm="1">
        <f t="array" ref="I596">_xlfn.IFS(Table1[[#This Row],[Column4]]="NEW",_xlfn.XLOOKUP(Table1[[#This Row],[Year]],$N$2:$N$27,$P$2:$P$27),ISNUMBER(Table1[[#This Row],[Column4]]),Table1[[#This Row],[Column4]],Table1[[#This Row],[Column4]]="",I595*(1+Table1[[#This Row],[Ávöxtun]]))</f>
        <v>365.58636781611585</v>
      </c>
      <c r="L596" s="33">
        <v>365.58636781611585</v>
      </c>
      <c r="M596" s="33">
        <v>365.58636781611585</v>
      </c>
    </row>
    <row r="597" spans="1:13">
      <c r="A597" t="s">
        <v>114</v>
      </c>
      <c r="B597">
        <v>2019</v>
      </c>
      <c r="C597" s="16">
        <v>8.43E-2</v>
      </c>
      <c r="D597" s="1">
        <v>25135579</v>
      </c>
      <c r="E597" s="29">
        <f>Table1[[#This Row],[Ávöxtun]]*Table1[[#This Row],[Eignir]]/SUMIFS(Table1[Eignir],Table1[Year],Table1[[#This Row],[Year]])</f>
        <v>4.7865082150199946E-4</v>
      </c>
      <c r="F597" s="23">
        <f>IF(B597=1997, 100, IF(COUNTIF(A$1:A596,A597)=0, "NEW", F596*(1+Table1[[#This Row],[Ávöxtun]])))</f>
        <v>396.40529862301446</v>
      </c>
      <c r="G597" s="18" cm="1">
        <f t="array" ref="G597">IFERROR(_xlfn.IFS(ISNUMBER(Table1[[#This Row],[Column3]]),Table1[[#This Row],[Column3]],Table1[[#This Row],[Column3]]="NEW",Table1[[#This Row],[Column3]]),"")</f>
        <v>396.40529862301446</v>
      </c>
      <c r="H597" s="15" cm="1">
        <f t="array" ref="H597">_xlfn.IFS(Table1[[#This Row],[Column4]]="NEW",AVERAGEIFS(Table1[Column4],Table1[Year],Table1[[#This Row],[Year]]),ISNUMBER(Table1[[#This Row],[Column4]]),Table1[[#This Row],[Column4]],Table1[[#This Row],[Column4]]="",H596*(1+Table1[[#This Row],[Ávöxtun]]))</f>
        <v>396.40529862301446</v>
      </c>
      <c r="I597" cm="1">
        <f t="array" ref="I597">_xlfn.IFS(Table1[[#This Row],[Column4]]="NEW",_xlfn.XLOOKUP(Table1[[#This Row],[Year]],$N$2:$N$27,$P$2:$P$27),ISNUMBER(Table1[[#This Row],[Column4]]),Table1[[#This Row],[Column4]],Table1[[#This Row],[Column4]]="",I596*(1+Table1[[#This Row],[Ávöxtun]]))</f>
        <v>396.40529862301446</v>
      </c>
      <c r="L597" s="33">
        <v>396.40529862301446</v>
      </c>
      <c r="M597" s="33">
        <v>396.40529862301446</v>
      </c>
    </row>
    <row r="598" spans="1:13">
      <c r="A598" t="s">
        <v>114</v>
      </c>
      <c r="B598">
        <v>2020</v>
      </c>
      <c r="C598" s="16">
        <v>5.67E-2</v>
      </c>
      <c r="D598" s="1">
        <v>26074050</v>
      </c>
      <c r="E598" s="29">
        <f>Table1[[#This Row],[Ávöxtun]]*Table1[[#This Row],[Eignir]]/SUMIFS(Table1[Eignir],Table1[Year],Table1[[#This Row],[Year]])</f>
        <v>2.8781581520655267E-4</v>
      </c>
      <c r="F598" s="23">
        <f>IF(B598=1997, 100, IF(COUNTIF(A$1:A597,A598)=0, "NEW", F597*(1+Table1[[#This Row],[Ávöxtun]])))</f>
        <v>418.88147905493935</v>
      </c>
      <c r="G598" s="18" cm="1">
        <f t="array" ref="G598">IFERROR(_xlfn.IFS(ISNUMBER(Table1[[#This Row],[Column3]]),Table1[[#This Row],[Column3]],Table1[[#This Row],[Column3]]="NEW",Table1[[#This Row],[Column3]]),"")</f>
        <v>418.88147905493935</v>
      </c>
      <c r="H598" s="15" cm="1">
        <f t="array" ref="H598">_xlfn.IFS(Table1[[#This Row],[Column4]]="NEW",AVERAGEIFS(Table1[Column4],Table1[Year],Table1[[#This Row],[Year]]),ISNUMBER(Table1[[#This Row],[Column4]]),Table1[[#This Row],[Column4]],Table1[[#This Row],[Column4]]="",H597*(1+Table1[[#This Row],[Ávöxtun]]))</f>
        <v>418.88147905493935</v>
      </c>
      <c r="I598" cm="1">
        <f t="array" ref="I598">_xlfn.IFS(Table1[[#This Row],[Column4]]="NEW",_xlfn.XLOOKUP(Table1[[#This Row],[Year]],$N$2:$N$27,$P$2:$P$27),ISNUMBER(Table1[[#This Row],[Column4]]),Table1[[#This Row],[Column4]],Table1[[#This Row],[Column4]]="",I597*(1+Table1[[#This Row],[Ávöxtun]]))</f>
        <v>418.88147905493935</v>
      </c>
      <c r="L598" s="33">
        <v>418.88147905493935</v>
      </c>
      <c r="M598" s="33">
        <v>418.88147905493935</v>
      </c>
    </row>
    <row r="599" spans="1:13">
      <c r="A599" t="s">
        <v>114</v>
      </c>
      <c r="B599">
        <v>2021</v>
      </c>
      <c r="C599" s="16">
        <v>8.2500000000000004E-2</v>
      </c>
      <c r="D599" s="1">
        <v>27981992</v>
      </c>
      <c r="E599" s="29">
        <f>Table1[[#This Row],[Ávöxtun]]*Table1[[#This Row],[Eignir]]/SUMIFS(Table1[Eignir],Table1[Year],Table1[[#This Row],[Year]])</f>
        <v>3.8223611615480029E-4</v>
      </c>
      <c r="F599" s="23">
        <f>IF(B599=1997, 100, IF(COUNTIF(A$1:A598,A599)=0, "NEW", F598*(1+Table1[[#This Row],[Ávöxtun]])))</f>
        <v>453.43920107697187</v>
      </c>
      <c r="G599" s="18" cm="1">
        <f t="array" ref="G599">IFERROR(_xlfn.IFS(ISNUMBER(Table1[[#This Row],[Column3]]),Table1[[#This Row],[Column3]],Table1[[#This Row],[Column3]]="NEW",Table1[[#This Row],[Column3]]),"")</f>
        <v>453.43920107697187</v>
      </c>
      <c r="H599" s="15" cm="1">
        <f t="array" ref="H599">_xlfn.IFS(Table1[[#This Row],[Column4]]="NEW",AVERAGEIFS(Table1[Column4],Table1[Year],Table1[[#This Row],[Year]]),ISNUMBER(Table1[[#This Row],[Column4]]),Table1[[#This Row],[Column4]],Table1[[#This Row],[Column4]]="",H598*(1+Table1[[#This Row],[Ávöxtun]]))</f>
        <v>453.43920107697187</v>
      </c>
      <c r="I599" cm="1">
        <f t="array" ref="I599">_xlfn.IFS(Table1[[#This Row],[Column4]]="NEW",_xlfn.XLOOKUP(Table1[[#This Row],[Year]],$N$2:$N$27,$P$2:$P$27),ISNUMBER(Table1[[#This Row],[Column4]]),Table1[[#This Row],[Column4]],Table1[[#This Row],[Column4]]="",I598*(1+Table1[[#This Row],[Ávöxtun]]))</f>
        <v>453.43920107697187</v>
      </c>
      <c r="L599" s="33">
        <v>453.43920107697187</v>
      </c>
      <c r="M599" s="33">
        <v>453.43920107697187</v>
      </c>
    </row>
    <row r="600" spans="1:13">
      <c r="A600" t="s">
        <v>115</v>
      </c>
      <c r="B600">
        <v>1997</v>
      </c>
      <c r="C600" s="16">
        <v>0.09</v>
      </c>
      <c r="D600" s="1">
        <v>975253.13</v>
      </c>
      <c r="E600" s="29">
        <f>Table1[[#This Row],[Ávöxtun]]*Table1[[#This Row],[Eignir]]/SUMIFS(Table1[Eignir],Table1[Year],Table1[[#This Row],[Year]])</f>
        <v>2.5889740656484295E-4</v>
      </c>
      <c r="F600" s="23">
        <f>IF(B600=1997, 100, IF(COUNTIF(A$1:A599,A600)=0, "NEW", F599*(1+Table1[[#This Row],[Ávöxtun]])))</f>
        <v>100</v>
      </c>
      <c r="G600" s="18" cm="1">
        <f t="array" ref="G600">IFERROR(_xlfn.IFS(ISNUMBER(Table1[[#This Row],[Column3]]),Table1[[#This Row],[Column3]],Table1[[#This Row],[Column3]]="NEW",Table1[[#This Row],[Column3]]),"")</f>
        <v>100</v>
      </c>
      <c r="H600" s="15" cm="1">
        <f t="array" ref="H600">_xlfn.IFS(Table1[[#This Row],[Column4]]="NEW",AVERAGEIFS(Table1[Column4],Table1[Year],Table1[[#This Row],[Year]]),ISNUMBER(Table1[[#This Row],[Column4]]),Table1[[#This Row],[Column4]],Table1[[#This Row],[Column4]]="",H599*(1+Table1[[#This Row],[Ávöxtun]]))</f>
        <v>100</v>
      </c>
      <c r="I600" cm="1">
        <f t="array" ref="I600">_xlfn.IFS(Table1[[#This Row],[Column4]]="NEW",_xlfn.XLOOKUP(Table1[[#This Row],[Year]],$N$2:$N$27,$P$2:$P$27),ISNUMBER(Table1[[#This Row],[Column4]]),Table1[[#This Row],[Column4]],Table1[[#This Row],[Column4]]="",I599*(1+Table1[[#This Row],[Ávöxtun]]))</f>
        <v>100</v>
      </c>
      <c r="L600" s="33">
        <v>100</v>
      </c>
      <c r="M600" s="33">
        <v>100</v>
      </c>
    </row>
    <row r="601" spans="1:13">
      <c r="A601" t="s">
        <v>115</v>
      </c>
      <c r="B601">
        <v>1998</v>
      </c>
      <c r="C601" s="16">
        <v>0.08</v>
      </c>
      <c r="D601" s="1">
        <v>1083974.23</v>
      </c>
      <c r="E601" s="29">
        <f>Table1[[#This Row],[Ávöxtun]]*Table1[[#This Row],[Eignir]]/SUMIFS(Table1[Eignir],Table1[Year],Table1[[#This Row],[Year]])</f>
        <v>2.214254551986469E-4</v>
      </c>
      <c r="F601" s="23">
        <f>IF(B601=1997, 100, IF(COUNTIF(A$1:A600,A601)=0, "NEW", F600*(1+Table1[[#This Row],[Ávöxtun]])))</f>
        <v>108</v>
      </c>
      <c r="G601" s="18" cm="1">
        <f t="array" ref="G601">IFERROR(_xlfn.IFS(ISNUMBER(Table1[[#This Row],[Column3]]),Table1[[#This Row],[Column3]],Table1[[#This Row],[Column3]]="NEW",Table1[[#This Row],[Column3]]),"")</f>
        <v>108</v>
      </c>
      <c r="H601" s="15" cm="1">
        <f t="array" ref="H601">_xlfn.IFS(Table1[[#This Row],[Column4]]="NEW",AVERAGEIFS(Table1[Column4],Table1[Year],Table1[[#This Row],[Year]]),ISNUMBER(Table1[[#This Row],[Column4]]),Table1[[#This Row],[Column4]],Table1[[#This Row],[Column4]]="",H600*(1+Table1[[#This Row],[Ávöxtun]]))</f>
        <v>108</v>
      </c>
      <c r="I601" cm="1">
        <f t="array" ref="I601">_xlfn.IFS(Table1[[#This Row],[Column4]]="NEW",_xlfn.XLOOKUP(Table1[[#This Row],[Year]],$N$2:$N$27,$P$2:$P$27),ISNUMBER(Table1[[#This Row],[Column4]]),Table1[[#This Row],[Column4]],Table1[[#This Row],[Column4]]="",I600*(1+Table1[[#This Row],[Ávöxtun]]))</f>
        <v>108</v>
      </c>
      <c r="L601" s="33">
        <v>108</v>
      </c>
      <c r="M601" s="33">
        <v>108</v>
      </c>
    </row>
    <row r="602" spans="1:13">
      <c r="A602" t="s">
        <v>115</v>
      </c>
      <c r="B602">
        <v>1999</v>
      </c>
      <c r="C602" s="16">
        <v>0.08</v>
      </c>
      <c r="D602" s="1">
        <v>1288151.7</v>
      </c>
      <c r="E602" s="29">
        <f>Table1[[#This Row],[Ávöxtun]]*Table1[[#This Row],[Eignir]]/SUMIFS(Table1[Eignir],Table1[Year],Table1[[#This Row],[Year]])</f>
        <v>1.9790442423562457E-4</v>
      </c>
      <c r="F602" s="23">
        <f>IF(B602=1997, 100, IF(COUNTIF(A$1:A601,A602)=0, "NEW", F601*(1+Table1[[#This Row],[Ávöxtun]])))</f>
        <v>116.64000000000001</v>
      </c>
      <c r="G602" s="18" cm="1">
        <f t="array" ref="G602">IFERROR(_xlfn.IFS(ISNUMBER(Table1[[#This Row],[Column3]]),Table1[[#This Row],[Column3]],Table1[[#This Row],[Column3]]="NEW",Table1[[#This Row],[Column3]]),"")</f>
        <v>116.64000000000001</v>
      </c>
      <c r="H602" s="15" cm="1">
        <f t="array" ref="H602">_xlfn.IFS(Table1[[#This Row],[Column4]]="NEW",AVERAGEIFS(Table1[Column4],Table1[Year],Table1[[#This Row],[Year]]),ISNUMBER(Table1[[#This Row],[Column4]]),Table1[[#This Row],[Column4]],Table1[[#This Row],[Column4]]="",H601*(1+Table1[[#This Row],[Ávöxtun]]))</f>
        <v>116.64000000000001</v>
      </c>
      <c r="I602" cm="1">
        <f t="array" ref="I602">_xlfn.IFS(Table1[[#This Row],[Column4]]="NEW",_xlfn.XLOOKUP(Table1[[#This Row],[Year]],$N$2:$N$27,$P$2:$P$27),ISNUMBER(Table1[[#This Row],[Column4]]),Table1[[#This Row],[Column4]],Table1[[#This Row],[Column4]]="",I601*(1+Table1[[#This Row],[Ávöxtun]]))</f>
        <v>116.64000000000001</v>
      </c>
      <c r="L602" s="33">
        <v>116.64000000000001</v>
      </c>
      <c r="M602" s="33">
        <v>116.64000000000001</v>
      </c>
    </row>
    <row r="603" spans="1:13">
      <c r="A603" t="s">
        <v>115</v>
      </c>
      <c r="B603">
        <v>2000</v>
      </c>
      <c r="C603" s="16">
        <v>0.02</v>
      </c>
      <c r="D603" s="1">
        <v>1378605.76</v>
      </c>
      <c r="E603" s="29">
        <f>Table1[[#This Row],[Ávöxtun]]*Table1[[#This Row],[Eignir]]/SUMIFS(Table1[Eignir],Table1[Year],Table1[[#This Row],[Year]])</f>
        <v>3.8785362594476778E-5</v>
      </c>
      <c r="F603" s="23">
        <f>IF(B603=1997, 100, IF(COUNTIF(A$1:A602,A603)=0, "NEW", F602*(1+Table1[[#This Row],[Ávöxtun]])))</f>
        <v>118.97280000000002</v>
      </c>
      <c r="G603" s="18" cm="1">
        <f t="array" ref="G603">IFERROR(_xlfn.IFS(ISNUMBER(Table1[[#This Row],[Column3]]),Table1[[#This Row],[Column3]],Table1[[#This Row],[Column3]]="NEW",Table1[[#This Row],[Column3]]),"")</f>
        <v>118.97280000000002</v>
      </c>
      <c r="H603" s="15" cm="1">
        <f t="array" ref="H603">_xlfn.IFS(Table1[[#This Row],[Column4]]="NEW",AVERAGEIFS(Table1[Column4],Table1[Year],Table1[[#This Row],[Year]]),ISNUMBER(Table1[[#This Row],[Column4]]),Table1[[#This Row],[Column4]],Table1[[#This Row],[Column4]]="",H602*(1+Table1[[#This Row],[Ávöxtun]]))</f>
        <v>118.97280000000002</v>
      </c>
      <c r="I603" cm="1">
        <f t="array" ref="I603">_xlfn.IFS(Table1[[#This Row],[Column4]]="NEW",_xlfn.XLOOKUP(Table1[[#This Row],[Year]],$N$2:$N$27,$P$2:$P$27),ISNUMBER(Table1[[#This Row],[Column4]]),Table1[[#This Row],[Column4]],Table1[[#This Row],[Column4]]="",I602*(1+Table1[[#This Row],[Ávöxtun]]))</f>
        <v>118.97280000000002</v>
      </c>
      <c r="L603" s="33">
        <v>118.97280000000002</v>
      </c>
      <c r="M603" s="33">
        <v>118.97280000000002</v>
      </c>
    </row>
    <row r="604" spans="1:13">
      <c r="A604" t="s">
        <v>115</v>
      </c>
      <c r="B604">
        <v>2001</v>
      </c>
      <c r="C604" s="16">
        <v>0.01</v>
      </c>
      <c r="D604" s="1">
        <v>1489801</v>
      </c>
      <c r="E604" s="29">
        <f>Table1[[#This Row],[Ávöxtun]]*Table1[[#This Row],[Eignir]]/SUMIFS(Table1[Eignir],Table1[Year],Table1[[#This Row],[Year]])</f>
        <v>1.286622998233548E-5</v>
      </c>
      <c r="F604" s="23">
        <f>IF(B604=1997, 100, IF(COUNTIF(A$1:A603,A604)=0, "NEW", F603*(1+Table1[[#This Row],[Ávöxtun]])))</f>
        <v>120.16252800000002</v>
      </c>
      <c r="G604" s="18" cm="1">
        <f t="array" ref="G604">IFERROR(_xlfn.IFS(ISNUMBER(Table1[[#This Row],[Column3]]),Table1[[#This Row],[Column3]],Table1[[#This Row],[Column3]]="NEW",Table1[[#This Row],[Column3]]),"")</f>
        <v>120.16252800000002</v>
      </c>
      <c r="H604" s="15" cm="1">
        <f t="array" ref="H604">_xlfn.IFS(Table1[[#This Row],[Column4]]="NEW",AVERAGEIFS(Table1[Column4],Table1[Year],Table1[[#This Row],[Year]]),ISNUMBER(Table1[[#This Row],[Column4]]),Table1[[#This Row],[Column4]],Table1[[#This Row],[Column4]]="",H603*(1+Table1[[#This Row],[Ávöxtun]]))</f>
        <v>120.16252800000002</v>
      </c>
      <c r="I604" cm="1">
        <f t="array" ref="I604">_xlfn.IFS(Table1[[#This Row],[Column4]]="NEW",_xlfn.XLOOKUP(Table1[[#This Row],[Year]],$N$2:$N$27,$P$2:$P$27),ISNUMBER(Table1[[#This Row],[Column4]]),Table1[[#This Row],[Column4]],Table1[[#This Row],[Column4]]="",I603*(1+Table1[[#This Row],[Ávöxtun]]))</f>
        <v>120.16252800000002</v>
      </c>
      <c r="L604" s="33">
        <v>120.16252800000002</v>
      </c>
      <c r="M604" s="33">
        <v>120.16252800000002</v>
      </c>
    </row>
    <row r="605" spans="1:13">
      <c r="A605" t="s">
        <v>115</v>
      </c>
      <c r="B605">
        <v>2002</v>
      </c>
      <c r="C605" s="16">
        <v>-0.08</v>
      </c>
      <c r="D605" s="1">
        <v>1410548.76</v>
      </c>
      <c r="E605" s="29">
        <f>Table1[[#This Row],[Ávöxtun]]*Table1[[#This Row],[Eignir]]/SUMIFS(Table1[Eignir],Table1[Year],Table1[[#This Row],[Year]])</f>
        <v>-1.7766100283098509E-4</v>
      </c>
      <c r="F605" s="23">
        <f>IF(B605=1997, 100, IF(COUNTIF(A$1:A604,A605)=0, "NEW", F604*(1+Table1[[#This Row],[Ávöxtun]])))</f>
        <v>110.54952576000002</v>
      </c>
      <c r="G605" s="18" cm="1">
        <f t="array" ref="G605">IFERROR(_xlfn.IFS(ISNUMBER(Table1[[#This Row],[Column3]]),Table1[[#This Row],[Column3]],Table1[[#This Row],[Column3]]="NEW",Table1[[#This Row],[Column3]]),"")</f>
        <v>110.54952576000002</v>
      </c>
      <c r="H605" s="15" cm="1">
        <f t="array" ref="H605">_xlfn.IFS(Table1[[#This Row],[Column4]]="NEW",AVERAGEIFS(Table1[Column4],Table1[Year],Table1[[#This Row],[Year]]),ISNUMBER(Table1[[#This Row],[Column4]]),Table1[[#This Row],[Column4]],Table1[[#This Row],[Column4]]="",H604*(1+Table1[[#This Row],[Ávöxtun]]))</f>
        <v>110.54952576000002</v>
      </c>
      <c r="I605" cm="1">
        <f t="array" ref="I605">_xlfn.IFS(Table1[[#This Row],[Column4]]="NEW",_xlfn.XLOOKUP(Table1[[#This Row],[Year]],$N$2:$N$27,$P$2:$P$27),ISNUMBER(Table1[[#This Row],[Column4]]),Table1[[#This Row],[Column4]],Table1[[#This Row],[Column4]]="",I604*(1+Table1[[#This Row],[Ávöxtun]]))</f>
        <v>110.54952576000002</v>
      </c>
      <c r="L605" s="33">
        <v>110.54952576000002</v>
      </c>
      <c r="M605" s="33">
        <v>110.54952576000002</v>
      </c>
    </row>
    <row r="606" spans="1:13">
      <c r="A606" t="s">
        <v>115</v>
      </c>
      <c r="B606">
        <v>2003</v>
      </c>
      <c r="C606" s="16">
        <v>0.11</v>
      </c>
      <c r="D606" s="1">
        <v>1605874</v>
      </c>
      <c r="E606" s="29">
        <f>Table1[[#This Row],[Ávöxtun]]*Table1[[#This Row],[Eignir]]/SUMIFS(Table1[Eignir],Table1[Year],Table1[[#This Row],[Year]])</f>
        <v>2.3246235079451072E-4</v>
      </c>
      <c r="F606" s="23">
        <f>IF(B606=1997, 100, IF(COUNTIF(A$1:A605,A606)=0, "NEW", F605*(1+Table1[[#This Row],[Ávöxtun]])))</f>
        <v>122.70997359360004</v>
      </c>
      <c r="G606" s="18" cm="1">
        <f t="array" ref="G606">IFERROR(_xlfn.IFS(ISNUMBER(Table1[[#This Row],[Column3]]),Table1[[#This Row],[Column3]],Table1[[#This Row],[Column3]]="NEW",Table1[[#This Row],[Column3]]),"")</f>
        <v>122.70997359360004</v>
      </c>
      <c r="H606" s="15" cm="1">
        <f t="array" ref="H606">_xlfn.IFS(Table1[[#This Row],[Column4]]="NEW",AVERAGEIFS(Table1[Column4],Table1[Year],Table1[[#This Row],[Year]]),ISNUMBER(Table1[[#This Row],[Column4]]),Table1[[#This Row],[Column4]],Table1[[#This Row],[Column4]]="",H605*(1+Table1[[#This Row],[Ávöxtun]]))</f>
        <v>122.70997359360004</v>
      </c>
      <c r="I606" cm="1">
        <f t="array" ref="I606">_xlfn.IFS(Table1[[#This Row],[Column4]]="NEW",_xlfn.XLOOKUP(Table1[[#This Row],[Year]],$N$2:$N$27,$P$2:$P$27),ISNUMBER(Table1[[#This Row],[Column4]]),Table1[[#This Row],[Column4]],Table1[[#This Row],[Column4]]="",I605*(1+Table1[[#This Row],[Ávöxtun]]))</f>
        <v>122.70997359360004</v>
      </c>
      <c r="L606" s="33">
        <v>122.70997359360004</v>
      </c>
      <c r="M606" s="33">
        <v>122.70997359360004</v>
      </c>
    </row>
    <row r="607" spans="1:13">
      <c r="A607" t="s">
        <v>115</v>
      </c>
      <c r="B607">
        <v>2004</v>
      </c>
      <c r="C607" s="16">
        <v>0.05</v>
      </c>
      <c r="D607" s="1">
        <v>1751356.54</v>
      </c>
      <c r="E607" s="29">
        <f>Table1[[#This Row],[Ávöxtun]]*Table1[[#This Row],[Eignir]]/SUMIFS(Table1[Eignir],Table1[Year],Table1[[#This Row],[Year]])</f>
        <v>9.6475355571100314E-5</v>
      </c>
      <c r="F607" s="23">
        <f>IF(B607=1997, 100, IF(COUNTIF(A$1:A606,A607)=0, "NEW", F606*(1+Table1[[#This Row],[Ávöxtun]])))</f>
        <v>128.84547227328005</v>
      </c>
      <c r="G607" s="18" cm="1">
        <f t="array" ref="G607">IFERROR(_xlfn.IFS(ISNUMBER(Table1[[#This Row],[Column3]]),Table1[[#This Row],[Column3]],Table1[[#This Row],[Column3]]="NEW",Table1[[#This Row],[Column3]]),"")</f>
        <v>128.84547227328005</v>
      </c>
      <c r="H607" s="15" cm="1">
        <f t="array" ref="H607">_xlfn.IFS(Table1[[#This Row],[Column4]]="NEW",AVERAGEIFS(Table1[Column4],Table1[Year],Table1[[#This Row],[Year]]),ISNUMBER(Table1[[#This Row],[Column4]]),Table1[[#This Row],[Column4]],Table1[[#This Row],[Column4]]="",H606*(1+Table1[[#This Row],[Ávöxtun]]))</f>
        <v>128.84547227328005</v>
      </c>
      <c r="I607" cm="1">
        <f t="array" ref="I607">_xlfn.IFS(Table1[[#This Row],[Column4]]="NEW",_xlfn.XLOOKUP(Table1[[#This Row],[Year]],$N$2:$N$27,$P$2:$P$27),ISNUMBER(Table1[[#This Row],[Column4]]),Table1[[#This Row],[Column4]],Table1[[#This Row],[Column4]]="",I606*(1+Table1[[#This Row],[Ávöxtun]]))</f>
        <v>128.84547227328005</v>
      </c>
      <c r="L607" s="33">
        <v>128.84547227328005</v>
      </c>
      <c r="M607" s="33">
        <v>128.84547227328005</v>
      </c>
    </row>
    <row r="608" spans="1:13">
      <c r="A608" t="s">
        <v>115</v>
      </c>
      <c r="B608">
        <v>2005</v>
      </c>
      <c r="C608" s="16">
        <v>0.15</v>
      </c>
      <c r="D608" s="1">
        <v>2080882</v>
      </c>
      <c r="E608" s="29">
        <f>Table1[[#This Row],[Ávöxtun]]*Table1[[#This Row],[Eignir]]/SUMIFS(Table1[Eignir],Table1[Year],Table1[[#This Row],[Year]])</f>
        <v>2.7835708064337774E-4</v>
      </c>
      <c r="F608" s="23">
        <f>IF(B608=1997, 100, IF(COUNTIF(A$1:A607,A608)=0, "NEW", F607*(1+Table1[[#This Row],[Ávöxtun]])))</f>
        <v>148.17229311427204</v>
      </c>
      <c r="G608" s="18" cm="1">
        <f t="array" ref="G608">IFERROR(_xlfn.IFS(ISNUMBER(Table1[[#This Row],[Column3]]),Table1[[#This Row],[Column3]],Table1[[#This Row],[Column3]]="NEW",Table1[[#This Row],[Column3]]),"")</f>
        <v>148.17229311427204</v>
      </c>
      <c r="H608" s="15" cm="1">
        <f t="array" ref="H608">_xlfn.IFS(Table1[[#This Row],[Column4]]="NEW",AVERAGEIFS(Table1[Column4],Table1[Year],Table1[[#This Row],[Year]]),ISNUMBER(Table1[[#This Row],[Column4]]),Table1[[#This Row],[Column4]],Table1[[#This Row],[Column4]]="",H607*(1+Table1[[#This Row],[Ávöxtun]]))</f>
        <v>148.17229311427204</v>
      </c>
      <c r="I608" cm="1">
        <f t="array" ref="I608">_xlfn.IFS(Table1[[#This Row],[Column4]]="NEW",_xlfn.XLOOKUP(Table1[[#This Row],[Year]],$N$2:$N$27,$P$2:$P$27),ISNUMBER(Table1[[#This Row],[Column4]]),Table1[[#This Row],[Column4]],Table1[[#This Row],[Column4]]="",I607*(1+Table1[[#This Row],[Ávöxtun]]))</f>
        <v>148.17229311427204</v>
      </c>
      <c r="L608" s="33">
        <v>148.17229311427204</v>
      </c>
      <c r="M608" s="33">
        <v>148.17229311427204</v>
      </c>
    </row>
    <row r="609" spans="1:13">
      <c r="A609" t="s">
        <v>115</v>
      </c>
      <c r="B609">
        <v>2006</v>
      </c>
      <c r="C609" s="16">
        <v>8.6500000000000007E-2</v>
      </c>
      <c r="D609" s="1">
        <v>2432593</v>
      </c>
      <c r="E609" s="29">
        <f>Table1[[#This Row],[Ávöxtun]]*Table1[[#This Row],[Eignir]]/SUMIFS(Table1[Eignir],Table1[Year],Table1[[#This Row],[Year]])</f>
        <v>1.5329134455973882E-4</v>
      </c>
      <c r="F609" s="23">
        <f>IF(B609=1997, 100, IF(COUNTIF(A$1:A608,A609)=0, "NEW", F608*(1+Table1[[#This Row],[Ávöxtun]])))</f>
        <v>160.98919646865656</v>
      </c>
      <c r="G609" s="18" cm="1">
        <f t="array" ref="G609">IFERROR(_xlfn.IFS(ISNUMBER(Table1[[#This Row],[Column3]]),Table1[[#This Row],[Column3]],Table1[[#This Row],[Column3]]="NEW",Table1[[#This Row],[Column3]]),"")</f>
        <v>160.98919646865656</v>
      </c>
      <c r="H609" s="15" cm="1">
        <f t="array" ref="H609">_xlfn.IFS(Table1[[#This Row],[Column4]]="NEW",AVERAGEIFS(Table1[Column4],Table1[Year],Table1[[#This Row],[Year]]),ISNUMBER(Table1[[#This Row],[Column4]]),Table1[[#This Row],[Column4]],Table1[[#This Row],[Column4]]="",H608*(1+Table1[[#This Row],[Ávöxtun]]))</f>
        <v>160.98919646865656</v>
      </c>
      <c r="I609" cm="1">
        <f t="array" ref="I609">_xlfn.IFS(Table1[[#This Row],[Column4]]="NEW",_xlfn.XLOOKUP(Table1[[#This Row],[Year]],$N$2:$N$27,$P$2:$P$27),ISNUMBER(Table1[[#This Row],[Column4]]),Table1[[#This Row],[Column4]],Table1[[#This Row],[Column4]]="",I608*(1+Table1[[#This Row],[Ávöxtun]]))</f>
        <v>160.98919646865656</v>
      </c>
      <c r="L609" s="33">
        <v>160.98919646865656</v>
      </c>
      <c r="M609" s="33">
        <v>160.98919646865656</v>
      </c>
    </row>
    <row r="610" spans="1:13">
      <c r="A610" t="s">
        <v>115</v>
      </c>
      <c r="B610">
        <v>2007</v>
      </c>
      <c r="C610" s="16">
        <v>-4.3E-3</v>
      </c>
      <c r="D610" s="1">
        <v>2526379</v>
      </c>
      <c r="E610" s="29">
        <f>Table1[[#This Row],[Ávöxtun]]*Table1[[#This Row],[Eignir]]/SUMIFS(Table1[Eignir],Table1[Year],Table1[[#This Row],[Year]])</f>
        <v>-7.0249440502927869E-6</v>
      </c>
      <c r="F610" s="23">
        <f>IF(B610=1997, 100, IF(COUNTIF(A$1:A609,A610)=0, "NEW", F609*(1+Table1[[#This Row],[Ávöxtun]])))</f>
        <v>160.29694292384133</v>
      </c>
      <c r="G610" s="18" cm="1">
        <f t="array" ref="G610">IFERROR(_xlfn.IFS(ISNUMBER(Table1[[#This Row],[Column3]]),Table1[[#This Row],[Column3]],Table1[[#This Row],[Column3]]="NEW",Table1[[#This Row],[Column3]]),"")</f>
        <v>160.29694292384133</v>
      </c>
      <c r="H610" s="15" cm="1">
        <f t="array" ref="H610">_xlfn.IFS(Table1[[#This Row],[Column4]]="NEW",AVERAGEIFS(Table1[Column4],Table1[Year],Table1[[#This Row],[Year]]),ISNUMBER(Table1[[#This Row],[Column4]]),Table1[[#This Row],[Column4]],Table1[[#This Row],[Column4]]="",H609*(1+Table1[[#This Row],[Ávöxtun]]))</f>
        <v>160.29694292384133</v>
      </c>
      <c r="I610" cm="1">
        <f t="array" ref="I610">_xlfn.IFS(Table1[[#This Row],[Column4]]="NEW",_xlfn.XLOOKUP(Table1[[#This Row],[Year]],$N$2:$N$27,$P$2:$P$27),ISNUMBER(Table1[[#This Row],[Column4]]),Table1[[#This Row],[Column4]],Table1[[#This Row],[Column4]]="",I609*(1+Table1[[#This Row],[Ávöxtun]]))</f>
        <v>160.29694292384133</v>
      </c>
      <c r="L610" s="33">
        <v>160.29694292384133</v>
      </c>
      <c r="M610" s="33">
        <v>160.29694292384133</v>
      </c>
    </row>
    <row r="611" spans="1:13">
      <c r="A611" t="s">
        <v>115</v>
      </c>
      <c r="B611">
        <v>2008</v>
      </c>
      <c r="C611" s="16">
        <v>-0.15720000000000001</v>
      </c>
      <c r="D611" s="1">
        <v>2463773</v>
      </c>
      <c r="E611" s="29">
        <f>Table1[[#This Row],[Ávöxtun]]*Table1[[#This Row],[Eignir]]/SUMIFS(Table1[Eignir],Table1[Year],Table1[[#This Row],[Year]])</f>
        <v>-2.5866592196798567E-4</v>
      </c>
      <c r="F611" s="23">
        <f>IF(B611=1997, 100, IF(COUNTIF(A$1:A610,A611)=0, "NEW", F610*(1+Table1[[#This Row],[Ávöxtun]])))</f>
        <v>135.09826349621346</v>
      </c>
      <c r="G611" s="18" cm="1">
        <f t="array" ref="G611">IFERROR(_xlfn.IFS(ISNUMBER(Table1[[#This Row],[Column3]]),Table1[[#This Row],[Column3]],Table1[[#This Row],[Column3]]="NEW",Table1[[#This Row],[Column3]]),"")</f>
        <v>135.09826349621346</v>
      </c>
      <c r="H611" s="15" cm="1">
        <f t="array" ref="H611">_xlfn.IFS(Table1[[#This Row],[Column4]]="NEW",AVERAGEIFS(Table1[Column4],Table1[Year],Table1[[#This Row],[Year]]),ISNUMBER(Table1[[#This Row],[Column4]]),Table1[[#This Row],[Column4]],Table1[[#This Row],[Column4]]="",H610*(1+Table1[[#This Row],[Ávöxtun]]))</f>
        <v>135.09826349621346</v>
      </c>
      <c r="I611" cm="1">
        <f t="array" ref="I611">_xlfn.IFS(Table1[[#This Row],[Column4]]="NEW",_xlfn.XLOOKUP(Table1[[#This Row],[Year]],$N$2:$N$27,$P$2:$P$27),ISNUMBER(Table1[[#This Row],[Column4]]),Table1[[#This Row],[Column4]],Table1[[#This Row],[Column4]]="",I610*(1+Table1[[#This Row],[Ávöxtun]]))</f>
        <v>135.09826349621346</v>
      </c>
      <c r="L611" s="33">
        <v>135.09826349621346</v>
      </c>
      <c r="M611" s="33">
        <v>135.09826349621346</v>
      </c>
    </row>
    <row r="612" spans="1:13">
      <c r="A612" t="s">
        <v>115</v>
      </c>
      <c r="B612">
        <v>2009</v>
      </c>
      <c r="C612" s="16">
        <v>6.8099999999999994E-2</v>
      </c>
      <c r="D612" s="1">
        <v>2836191</v>
      </c>
      <c r="E612" s="29">
        <f>Table1[[#This Row],[Ávöxtun]]*Table1[[#This Row],[Eignir]]/SUMIFS(Table1[Eignir],Table1[Year],Table1[[#This Row],[Year]])</f>
        <v>1.1577619634846522E-4</v>
      </c>
      <c r="F612" s="23">
        <f>IF(B612=1997, 100, IF(COUNTIF(A$1:A611,A612)=0, "NEW", F611*(1+Table1[[#This Row],[Ávöxtun]])))</f>
        <v>144.2984552403056</v>
      </c>
      <c r="G612" s="18" cm="1">
        <f t="array" ref="G612">IFERROR(_xlfn.IFS(ISNUMBER(Table1[[#This Row],[Column3]]),Table1[[#This Row],[Column3]],Table1[[#This Row],[Column3]]="NEW",Table1[[#This Row],[Column3]]),"")</f>
        <v>144.2984552403056</v>
      </c>
      <c r="H612" s="15" cm="1">
        <f t="array" ref="H612">_xlfn.IFS(Table1[[#This Row],[Column4]]="NEW",AVERAGEIFS(Table1[Column4],Table1[Year],Table1[[#This Row],[Year]]),ISNUMBER(Table1[[#This Row],[Column4]]),Table1[[#This Row],[Column4]],Table1[[#This Row],[Column4]]="",H611*(1+Table1[[#This Row],[Ávöxtun]]))</f>
        <v>144.2984552403056</v>
      </c>
      <c r="I612" cm="1">
        <f t="array" ref="I612">_xlfn.IFS(Table1[[#This Row],[Column4]]="NEW",_xlfn.XLOOKUP(Table1[[#This Row],[Year]],$N$2:$N$27,$P$2:$P$27),ISNUMBER(Table1[[#This Row],[Column4]]),Table1[[#This Row],[Column4]],Table1[[#This Row],[Column4]]="",I611*(1+Table1[[#This Row],[Ávöxtun]]))</f>
        <v>144.2984552403056</v>
      </c>
      <c r="L612" s="33">
        <v>144.2984552403056</v>
      </c>
      <c r="M612" s="33">
        <v>144.2984552403056</v>
      </c>
    </row>
    <row r="613" spans="1:13">
      <c r="A613" t="s">
        <v>115</v>
      </c>
      <c r="B613">
        <v>2010</v>
      </c>
      <c r="C613" s="16">
        <v>4.7E-2</v>
      </c>
      <c r="D613" s="1">
        <v>2978896</v>
      </c>
      <c r="E613" s="29">
        <f>Table1[[#This Row],[Ávöxtun]]*Table1[[#This Row],[Eignir]]/SUMIFS(Table1[Eignir],Table1[Year],Table1[[#This Row],[Year]])</f>
        <v>7.8313661826786334E-5</v>
      </c>
      <c r="F613" s="23">
        <f>IF(B613=1997, 100, IF(COUNTIF(A$1:A612,A613)=0, "NEW", F612*(1+Table1[[#This Row],[Ávöxtun]])))</f>
        <v>151.08048263659995</v>
      </c>
      <c r="G613" s="18" cm="1">
        <f t="array" ref="G613">IFERROR(_xlfn.IFS(ISNUMBER(Table1[[#This Row],[Column3]]),Table1[[#This Row],[Column3]],Table1[[#This Row],[Column3]]="NEW",Table1[[#This Row],[Column3]]),"")</f>
        <v>151.08048263659995</v>
      </c>
      <c r="H613" s="15" cm="1">
        <f t="array" ref="H613">_xlfn.IFS(Table1[[#This Row],[Column4]]="NEW",AVERAGEIFS(Table1[Column4],Table1[Year],Table1[[#This Row],[Year]]),ISNUMBER(Table1[[#This Row],[Column4]]),Table1[[#This Row],[Column4]],Table1[[#This Row],[Column4]]="",H612*(1+Table1[[#This Row],[Ávöxtun]]))</f>
        <v>151.08048263659995</v>
      </c>
      <c r="I613" cm="1">
        <f t="array" ref="I613">_xlfn.IFS(Table1[[#This Row],[Column4]]="NEW",_xlfn.XLOOKUP(Table1[[#This Row],[Year]],$N$2:$N$27,$P$2:$P$27),ISNUMBER(Table1[[#This Row],[Column4]]),Table1[[#This Row],[Column4]],Table1[[#This Row],[Column4]]="",I612*(1+Table1[[#This Row],[Ávöxtun]]))</f>
        <v>151.08048263659995</v>
      </c>
      <c r="L613" s="33">
        <v>151.08048263659995</v>
      </c>
      <c r="M613" s="33">
        <v>151.08048263659995</v>
      </c>
    </row>
    <row r="614" spans="1:13">
      <c r="A614" t="s">
        <v>115</v>
      </c>
      <c r="B614">
        <v>2011</v>
      </c>
      <c r="C614" s="16">
        <v>-1E-3</v>
      </c>
      <c r="D614" s="1">
        <v>3116577</v>
      </c>
      <c r="E614" s="29">
        <f>Table1[[#This Row],[Ávöxtun]]*Table1[[#This Row],[Eignir]]/SUMIFS(Table1[Eignir],Table1[Year],Table1[[#This Row],[Year]])</f>
        <v>-1.5977867159319192E-6</v>
      </c>
      <c r="F614" s="23">
        <f>IF(B614=1997, 100, IF(COUNTIF(A$1:A613,A614)=0, "NEW", F613*(1+Table1[[#This Row],[Ávöxtun]])))</f>
        <v>150.92940215396337</v>
      </c>
      <c r="G614" s="18" cm="1">
        <f t="array" ref="G614">IFERROR(_xlfn.IFS(ISNUMBER(Table1[[#This Row],[Column3]]),Table1[[#This Row],[Column3]],Table1[[#This Row],[Column3]]="NEW",Table1[[#This Row],[Column3]]),"")</f>
        <v>150.92940215396337</v>
      </c>
      <c r="H614" s="15" cm="1">
        <f t="array" ref="H614">_xlfn.IFS(Table1[[#This Row],[Column4]]="NEW",AVERAGEIFS(Table1[Column4],Table1[Year],Table1[[#This Row],[Year]]),ISNUMBER(Table1[[#This Row],[Column4]]),Table1[[#This Row],[Column4]],Table1[[#This Row],[Column4]]="",H613*(1+Table1[[#This Row],[Ávöxtun]]))</f>
        <v>150.92940215396337</v>
      </c>
      <c r="I614" cm="1">
        <f t="array" ref="I614">_xlfn.IFS(Table1[[#This Row],[Column4]]="NEW",_xlfn.XLOOKUP(Table1[[#This Row],[Year]],$N$2:$N$27,$P$2:$P$27),ISNUMBER(Table1[[#This Row],[Column4]]),Table1[[#This Row],[Column4]],Table1[[#This Row],[Column4]]="",I613*(1+Table1[[#This Row],[Ávöxtun]]))</f>
        <v>150.92940215396337</v>
      </c>
      <c r="L614" s="33">
        <v>150.92940215396337</v>
      </c>
      <c r="M614" s="33">
        <v>150.92940215396337</v>
      </c>
    </row>
    <row r="615" spans="1:13">
      <c r="A615" t="s">
        <v>115</v>
      </c>
      <c r="B615">
        <v>2012</v>
      </c>
      <c r="C615" s="16">
        <v>6.4000000000000001E-2</v>
      </c>
      <c r="D615" s="1">
        <v>3444445</v>
      </c>
      <c r="E615" s="29">
        <f>Table1[[#This Row],[Ávöxtun]]*Table1[[#This Row],[Eignir]]/SUMIFS(Table1[Eignir],Table1[Year],Table1[[#This Row],[Year]])</f>
        <v>1.0007271489599414E-4</v>
      </c>
      <c r="F615" s="23">
        <f>IF(B615=1997, 100, IF(COUNTIF(A$1:A614,A615)=0, "NEW", F614*(1+Table1[[#This Row],[Ávöxtun]])))</f>
        <v>160.58888389181703</v>
      </c>
      <c r="G615" s="18" cm="1">
        <f t="array" ref="G615">IFERROR(_xlfn.IFS(ISNUMBER(Table1[[#This Row],[Column3]]),Table1[[#This Row],[Column3]],Table1[[#This Row],[Column3]]="NEW",Table1[[#This Row],[Column3]]),"")</f>
        <v>160.58888389181703</v>
      </c>
      <c r="H615" s="15" cm="1">
        <f t="array" ref="H615">_xlfn.IFS(Table1[[#This Row],[Column4]]="NEW",AVERAGEIFS(Table1[Column4],Table1[Year],Table1[[#This Row],[Year]]),ISNUMBER(Table1[[#This Row],[Column4]]),Table1[[#This Row],[Column4]],Table1[[#This Row],[Column4]]="",H614*(1+Table1[[#This Row],[Ávöxtun]]))</f>
        <v>160.58888389181703</v>
      </c>
      <c r="I615" cm="1">
        <f t="array" ref="I615">_xlfn.IFS(Table1[[#This Row],[Column4]]="NEW",_xlfn.XLOOKUP(Table1[[#This Row],[Year]],$N$2:$N$27,$P$2:$P$27),ISNUMBER(Table1[[#This Row],[Column4]]),Table1[[#This Row],[Column4]],Table1[[#This Row],[Column4]]="",I614*(1+Table1[[#This Row],[Ávöxtun]]))</f>
        <v>160.58888389181703</v>
      </c>
      <c r="L615" s="33">
        <v>160.58888389181703</v>
      </c>
      <c r="M615" s="33">
        <v>160.58888389181703</v>
      </c>
    </row>
    <row r="616" spans="1:13">
      <c r="A616" t="s">
        <v>115</v>
      </c>
      <c r="B616">
        <v>2013</v>
      </c>
      <c r="C616" s="16">
        <v>6.5000000000000002E-2</v>
      </c>
      <c r="D616" s="1">
        <v>3765002</v>
      </c>
      <c r="E616" s="29">
        <f>Table1[[#This Row],[Ávöxtun]]*Table1[[#This Row],[Eignir]]/SUMIFS(Table1[Eignir],Table1[Year],Table1[[#This Row],[Year]])</f>
        <v>1.0056179663825345E-4</v>
      </c>
      <c r="F616" s="23">
        <f>IF(B616=1997, 100, IF(COUNTIF(A$1:A615,A616)=0, "NEW", F615*(1+Table1[[#This Row],[Ávöxtun]])))</f>
        <v>171.02716134478513</v>
      </c>
      <c r="G616" s="18" cm="1">
        <f t="array" ref="G616">IFERROR(_xlfn.IFS(ISNUMBER(Table1[[#This Row],[Column3]]),Table1[[#This Row],[Column3]],Table1[[#This Row],[Column3]]="NEW",Table1[[#This Row],[Column3]]),"")</f>
        <v>171.02716134478513</v>
      </c>
      <c r="H616" s="15" cm="1">
        <f t="array" ref="H616">_xlfn.IFS(Table1[[#This Row],[Column4]]="NEW",AVERAGEIFS(Table1[Column4],Table1[Year],Table1[[#This Row],[Year]]),ISNUMBER(Table1[[#This Row],[Column4]]),Table1[[#This Row],[Column4]],Table1[[#This Row],[Column4]]="",H615*(1+Table1[[#This Row],[Ávöxtun]]))</f>
        <v>171.02716134478513</v>
      </c>
      <c r="I616" cm="1">
        <f t="array" ref="I616">_xlfn.IFS(Table1[[#This Row],[Column4]]="NEW",_xlfn.XLOOKUP(Table1[[#This Row],[Year]],$N$2:$N$27,$P$2:$P$27),ISNUMBER(Table1[[#This Row],[Column4]]),Table1[[#This Row],[Column4]],Table1[[#This Row],[Column4]]="",I615*(1+Table1[[#This Row],[Ávöxtun]]))</f>
        <v>171.02716134478513</v>
      </c>
      <c r="L616" s="33">
        <v>171.02716134478513</v>
      </c>
      <c r="M616" s="33">
        <v>171.02716134478513</v>
      </c>
    </row>
    <row r="617" spans="1:13">
      <c r="A617" t="s">
        <v>115</v>
      </c>
      <c r="B617">
        <v>2014</v>
      </c>
      <c r="C617" s="16">
        <v>4.2999999999999997E-2</v>
      </c>
      <c r="D617" s="1">
        <v>3930260</v>
      </c>
      <c r="E617" s="29">
        <f>Table1[[#This Row],[Ávöxtun]]*Table1[[#This Row],[Eignir]]/SUMIFS(Table1[Eignir],Table1[Year],Table1[[#This Row],[Year]])</f>
        <v>6.3701471376263332E-5</v>
      </c>
      <c r="F617" s="23">
        <f>IF(B617=1997, 100, IF(COUNTIF(A$1:A616,A617)=0, "NEW", F616*(1+Table1[[#This Row],[Ávöxtun]])))</f>
        <v>178.38132928261086</v>
      </c>
      <c r="G617" s="18" cm="1">
        <f t="array" ref="G617">IFERROR(_xlfn.IFS(ISNUMBER(Table1[[#This Row],[Column3]]),Table1[[#This Row],[Column3]],Table1[[#This Row],[Column3]]="NEW",Table1[[#This Row],[Column3]]),"")</f>
        <v>178.38132928261086</v>
      </c>
      <c r="H617" s="15" cm="1">
        <f t="array" ref="H617">_xlfn.IFS(Table1[[#This Row],[Column4]]="NEW",AVERAGEIFS(Table1[Column4],Table1[Year],Table1[[#This Row],[Year]]),ISNUMBER(Table1[[#This Row],[Column4]]),Table1[[#This Row],[Column4]],Table1[[#This Row],[Column4]]="",H616*(1+Table1[[#This Row],[Ávöxtun]]))</f>
        <v>178.38132928261086</v>
      </c>
      <c r="I617" cm="1">
        <f t="array" ref="I617">_xlfn.IFS(Table1[[#This Row],[Column4]]="NEW",_xlfn.XLOOKUP(Table1[[#This Row],[Year]],$N$2:$N$27,$P$2:$P$27),ISNUMBER(Table1[[#This Row],[Column4]]),Table1[[#This Row],[Column4]],Table1[[#This Row],[Column4]]="",I616*(1+Table1[[#This Row],[Ávöxtun]]))</f>
        <v>178.38132928261086</v>
      </c>
      <c r="L617" s="33">
        <v>178.38132928261086</v>
      </c>
      <c r="M617" s="33">
        <v>178.38132928261086</v>
      </c>
    </row>
    <row r="618" spans="1:13">
      <c r="A618" t="s">
        <v>115</v>
      </c>
      <c r="B618">
        <v>2015</v>
      </c>
      <c r="C618" s="16">
        <v>5.9000000000000004E-2</v>
      </c>
      <c r="D618" s="1">
        <v>4186603</v>
      </c>
      <c r="E618" s="29">
        <f>Table1[[#This Row],[Ávöxtun]]*Table1[[#This Row],[Eignir]]/SUMIFS(Table1[Eignir],Table1[Year],Table1[[#This Row],[Year]])</f>
        <v>8.3410344050071354E-5</v>
      </c>
      <c r="F618" s="23">
        <f>IF(B618=1997, 100, IF(COUNTIF(A$1:A617,A618)=0, "NEW", F617*(1+Table1[[#This Row],[Ávöxtun]])))</f>
        <v>188.90582771028488</v>
      </c>
      <c r="G618" s="18" cm="1">
        <f t="array" ref="G618">IFERROR(_xlfn.IFS(ISNUMBER(Table1[[#This Row],[Column3]]),Table1[[#This Row],[Column3]],Table1[[#This Row],[Column3]]="NEW",Table1[[#This Row],[Column3]]),"")</f>
        <v>188.90582771028488</v>
      </c>
      <c r="H618" s="15" cm="1">
        <f t="array" ref="H618">_xlfn.IFS(Table1[[#This Row],[Column4]]="NEW",AVERAGEIFS(Table1[Column4],Table1[Year],Table1[[#This Row],[Year]]),ISNUMBER(Table1[[#This Row],[Column4]]),Table1[[#This Row],[Column4]],Table1[[#This Row],[Column4]]="",H617*(1+Table1[[#This Row],[Ávöxtun]]))</f>
        <v>188.90582771028488</v>
      </c>
      <c r="I618" cm="1">
        <f t="array" ref="I618">_xlfn.IFS(Table1[[#This Row],[Column4]]="NEW",_xlfn.XLOOKUP(Table1[[#This Row],[Year]],$N$2:$N$27,$P$2:$P$27),ISNUMBER(Table1[[#This Row],[Column4]]),Table1[[#This Row],[Column4]],Table1[[#This Row],[Column4]]="",I617*(1+Table1[[#This Row],[Ávöxtun]]))</f>
        <v>188.90582771028488</v>
      </c>
      <c r="L618" s="33">
        <v>188.90582771028488</v>
      </c>
      <c r="M618" s="33">
        <v>188.90582771028488</v>
      </c>
    </row>
    <row r="619" spans="1:13">
      <c r="A619" t="s">
        <v>115</v>
      </c>
      <c r="B619">
        <v>2016</v>
      </c>
      <c r="C619" s="16">
        <v>1E-3</v>
      </c>
      <c r="D619" s="1">
        <v>4393064.0599999996</v>
      </c>
      <c r="E619" s="29">
        <f>Table1[[#This Row],[Ávöxtun]]*Table1[[#This Row],[Eignir]]/SUMIFS(Table1[Eignir],Table1[Year],Table1[[#This Row],[Year]])</f>
        <v>1.3728125023757985E-6</v>
      </c>
      <c r="F619" s="23">
        <f>IF(B619=1997, 100, IF(COUNTIF(A$1:A618,A619)=0, "NEW", F618*(1+Table1[[#This Row],[Ávöxtun]])))</f>
        <v>189.09473353799515</v>
      </c>
      <c r="G619" s="18" cm="1">
        <f t="array" ref="G619">IFERROR(_xlfn.IFS(ISNUMBER(Table1[[#This Row],[Column3]]),Table1[[#This Row],[Column3]],Table1[[#This Row],[Column3]]="NEW",Table1[[#This Row],[Column3]]),"")</f>
        <v>189.09473353799515</v>
      </c>
      <c r="H619" s="15" cm="1">
        <f t="array" ref="H619">_xlfn.IFS(Table1[[#This Row],[Column4]]="NEW",AVERAGEIFS(Table1[Column4],Table1[Year],Table1[[#This Row],[Year]]),ISNUMBER(Table1[[#This Row],[Column4]]),Table1[[#This Row],[Column4]],Table1[[#This Row],[Column4]]="",H618*(1+Table1[[#This Row],[Ávöxtun]]))</f>
        <v>189.09473353799515</v>
      </c>
      <c r="I619" cm="1">
        <f t="array" ref="I619">_xlfn.IFS(Table1[[#This Row],[Column4]]="NEW",_xlfn.XLOOKUP(Table1[[#This Row],[Year]],$N$2:$N$27,$P$2:$P$27),ISNUMBER(Table1[[#This Row],[Column4]]),Table1[[#This Row],[Column4]],Table1[[#This Row],[Column4]]="",I618*(1+Table1[[#This Row],[Ávöxtun]]))</f>
        <v>189.09473353799515</v>
      </c>
      <c r="L619" s="33">
        <v>189.09473353799515</v>
      </c>
      <c r="M619" s="33">
        <v>189.09473353799515</v>
      </c>
    </row>
    <row r="620" spans="1:13">
      <c r="A620" t="s">
        <v>115</v>
      </c>
      <c r="B620">
        <v>2017</v>
      </c>
      <c r="C620" s="16">
        <v>4.9000000000000002E-2</v>
      </c>
      <c r="D620" s="1">
        <v>4576944</v>
      </c>
      <c r="E620" s="29">
        <f>Table1[[#This Row],[Ávöxtun]]*Table1[[#This Row],[Eignir]]/SUMIFS(Table1[Eignir],Table1[Year],Table1[[#This Row],[Year]])</f>
        <v>6.3012285032399971E-5</v>
      </c>
      <c r="F620" s="23">
        <f>IF(B620=1997, 100, IF(COUNTIF(A$1:A619,A620)=0, "NEW", F619*(1+Table1[[#This Row],[Ávöxtun]])))</f>
        <v>198.3603754813569</v>
      </c>
      <c r="G620" s="18" cm="1">
        <f t="array" ref="G620">IFERROR(_xlfn.IFS(ISNUMBER(Table1[[#This Row],[Column3]]),Table1[[#This Row],[Column3]],Table1[[#This Row],[Column3]]="NEW",Table1[[#This Row],[Column3]]),"")</f>
        <v>198.3603754813569</v>
      </c>
      <c r="H620" s="15" cm="1">
        <f t="array" ref="H620">_xlfn.IFS(Table1[[#This Row],[Column4]]="NEW",AVERAGEIFS(Table1[Column4],Table1[Year],Table1[[#This Row],[Year]]),ISNUMBER(Table1[[#This Row],[Column4]]),Table1[[#This Row],[Column4]],Table1[[#This Row],[Column4]]="",H619*(1+Table1[[#This Row],[Ávöxtun]]))</f>
        <v>198.3603754813569</v>
      </c>
      <c r="I620" cm="1">
        <f t="array" ref="I620">_xlfn.IFS(Table1[[#This Row],[Column4]]="NEW",_xlfn.XLOOKUP(Table1[[#This Row],[Year]],$N$2:$N$27,$P$2:$P$27),ISNUMBER(Table1[[#This Row],[Column4]]),Table1[[#This Row],[Column4]],Table1[[#This Row],[Column4]]="",I619*(1+Table1[[#This Row],[Ávöxtun]]))</f>
        <v>198.3603754813569</v>
      </c>
      <c r="L620" s="33">
        <v>198.3603754813569</v>
      </c>
      <c r="M620" s="33">
        <v>198.3603754813569</v>
      </c>
    </row>
    <row r="621" spans="1:13">
      <c r="A621" t="s">
        <v>116</v>
      </c>
      <c r="B621">
        <v>1997</v>
      </c>
      <c r="C621" s="16">
        <v>0.04</v>
      </c>
      <c r="D621" s="1">
        <v>2451806.02</v>
      </c>
      <c r="E621" s="29">
        <f>Table1[[#This Row],[Ávöxtun]]*Table1[[#This Row],[Eignir]]/SUMIFS(Table1[Eignir],Table1[Year],Table1[[#This Row],[Year]])</f>
        <v>2.8927702081843422E-4</v>
      </c>
      <c r="F621" s="23">
        <f>IF(B621=1997, 100, IF(COUNTIF(A$1:A620,A621)=0, "NEW", F620*(1+Table1[[#This Row],[Ávöxtun]])))</f>
        <v>100</v>
      </c>
      <c r="G621" s="18" cm="1">
        <f t="array" ref="G621">IFERROR(_xlfn.IFS(ISNUMBER(Table1[[#This Row],[Column3]]),Table1[[#This Row],[Column3]],Table1[[#This Row],[Column3]]="NEW",Table1[[#This Row],[Column3]]),"")</f>
        <v>100</v>
      </c>
      <c r="H621" s="15" cm="1">
        <f t="array" ref="H621">_xlfn.IFS(Table1[[#This Row],[Column4]]="NEW",AVERAGEIFS(Table1[Column4],Table1[Year],Table1[[#This Row],[Year]]),ISNUMBER(Table1[[#This Row],[Column4]]),Table1[[#This Row],[Column4]],Table1[[#This Row],[Column4]]="",H620*(1+Table1[[#This Row],[Ávöxtun]]))</f>
        <v>100</v>
      </c>
      <c r="I621" cm="1">
        <f t="array" ref="I621">_xlfn.IFS(Table1[[#This Row],[Column4]]="NEW",_xlfn.XLOOKUP(Table1[[#This Row],[Year]],$N$2:$N$27,$P$2:$P$27),ISNUMBER(Table1[[#This Row],[Column4]]),Table1[[#This Row],[Column4]],Table1[[#This Row],[Column4]]="",I620*(1+Table1[[#This Row],[Ávöxtun]]))</f>
        <v>100</v>
      </c>
      <c r="L621" s="33">
        <v>100</v>
      </c>
      <c r="M621" s="33">
        <v>100</v>
      </c>
    </row>
    <row r="622" spans="1:13">
      <c r="A622" t="s">
        <v>116</v>
      </c>
      <c r="B622">
        <v>1998</v>
      </c>
      <c r="C622" s="16">
        <v>0.05</v>
      </c>
      <c r="D622" s="1">
        <v>2688130.09</v>
      </c>
      <c r="E622" s="29">
        <f>Table1[[#This Row],[Ávöxtun]]*Table1[[#This Row],[Eignir]]/SUMIFS(Table1[Eignir],Table1[Year],Table1[[#This Row],[Year]])</f>
        <v>3.4319336909618563E-4</v>
      </c>
      <c r="F622" s="23">
        <f>IF(B622=1997, 100, IF(COUNTIF(A$1:A621,A622)=0, "NEW", F621*(1+Table1[[#This Row],[Ávöxtun]])))</f>
        <v>105</v>
      </c>
      <c r="G622" s="18" cm="1">
        <f t="array" ref="G622">IFERROR(_xlfn.IFS(ISNUMBER(Table1[[#This Row],[Column3]]),Table1[[#This Row],[Column3]],Table1[[#This Row],[Column3]]="NEW",Table1[[#This Row],[Column3]]),"")</f>
        <v>105</v>
      </c>
      <c r="H622" s="15" cm="1">
        <f t="array" ref="H622">_xlfn.IFS(Table1[[#This Row],[Column4]]="NEW",AVERAGEIFS(Table1[Column4],Table1[Year],Table1[[#This Row],[Year]]),ISNUMBER(Table1[[#This Row],[Column4]]),Table1[[#This Row],[Column4]],Table1[[#This Row],[Column4]]="",H621*(1+Table1[[#This Row],[Ávöxtun]]))</f>
        <v>105</v>
      </c>
      <c r="I622" cm="1">
        <f t="array" ref="I622">_xlfn.IFS(Table1[[#This Row],[Column4]]="NEW",_xlfn.XLOOKUP(Table1[[#This Row],[Year]],$N$2:$N$27,$P$2:$P$27),ISNUMBER(Table1[[#This Row],[Column4]]),Table1[[#This Row],[Column4]],Table1[[#This Row],[Column4]]="",I621*(1+Table1[[#This Row],[Ávöxtun]]))</f>
        <v>105</v>
      </c>
      <c r="L622" s="33">
        <v>105</v>
      </c>
      <c r="M622" s="33">
        <v>105</v>
      </c>
    </row>
    <row r="623" spans="1:13">
      <c r="A623" t="s">
        <v>116</v>
      </c>
      <c r="B623">
        <v>1999</v>
      </c>
      <c r="C623" s="16">
        <v>0.04</v>
      </c>
      <c r="D623" s="1">
        <v>3050516.32</v>
      </c>
      <c r="E623" s="29">
        <f>Table1[[#This Row],[Ávöxtun]]*Table1[[#This Row],[Eignir]]/SUMIFS(Table1[Eignir],Table1[Year],Table1[[#This Row],[Year]])</f>
        <v>2.3433213492284188E-4</v>
      </c>
      <c r="F623" s="23">
        <f>IF(B623=1997, 100, IF(COUNTIF(A$1:A622,A623)=0, "NEW", F622*(1+Table1[[#This Row],[Ávöxtun]])))</f>
        <v>109.2</v>
      </c>
      <c r="G623" s="18" cm="1">
        <f t="array" ref="G623">IFERROR(_xlfn.IFS(ISNUMBER(Table1[[#This Row],[Column3]]),Table1[[#This Row],[Column3]],Table1[[#This Row],[Column3]]="NEW",Table1[[#This Row],[Column3]]),"")</f>
        <v>109.2</v>
      </c>
      <c r="H623" s="15" cm="1">
        <f t="array" ref="H623">_xlfn.IFS(Table1[[#This Row],[Column4]]="NEW",AVERAGEIFS(Table1[Column4],Table1[Year],Table1[[#This Row],[Year]]),ISNUMBER(Table1[[#This Row],[Column4]]),Table1[[#This Row],[Column4]],Table1[[#This Row],[Column4]]="",H622*(1+Table1[[#This Row],[Ávöxtun]]))</f>
        <v>109.2</v>
      </c>
      <c r="I623" cm="1">
        <f t="array" ref="I623">_xlfn.IFS(Table1[[#This Row],[Column4]]="NEW",_xlfn.XLOOKUP(Table1[[#This Row],[Year]],$N$2:$N$27,$P$2:$P$27),ISNUMBER(Table1[[#This Row],[Column4]]),Table1[[#This Row],[Column4]],Table1[[#This Row],[Column4]]="",I622*(1+Table1[[#This Row],[Ávöxtun]]))</f>
        <v>109.2</v>
      </c>
      <c r="L623" s="33">
        <v>109.2</v>
      </c>
      <c r="M623" s="33">
        <v>109.2</v>
      </c>
    </row>
    <row r="624" spans="1:13">
      <c r="A624" t="s">
        <v>116</v>
      </c>
      <c r="B624">
        <v>2000</v>
      </c>
      <c r="C624" s="16">
        <v>0</v>
      </c>
      <c r="D624" s="1">
        <v>3034334.64</v>
      </c>
      <c r="E624" s="29">
        <f>Table1[[#This Row],[Ávöxtun]]*Table1[[#This Row],[Eignir]]/SUMIFS(Table1[Eignir],Table1[Year],Table1[[#This Row],[Year]])</f>
        <v>0</v>
      </c>
      <c r="F624" s="23">
        <f>IF(B624=1997, 100, IF(COUNTIF(A$1:A623,A624)=0, "NEW", F623*(1+Table1[[#This Row],[Ávöxtun]])))</f>
        <v>109.2</v>
      </c>
      <c r="G624" s="18" cm="1">
        <f t="array" ref="G624">IFERROR(_xlfn.IFS(ISNUMBER(Table1[[#This Row],[Column3]]),Table1[[#This Row],[Column3]],Table1[[#This Row],[Column3]]="NEW",Table1[[#This Row],[Column3]]),"")</f>
        <v>109.2</v>
      </c>
      <c r="H624" s="15" cm="1">
        <f t="array" ref="H624">_xlfn.IFS(Table1[[#This Row],[Column4]]="NEW",AVERAGEIFS(Table1[Column4],Table1[Year],Table1[[#This Row],[Year]]),ISNUMBER(Table1[[#This Row],[Column4]]),Table1[[#This Row],[Column4]],Table1[[#This Row],[Column4]]="",H623*(1+Table1[[#This Row],[Ávöxtun]]))</f>
        <v>109.2</v>
      </c>
      <c r="I624" cm="1">
        <f t="array" ref="I624">_xlfn.IFS(Table1[[#This Row],[Column4]]="NEW",_xlfn.XLOOKUP(Table1[[#This Row],[Year]],$N$2:$N$27,$P$2:$P$27),ISNUMBER(Table1[[#This Row],[Column4]]),Table1[[#This Row],[Column4]],Table1[[#This Row],[Column4]]="",I623*(1+Table1[[#This Row],[Ávöxtun]]))</f>
        <v>109.2</v>
      </c>
      <c r="L624" s="33">
        <v>109.2</v>
      </c>
      <c r="M624" s="33">
        <v>109.2</v>
      </c>
    </row>
    <row r="625" spans="1:13">
      <c r="A625" t="s">
        <v>116</v>
      </c>
      <c r="B625">
        <v>2001</v>
      </c>
      <c r="C625" s="16">
        <v>0.01</v>
      </c>
      <c r="D625" s="1">
        <v>3277978.02</v>
      </c>
      <c r="E625" s="29">
        <f>Table1[[#This Row],[Ávöxtun]]*Table1[[#This Row],[Eignir]]/SUMIFS(Table1[Eignir],Table1[Year],Table1[[#This Row],[Year]])</f>
        <v>2.8309297068776763E-5</v>
      </c>
      <c r="F625" s="23">
        <f>IF(B625=1997, 100, IF(COUNTIF(A$1:A624,A625)=0, "NEW", F624*(1+Table1[[#This Row],[Ávöxtun]])))</f>
        <v>110.292</v>
      </c>
      <c r="G625" s="18" cm="1">
        <f t="array" ref="G625">IFERROR(_xlfn.IFS(ISNUMBER(Table1[[#This Row],[Column3]]),Table1[[#This Row],[Column3]],Table1[[#This Row],[Column3]]="NEW",Table1[[#This Row],[Column3]]),"")</f>
        <v>110.292</v>
      </c>
      <c r="H625" s="15" cm="1">
        <f t="array" ref="H625">_xlfn.IFS(Table1[[#This Row],[Column4]]="NEW",AVERAGEIFS(Table1[Column4],Table1[Year],Table1[[#This Row],[Year]]),ISNUMBER(Table1[[#This Row],[Column4]]),Table1[[#This Row],[Column4]],Table1[[#This Row],[Column4]]="",H624*(1+Table1[[#This Row],[Ávöxtun]]))</f>
        <v>110.292</v>
      </c>
      <c r="I625" cm="1">
        <f t="array" ref="I625">_xlfn.IFS(Table1[[#This Row],[Column4]]="NEW",_xlfn.XLOOKUP(Table1[[#This Row],[Year]],$N$2:$N$27,$P$2:$P$27),ISNUMBER(Table1[[#This Row],[Column4]]),Table1[[#This Row],[Column4]],Table1[[#This Row],[Column4]]="",I624*(1+Table1[[#This Row],[Ávöxtun]]))</f>
        <v>110.292</v>
      </c>
      <c r="L625" s="33">
        <v>110.292</v>
      </c>
      <c r="M625" s="33">
        <v>110.292</v>
      </c>
    </row>
    <row r="626" spans="1:13">
      <c r="A626" t="s">
        <v>116</v>
      </c>
      <c r="B626">
        <v>2002</v>
      </c>
      <c r="C626" s="16">
        <v>0.03</v>
      </c>
      <c r="D626" s="1">
        <v>3592096</v>
      </c>
      <c r="E626" s="29">
        <f>Table1[[#This Row],[Ávöxtun]]*Table1[[#This Row],[Eignir]]/SUMIFS(Table1[Eignir],Table1[Year],Table1[[#This Row],[Year]])</f>
        <v>1.6966146325167719E-4</v>
      </c>
      <c r="F626" s="23">
        <f>IF(B626=1997, 100, IF(COUNTIF(A$1:A625,A626)=0, "NEW", F625*(1+Table1[[#This Row],[Ávöxtun]])))</f>
        <v>113.60076000000001</v>
      </c>
      <c r="G626" s="18" cm="1">
        <f t="array" ref="G626">IFERROR(_xlfn.IFS(ISNUMBER(Table1[[#This Row],[Column3]]),Table1[[#This Row],[Column3]],Table1[[#This Row],[Column3]]="NEW",Table1[[#This Row],[Column3]]),"")</f>
        <v>113.60076000000001</v>
      </c>
      <c r="H626" s="15" cm="1">
        <f t="array" ref="H626">_xlfn.IFS(Table1[[#This Row],[Column4]]="NEW",AVERAGEIFS(Table1[Column4],Table1[Year],Table1[[#This Row],[Year]]),ISNUMBER(Table1[[#This Row],[Column4]]),Table1[[#This Row],[Column4]],Table1[[#This Row],[Column4]]="",H625*(1+Table1[[#This Row],[Ávöxtun]]))</f>
        <v>113.60076000000001</v>
      </c>
      <c r="I626" cm="1">
        <f t="array" ref="I626">_xlfn.IFS(Table1[[#This Row],[Column4]]="NEW",_xlfn.XLOOKUP(Table1[[#This Row],[Year]],$N$2:$N$27,$P$2:$P$27),ISNUMBER(Table1[[#This Row],[Column4]]),Table1[[#This Row],[Column4]],Table1[[#This Row],[Column4]]="",I625*(1+Table1[[#This Row],[Ávöxtun]]))</f>
        <v>113.60076000000001</v>
      </c>
      <c r="L626" s="33">
        <v>113.60076000000001</v>
      </c>
      <c r="M626" s="33">
        <v>113.60076000000001</v>
      </c>
    </row>
    <row r="627" spans="1:13">
      <c r="A627" t="s">
        <v>116</v>
      </c>
      <c r="B627">
        <v>2003</v>
      </c>
      <c r="C627" s="16">
        <v>0.11</v>
      </c>
      <c r="D627" s="1">
        <v>10117276</v>
      </c>
      <c r="E627" s="29">
        <f>Table1[[#This Row],[Ávöxtun]]*Table1[[#This Row],[Eignir]]/SUMIFS(Table1[Eignir],Table1[Year],Table1[[#This Row],[Year]])</f>
        <v>1.4645518655865182E-3</v>
      </c>
      <c r="F627" s="23">
        <f>IF(B627=1997, 100, IF(COUNTIF(A$1:A626,A627)=0, "NEW", F626*(1+Table1[[#This Row],[Ávöxtun]])))</f>
        <v>126.09684360000001</v>
      </c>
      <c r="G627" s="18" cm="1">
        <f t="array" ref="G627">IFERROR(_xlfn.IFS(ISNUMBER(Table1[[#This Row],[Column3]]),Table1[[#This Row],[Column3]],Table1[[#This Row],[Column3]]="NEW",Table1[[#This Row],[Column3]]),"")</f>
        <v>126.09684360000001</v>
      </c>
      <c r="H627" s="15" cm="1">
        <f t="array" ref="H627">_xlfn.IFS(Table1[[#This Row],[Column4]]="NEW",AVERAGEIFS(Table1[Column4],Table1[Year],Table1[[#This Row],[Year]]),ISNUMBER(Table1[[#This Row],[Column4]]),Table1[[#This Row],[Column4]],Table1[[#This Row],[Column4]]="",H626*(1+Table1[[#This Row],[Ávöxtun]]))</f>
        <v>126.09684360000001</v>
      </c>
      <c r="I627" cm="1">
        <f t="array" ref="I627">_xlfn.IFS(Table1[[#This Row],[Column4]]="NEW",_xlfn.XLOOKUP(Table1[[#This Row],[Year]],$N$2:$N$27,$P$2:$P$27),ISNUMBER(Table1[[#This Row],[Column4]]),Table1[[#This Row],[Column4]],Table1[[#This Row],[Column4]]="",I626*(1+Table1[[#This Row],[Ávöxtun]]))</f>
        <v>126.09684360000001</v>
      </c>
      <c r="L627" s="33">
        <v>126.09684360000001</v>
      </c>
      <c r="M627" s="33">
        <v>126.09684360000001</v>
      </c>
    </row>
    <row r="628" spans="1:13">
      <c r="A628" t="s">
        <v>116</v>
      </c>
      <c r="B628">
        <v>2004</v>
      </c>
      <c r="C628" s="16">
        <v>0.03</v>
      </c>
      <c r="D628" s="1">
        <v>11048612.449999999</v>
      </c>
      <c r="E628" s="29">
        <f>Table1[[#This Row],[Ávöxtun]]*Table1[[#This Row],[Eignir]]/SUMIFS(Table1[Eignir],Table1[Year],Table1[[#This Row],[Year]])</f>
        <v>3.6517480832807544E-4</v>
      </c>
      <c r="F628" s="23">
        <f>IF(B628=1997, 100, IF(COUNTIF(A$1:A627,A628)=0, "NEW", F627*(1+Table1[[#This Row],[Ávöxtun]])))</f>
        <v>129.87974890800001</v>
      </c>
      <c r="G628" s="18" cm="1">
        <f t="array" ref="G628">IFERROR(_xlfn.IFS(ISNUMBER(Table1[[#This Row],[Column3]]),Table1[[#This Row],[Column3]],Table1[[#This Row],[Column3]]="NEW",Table1[[#This Row],[Column3]]),"")</f>
        <v>129.87974890800001</v>
      </c>
      <c r="H628" s="15" cm="1">
        <f t="array" ref="H628">_xlfn.IFS(Table1[[#This Row],[Column4]]="NEW",AVERAGEIFS(Table1[Column4],Table1[Year],Table1[[#This Row],[Year]]),ISNUMBER(Table1[[#This Row],[Column4]]),Table1[[#This Row],[Column4]],Table1[[#This Row],[Column4]]="",H627*(1+Table1[[#This Row],[Ávöxtun]]))</f>
        <v>129.87974890800001</v>
      </c>
      <c r="I628" cm="1">
        <f t="array" ref="I628">_xlfn.IFS(Table1[[#This Row],[Column4]]="NEW",_xlfn.XLOOKUP(Table1[[#This Row],[Year]],$N$2:$N$27,$P$2:$P$27),ISNUMBER(Table1[[#This Row],[Column4]]),Table1[[#This Row],[Column4]],Table1[[#This Row],[Column4]]="",I627*(1+Table1[[#This Row],[Ávöxtun]]))</f>
        <v>129.87974890800001</v>
      </c>
      <c r="L628" s="33">
        <v>129.87974890800001</v>
      </c>
      <c r="M628" s="33">
        <v>129.87974890800001</v>
      </c>
    </row>
    <row r="629" spans="1:13">
      <c r="A629" t="s">
        <v>116</v>
      </c>
      <c r="B629">
        <v>2005</v>
      </c>
      <c r="C629" s="16">
        <v>0.03</v>
      </c>
      <c r="D629" s="1">
        <v>11576018</v>
      </c>
      <c r="E629" s="29">
        <f>Table1[[#This Row],[Ávöxtun]]*Table1[[#This Row],[Eignir]]/SUMIFS(Table1[Eignir],Table1[Year],Table1[[#This Row],[Year]])</f>
        <v>3.0970199905186278E-4</v>
      </c>
      <c r="F629" s="23">
        <f>IF(B629=1997, 100, IF(COUNTIF(A$1:A628,A629)=0, "NEW", F628*(1+Table1[[#This Row],[Ávöxtun]])))</f>
        <v>133.77614137524</v>
      </c>
      <c r="G629" s="18" cm="1">
        <f t="array" ref="G629">IFERROR(_xlfn.IFS(ISNUMBER(Table1[[#This Row],[Column3]]),Table1[[#This Row],[Column3]],Table1[[#This Row],[Column3]]="NEW",Table1[[#This Row],[Column3]]),"")</f>
        <v>133.77614137524</v>
      </c>
      <c r="H629" s="15" cm="1">
        <f t="array" ref="H629">_xlfn.IFS(Table1[[#This Row],[Column4]]="NEW",AVERAGEIFS(Table1[Column4],Table1[Year],Table1[[#This Row],[Year]]),ISNUMBER(Table1[[#This Row],[Column4]]),Table1[[#This Row],[Column4]],Table1[[#This Row],[Column4]]="",H628*(1+Table1[[#This Row],[Ávöxtun]]))</f>
        <v>133.77614137524</v>
      </c>
      <c r="I629" cm="1">
        <f t="array" ref="I629">_xlfn.IFS(Table1[[#This Row],[Column4]]="NEW",_xlfn.XLOOKUP(Table1[[#This Row],[Year]],$N$2:$N$27,$P$2:$P$27),ISNUMBER(Table1[[#This Row],[Column4]]),Table1[[#This Row],[Column4]],Table1[[#This Row],[Column4]]="",I628*(1+Table1[[#This Row],[Ávöxtun]]))</f>
        <v>133.77614137524</v>
      </c>
      <c r="L629" s="33">
        <v>133.77614137524</v>
      </c>
      <c r="M629" s="33">
        <v>133.77614137524</v>
      </c>
    </row>
    <row r="630" spans="1:13">
      <c r="A630" t="s">
        <v>116</v>
      </c>
      <c r="B630">
        <v>2006</v>
      </c>
      <c r="C630" s="16">
        <v>3.8100000000000002E-2</v>
      </c>
      <c r="D630" s="1">
        <v>13262544</v>
      </c>
      <c r="E630" s="29">
        <f>Table1[[#This Row],[Ávöxtun]]*Table1[[#This Row],[Eignir]]/SUMIFS(Table1[Eignir],Table1[Year],Table1[[#This Row],[Year]])</f>
        <v>3.6811531557447906E-4</v>
      </c>
      <c r="F630" s="23">
        <f>IF(B630=1997, 100, IF(COUNTIF(A$1:A629,A630)=0, "NEW", F629*(1+Table1[[#This Row],[Ávöxtun]])))</f>
        <v>138.87301236163665</v>
      </c>
      <c r="G630" s="18" cm="1">
        <f t="array" ref="G630">IFERROR(_xlfn.IFS(ISNUMBER(Table1[[#This Row],[Column3]]),Table1[[#This Row],[Column3]],Table1[[#This Row],[Column3]]="NEW",Table1[[#This Row],[Column3]]),"")</f>
        <v>138.87301236163665</v>
      </c>
      <c r="H630" s="15" cm="1">
        <f t="array" ref="H630">_xlfn.IFS(Table1[[#This Row],[Column4]]="NEW",AVERAGEIFS(Table1[Column4],Table1[Year],Table1[[#This Row],[Year]]),ISNUMBER(Table1[[#This Row],[Column4]]),Table1[[#This Row],[Column4]],Table1[[#This Row],[Column4]]="",H629*(1+Table1[[#This Row],[Ávöxtun]]))</f>
        <v>138.87301236163665</v>
      </c>
      <c r="I630" cm="1">
        <f t="array" ref="I630">_xlfn.IFS(Table1[[#This Row],[Column4]]="NEW",_xlfn.XLOOKUP(Table1[[#This Row],[Year]],$N$2:$N$27,$P$2:$P$27),ISNUMBER(Table1[[#This Row],[Column4]]),Table1[[#This Row],[Column4]],Table1[[#This Row],[Column4]]="",I629*(1+Table1[[#This Row],[Ávöxtun]]))</f>
        <v>138.87301236163665</v>
      </c>
      <c r="L630" s="33">
        <v>138.87301236163665</v>
      </c>
      <c r="M630" s="33">
        <v>138.87301236163665</v>
      </c>
    </row>
    <row r="631" spans="1:13">
      <c r="A631" t="s">
        <v>116</v>
      </c>
      <c r="B631">
        <v>2007</v>
      </c>
      <c r="C631" s="16">
        <v>8.4900000000000003E-2</v>
      </c>
      <c r="D631" s="1">
        <v>40330382</v>
      </c>
      <c r="E631" s="29">
        <f>Table1[[#This Row],[Ávöxtun]]*Table1[[#This Row],[Eignir]]/SUMIFS(Table1[Eignir],Table1[Year],Table1[[#This Row],[Year]])</f>
        <v>2.2141953644558318E-3</v>
      </c>
      <c r="F631" s="23">
        <f>IF(B631=1997, 100, IF(COUNTIF(A$1:A630,A631)=0, "NEW", F630*(1+Table1[[#This Row],[Ávöxtun]])))</f>
        <v>150.6633311111396</v>
      </c>
      <c r="G631" s="18" cm="1">
        <f t="array" ref="G631">IFERROR(_xlfn.IFS(ISNUMBER(Table1[[#This Row],[Column3]]),Table1[[#This Row],[Column3]],Table1[[#This Row],[Column3]]="NEW",Table1[[#This Row],[Column3]]),"")</f>
        <v>150.6633311111396</v>
      </c>
      <c r="H631" s="15" cm="1">
        <f t="array" ref="H631">_xlfn.IFS(Table1[[#This Row],[Column4]]="NEW",AVERAGEIFS(Table1[Column4],Table1[Year],Table1[[#This Row],[Year]]),ISNUMBER(Table1[[#This Row],[Column4]]),Table1[[#This Row],[Column4]],Table1[[#This Row],[Column4]]="",H630*(1+Table1[[#This Row],[Ávöxtun]]))</f>
        <v>150.6633311111396</v>
      </c>
      <c r="I631" cm="1">
        <f t="array" ref="I631">_xlfn.IFS(Table1[[#This Row],[Column4]]="NEW",_xlfn.XLOOKUP(Table1[[#This Row],[Year]],$N$2:$N$27,$P$2:$P$27),ISNUMBER(Table1[[#This Row],[Column4]]),Table1[[#This Row],[Column4]],Table1[[#This Row],[Column4]]="",I630*(1+Table1[[#This Row],[Ávöxtun]]))</f>
        <v>150.6633311111396</v>
      </c>
      <c r="L631" s="33">
        <v>150.6633311111396</v>
      </c>
      <c r="M631" s="33">
        <v>150.6633311111396</v>
      </c>
    </row>
    <row r="632" spans="1:13">
      <c r="A632" t="s">
        <v>116</v>
      </c>
      <c r="B632">
        <v>2008</v>
      </c>
      <c r="C632" s="16">
        <v>2.29E-2</v>
      </c>
      <c r="D632" s="1">
        <v>47366446</v>
      </c>
      <c r="E632" s="29">
        <f>Table1[[#This Row],[Ávöxtun]]*Table1[[#This Row],[Eignir]]/SUMIFS(Table1[Eignir],Table1[Year],Table1[[#This Row],[Year]])</f>
        <v>7.2442305802338555E-4</v>
      </c>
      <c r="F632" s="23">
        <f>IF(B632=1997, 100, IF(COUNTIF(A$1:A631,A632)=0, "NEW", F631*(1+Table1[[#This Row],[Ávöxtun]])))</f>
        <v>154.11352139358468</v>
      </c>
      <c r="G632" s="18" cm="1">
        <f t="array" ref="G632">IFERROR(_xlfn.IFS(ISNUMBER(Table1[[#This Row],[Column3]]),Table1[[#This Row],[Column3]],Table1[[#This Row],[Column3]]="NEW",Table1[[#This Row],[Column3]]),"")</f>
        <v>154.11352139358468</v>
      </c>
      <c r="H632" s="15" cm="1">
        <f t="array" ref="H632">_xlfn.IFS(Table1[[#This Row],[Column4]]="NEW",AVERAGEIFS(Table1[Column4],Table1[Year],Table1[[#This Row],[Year]]),ISNUMBER(Table1[[#This Row],[Column4]]),Table1[[#This Row],[Column4]],Table1[[#This Row],[Column4]]="",H631*(1+Table1[[#This Row],[Ávöxtun]]))</f>
        <v>154.11352139358468</v>
      </c>
      <c r="I632" cm="1">
        <f t="array" ref="I632">_xlfn.IFS(Table1[[#This Row],[Column4]]="NEW",_xlfn.XLOOKUP(Table1[[#This Row],[Year]],$N$2:$N$27,$P$2:$P$27),ISNUMBER(Table1[[#This Row],[Column4]]),Table1[[#This Row],[Column4]],Table1[[#This Row],[Column4]]="",I631*(1+Table1[[#This Row],[Ávöxtun]]))</f>
        <v>154.11352139358468</v>
      </c>
      <c r="L632" s="33">
        <v>154.11352139358468</v>
      </c>
      <c r="M632" s="33">
        <v>154.11352139358468</v>
      </c>
    </row>
    <row r="633" spans="1:13">
      <c r="A633" t="s">
        <v>116</v>
      </c>
      <c r="B633">
        <v>2009</v>
      </c>
      <c r="C633" s="16">
        <v>3.5799999999999998E-2</v>
      </c>
      <c r="D633" s="1">
        <v>52548263</v>
      </c>
      <c r="E633" s="29">
        <f>Table1[[#This Row],[Ávöxtun]]*Table1[[#This Row],[Eignir]]/SUMIFS(Table1[Eignir],Table1[Year],Table1[[#This Row],[Year]])</f>
        <v>1.1276597581581903E-3</v>
      </c>
      <c r="F633" s="23">
        <f>IF(B633=1997, 100, IF(COUNTIF(A$1:A632,A633)=0, "NEW", F632*(1+Table1[[#This Row],[Ávöxtun]])))</f>
        <v>159.63078545947502</v>
      </c>
      <c r="G633" s="18" cm="1">
        <f t="array" ref="G633">IFERROR(_xlfn.IFS(ISNUMBER(Table1[[#This Row],[Column3]]),Table1[[#This Row],[Column3]],Table1[[#This Row],[Column3]]="NEW",Table1[[#This Row],[Column3]]),"")</f>
        <v>159.63078545947502</v>
      </c>
      <c r="H633" s="15" cm="1">
        <f t="array" ref="H633">_xlfn.IFS(Table1[[#This Row],[Column4]]="NEW",AVERAGEIFS(Table1[Column4],Table1[Year],Table1[[#This Row],[Year]]),ISNUMBER(Table1[[#This Row],[Column4]]),Table1[[#This Row],[Column4]],Table1[[#This Row],[Column4]]="",H632*(1+Table1[[#This Row],[Ávöxtun]]))</f>
        <v>159.63078545947502</v>
      </c>
      <c r="I633" cm="1">
        <f t="array" ref="I633">_xlfn.IFS(Table1[[#This Row],[Column4]]="NEW",_xlfn.XLOOKUP(Table1[[#This Row],[Year]],$N$2:$N$27,$P$2:$P$27),ISNUMBER(Table1[[#This Row],[Column4]]),Table1[[#This Row],[Column4]],Table1[[#This Row],[Column4]]="",I632*(1+Table1[[#This Row],[Ávöxtun]]))</f>
        <v>159.63078545947502</v>
      </c>
      <c r="L633" s="33">
        <v>159.63078545947502</v>
      </c>
      <c r="M633" s="33">
        <v>159.63078545947502</v>
      </c>
    </row>
    <row r="634" spans="1:13">
      <c r="A634" t="s">
        <v>116</v>
      </c>
      <c r="B634">
        <v>2010</v>
      </c>
      <c r="C634" s="16">
        <v>2.3900000000000001E-2</v>
      </c>
      <c r="D634" s="1">
        <v>54413020</v>
      </c>
      <c r="E634" s="29">
        <f>Table1[[#This Row],[Ávöxtun]]*Table1[[#This Row],[Eignir]]/SUMIFS(Table1[Eignir],Table1[Year],Table1[[#This Row],[Year]])</f>
        <v>7.2741970871926663E-4</v>
      </c>
      <c r="F634" s="23">
        <f>IF(B634=1997, 100, IF(COUNTIF(A$1:A633,A634)=0, "NEW", F633*(1+Table1[[#This Row],[Ávöxtun]])))</f>
        <v>163.44596123195649</v>
      </c>
      <c r="G634" s="18" cm="1">
        <f t="array" ref="G634">IFERROR(_xlfn.IFS(ISNUMBER(Table1[[#This Row],[Column3]]),Table1[[#This Row],[Column3]],Table1[[#This Row],[Column3]]="NEW",Table1[[#This Row],[Column3]]),"")</f>
        <v>163.44596123195649</v>
      </c>
      <c r="H634" s="15" cm="1">
        <f t="array" ref="H634">_xlfn.IFS(Table1[[#This Row],[Column4]]="NEW",AVERAGEIFS(Table1[Column4],Table1[Year],Table1[[#This Row],[Year]]),ISNUMBER(Table1[[#This Row],[Column4]]),Table1[[#This Row],[Column4]],Table1[[#This Row],[Column4]]="",H633*(1+Table1[[#This Row],[Ávöxtun]]))</f>
        <v>163.44596123195649</v>
      </c>
      <c r="I634" cm="1">
        <f t="array" ref="I634">_xlfn.IFS(Table1[[#This Row],[Column4]]="NEW",_xlfn.XLOOKUP(Table1[[#This Row],[Year]],$N$2:$N$27,$P$2:$P$27),ISNUMBER(Table1[[#This Row],[Column4]]),Table1[[#This Row],[Column4]],Table1[[#This Row],[Column4]]="",I633*(1+Table1[[#This Row],[Ávöxtun]]))</f>
        <v>163.44596123195649</v>
      </c>
      <c r="L634" s="33">
        <v>163.44596123195649</v>
      </c>
      <c r="M634" s="33">
        <v>163.44596123195649</v>
      </c>
    </row>
    <row r="635" spans="1:13">
      <c r="A635" t="s">
        <v>116</v>
      </c>
      <c r="B635">
        <v>2011</v>
      </c>
      <c r="C635" s="16">
        <v>3.2000000000000001E-2</v>
      </c>
      <c r="D635" s="1">
        <v>58321251</v>
      </c>
      <c r="E635" s="29">
        <f>Table1[[#This Row],[Ávöxtun]]*Table1[[#This Row],[Eignir]]/SUMIFS(Table1[Eignir],Table1[Year],Table1[[#This Row],[Year]])</f>
        <v>9.5679248205277675E-4</v>
      </c>
      <c r="F635" s="23">
        <f>IF(B635=1997, 100, IF(COUNTIF(A$1:A634,A635)=0, "NEW", F634*(1+Table1[[#This Row],[Ávöxtun]])))</f>
        <v>168.6762319913791</v>
      </c>
      <c r="G635" s="18" cm="1">
        <f t="array" ref="G635">IFERROR(_xlfn.IFS(ISNUMBER(Table1[[#This Row],[Column3]]),Table1[[#This Row],[Column3]],Table1[[#This Row],[Column3]]="NEW",Table1[[#This Row],[Column3]]),"")</f>
        <v>168.6762319913791</v>
      </c>
      <c r="H635" s="15" cm="1">
        <f t="array" ref="H635">_xlfn.IFS(Table1[[#This Row],[Column4]]="NEW",AVERAGEIFS(Table1[Column4],Table1[Year],Table1[[#This Row],[Year]]),ISNUMBER(Table1[[#This Row],[Column4]]),Table1[[#This Row],[Column4]],Table1[[#This Row],[Column4]]="",H634*(1+Table1[[#This Row],[Ávöxtun]]))</f>
        <v>168.6762319913791</v>
      </c>
      <c r="I635" cm="1">
        <f t="array" ref="I635">_xlfn.IFS(Table1[[#This Row],[Column4]]="NEW",_xlfn.XLOOKUP(Table1[[#This Row],[Year]],$N$2:$N$27,$P$2:$P$27),ISNUMBER(Table1[[#This Row],[Column4]]),Table1[[#This Row],[Column4]],Table1[[#This Row],[Column4]]="",I634*(1+Table1[[#This Row],[Ávöxtun]]))</f>
        <v>168.6762319913791</v>
      </c>
      <c r="L635" s="33">
        <v>168.6762319913791</v>
      </c>
      <c r="M635" s="33">
        <v>168.6762319913791</v>
      </c>
    </row>
    <row r="636" spans="1:13">
      <c r="A636" t="s">
        <v>116</v>
      </c>
      <c r="B636">
        <v>2012</v>
      </c>
      <c r="C636" s="16">
        <v>3.4000000000000002E-2</v>
      </c>
      <c r="D636" s="1">
        <v>62007525</v>
      </c>
      <c r="E636" s="29">
        <f>Table1[[#This Row],[Ávöxtun]]*Table1[[#This Row],[Eignir]]/SUMIFS(Table1[Eignir],Table1[Year],Table1[[#This Row],[Year]])</f>
        <v>9.5706132720974372E-4</v>
      </c>
      <c r="F636" s="23">
        <f>IF(B636=1997, 100, IF(COUNTIF(A$1:A635,A636)=0, "NEW", F635*(1+Table1[[#This Row],[Ávöxtun]])))</f>
        <v>174.41122387908598</v>
      </c>
      <c r="G636" s="18" cm="1">
        <f t="array" ref="G636">IFERROR(_xlfn.IFS(ISNUMBER(Table1[[#This Row],[Column3]]),Table1[[#This Row],[Column3]],Table1[[#This Row],[Column3]]="NEW",Table1[[#This Row],[Column3]]),"")</f>
        <v>174.41122387908598</v>
      </c>
      <c r="H636" s="15" cm="1">
        <f t="array" ref="H636">_xlfn.IFS(Table1[[#This Row],[Column4]]="NEW",AVERAGEIFS(Table1[Column4],Table1[Year],Table1[[#This Row],[Year]]),ISNUMBER(Table1[[#This Row],[Column4]]),Table1[[#This Row],[Column4]],Table1[[#This Row],[Column4]]="",H635*(1+Table1[[#This Row],[Ávöxtun]]))</f>
        <v>174.41122387908598</v>
      </c>
      <c r="I636" cm="1">
        <f t="array" ref="I636">_xlfn.IFS(Table1[[#This Row],[Column4]]="NEW",_xlfn.XLOOKUP(Table1[[#This Row],[Year]],$N$2:$N$27,$P$2:$P$27),ISNUMBER(Table1[[#This Row],[Column4]]),Table1[[#This Row],[Column4]],Table1[[#This Row],[Column4]]="",I635*(1+Table1[[#This Row],[Ávöxtun]]))</f>
        <v>174.41122387908598</v>
      </c>
      <c r="L636" s="33">
        <v>174.41122387908598</v>
      </c>
      <c r="M636" s="33">
        <v>174.41122387908598</v>
      </c>
    </row>
    <row r="637" spans="1:13">
      <c r="A637" t="s">
        <v>116</v>
      </c>
      <c r="B637">
        <v>2013</v>
      </c>
      <c r="C637" s="16">
        <v>4.2000000000000003E-2</v>
      </c>
      <c r="D637" s="1">
        <v>65939023</v>
      </c>
      <c r="E637" s="29">
        <f>Table1[[#This Row],[Ávöxtun]]*Table1[[#This Row],[Eignir]]/SUMIFS(Table1[Eignir],Table1[Year],Table1[[#This Row],[Year]])</f>
        <v>1.1380104613733248E-3</v>
      </c>
      <c r="F637" s="23">
        <f>IF(B637=1997, 100, IF(COUNTIF(A$1:A636,A637)=0, "NEW", F636*(1+Table1[[#This Row],[Ávöxtun]])))</f>
        <v>181.73649528200761</v>
      </c>
      <c r="G637" s="18" cm="1">
        <f t="array" ref="G637">IFERROR(_xlfn.IFS(ISNUMBER(Table1[[#This Row],[Column3]]),Table1[[#This Row],[Column3]],Table1[[#This Row],[Column3]]="NEW",Table1[[#This Row],[Column3]]),"")</f>
        <v>181.73649528200761</v>
      </c>
      <c r="H637" s="15" cm="1">
        <f t="array" ref="H637">_xlfn.IFS(Table1[[#This Row],[Column4]]="NEW",AVERAGEIFS(Table1[Column4],Table1[Year],Table1[[#This Row],[Year]]),ISNUMBER(Table1[[#This Row],[Column4]]),Table1[[#This Row],[Column4]],Table1[[#This Row],[Column4]]="",H636*(1+Table1[[#This Row],[Ávöxtun]]))</f>
        <v>181.73649528200761</v>
      </c>
      <c r="I637" cm="1">
        <f t="array" ref="I637">_xlfn.IFS(Table1[[#This Row],[Column4]]="NEW",_xlfn.XLOOKUP(Table1[[#This Row],[Year]],$N$2:$N$27,$P$2:$P$27),ISNUMBER(Table1[[#This Row],[Column4]]),Table1[[#This Row],[Column4]],Table1[[#This Row],[Column4]]="",I636*(1+Table1[[#This Row],[Ávöxtun]]))</f>
        <v>181.73649528200761</v>
      </c>
      <c r="L637" s="33">
        <v>181.73649528200761</v>
      </c>
      <c r="M637" s="33">
        <v>181.73649528200761</v>
      </c>
    </row>
    <row r="638" spans="1:13">
      <c r="A638" t="s">
        <v>116</v>
      </c>
      <c r="B638">
        <v>2014</v>
      </c>
      <c r="C638" s="16">
        <v>4.0999999999999995E-2</v>
      </c>
      <c r="D638" s="1">
        <v>68136259</v>
      </c>
      <c r="E638" s="29">
        <f>Table1[[#This Row],[Ávöxtun]]*Table1[[#This Row],[Eignir]]/SUMIFS(Table1[Eignir],Table1[Year],Table1[[#This Row],[Year]])</f>
        <v>1.05298423388133E-3</v>
      </c>
      <c r="F638" s="23">
        <f>IF(B638=1997, 100, IF(COUNTIF(A$1:A637,A638)=0, "NEW", F637*(1+Table1[[#This Row],[Ávöxtun]])))</f>
        <v>189.18769158856992</v>
      </c>
      <c r="G638" s="18" cm="1">
        <f t="array" ref="G638">IFERROR(_xlfn.IFS(ISNUMBER(Table1[[#This Row],[Column3]]),Table1[[#This Row],[Column3]],Table1[[#This Row],[Column3]]="NEW",Table1[[#This Row],[Column3]]),"")</f>
        <v>189.18769158856992</v>
      </c>
      <c r="H638" s="15" cm="1">
        <f t="array" ref="H638">_xlfn.IFS(Table1[[#This Row],[Column4]]="NEW",AVERAGEIFS(Table1[Column4],Table1[Year],Table1[[#This Row],[Year]]),ISNUMBER(Table1[[#This Row],[Column4]]),Table1[[#This Row],[Column4]],Table1[[#This Row],[Column4]]="",H637*(1+Table1[[#This Row],[Ávöxtun]]))</f>
        <v>189.18769158856992</v>
      </c>
      <c r="I638" cm="1">
        <f t="array" ref="I638">_xlfn.IFS(Table1[[#This Row],[Column4]]="NEW",_xlfn.XLOOKUP(Table1[[#This Row],[Year]],$N$2:$N$27,$P$2:$P$27),ISNUMBER(Table1[[#This Row],[Column4]]),Table1[[#This Row],[Column4]],Table1[[#This Row],[Column4]]="",I637*(1+Table1[[#This Row],[Ávöxtun]]))</f>
        <v>189.18769158856992</v>
      </c>
      <c r="L638" s="33">
        <v>189.18769158856992</v>
      </c>
      <c r="M638" s="33">
        <v>189.18769158856992</v>
      </c>
    </row>
    <row r="639" spans="1:13">
      <c r="A639" t="s">
        <v>116</v>
      </c>
      <c r="B639">
        <v>2015</v>
      </c>
      <c r="C639" s="16">
        <v>6.3E-2</v>
      </c>
      <c r="D639" s="1">
        <v>72406762</v>
      </c>
      <c r="E639" s="29">
        <f>Table1[[#This Row],[Ávöxtun]]*Table1[[#This Row],[Eignir]]/SUMIFS(Table1[Eignir],Table1[Year],Table1[[#This Row],[Year]])</f>
        <v>1.5403726414551645E-3</v>
      </c>
      <c r="F639" s="23">
        <f>IF(B639=1997, 100, IF(COUNTIF(A$1:A638,A639)=0, "NEW", F638*(1+Table1[[#This Row],[Ávöxtun]])))</f>
        <v>201.10651615864981</v>
      </c>
      <c r="G639" s="18" cm="1">
        <f t="array" ref="G639">IFERROR(_xlfn.IFS(ISNUMBER(Table1[[#This Row],[Column3]]),Table1[[#This Row],[Column3]],Table1[[#This Row],[Column3]]="NEW",Table1[[#This Row],[Column3]]),"")</f>
        <v>201.10651615864981</v>
      </c>
      <c r="H639" s="15" cm="1">
        <f t="array" ref="H639">_xlfn.IFS(Table1[[#This Row],[Column4]]="NEW",AVERAGEIFS(Table1[Column4],Table1[Year],Table1[[#This Row],[Year]]),ISNUMBER(Table1[[#This Row],[Column4]]),Table1[[#This Row],[Column4]],Table1[[#This Row],[Column4]]="",H638*(1+Table1[[#This Row],[Ávöxtun]]))</f>
        <v>201.10651615864981</v>
      </c>
      <c r="I639" cm="1">
        <f t="array" ref="I639">_xlfn.IFS(Table1[[#This Row],[Column4]]="NEW",_xlfn.XLOOKUP(Table1[[#This Row],[Year]],$N$2:$N$27,$P$2:$P$27),ISNUMBER(Table1[[#This Row],[Column4]]),Table1[[#This Row],[Column4]],Table1[[#This Row],[Column4]]="",I638*(1+Table1[[#This Row],[Ávöxtun]]))</f>
        <v>201.10651615864981</v>
      </c>
      <c r="L639" s="33">
        <v>201.10651615864981</v>
      </c>
      <c r="M639" s="33">
        <v>201.10651615864981</v>
      </c>
    </row>
    <row r="640" spans="1:13">
      <c r="A640" t="s">
        <v>116</v>
      </c>
      <c r="B640">
        <v>2016</v>
      </c>
      <c r="C640" s="16">
        <v>1.3000000000000001E-2</v>
      </c>
      <c r="D640" s="1">
        <v>74356941.659999996</v>
      </c>
      <c r="E640" s="29">
        <f>Table1[[#This Row],[Ávöxtun]]*Table1[[#This Row],[Eignir]]/SUMIFS(Table1[Eignir],Table1[Year],Table1[[#This Row],[Year]])</f>
        <v>3.0207067113439414E-4</v>
      </c>
      <c r="F640" s="23">
        <f>IF(B640=1997, 100, IF(COUNTIF(A$1:A639,A640)=0, "NEW", F639*(1+Table1[[#This Row],[Ávöxtun]])))</f>
        <v>203.72090086871225</v>
      </c>
      <c r="G640" s="18" cm="1">
        <f t="array" ref="G640">IFERROR(_xlfn.IFS(ISNUMBER(Table1[[#This Row],[Column3]]),Table1[[#This Row],[Column3]],Table1[[#This Row],[Column3]]="NEW",Table1[[#This Row],[Column3]]),"")</f>
        <v>203.72090086871225</v>
      </c>
      <c r="H640" s="15" cm="1">
        <f t="array" ref="H640">_xlfn.IFS(Table1[[#This Row],[Column4]]="NEW",AVERAGEIFS(Table1[Column4],Table1[Year],Table1[[#This Row],[Year]]),ISNUMBER(Table1[[#This Row],[Column4]]),Table1[[#This Row],[Column4]],Table1[[#This Row],[Column4]]="",H639*(1+Table1[[#This Row],[Ávöxtun]]))</f>
        <v>203.72090086871225</v>
      </c>
      <c r="I640" cm="1">
        <f t="array" ref="I640">_xlfn.IFS(Table1[[#This Row],[Column4]]="NEW",_xlfn.XLOOKUP(Table1[[#This Row],[Year]],$N$2:$N$27,$P$2:$P$27),ISNUMBER(Table1[[#This Row],[Column4]]),Table1[[#This Row],[Column4]],Table1[[#This Row],[Column4]]="",I639*(1+Table1[[#This Row],[Ávöxtun]]))</f>
        <v>203.72090086871225</v>
      </c>
      <c r="L640" s="33">
        <v>203.72090086871225</v>
      </c>
      <c r="M640" s="33">
        <v>203.72090086871225</v>
      </c>
    </row>
    <row r="641" spans="1:13">
      <c r="A641" t="s">
        <v>116</v>
      </c>
      <c r="B641">
        <v>2017</v>
      </c>
      <c r="C641" s="16">
        <v>4.2999999999999997E-2</v>
      </c>
      <c r="D641" s="1">
        <v>77204479</v>
      </c>
      <c r="E641" s="29">
        <f>Table1[[#This Row],[Ávöxtun]]*Table1[[#This Row],[Eignir]]/SUMIFS(Table1[Eignir],Table1[Year],Table1[[#This Row],[Year]])</f>
        <v>9.3274837734440925E-4</v>
      </c>
      <c r="F641" s="23">
        <f>IF(B641=1997, 100, IF(COUNTIF(A$1:A640,A641)=0, "NEW", F640*(1+Table1[[#This Row],[Ávöxtun]])))</f>
        <v>212.48089960606686</v>
      </c>
      <c r="G641" s="18" cm="1">
        <f t="array" ref="G641">IFERROR(_xlfn.IFS(ISNUMBER(Table1[[#This Row],[Column3]]),Table1[[#This Row],[Column3]],Table1[[#This Row],[Column3]]="NEW",Table1[[#This Row],[Column3]]),"")</f>
        <v>212.48089960606686</v>
      </c>
      <c r="H641" s="15" cm="1">
        <f t="array" ref="H641">_xlfn.IFS(Table1[[#This Row],[Column4]]="NEW",AVERAGEIFS(Table1[Column4],Table1[Year],Table1[[#This Row],[Year]]),ISNUMBER(Table1[[#This Row],[Column4]]),Table1[[#This Row],[Column4]],Table1[[#This Row],[Column4]]="",H640*(1+Table1[[#This Row],[Ávöxtun]]))</f>
        <v>212.48089960606686</v>
      </c>
      <c r="I641" cm="1">
        <f t="array" ref="I641">_xlfn.IFS(Table1[[#This Row],[Column4]]="NEW",_xlfn.XLOOKUP(Table1[[#This Row],[Year]],$N$2:$N$27,$P$2:$P$27),ISNUMBER(Table1[[#This Row],[Column4]]),Table1[[#This Row],[Column4]],Table1[[#This Row],[Column4]]="",I640*(1+Table1[[#This Row],[Ávöxtun]]))</f>
        <v>212.48089960606686</v>
      </c>
      <c r="L641" s="33">
        <v>212.48089960606686</v>
      </c>
      <c r="M641" s="33">
        <v>212.48089960606686</v>
      </c>
    </row>
    <row r="642" spans="1:13">
      <c r="A642" t="s">
        <v>116</v>
      </c>
      <c r="B642">
        <v>2018</v>
      </c>
      <c r="C642" s="16">
        <v>2.4E-2</v>
      </c>
      <c r="D642" s="1">
        <v>79156591</v>
      </c>
      <c r="E642" s="29">
        <f>Table1[[#This Row],[Ávöxtun]]*Table1[[#This Row],[Eignir]]/SUMIFS(Table1[Eignir],Table1[Year],Table1[[#This Row],[Year]])</f>
        <v>4.9753791591204677E-4</v>
      </c>
      <c r="F642" s="23">
        <f>IF(B642=1997, 100, IF(COUNTIF(A$1:A641,A642)=0, "NEW", F641*(1+Table1[[#This Row],[Ávöxtun]])))</f>
        <v>217.58044119661247</v>
      </c>
      <c r="G642" s="18" cm="1">
        <f t="array" ref="G642">IFERROR(_xlfn.IFS(ISNUMBER(Table1[[#This Row],[Column3]]),Table1[[#This Row],[Column3]],Table1[[#This Row],[Column3]]="NEW",Table1[[#This Row],[Column3]]),"")</f>
        <v>217.58044119661247</v>
      </c>
      <c r="H642" s="15" cm="1">
        <f t="array" ref="H642">_xlfn.IFS(Table1[[#This Row],[Column4]]="NEW",AVERAGEIFS(Table1[Column4],Table1[Year],Table1[[#This Row],[Year]]),ISNUMBER(Table1[[#This Row],[Column4]]),Table1[[#This Row],[Column4]],Table1[[#This Row],[Column4]]="",H641*(1+Table1[[#This Row],[Ávöxtun]]))</f>
        <v>217.58044119661247</v>
      </c>
      <c r="I642" cm="1">
        <f t="array" ref="I642">_xlfn.IFS(Table1[[#This Row],[Column4]]="NEW",_xlfn.XLOOKUP(Table1[[#This Row],[Year]],$N$2:$N$27,$P$2:$P$27),ISNUMBER(Table1[[#This Row],[Column4]]),Table1[[#This Row],[Column4]],Table1[[#This Row],[Column4]]="",I641*(1+Table1[[#This Row],[Ávöxtun]]))</f>
        <v>217.58044119661247</v>
      </c>
      <c r="L642" s="33">
        <v>217.58044119661247</v>
      </c>
      <c r="M642" s="33">
        <v>217.58044119661247</v>
      </c>
    </row>
    <row r="643" spans="1:13">
      <c r="A643" t="s">
        <v>116</v>
      </c>
      <c r="B643">
        <v>2019</v>
      </c>
      <c r="C643" s="16">
        <v>5.5E-2</v>
      </c>
      <c r="D643" s="1">
        <v>83215451.079999998</v>
      </c>
      <c r="E643" s="29">
        <f>Table1[[#This Row],[Ávöxtun]]*Table1[[#This Row],[Eignir]]/SUMIFS(Table1[Eignir],Table1[Year],Table1[[#This Row],[Year]])</f>
        <v>1.0338773035664614E-3</v>
      </c>
      <c r="F643" s="23">
        <f>IF(B643=1997, 100, IF(COUNTIF(A$1:A642,A643)=0, "NEW", F642*(1+Table1[[#This Row],[Ávöxtun]])))</f>
        <v>229.54736546242614</v>
      </c>
      <c r="G643" s="18" cm="1">
        <f t="array" ref="G643">IFERROR(_xlfn.IFS(ISNUMBER(Table1[[#This Row],[Column3]]),Table1[[#This Row],[Column3]],Table1[[#This Row],[Column3]]="NEW",Table1[[#This Row],[Column3]]),"")</f>
        <v>229.54736546242614</v>
      </c>
      <c r="H643" s="15" cm="1">
        <f t="array" ref="H643">_xlfn.IFS(Table1[[#This Row],[Column4]]="NEW",AVERAGEIFS(Table1[Column4],Table1[Year],Table1[[#This Row],[Year]]),ISNUMBER(Table1[[#This Row],[Column4]]),Table1[[#This Row],[Column4]],Table1[[#This Row],[Column4]]="",H642*(1+Table1[[#This Row],[Ávöxtun]]))</f>
        <v>229.54736546242614</v>
      </c>
      <c r="I643" cm="1">
        <f t="array" ref="I643">_xlfn.IFS(Table1[[#This Row],[Column4]]="NEW",_xlfn.XLOOKUP(Table1[[#This Row],[Year]],$N$2:$N$27,$P$2:$P$27),ISNUMBER(Table1[[#This Row],[Column4]]),Table1[[#This Row],[Column4]],Table1[[#This Row],[Column4]]="",I642*(1+Table1[[#This Row],[Ávöxtun]]))</f>
        <v>229.54736546242614</v>
      </c>
      <c r="L643" s="33">
        <v>229.54736546242614</v>
      </c>
      <c r="M643" s="33">
        <v>229.54736546242614</v>
      </c>
    </row>
    <row r="644" spans="1:13">
      <c r="A644" t="s">
        <v>116</v>
      </c>
      <c r="B644">
        <v>2020</v>
      </c>
      <c r="C644" s="16">
        <v>4.4000000000000004E-2</v>
      </c>
      <c r="D644" s="1">
        <v>87611246.790000007</v>
      </c>
      <c r="E644" s="29">
        <f>Table1[[#This Row],[Ávöxtun]]*Table1[[#This Row],[Eignir]]/SUMIFS(Table1[Eignir],Table1[Year],Table1[[#This Row],[Year]])</f>
        <v>7.5047397910344956E-4</v>
      </c>
      <c r="F644" s="23">
        <f>IF(B644=1997, 100, IF(COUNTIF(A$1:A643,A644)=0, "NEW", F643*(1+Table1[[#This Row],[Ávöxtun]])))</f>
        <v>239.6474495427729</v>
      </c>
      <c r="G644" s="18" cm="1">
        <f t="array" ref="G644">IFERROR(_xlfn.IFS(ISNUMBER(Table1[[#This Row],[Column3]]),Table1[[#This Row],[Column3]],Table1[[#This Row],[Column3]]="NEW",Table1[[#This Row],[Column3]]),"")</f>
        <v>239.6474495427729</v>
      </c>
      <c r="H644" s="15" cm="1">
        <f t="array" ref="H644">_xlfn.IFS(Table1[[#This Row],[Column4]]="NEW",AVERAGEIFS(Table1[Column4],Table1[Year],Table1[[#This Row],[Year]]),ISNUMBER(Table1[[#This Row],[Column4]]),Table1[[#This Row],[Column4]],Table1[[#This Row],[Column4]]="",H643*(1+Table1[[#This Row],[Ávöxtun]]))</f>
        <v>239.6474495427729</v>
      </c>
      <c r="I644" cm="1">
        <f t="array" ref="I644">_xlfn.IFS(Table1[[#This Row],[Column4]]="NEW",_xlfn.XLOOKUP(Table1[[#This Row],[Year]],$N$2:$N$27,$P$2:$P$27),ISNUMBER(Table1[[#This Row],[Column4]]),Table1[[#This Row],[Column4]],Table1[[#This Row],[Column4]]="",I643*(1+Table1[[#This Row],[Ávöxtun]]))</f>
        <v>239.6474495427729</v>
      </c>
      <c r="L644" s="33">
        <v>239.6474495427729</v>
      </c>
      <c r="M644" s="33">
        <v>239.6474495427729</v>
      </c>
    </row>
    <row r="645" spans="1:13">
      <c r="A645" t="s">
        <v>116</v>
      </c>
      <c r="B645">
        <v>2021</v>
      </c>
      <c r="C645" s="16">
        <v>5.2999999999999999E-2</v>
      </c>
      <c r="D645" s="1">
        <v>92769371.579999998</v>
      </c>
      <c r="E645" s="29">
        <f>Table1[[#This Row],[Ávöxtun]]*Table1[[#This Row],[Eignir]]/SUMIFS(Table1[Eignir],Table1[Year],Table1[[#This Row],[Year]])</f>
        <v>8.141035101456712E-4</v>
      </c>
      <c r="F645" s="23">
        <f>IF(B645=1997, 100, IF(COUNTIF(A$1:A644,A645)=0, "NEW", F644*(1+Table1[[#This Row],[Ávöxtun]])))</f>
        <v>252.34876436853986</v>
      </c>
      <c r="G645" s="18" cm="1">
        <f t="array" ref="G645">IFERROR(_xlfn.IFS(ISNUMBER(Table1[[#This Row],[Column3]]),Table1[[#This Row],[Column3]],Table1[[#This Row],[Column3]]="NEW",Table1[[#This Row],[Column3]]),"")</f>
        <v>252.34876436853986</v>
      </c>
      <c r="H645" s="15" cm="1">
        <f t="array" ref="H645">_xlfn.IFS(Table1[[#This Row],[Column4]]="NEW",AVERAGEIFS(Table1[Column4],Table1[Year],Table1[[#This Row],[Year]]),ISNUMBER(Table1[[#This Row],[Column4]]),Table1[[#This Row],[Column4]],Table1[[#This Row],[Column4]]="",H644*(1+Table1[[#This Row],[Ávöxtun]]))</f>
        <v>252.34876436853986</v>
      </c>
      <c r="I645" cm="1">
        <f t="array" ref="I645">_xlfn.IFS(Table1[[#This Row],[Column4]]="NEW",_xlfn.XLOOKUP(Table1[[#This Row],[Year]],$N$2:$N$27,$P$2:$P$27),ISNUMBER(Table1[[#This Row],[Column4]]),Table1[[#This Row],[Column4]],Table1[[#This Row],[Column4]]="",I644*(1+Table1[[#This Row],[Ávöxtun]]))</f>
        <v>252.34876436853986</v>
      </c>
      <c r="L645" s="33">
        <v>252.34876436853986</v>
      </c>
      <c r="M645" s="33">
        <v>252.34876436853986</v>
      </c>
    </row>
    <row r="646" spans="1:13">
      <c r="A646" t="s">
        <v>117</v>
      </c>
      <c r="B646">
        <v>1997</v>
      </c>
      <c r="C646" s="16">
        <v>0.03</v>
      </c>
      <c r="D646" s="1">
        <v>34593465.469999999</v>
      </c>
      <c r="E646" s="29">
        <f>Table1[[#This Row],[Ávöxtun]]*Table1[[#This Row],[Eignir]]/SUMIFS(Table1[Eignir],Table1[Year],Table1[[#This Row],[Year]])</f>
        <v>3.0611397932737892E-3</v>
      </c>
      <c r="F646" s="23">
        <f>IF(B646=1997, 100, IF(COUNTIF(A$1:A645,A646)=0, "NEW", F645*(1+Table1[[#This Row],[Ávöxtun]])))</f>
        <v>100</v>
      </c>
      <c r="G646" s="18" cm="1">
        <f t="array" ref="G646">IFERROR(_xlfn.IFS(ISNUMBER(Table1[[#This Row],[Column3]]),Table1[[#This Row],[Column3]],Table1[[#This Row],[Column3]]="NEW",Table1[[#This Row],[Column3]]),"")</f>
        <v>100</v>
      </c>
      <c r="H646" s="15" cm="1">
        <f t="array" ref="H646">_xlfn.IFS(Table1[[#This Row],[Column4]]="NEW",AVERAGEIFS(Table1[Column4],Table1[Year],Table1[[#This Row],[Year]]),ISNUMBER(Table1[[#This Row],[Column4]]),Table1[[#This Row],[Column4]],Table1[[#This Row],[Column4]]="",H645*(1+Table1[[#This Row],[Ávöxtun]]))</f>
        <v>100</v>
      </c>
      <c r="I646" cm="1">
        <f t="array" ref="I646">_xlfn.IFS(Table1[[#This Row],[Column4]]="NEW",_xlfn.XLOOKUP(Table1[[#This Row],[Year]],$N$2:$N$27,$P$2:$P$27),ISNUMBER(Table1[[#This Row],[Column4]]),Table1[[#This Row],[Column4]],Table1[[#This Row],[Column4]]="",I645*(1+Table1[[#This Row],[Ávöxtun]]))</f>
        <v>100</v>
      </c>
      <c r="L646" s="33">
        <v>100</v>
      </c>
      <c r="M646" s="33">
        <v>100</v>
      </c>
    </row>
    <row r="647" spans="1:13">
      <c r="A647" t="s">
        <v>117</v>
      </c>
      <c r="B647">
        <v>1998</v>
      </c>
      <c r="C647" s="16">
        <v>0.06</v>
      </c>
      <c r="D647" s="1">
        <v>40131611.18</v>
      </c>
      <c r="E647" s="29">
        <f>Table1[[#This Row],[Ávöxtun]]*Table1[[#This Row],[Eignir]]/SUMIFS(Table1[Eignir],Table1[Year],Table1[[#This Row],[Year]])</f>
        <v>6.1483197852775116E-3</v>
      </c>
      <c r="F647" s="23">
        <f>IF(B647=1997, 100, IF(COUNTIF(A$1:A646,A647)=0, "NEW", F646*(1+Table1[[#This Row],[Ávöxtun]])))</f>
        <v>106</v>
      </c>
      <c r="G647" s="18" cm="1">
        <f t="array" ref="G647">IFERROR(_xlfn.IFS(ISNUMBER(Table1[[#This Row],[Column3]]),Table1[[#This Row],[Column3]],Table1[[#This Row],[Column3]]="NEW",Table1[[#This Row],[Column3]]),"")</f>
        <v>106</v>
      </c>
      <c r="H647" s="15" cm="1">
        <f t="array" ref="H647">_xlfn.IFS(Table1[[#This Row],[Column4]]="NEW",AVERAGEIFS(Table1[Column4],Table1[Year],Table1[[#This Row],[Year]]),ISNUMBER(Table1[[#This Row],[Column4]]),Table1[[#This Row],[Column4]],Table1[[#This Row],[Column4]]="",H646*(1+Table1[[#This Row],[Ávöxtun]]))</f>
        <v>106</v>
      </c>
      <c r="I647" cm="1">
        <f t="array" ref="I647">_xlfn.IFS(Table1[[#This Row],[Column4]]="NEW",_xlfn.XLOOKUP(Table1[[#This Row],[Year]],$N$2:$N$27,$P$2:$P$27),ISNUMBER(Table1[[#This Row],[Column4]]),Table1[[#This Row],[Column4]],Table1[[#This Row],[Column4]]="",I646*(1+Table1[[#This Row],[Ávöxtun]]))</f>
        <v>106</v>
      </c>
      <c r="L647" s="33">
        <v>106</v>
      </c>
      <c r="M647" s="33">
        <v>106</v>
      </c>
    </row>
    <row r="648" spans="1:13">
      <c r="A648" t="s">
        <v>117</v>
      </c>
      <c r="B648">
        <v>1999</v>
      </c>
      <c r="C648" s="16">
        <v>0.08</v>
      </c>
      <c r="D648" s="1">
        <v>61317018.310000002</v>
      </c>
      <c r="E648" s="29">
        <f>Table1[[#This Row],[Ávöxtun]]*Table1[[#This Row],[Eignir]]/SUMIFS(Table1[Eignir],Table1[Year],Table1[[#This Row],[Year]])</f>
        <v>9.4204038270382286E-3</v>
      </c>
      <c r="F648" s="23">
        <f>IF(B648=1997, 100, IF(COUNTIF(A$1:A647,A648)=0, "NEW", F647*(1+Table1[[#This Row],[Ávöxtun]])))</f>
        <v>114.48</v>
      </c>
      <c r="G648" s="18" cm="1">
        <f t="array" ref="G648">IFERROR(_xlfn.IFS(ISNUMBER(Table1[[#This Row],[Column3]]),Table1[[#This Row],[Column3]],Table1[[#This Row],[Column3]]="NEW",Table1[[#This Row],[Column3]]),"")</f>
        <v>114.48</v>
      </c>
      <c r="H648" s="15" cm="1">
        <f t="array" ref="H648">_xlfn.IFS(Table1[[#This Row],[Column4]]="NEW",AVERAGEIFS(Table1[Column4],Table1[Year],Table1[[#This Row],[Year]]),ISNUMBER(Table1[[#This Row],[Column4]]),Table1[[#This Row],[Column4]],Table1[[#This Row],[Column4]]="",H647*(1+Table1[[#This Row],[Ávöxtun]]))</f>
        <v>114.48</v>
      </c>
      <c r="I648" cm="1">
        <f t="array" ref="I648">_xlfn.IFS(Table1[[#This Row],[Column4]]="NEW",_xlfn.XLOOKUP(Table1[[#This Row],[Year]],$N$2:$N$27,$P$2:$P$27),ISNUMBER(Table1[[#This Row],[Column4]]),Table1[[#This Row],[Column4]],Table1[[#This Row],[Column4]]="",I647*(1+Table1[[#This Row],[Ávöxtun]]))</f>
        <v>114.48</v>
      </c>
      <c r="L648" s="33">
        <v>114.48</v>
      </c>
      <c r="M648" s="33">
        <v>114.48</v>
      </c>
    </row>
    <row r="649" spans="1:13">
      <c r="A649" t="s">
        <v>117</v>
      </c>
      <c r="B649">
        <v>2000</v>
      </c>
      <c r="C649" s="16">
        <v>7.0000000000000007E-2</v>
      </c>
      <c r="D649" s="1">
        <v>153122200</v>
      </c>
      <c r="E649" s="29">
        <f>Table1[[#This Row],[Ávöxtun]]*Table1[[#This Row],[Eignir]]/SUMIFS(Table1[Eignir],Table1[Year],Table1[[#This Row],[Year]])</f>
        <v>1.5077660903523265E-2</v>
      </c>
      <c r="F649" s="23">
        <f>IF(B649=1997, 100, IF(COUNTIF(A$1:A648,A649)=0, "NEW", F648*(1+Table1[[#This Row],[Ávöxtun]])))</f>
        <v>122.49360000000001</v>
      </c>
      <c r="G649" s="18" cm="1">
        <f t="array" ref="G649">IFERROR(_xlfn.IFS(ISNUMBER(Table1[[#This Row],[Column3]]),Table1[[#This Row],[Column3]],Table1[[#This Row],[Column3]]="NEW",Table1[[#This Row],[Column3]]),"")</f>
        <v>122.49360000000001</v>
      </c>
      <c r="H649" s="15" cm="1">
        <f t="array" ref="H649">_xlfn.IFS(Table1[[#This Row],[Column4]]="NEW",AVERAGEIFS(Table1[Column4],Table1[Year],Table1[[#This Row],[Year]]),ISNUMBER(Table1[[#This Row],[Column4]]),Table1[[#This Row],[Column4]],Table1[[#This Row],[Column4]]="",H648*(1+Table1[[#This Row],[Ávöxtun]]))</f>
        <v>122.49360000000001</v>
      </c>
      <c r="I649" cm="1">
        <f t="array" ref="I649">_xlfn.IFS(Table1[[#This Row],[Column4]]="NEW",_xlfn.XLOOKUP(Table1[[#This Row],[Year]],$N$2:$N$27,$P$2:$P$27),ISNUMBER(Table1[[#This Row],[Column4]]),Table1[[#This Row],[Column4]],Table1[[#This Row],[Column4]]="",I648*(1+Table1[[#This Row],[Ávöxtun]]))</f>
        <v>122.49360000000001</v>
      </c>
      <c r="L649" s="33">
        <v>122.49360000000001</v>
      </c>
      <c r="M649" s="33">
        <v>122.49360000000001</v>
      </c>
    </row>
    <row r="650" spans="1:13">
      <c r="A650" t="s">
        <v>117</v>
      </c>
      <c r="B650">
        <v>2001</v>
      </c>
      <c r="C650" s="16">
        <v>0.01</v>
      </c>
      <c r="D650" s="1">
        <v>201429374</v>
      </c>
      <c r="E650" s="29">
        <f>Table1[[#This Row],[Ávöxtun]]*Table1[[#This Row],[Eignir]]/SUMIFS(Table1[Eignir],Table1[Year],Table1[[#This Row],[Year]])</f>
        <v>1.7395857910431436E-3</v>
      </c>
      <c r="F650" s="23">
        <f>IF(B650=1997, 100, IF(COUNTIF(A$1:A649,A650)=0, "NEW", F649*(1+Table1[[#This Row],[Ávöxtun]])))</f>
        <v>123.71853600000001</v>
      </c>
      <c r="G650" s="18" cm="1">
        <f t="array" ref="G650">IFERROR(_xlfn.IFS(ISNUMBER(Table1[[#This Row],[Column3]]),Table1[[#This Row],[Column3]],Table1[[#This Row],[Column3]]="NEW",Table1[[#This Row],[Column3]]),"")</f>
        <v>123.71853600000001</v>
      </c>
      <c r="H650" s="15" cm="1">
        <f t="array" ref="H650">_xlfn.IFS(Table1[[#This Row],[Column4]]="NEW",AVERAGEIFS(Table1[Column4],Table1[Year],Table1[[#This Row],[Year]]),ISNUMBER(Table1[[#This Row],[Column4]]),Table1[[#This Row],[Column4]],Table1[[#This Row],[Column4]]="",H649*(1+Table1[[#This Row],[Ávöxtun]]))</f>
        <v>123.71853600000001</v>
      </c>
      <c r="I650" cm="1">
        <f t="array" ref="I650">_xlfn.IFS(Table1[[#This Row],[Column4]]="NEW",_xlfn.XLOOKUP(Table1[[#This Row],[Year]],$N$2:$N$27,$P$2:$P$27),ISNUMBER(Table1[[#This Row],[Column4]]),Table1[[#This Row],[Column4]],Table1[[#This Row],[Column4]]="",I649*(1+Table1[[#This Row],[Ávöxtun]]))</f>
        <v>123.71853600000001</v>
      </c>
      <c r="L650" s="33">
        <v>123.71853600000001</v>
      </c>
      <c r="M650" s="33">
        <v>123.71853600000001</v>
      </c>
    </row>
    <row r="651" spans="1:13">
      <c r="A651" t="s">
        <v>117</v>
      </c>
      <c r="B651">
        <v>2002</v>
      </c>
      <c r="C651" s="16">
        <v>0.09</v>
      </c>
      <c r="D651" s="1">
        <v>115026886</v>
      </c>
      <c r="E651" s="29">
        <f>Table1[[#This Row],[Ávöxtun]]*Table1[[#This Row],[Eignir]]/SUMIFS(Table1[Eignir],Table1[Year],Table1[[#This Row],[Year]])</f>
        <v>1.6298809769040579E-2</v>
      </c>
      <c r="F651" s="23">
        <f>IF(B651=1997, 100, IF(COUNTIF(A$1:A650,A651)=0, "NEW", F650*(1+Table1[[#This Row],[Ávöxtun]])))</f>
        <v>134.85320424000003</v>
      </c>
      <c r="G651" s="18" cm="1">
        <f t="array" ref="G651">IFERROR(_xlfn.IFS(ISNUMBER(Table1[[#This Row],[Column3]]),Table1[[#This Row],[Column3]],Table1[[#This Row],[Column3]]="NEW",Table1[[#This Row],[Column3]]),"")</f>
        <v>134.85320424000003</v>
      </c>
      <c r="H651" s="15" cm="1">
        <f t="array" ref="H651">_xlfn.IFS(Table1[[#This Row],[Column4]]="NEW",AVERAGEIFS(Table1[Column4],Table1[Year],Table1[[#This Row],[Year]]),ISNUMBER(Table1[[#This Row],[Column4]]),Table1[[#This Row],[Column4]],Table1[[#This Row],[Column4]]="",H650*(1+Table1[[#This Row],[Ávöxtun]]))</f>
        <v>134.85320424000003</v>
      </c>
      <c r="I651" cm="1">
        <f t="array" ref="I651">_xlfn.IFS(Table1[[#This Row],[Column4]]="NEW",_xlfn.XLOOKUP(Table1[[#This Row],[Year]],$N$2:$N$27,$P$2:$P$27),ISNUMBER(Table1[[#This Row],[Column4]]),Table1[[#This Row],[Column4]],Table1[[#This Row],[Column4]]="",I650*(1+Table1[[#This Row],[Ávöxtun]]))</f>
        <v>134.85320424000003</v>
      </c>
      <c r="L651" s="33">
        <v>134.85320424000003</v>
      </c>
      <c r="M651" s="33">
        <v>134.85320424000003</v>
      </c>
    </row>
    <row r="652" spans="1:13">
      <c r="A652" t="s">
        <v>117</v>
      </c>
      <c r="B652">
        <v>2003</v>
      </c>
      <c r="C652" s="16">
        <v>0.26</v>
      </c>
      <c r="D652" s="1">
        <v>144417052</v>
      </c>
      <c r="E652" s="29">
        <f>Table1[[#This Row],[Ávöxtun]]*Table1[[#This Row],[Eignir]]/SUMIFS(Table1[Eignir],Table1[Year],Table1[[#This Row],[Year]])</f>
        <v>4.9412894755077048E-2</v>
      </c>
      <c r="F652" s="23">
        <f>IF(B652=1997, 100, IF(COUNTIF(A$1:A651,A652)=0, "NEW", F651*(1+Table1[[#This Row],[Ávöxtun]])))</f>
        <v>169.91503734240004</v>
      </c>
      <c r="G652" s="18" cm="1">
        <f t="array" ref="G652">IFERROR(_xlfn.IFS(ISNUMBER(Table1[[#This Row],[Column3]]),Table1[[#This Row],[Column3]],Table1[[#This Row],[Column3]]="NEW",Table1[[#This Row],[Column3]]),"")</f>
        <v>169.91503734240004</v>
      </c>
      <c r="H652" s="15" cm="1">
        <f t="array" ref="H652">_xlfn.IFS(Table1[[#This Row],[Column4]]="NEW",AVERAGEIFS(Table1[Column4],Table1[Year],Table1[[#This Row],[Year]]),ISNUMBER(Table1[[#This Row],[Column4]]),Table1[[#This Row],[Column4]],Table1[[#This Row],[Column4]]="",H651*(1+Table1[[#This Row],[Ávöxtun]]))</f>
        <v>169.91503734240004</v>
      </c>
      <c r="I652" cm="1">
        <f t="array" ref="I652">_xlfn.IFS(Table1[[#This Row],[Column4]]="NEW",_xlfn.XLOOKUP(Table1[[#This Row],[Year]],$N$2:$N$27,$P$2:$P$27),ISNUMBER(Table1[[#This Row],[Column4]]),Table1[[#This Row],[Column4]],Table1[[#This Row],[Column4]]="",I651*(1+Table1[[#This Row],[Ávöxtun]]))</f>
        <v>169.91503734240004</v>
      </c>
      <c r="L652" s="33">
        <v>169.91503734240004</v>
      </c>
      <c r="M652" s="33">
        <v>169.91503734240004</v>
      </c>
    </row>
    <row r="653" spans="1:13">
      <c r="A653" t="s">
        <v>117</v>
      </c>
      <c r="B653">
        <v>2004</v>
      </c>
      <c r="C653" s="16">
        <v>0.19</v>
      </c>
      <c r="D653" s="1">
        <v>177173461</v>
      </c>
      <c r="E653" s="29">
        <f>Table1[[#This Row],[Ávöxtun]]*Table1[[#This Row],[Eignir]]/SUMIFS(Table1[Eignir],Table1[Year],Table1[[#This Row],[Year]])</f>
        <v>3.7087203306645035E-2</v>
      </c>
      <c r="F653" s="23">
        <f>IF(B653=1997, 100, IF(COUNTIF(A$1:A652,A653)=0, "NEW", F652*(1+Table1[[#This Row],[Ávöxtun]])))</f>
        <v>202.19889443745603</v>
      </c>
      <c r="G653" s="18" cm="1">
        <f t="array" ref="G653">IFERROR(_xlfn.IFS(ISNUMBER(Table1[[#This Row],[Column3]]),Table1[[#This Row],[Column3]],Table1[[#This Row],[Column3]]="NEW",Table1[[#This Row],[Column3]]),"")</f>
        <v>202.19889443745603</v>
      </c>
      <c r="H653" s="15" cm="1">
        <f t="array" ref="H653">_xlfn.IFS(Table1[[#This Row],[Column4]]="NEW",AVERAGEIFS(Table1[Column4],Table1[Year],Table1[[#This Row],[Year]]),ISNUMBER(Table1[[#This Row],[Column4]]),Table1[[#This Row],[Column4]],Table1[[#This Row],[Column4]]="",H652*(1+Table1[[#This Row],[Ávöxtun]]))</f>
        <v>202.19889443745603</v>
      </c>
      <c r="I653" cm="1">
        <f t="array" ref="I653">_xlfn.IFS(Table1[[#This Row],[Column4]]="NEW",_xlfn.XLOOKUP(Table1[[#This Row],[Year]],$N$2:$N$27,$P$2:$P$27),ISNUMBER(Table1[[#This Row],[Column4]]),Table1[[#This Row],[Column4]],Table1[[#This Row],[Column4]]="",I652*(1+Table1[[#This Row],[Ávöxtun]]))</f>
        <v>202.19889443745603</v>
      </c>
      <c r="L653" s="33">
        <v>202.19889443745603</v>
      </c>
      <c r="M653" s="33">
        <v>202.19889443745603</v>
      </c>
    </row>
    <row r="654" spans="1:13">
      <c r="A654" t="s">
        <v>117</v>
      </c>
      <c r="B654">
        <v>2005</v>
      </c>
      <c r="C654" s="16">
        <v>0.28000000000000003</v>
      </c>
      <c r="D654" s="1">
        <v>224095981</v>
      </c>
      <c r="E654" s="29">
        <f>Table1[[#This Row],[Ávöxtun]]*Table1[[#This Row],[Eignir]]/SUMIFS(Table1[Eignir],Table1[Year],Table1[[#This Row],[Year]])</f>
        <v>5.5957159369346518E-2</v>
      </c>
      <c r="F654" s="23">
        <f>IF(B654=1997, 100, IF(COUNTIF(A$1:A653,A654)=0, "NEW", F653*(1+Table1[[#This Row],[Ávöxtun]])))</f>
        <v>258.81458487994371</v>
      </c>
      <c r="G654" s="18" cm="1">
        <f t="array" ref="G654">IFERROR(_xlfn.IFS(ISNUMBER(Table1[[#This Row],[Column3]]),Table1[[#This Row],[Column3]],Table1[[#This Row],[Column3]]="NEW",Table1[[#This Row],[Column3]]),"")</f>
        <v>258.81458487994371</v>
      </c>
      <c r="H654" s="15" cm="1">
        <f t="array" ref="H654">_xlfn.IFS(Table1[[#This Row],[Column4]]="NEW",AVERAGEIFS(Table1[Column4],Table1[Year],Table1[[#This Row],[Year]]),ISNUMBER(Table1[[#This Row],[Column4]]),Table1[[#This Row],[Column4]],Table1[[#This Row],[Column4]]="",H653*(1+Table1[[#This Row],[Ávöxtun]]))</f>
        <v>258.81458487994371</v>
      </c>
      <c r="I654" cm="1">
        <f t="array" ref="I654">_xlfn.IFS(Table1[[#This Row],[Column4]]="NEW",_xlfn.XLOOKUP(Table1[[#This Row],[Year]],$N$2:$N$27,$P$2:$P$27),ISNUMBER(Table1[[#This Row],[Column4]]),Table1[[#This Row],[Column4]],Table1[[#This Row],[Column4]]="",I653*(1+Table1[[#This Row],[Ávöxtun]]))</f>
        <v>258.81458487994371</v>
      </c>
      <c r="L654" s="33">
        <v>258.81458487994371</v>
      </c>
      <c r="M654" s="33">
        <v>258.81458487994371</v>
      </c>
    </row>
    <row r="655" spans="1:13">
      <c r="A655" t="s">
        <v>117</v>
      </c>
      <c r="B655">
        <v>2006</v>
      </c>
      <c r="C655" s="16">
        <v>0.21829999999999999</v>
      </c>
      <c r="D655" s="1">
        <v>278741335</v>
      </c>
      <c r="E655" s="29">
        <f>Table1[[#This Row],[Ávöxtun]]*Table1[[#This Row],[Eignir]]/SUMIFS(Table1[Eignir],Table1[Year],Table1[[#This Row],[Year]])</f>
        <v>4.4328923496085353E-2</v>
      </c>
      <c r="F655" s="23">
        <f>IF(B655=1997, 100, IF(COUNTIF(A$1:A654,A655)=0, "NEW", F654*(1+Table1[[#This Row],[Ávöxtun]])))</f>
        <v>315.31380875923543</v>
      </c>
      <c r="G655" s="18" cm="1">
        <f t="array" ref="G655">IFERROR(_xlfn.IFS(ISNUMBER(Table1[[#This Row],[Column3]]),Table1[[#This Row],[Column3]],Table1[[#This Row],[Column3]]="NEW",Table1[[#This Row],[Column3]]),"")</f>
        <v>315.31380875923543</v>
      </c>
      <c r="H655" s="15" cm="1">
        <f t="array" ref="H655">_xlfn.IFS(Table1[[#This Row],[Column4]]="NEW",AVERAGEIFS(Table1[Column4],Table1[Year],Table1[[#This Row],[Year]]),ISNUMBER(Table1[[#This Row],[Column4]]),Table1[[#This Row],[Column4]],Table1[[#This Row],[Column4]]="",H654*(1+Table1[[#This Row],[Ávöxtun]]))</f>
        <v>315.31380875923543</v>
      </c>
      <c r="I655" cm="1">
        <f t="array" ref="I655">_xlfn.IFS(Table1[[#This Row],[Column4]]="NEW",_xlfn.XLOOKUP(Table1[[#This Row],[Year]],$N$2:$N$27,$P$2:$P$27),ISNUMBER(Table1[[#This Row],[Column4]]),Table1[[#This Row],[Column4]],Table1[[#This Row],[Column4]]="",I654*(1+Table1[[#This Row],[Ávöxtun]]))</f>
        <v>315.31380875923543</v>
      </c>
      <c r="L655" s="33">
        <v>315.31380875923543</v>
      </c>
      <c r="M655" s="33">
        <v>315.31380875923543</v>
      </c>
    </row>
    <row r="656" spans="1:13">
      <c r="A656" t="s">
        <v>117</v>
      </c>
      <c r="B656">
        <v>2007</v>
      </c>
      <c r="C656" s="16">
        <v>-1.9099999999999999E-2</v>
      </c>
      <c r="D656" s="1">
        <v>311273522</v>
      </c>
      <c r="E656" s="29">
        <f>Table1[[#This Row],[Ávöxtun]]*Table1[[#This Row],[Eignir]]/SUMIFS(Table1[Eignir],Table1[Year],Table1[[#This Row],[Year]])</f>
        <v>-3.8446026266458731E-3</v>
      </c>
      <c r="F656" s="23">
        <f>IF(B656=1997, 100, IF(COUNTIF(A$1:A655,A656)=0, "NEW", F655*(1+Table1[[#This Row],[Ávöxtun]])))</f>
        <v>309.29131501193405</v>
      </c>
      <c r="G656" s="18" cm="1">
        <f t="array" ref="G656">IFERROR(_xlfn.IFS(ISNUMBER(Table1[[#This Row],[Column3]]),Table1[[#This Row],[Column3]],Table1[[#This Row],[Column3]]="NEW",Table1[[#This Row],[Column3]]),"")</f>
        <v>309.29131501193405</v>
      </c>
      <c r="H656" s="15" cm="1">
        <f t="array" ref="H656">_xlfn.IFS(Table1[[#This Row],[Column4]]="NEW",AVERAGEIFS(Table1[Column4],Table1[Year],Table1[[#This Row],[Year]]),ISNUMBER(Table1[[#This Row],[Column4]]),Table1[[#This Row],[Column4]],Table1[[#This Row],[Column4]]="",H655*(1+Table1[[#This Row],[Ávöxtun]]))</f>
        <v>309.29131501193405</v>
      </c>
      <c r="I656" cm="1">
        <f t="array" ref="I656">_xlfn.IFS(Table1[[#This Row],[Column4]]="NEW",_xlfn.XLOOKUP(Table1[[#This Row],[Year]],$N$2:$N$27,$P$2:$P$27),ISNUMBER(Table1[[#This Row],[Column4]]),Table1[[#This Row],[Column4]],Table1[[#This Row],[Column4]]="",I655*(1+Table1[[#This Row],[Ávöxtun]]))</f>
        <v>309.29131501193405</v>
      </c>
      <c r="L656" s="33">
        <v>309.29131501193405</v>
      </c>
      <c r="M656" s="33">
        <v>309.29131501193405</v>
      </c>
    </row>
    <row r="657" spans="1:13">
      <c r="A657" t="s">
        <v>117</v>
      </c>
      <c r="B657">
        <v>2008</v>
      </c>
      <c r="C657" s="16">
        <v>-0.50170000000000003</v>
      </c>
      <c r="D657" s="1">
        <v>297620141</v>
      </c>
      <c r="E657" s="29">
        <f>Table1[[#This Row],[Ávöxtun]]*Table1[[#This Row],[Eignir]]/SUMIFS(Table1[Eignir],Table1[Year],Table1[[#This Row],[Year]])</f>
        <v>-9.9722326528157698E-2</v>
      </c>
      <c r="F657" s="23">
        <f>IF(B657=1997, 100, IF(COUNTIF(A$1:A656,A657)=0, "NEW", F656*(1+Table1[[#This Row],[Ávöxtun]])))</f>
        <v>154.11986227044673</v>
      </c>
      <c r="G657" s="18" cm="1">
        <f t="array" ref="G657">IFERROR(_xlfn.IFS(ISNUMBER(Table1[[#This Row],[Column3]]),Table1[[#This Row],[Column3]],Table1[[#This Row],[Column3]]="NEW",Table1[[#This Row],[Column3]]),"")</f>
        <v>154.11986227044673</v>
      </c>
      <c r="H657" s="15" cm="1">
        <f t="array" ref="H657">_xlfn.IFS(Table1[[#This Row],[Column4]]="NEW",AVERAGEIFS(Table1[Column4],Table1[Year],Table1[[#This Row],[Year]]),ISNUMBER(Table1[[#This Row],[Column4]]),Table1[[#This Row],[Column4]],Table1[[#This Row],[Column4]]="",H656*(1+Table1[[#This Row],[Ávöxtun]]))</f>
        <v>154.11986227044673</v>
      </c>
      <c r="I657" cm="1">
        <f t="array" ref="I657">_xlfn.IFS(Table1[[#This Row],[Column4]]="NEW",_xlfn.XLOOKUP(Table1[[#This Row],[Year]],$N$2:$N$27,$P$2:$P$27),ISNUMBER(Table1[[#This Row],[Column4]]),Table1[[#This Row],[Column4]],Table1[[#This Row],[Column4]]="",I656*(1+Table1[[#This Row],[Ávöxtun]]))</f>
        <v>154.11986227044673</v>
      </c>
      <c r="L657" s="33">
        <v>154.11986227044673</v>
      </c>
      <c r="M657" s="33">
        <v>154.11986227044673</v>
      </c>
    </row>
    <row r="658" spans="1:13">
      <c r="A658" t="s">
        <v>117</v>
      </c>
      <c r="B658">
        <v>2009</v>
      </c>
      <c r="C658" s="16">
        <v>5.4800000000000008E-2</v>
      </c>
      <c r="D658" s="1">
        <v>339272113</v>
      </c>
      <c r="E658" s="29">
        <f>Table1[[#This Row],[Ávöxtun]]*Table1[[#This Row],[Eignir]]/SUMIFS(Table1[Eignir],Table1[Year],Table1[[#This Row],[Year]])</f>
        <v>1.1144623801455953E-2</v>
      </c>
      <c r="F658" s="23">
        <f>IF(B658=1997, 100, IF(COUNTIF(A$1:A657,A658)=0, "NEW", F657*(1+Table1[[#This Row],[Ávöxtun]])))</f>
        <v>162.56563072286721</v>
      </c>
      <c r="G658" s="18" cm="1">
        <f t="array" ref="G658">IFERROR(_xlfn.IFS(ISNUMBER(Table1[[#This Row],[Column3]]),Table1[[#This Row],[Column3]],Table1[[#This Row],[Column3]]="NEW",Table1[[#This Row],[Column3]]),"")</f>
        <v>162.56563072286721</v>
      </c>
      <c r="H658" s="15" cm="1">
        <f t="array" ref="H658">_xlfn.IFS(Table1[[#This Row],[Column4]]="NEW",AVERAGEIFS(Table1[Column4],Table1[Year],Table1[[#This Row],[Year]]),ISNUMBER(Table1[[#This Row],[Column4]]),Table1[[#This Row],[Column4]],Table1[[#This Row],[Column4]]="",H657*(1+Table1[[#This Row],[Ávöxtun]]))</f>
        <v>162.56563072286721</v>
      </c>
      <c r="I658" cm="1">
        <f t="array" ref="I658">_xlfn.IFS(Table1[[#This Row],[Column4]]="NEW",_xlfn.XLOOKUP(Table1[[#This Row],[Year]],$N$2:$N$27,$P$2:$P$27),ISNUMBER(Table1[[#This Row],[Column4]]),Table1[[#This Row],[Column4]],Table1[[#This Row],[Column4]]="",I657*(1+Table1[[#This Row],[Ávöxtun]]))</f>
        <v>162.56563072286721</v>
      </c>
      <c r="L658" s="33">
        <v>162.56563072286721</v>
      </c>
      <c r="M658" s="33">
        <v>162.56563072286721</v>
      </c>
    </row>
    <row r="659" spans="1:13">
      <c r="A659" t="s">
        <v>117</v>
      </c>
      <c r="B659">
        <v>2010</v>
      </c>
      <c r="C659" s="16">
        <v>4.1500000000000002E-2</v>
      </c>
      <c r="D659" s="1">
        <v>360678659</v>
      </c>
      <c r="E659" s="29">
        <f>Table1[[#This Row],[Ávöxtun]]*Table1[[#This Row],[Eignir]]/SUMIFS(Table1[Eignir],Table1[Year],Table1[[#This Row],[Year]])</f>
        <v>8.3724560256636313E-3</v>
      </c>
      <c r="F659" s="23">
        <f>IF(B659=1997, 100, IF(COUNTIF(A$1:A658,A659)=0, "NEW", F658*(1+Table1[[#This Row],[Ávöxtun]])))</f>
        <v>169.31210439786622</v>
      </c>
      <c r="G659" s="18" cm="1">
        <f t="array" ref="G659">IFERROR(_xlfn.IFS(ISNUMBER(Table1[[#This Row],[Column3]]),Table1[[#This Row],[Column3]],Table1[[#This Row],[Column3]]="NEW",Table1[[#This Row],[Column3]]),"")</f>
        <v>169.31210439786622</v>
      </c>
      <c r="H659" s="15" cm="1">
        <f t="array" ref="H659">_xlfn.IFS(Table1[[#This Row],[Column4]]="NEW",AVERAGEIFS(Table1[Column4],Table1[Year],Table1[[#This Row],[Year]]),ISNUMBER(Table1[[#This Row],[Column4]]),Table1[[#This Row],[Column4]],Table1[[#This Row],[Column4]]="",H658*(1+Table1[[#This Row],[Ávöxtun]]))</f>
        <v>169.31210439786622</v>
      </c>
      <c r="I659" cm="1">
        <f t="array" ref="I659">_xlfn.IFS(Table1[[#This Row],[Column4]]="NEW",_xlfn.XLOOKUP(Table1[[#This Row],[Year]],$N$2:$N$27,$P$2:$P$27),ISNUMBER(Table1[[#This Row],[Column4]]),Table1[[#This Row],[Column4]],Table1[[#This Row],[Column4]]="",I658*(1+Table1[[#This Row],[Ávöxtun]]))</f>
        <v>169.31210439786622</v>
      </c>
      <c r="L659" s="33">
        <v>169.31210439786622</v>
      </c>
      <c r="M659" s="33">
        <v>169.31210439786622</v>
      </c>
    </row>
    <row r="660" spans="1:13">
      <c r="A660" t="s">
        <v>117</v>
      </c>
      <c r="B660">
        <v>2011</v>
      </c>
      <c r="C660" s="16">
        <v>3.4000000000000002E-2</v>
      </c>
      <c r="D660" s="1">
        <v>387538863</v>
      </c>
      <c r="E660" s="29">
        <f>Table1[[#This Row],[Ávöxtun]]*Table1[[#This Row],[Eignir]]/SUMIFS(Table1[Eignir],Table1[Year],Table1[[#This Row],[Year]])</f>
        <v>6.7551519519966413E-3</v>
      </c>
      <c r="F660" s="23">
        <f>IF(B660=1997, 100, IF(COUNTIF(A$1:A659,A660)=0, "NEW", F659*(1+Table1[[#This Row],[Ávöxtun]])))</f>
        <v>175.06871594739368</v>
      </c>
      <c r="G660" s="18" cm="1">
        <f t="array" ref="G660">IFERROR(_xlfn.IFS(ISNUMBER(Table1[[#This Row],[Column3]]),Table1[[#This Row],[Column3]],Table1[[#This Row],[Column3]]="NEW",Table1[[#This Row],[Column3]]),"")</f>
        <v>175.06871594739368</v>
      </c>
      <c r="H660" s="15" cm="1">
        <f t="array" ref="H660">_xlfn.IFS(Table1[[#This Row],[Column4]]="NEW",AVERAGEIFS(Table1[Column4],Table1[Year],Table1[[#This Row],[Year]]),ISNUMBER(Table1[[#This Row],[Column4]]),Table1[[#This Row],[Column4]],Table1[[#This Row],[Column4]]="",H659*(1+Table1[[#This Row],[Ávöxtun]]))</f>
        <v>175.06871594739368</v>
      </c>
      <c r="I660" cm="1">
        <f t="array" ref="I660">_xlfn.IFS(Table1[[#This Row],[Column4]]="NEW",_xlfn.XLOOKUP(Table1[[#This Row],[Year]],$N$2:$N$27,$P$2:$P$27),ISNUMBER(Table1[[#This Row],[Column4]]),Table1[[#This Row],[Column4]],Table1[[#This Row],[Column4]]="",I659*(1+Table1[[#This Row],[Ávöxtun]]))</f>
        <v>175.06871594739368</v>
      </c>
      <c r="L660" s="33">
        <v>175.06871594739368</v>
      </c>
      <c r="M660" s="33">
        <v>175.06871594739368</v>
      </c>
    </row>
    <row r="661" spans="1:13">
      <c r="A661" t="s">
        <v>117</v>
      </c>
      <c r="B661">
        <v>2012</v>
      </c>
      <c r="C661" s="16">
        <v>0.185</v>
      </c>
      <c r="D661" s="1">
        <v>441374167</v>
      </c>
      <c r="E661" s="29">
        <f>Table1[[#This Row],[Ávöxtun]]*Table1[[#This Row],[Eignir]]/SUMIFS(Table1[Eignir],Table1[Year],Table1[[#This Row],[Year]])</f>
        <v>3.7067653350539159E-2</v>
      </c>
      <c r="F661" s="23">
        <f>IF(B661=1997, 100, IF(COUNTIF(A$1:A660,A661)=0, "NEW", F660*(1+Table1[[#This Row],[Ávöxtun]])))</f>
        <v>207.45642839766151</v>
      </c>
      <c r="G661" s="18" cm="1">
        <f t="array" ref="G661">IFERROR(_xlfn.IFS(ISNUMBER(Table1[[#This Row],[Column3]]),Table1[[#This Row],[Column3]],Table1[[#This Row],[Column3]]="NEW",Table1[[#This Row],[Column3]]),"")</f>
        <v>207.45642839766151</v>
      </c>
      <c r="H661" s="15" cm="1">
        <f t="array" ref="H661">_xlfn.IFS(Table1[[#This Row],[Column4]]="NEW",AVERAGEIFS(Table1[Column4],Table1[Year],Table1[[#This Row],[Year]]),ISNUMBER(Table1[[#This Row],[Column4]]),Table1[[#This Row],[Column4]],Table1[[#This Row],[Column4]]="",H660*(1+Table1[[#This Row],[Ávöxtun]]))</f>
        <v>207.45642839766151</v>
      </c>
      <c r="I661" cm="1">
        <f t="array" ref="I661">_xlfn.IFS(Table1[[#This Row],[Column4]]="NEW",_xlfn.XLOOKUP(Table1[[#This Row],[Year]],$N$2:$N$27,$P$2:$P$27),ISNUMBER(Table1[[#This Row],[Column4]]),Table1[[#This Row],[Column4]],Table1[[#This Row],[Column4]]="",I660*(1+Table1[[#This Row],[Ávöxtun]]))</f>
        <v>207.45642839766151</v>
      </c>
      <c r="L661" s="33">
        <v>207.45642839766151</v>
      </c>
      <c r="M661" s="33">
        <v>207.45642839766151</v>
      </c>
    </row>
    <row r="662" spans="1:13">
      <c r="A662" t="s">
        <v>117</v>
      </c>
      <c r="B662">
        <v>2013</v>
      </c>
      <c r="C662" s="16">
        <v>0.13200000000000001</v>
      </c>
      <c r="D662" s="1">
        <v>480015786</v>
      </c>
      <c r="E662" s="29">
        <f>Table1[[#This Row],[Ávöxtun]]*Table1[[#This Row],[Eignir]]/SUMIFS(Table1[Eignir],Table1[Year],Table1[[#This Row],[Year]])</f>
        <v>2.6036578184041041E-2</v>
      </c>
      <c r="F662" s="23">
        <f>IF(B662=1997, 100, IF(COUNTIF(A$1:A661,A662)=0, "NEW", F661*(1+Table1[[#This Row],[Ávöxtun]])))</f>
        <v>234.84067694615285</v>
      </c>
      <c r="G662" s="18" cm="1">
        <f t="array" ref="G662">IFERROR(_xlfn.IFS(ISNUMBER(Table1[[#This Row],[Column3]]),Table1[[#This Row],[Column3]],Table1[[#This Row],[Column3]]="NEW",Table1[[#This Row],[Column3]]),"")</f>
        <v>234.84067694615285</v>
      </c>
      <c r="H662" s="15" cm="1">
        <f t="array" ref="H662">_xlfn.IFS(Table1[[#This Row],[Column4]]="NEW",AVERAGEIFS(Table1[Column4],Table1[Year],Table1[[#This Row],[Year]]),ISNUMBER(Table1[[#This Row],[Column4]]),Table1[[#This Row],[Column4]],Table1[[#This Row],[Column4]]="",H661*(1+Table1[[#This Row],[Ávöxtun]]))</f>
        <v>234.84067694615285</v>
      </c>
      <c r="I662" cm="1">
        <f t="array" ref="I662">_xlfn.IFS(Table1[[#This Row],[Column4]]="NEW",_xlfn.XLOOKUP(Table1[[#This Row],[Year]],$N$2:$N$27,$P$2:$P$27),ISNUMBER(Table1[[#This Row],[Column4]]),Table1[[#This Row],[Column4]],Table1[[#This Row],[Column4]]="",I661*(1+Table1[[#This Row],[Ávöxtun]]))</f>
        <v>234.84067694615285</v>
      </c>
      <c r="L662" s="33">
        <v>234.84067694615285</v>
      </c>
      <c r="M662" s="33">
        <v>234.84067694615285</v>
      </c>
    </row>
    <row r="663" spans="1:13">
      <c r="A663" t="s">
        <v>117</v>
      </c>
      <c r="B663">
        <v>2014</v>
      </c>
      <c r="C663" s="16">
        <v>0.184</v>
      </c>
      <c r="D663" s="1">
        <v>525399497</v>
      </c>
      <c r="E663" s="29">
        <f>Table1[[#This Row],[Ávöxtun]]*Table1[[#This Row],[Eignir]]/SUMIFS(Table1[Eignir],Table1[Year],Table1[[#This Row],[Year]])</f>
        <v>3.6439063132823996E-2</v>
      </c>
      <c r="F663" s="23">
        <f>IF(B663=1997, 100, IF(COUNTIF(A$1:A662,A663)=0, "NEW", F662*(1+Table1[[#This Row],[Ávöxtun]])))</f>
        <v>278.05136150424494</v>
      </c>
      <c r="G663" s="18" cm="1">
        <f t="array" ref="G663">IFERROR(_xlfn.IFS(ISNUMBER(Table1[[#This Row],[Column3]]),Table1[[#This Row],[Column3]],Table1[[#This Row],[Column3]]="NEW",Table1[[#This Row],[Column3]]),"")</f>
        <v>278.05136150424494</v>
      </c>
      <c r="H663" s="15" cm="1">
        <f t="array" ref="H663">_xlfn.IFS(Table1[[#This Row],[Column4]]="NEW",AVERAGEIFS(Table1[Column4],Table1[Year],Table1[[#This Row],[Year]]),ISNUMBER(Table1[[#This Row],[Column4]]),Table1[[#This Row],[Column4]],Table1[[#This Row],[Column4]]="",H662*(1+Table1[[#This Row],[Ávöxtun]]))</f>
        <v>278.05136150424494</v>
      </c>
      <c r="I663" cm="1">
        <f t="array" ref="I663">_xlfn.IFS(Table1[[#This Row],[Column4]]="NEW",_xlfn.XLOOKUP(Table1[[#This Row],[Year]],$N$2:$N$27,$P$2:$P$27),ISNUMBER(Table1[[#This Row],[Column4]]),Table1[[#This Row],[Column4]],Table1[[#This Row],[Column4]]="",I662*(1+Table1[[#This Row],[Ávöxtun]]))</f>
        <v>278.05136150424494</v>
      </c>
      <c r="L663" s="33">
        <v>278.05136150424494</v>
      </c>
      <c r="M663" s="33">
        <v>278.05136150424494</v>
      </c>
    </row>
    <row r="664" spans="1:13">
      <c r="A664" t="s">
        <v>117</v>
      </c>
      <c r="B664">
        <v>2015</v>
      </c>
      <c r="C664" s="16">
        <v>0.126</v>
      </c>
      <c r="D664" s="1">
        <v>571490103</v>
      </c>
      <c r="E664" s="29">
        <f>Table1[[#This Row],[Ávöxtun]]*Table1[[#This Row],[Eignir]]/SUMIFS(Table1[Eignir],Table1[Year],Table1[[#This Row],[Year]])</f>
        <v>2.4315621779181177E-2</v>
      </c>
      <c r="F664" s="23">
        <f>IF(B664=1997, 100, IF(COUNTIF(A$1:A663,A664)=0, "NEW", F663*(1+Table1[[#This Row],[Ávöxtun]])))</f>
        <v>313.08583305377977</v>
      </c>
      <c r="G664" s="18" cm="1">
        <f t="array" ref="G664">IFERROR(_xlfn.IFS(ISNUMBER(Table1[[#This Row],[Column3]]),Table1[[#This Row],[Column3]],Table1[[#This Row],[Column3]]="NEW",Table1[[#This Row],[Column3]]),"")</f>
        <v>313.08583305377977</v>
      </c>
      <c r="H664" s="15" cm="1">
        <f t="array" ref="H664">_xlfn.IFS(Table1[[#This Row],[Column4]]="NEW",AVERAGEIFS(Table1[Column4],Table1[Year],Table1[[#This Row],[Year]]),ISNUMBER(Table1[[#This Row],[Column4]]),Table1[[#This Row],[Column4]],Table1[[#This Row],[Column4]]="",H663*(1+Table1[[#This Row],[Ávöxtun]]))</f>
        <v>313.08583305377977</v>
      </c>
      <c r="I664" cm="1">
        <f t="array" ref="I664">_xlfn.IFS(Table1[[#This Row],[Column4]]="NEW",_xlfn.XLOOKUP(Table1[[#This Row],[Year]],$N$2:$N$27,$P$2:$P$27),ISNUMBER(Table1[[#This Row],[Column4]]),Table1[[#This Row],[Column4]],Table1[[#This Row],[Column4]]="",I663*(1+Table1[[#This Row],[Ávöxtun]]))</f>
        <v>313.08583305377977</v>
      </c>
      <c r="L664" s="33">
        <v>313.08583305377977</v>
      </c>
      <c r="M664" s="33">
        <v>313.08583305377977</v>
      </c>
    </row>
    <row r="665" spans="1:13">
      <c r="A665" t="s">
        <v>117</v>
      </c>
      <c r="B665">
        <v>2016</v>
      </c>
      <c r="C665" s="16">
        <v>5.6999999999999993E-3</v>
      </c>
      <c r="D665" s="1">
        <v>708597735.10000002</v>
      </c>
      <c r="E665" s="29">
        <f>Table1[[#This Row],[Ávöxtun]]*Table1[[#This Row],[Eignir]]/SUMIFS(Table1[Eignir],Table1[Year],Table1[[#This Row],[Year]])</f>
        <v>1.262171312483112E-3</v>
      </c>
      <c r="F665" s="23">
        <f>IF(B665=1997, 100, IF(COUNTIF(A$1:A664,A665)=0, "NEW", F664*(1+Table1[[#This Row],[Ávöxtun]])))</f>
        <v>314.87042230218634</v>
      </c>
      <c r="G665" s="18" cm="1">
        <f t="array" ref="G665">IFERROR(_xlfn.IFS(ISNUMBER(Table1[[#This Row],[Column3]]),Table1[[#This Row],[Column3]],Table1[[#This Row],[Column3]]="NEW",Table1[[#This Row],[Column3]]),"")</f>
        <v>314.87042230218634</v>
      </c>
      <c r="H665" s="15" cm="1">
        <f t="array" ref="H665">_xlfn.IFS(Table1[[#This Row],[Column4]]="NEW",AVERAGEIFS(Table1[Column4],Table1[Year],Table1[[#This Row],[Year]]),ISNUMBER(Table1[[#This Row],[Column4]]),Table1[[#This Row],[Column4]],Table1[[#This Row],[Column4]]="",H664*(1+Table1[[#This Row],[Ávöxtun]]))</f>
        <v>314.87042230218634</v>
      </c>
      <c r="I665" cm="1">
        <f t="array" ref="I665">_xlfn.IFS(Table1[[#This Row],[Column4]]="NEW",_xlfn.XLOOKUP(Table1[[#This Row],[Year]],$N$2:$N$27,$P$2:$P$27),ISNUMBER(Table1[[#This Row],[Column4]]),Table1[[#This Row],[Column4]],Table1[[#This Row],[Column4]]="",I664*(1+Table1[[#This Row],[Ávöxtun]]))</f>
        <v>314.87042230218634</v>
      </c>
      <c r="L665" s="33">
        <v>314.87042230218634</v>
      </c>
      <c r="M665" s="33">
        <v>314.87042230218634</v>
      </c>
    </row>
    <row r="666" spans="1:13">
      <c r="A666" t="s">
        <v>117</v>
      </c>
      <c r="B666">
        <v>2017</v>
      </c>
      <c r="C666" s="16">
        <v>0.11800000000000001</v>
      </c>
      <c r="D666" s="1">
        <v>785956647</v>
      </c>
      <c r="E666" s="29">
        <f>Table1[[#This Row],[Ávöxtun]]*Table1[[#This Row],[Eignir]]/SUMIFS(Table1[Eignir],Table1[Year],Table1[[#This Row],[Year]])</f>
        <v>2.6057584128039948E-2</v>
      </c>
      <c r="F666" s="23">
        <f>IF(B666=1997, 100, IF(COUNTIF(A$1:A665,A666)=0, "NEW", F665*(1+Table1[[#This Row],[Ávöxtun]])))</f>
        <v>352.02513213384435</v>
      </c>
      <c r="G666" s="18" cm="1">
        <f t="array" ref="G666">IFERROR(_xlfn.IFS(ISNUMBER(Table1[[#This Row],[Column3]]),Table1[[#This Row],[Column3]],Table1[[#This Row],[Column3]]="NEW",Table1[[#This Row],[Column3]]),"")</f>
        <v>352.02513213384435</v>
      </c>
      <c r="H666" s="15" cm="1">
        <f t="array" ref="H666">_xlfn.IFS(Table1[[#This Row],[Column4]]="NEW",AVERAGEIFS(Table1[Column4],Table1[Year],Table1[[#This Row],[Year]]),ISNUMBER(Table1[[#This Row],[Column4]]),Table1[[#This Row],[Column4]],Table1[[#This Row],[Column4]]="",H665*(1+Table1[[#This Row],[Ávöxtun]]))</f>
        <v>352.02513213384435</v>
      </c>
      <c r="I666" cm="1">
        <f t="array" ref="I666">_xlfn.IFS(Table1[[#This Row],[Column4]]="NEW",_xlfn.XLOOKUP(Table1[[#This Row],[Year]],$N$2:$N$27,$P$2:$P$27),ISNUMBER(Table1[[#This Row],[Column4]]),Table1[[#This Row],[Column4]],Table1[[#This Row],[Column4]]="",I665*(1+Table1[[#This Row],[Ávöxtun]]))</f>
        <v>352.02513213384435</v>
      </c>
      <c r="L666" s="33">
        <v>352.02513213384435</v>
      </c>
      <c r="M666" s="33">
        <v>352.02513213384435</v>
      </c>
    </row>
    <row r="667" spans="1:13">
      <c r="A667" t="s">
        <v>117</v>
      </c>
      <c r="B667">
        <v>2018</v>
      </c>
      <c r="C667" s="16">
        <v>4.7E-2</v>
      </c>
      <c r="D667" s="1">
        <v>858037157</v>
      </c>
      <c r="E667" s="29">
        <f>Table1[[#This Row],[Ávöxtun]]*Table1[[#This Row],[Eignir]]/SUMIFS(Table1[Eignir],Table1[Year],Table1[[#This Row],[Year]])</f>
        <v>1.0561650980542505E-2</v>
      </c>
      <c r="F667" s="23">
        <f>IF(B667=1997, 100, IF(COUNTIF(A$1:A666,A667)=0, "NEW", F666*(1+Table1[[#This Row],[Ávöxtun]])))</f>
        <v>368.570313344135</v>
      </c>
      <c r="G667" s="18" cm="1">
        <f t="array" ref="G667">IFERROR(_xlfn.IFS(ISNUMBER(Table1[[#This Row],[Column3]]),Table1[[#This Row],[Column3]],Table1[[#This Row],[Column3]]="NEW",Table1[[#This Row],[Column3]]),"")</f>
        <v>368.570313344135</v>
      </c>
      <c r="H667" s="15" cm="1">
        <f t="array" ref="H667">_xlfn.IFS(Table1[[#This Row],[Column4]]="NEW",AVERAGEIFS(Table1[Column4],Table1[Year],Table1[[#This Row],[Year]]),ISNUMBER(Table1[[#This Row],[Column4]]),Table1[[#This Row],[Column4]],Table1[[#This Row],[Column4]]="",H666*(1+Table1[[#This Row],[Ávöxtun]]))</f>
        <v>368.570313344135</v>
      </c>
      <c r="I667" cm="1">
        <f t="array" ref="I667">_xlfn.IFS(Table1[[#This Row],[Column4]]="NEW",_xlfn.XLOOKUP(Table1[[#This Row],[Year]],$N$2:$N$27,$P$2:$P$27),ISNUMBER(Table1[[#This Row],[Column4]]),Table1[[#This Row],[Column4]],Table1[[#This Row],[Column4]]="",I666*(1+Table1[[#This Row],[Ávöxtun]]))</f>
        <v>368.570313344135</v>
      </c>
      <c r="L667" s="33">
        <v>368.570313344135</v>
      </c>
      <c r="M667" s="33">
        <v>368.570313344135</v>
      </c>
    </row>
    <row r="668" spans="1:13">
      <c r="A668" t="s">
        <v>117</v>
      </c>
      <c r="B668">
        <v>2019</v>
      </c>
      <c r="C668" s="16">
        <v>0.27800000000000002</v>
      </c>
      <c r="D668" s="1">
        <v>961852911.32799995</v>
      </c>
      <c r="E668" s="29">
        <f>Table1[[#This Row],[Ávöxtun]]*Table1[[#This Row],[Eignir]]/SUMIFS(Table1[Eignir],Table1[Year],Table1[[#This Row],[Year]])</f>
        <v>6.040262323509258E-2</v>
      </c>
      <c r="F668" s="23">
        <f>IF(B668=1997, 100, IF(COUNTIF(A$1:A667,A668)=0, "NEW", F667*(1+Table1[[#This Row],[Ávöxtun]])))</f>
        <v>471.03286045380452</v>
      </c>
      <c r="G668" s="18" cm="1">
        <f t="array" ref="G668">IFERROR(_xlfn.IFS(ISNUMBER(Table1[[#This Row],[Column3]]),Table1[[#This Row],[Column3]],Table1[[#This Row],[Column3]]="NEW",Table1[[#This Row],[Column3]]),"")</f>
        <v>471.03286045380452</v>
      </c>
      <c r="H668" s="15" cm="1">
        <f t="array" ref="H668">_xlfn.IFS(Table1[[#This Row],[Column4]]="NEW",AVERAGEIFS(Table1[Column4],Table1[Year],Table1[[#This Row],[Year]]),ISNUMBER(Table1[[#This Row],[Column4]]),Table1[[#This Row],[Column4]],Table1[[#This Row],[Column4]]="",H667*(1+Table1[[#This Row],[Ávöxtun]]))</f>
        <v>471.03286045380452</v>
      </c>
      <c r="I668" cm="1">
        <f t="array" ref="I668">_xlfn.IFS(Table1[[#This Row],[Column4]]="NEW",_xlfn.XLOOKUP(Table1[[#This Row],[Year]],$N$2:$N$27,$P$2:$P$27),ISNUMBER(Table1[[#This Row],[Column4]]),Table1[[#This Row],[Column4]],Table1[[#This Row],[Column4]]="",I667*(1+Table1[[#This Row],[Ávöxtun]]))</f>
        <v>471.03286045380452</v>
      </c>
      <c r="L668" s="33">
        <v>471.03286045380452</v>
      </c>
      <c r="M668" s="33">
        <v>471.03286045380452</v>
      </c>
    </row>
    <row r="669" spans="1:13">
      <c r="A669" t="s">
        <v>117</v>
      </c>
      <c r="B669">
        <v>2020</v>
      </c>
      <c r="C669" s="16">
        <v>0.22600000000000001</v>
      </c>
      <c r="D669" s="1">
        <v>1148398781.342</v>
      </c>
      <c r="E669" s="29">
        <f>Table1[[#This Row],[Ávöxtun]]*Table1[[#This Row],[Eignir]]/SUMIFS(Table1[Eignir],Table1[Year],Table1[[#This Row],[Year]])</f>
        <v>5.052708730627313E-2</v>
      </c>
      <c r="F669" s="23">
        <f>IF(B669=1997, 100, IF(COUNTIF(A$1:A668,A669)=0, "NEW", F668*(1+Table1[[#This Row],[Ávöxtun]])))</f>
        <v>577.48628691636429</v>
      </c>
      <c r="G669" s="18" cm="1">
        <f t="array" ref="G669">IFERROR(_xlfn.IFS(ISNUMBER(Table1[[#This Row],[Column3]]),Table1[[#This Row],[Column3]],Table1[[#This Row],[Column3]]="NEW",Table1[[#This Row],[Column3]]),"")</f>
        <v>577.48628691636429</v>
      </c>
      <c r="H669" s="15" cm="1">
        <f t="array" ref="H669">_xlfn.IFS(Table1[[#This Row],[Column4]]="NEW",AVERAGEIFS(Table1[Column4],Table1[Year],Table1[[#This Row],[Year]]),ISNUMBER(Table1[[#This Row],[Column4]]),Table1[[#This Row],[Column4]],Table1[[#This Row],[Column4]]="",H668*(1+Table1[[#This Row],[Ávöxtun]]))</f>
        <v>577.48628691636429</v>
      </c>
      <c r="I669" cm="1">
        <f t="array" ref="I669">_xlfn.IFS(Table1[[#This Row],[Column4]]="NEW",_xlfn.XLOOKUP(Table1[[#This Row],[Year]],$N$2:$N$27,$P$2:$P$27),ISNUMBER(Table1[[#This Row],[Column4]]),Table1[[#This Row],[Column4]],Table1[[#This Row],[Column4]]="",I668*(1+Table1[[#This Row],[Ávöxtun]]))</f>
        <v>577.48628691636429</v>
      </c>
      <c r="L669" s="33">
        <v>577.48628691636429</v>
      </c>
      <c r="M669" s="33">
        <v>577.48628691636429</v>
      </c>
    </row>
    <row r="670" spans="1:13">
      <c r="A670" t="s">
        <v>117</v>
      </c>
      <c r="B670">
        <v>2021</v>
      </c>
      <c r="C670" s="16">
        <v>0.19700000000000001</v>
      </c>
      <c r="D670" s="1">
        <v>1324570318.677</v>
      </c>
      <c r="E670" s="29">
        <f>Table1[[#This Row],[Ávöxtun]]*Table1[[#This Row],[Eignir]]/SUMIFS(Table1[Eignir],Table1[Year],Table1[[#This Row],[Year]])</f>
        <v>4.3205634579012171E-2</v>
      </c>
      <c r="F670" s="23">
        <f>IF(B670=1997, 100, IF(COUNTIF(A$1:A669,A670)=0, "NEW", F669*(1+Table1[[#This Row],[Ávöxtun]])))</f>
        <v>691.25108543888814</v>
      </c>
      <c r="G670" s="18" cm="1">
        <f t="array" ref="G670">IFERROR(_xlfn.IFS(ISNUMBER(Table1[[#This Row],[Column3]]),Table1[[#This Row],[Column3]],Table1[[#This Row],[Column3]]="NEW",Table1[[#This Row],[Column3]]),"")</f>
        <v>691.25108543888814</v>
      </c>
      <c r="H670" s="15" cm="1">
        <f t="array" ref="H670">_xlfn.IFS(Table1[[#This Row],[Column4]]="NEW",AVERAGEIFS(Table1[Column4],Table1[Year],Table1[[#This Row],[Year]]),ISNUMBER(Table1[[#This Row],[Column4]]),Table1[[#This Row],[Column4]],Table1[[#This Row],[Column4]]="",H669*(1+Table1[[#This Row],[Ávöxtun]]))</f>
        <v>691.25108543888814</v>
      </c>
      <c r="I670" cm="1">
        <f t="array" ref="I670">_xlfn.IFS(Table1[[#This Row],[Column4]]="NEW",_xlfn.XLOOKUP(Table1[[#This Row],[Year]],$N$2:$N$27,$P$2:$P$27),ISNUMBER(Table1[[#This Row],[Column4]]),Table1[[#This Row],[Column4]],Table1[[#This Row],[Column4]]="",I669*(1+Table1[[#This Row],[Ávöxtun]]))</f>
        <v>691.25108543888814</v>
      </c>
      <c r="L670" s="33">
        <v>691.25108543888814</v>
      </c>
      <c r="M670" s="33">
        <v>691.25108543888814</v>
      </c>
    </row>
    <row r="671" spans="1:13">
      <c r="A671" t="s">
        <v>118</v>
      </c>
      <c r="B671">
        <v>1998</v>
      </c>
      <c r="C671" s="16">
        <v>0</v>
      </c>
      <c r="D671" s="1">
        <v>58353.58</v>
      </c>
      <c r="E671" s="29">
        <f>Table1[[#This Row],[Ávöxtun]]*Table1[[#This Row],[Eignir]]/SUMIFS(Table1[Eignir],Table1[Year],Table1[[#This Row],[Year]])</f>
        <v>0</v>
      </c>
      <c r="F671" s="23" t="str">
        <f>IF(B671=1997, 100, IF(COUNTIF(A$1:A670,A671)=0, "NEW", F670*(1+Table1[[#This Row],[Ávöxtun]])))</f>
        <v>NEW</v>
      </c>
      <c r="G671" s="18" t="str" cm="1">
        <f t="array" ref="G671">IFERROR(_xlfn.IFS(ISNUMBER(Table1[[#This Row],[Column3]]),Table1[[#This Row],[Column3]],Table1[[#This Row],[Column3]]="NEW",Table1[[#This Row],[Column3]]),"")</f>
        <v>NEW</v>
      </c>
      <c r="H671" s="15" cm="1">
        <f t="array" ref="H671">_xlfn.IFS(Table1[[#This Row],[Column4]]="NEW",AVERAGEIFS(Table1[Column4],Table1[Year],Table1[[#This Row],[Year]]),ISNUMBER(Table1[[#This Row],[Column4]]),Table1[[#This Row],[Column4]],Table1[[#This Row],[Column4]]="",H670*(1+Table1[[#This Row],[Ávöxtun]]))</f>
        <v>106.70588235294117</v>
      </c>
      <c r="I671" cm="1">
        <f t="array" ref="I671">_xlfn.IFS(Table1[[#This Row],[Column4]]="NEW",_xlfn.XLOOKUP(Table1[[#This Row],[Year]],$N$2:$N$27,$P$2:$P$27),ISNUMBER(Table1[[#This Row],[Column4]]),Table1[[#This Row],[Column4]],Table1[[#This Row],[Column4]]="",I670*(1+Table1[[#This Row],[Ávöxtun]]))</f>
        <v>107.11186565673697</v>
      </c>
      <c r="L671" s="33">
        <v>106.70588235294117</v>
      </c>
      <c r="M671" s="33">
        <v>115.36660895196104</v>
      </c>
    </row>
    <row r="672" spans="1:13">
      <c r="A672" t="s">
        <v>118</v>
      </c>
      <c r="B672">
        <v>1999</v>
      </c>
      <c r="C672" s="16">
        <v>0</v>
      </c>
      <c r="D672" s="1">
        <v>578141.65</v>
      </c>
      <c r="E672" s="29">
        <f>Table1[[#This Row],[Ávöxtun]]*Table1[[#This Row],[Eignir]]/SUMIFS(Table1[Eignir],Table1[Year],Table1[[#This Row],[Year]])</f>
        <v>0</v>
      </c>
      <c r="F672" s="23" t="e">
        <f>IF(B672=1997, 100, IF(COUNTIF(A$1:A671,A672)=0, "NEW", F671*(1+Table1[[#This Row],[Ávöxtun]])))</f>
        <v>#VALUE!</v>
      </c>
      <c r="G672" s="18" t="str" cm="1">
        <f t="array" ref="G672">IFERROR(_xlfn.IFS(ISNUMBER(Table1[[#This Row],[Column3]]),Table1[[#This Row],[Column3]],Table1[[#This Row],[Column3]]="NEW",Table1[[#This Row],[Column3]]),"")</f>
        <v/>
      </c>
      <c r="H672" s="15" cm="1">
        <f t="array" ref="H672">_xlfn.IFS(Table1[[#This Row],[Column4]]="NEW",AVERAGEIFS(Table1[Column4],Table1[Year],Table1[[#This Row],[Year]]),ISNUMBER(Table1[[#This Row],[Column4]]),Table1[[#This Row],[Column4]],Table1[[#This Row],[Column4]]="",H671*(1+Table1[[#This Row],[Ávöxtun]]))</f>
        <v>106.70588235294117</v>
      </c>
      <c r="I672" cm="1">
        <f t="array" ref="I672">_xlfn.IFS(Table1[[#This Row],[Column4]]="NEW",_xlfn.XLOOKUP(Table1[[#This Row],[Year]],$N$2:$N$27,$P$2:$P$27),ISNUMBER(Table1[[#This Row],[Column4]]),Table1[[#This Row],[Column4]],Table1[[#This Row],[Column4]]="",I671*(1+Table1[[#This Row],[Ávöxtun]]))</f>
        <v>107.11186565673697</v>
      </c>
      <c r="L672" s="33">
        <v>106.70588235294117</v>
      </c>
      <c r="M672" s="33">
        <v>115.36660895196104</v>
      </c>
    </row>
    <row r="673" spans="1:13">
      <c r="A673" t="s">
        <v>118</v>
      </c>
      <c r="B673">
        <v>2000</v>
      </c>
      <c r="C673" s="16">
        <v>-0.28999999999999998</v>
      </c>
      <c r="D673" s="1">
        <v>2993088.46</v>
      </c>
      <c r="E673" s="29">
        <f>Table1[[#This Row],[Ávöxtun]]*Table1[[#This Row],[Eignir]]/SUMIFS(Table1[Eignir],Table1[Year],Table1[[#This Row],[Year]])</f>
        <v>-1.2209990384614666E-3</v>
      </c>
      <c r="F673" s="23" t="e">
        <f>IF(B673=1997, 100, IF(COUNTIF(A$1:A672,A673)=0, "NEW", F672*(1+Table1[[#This Row],[Ávöxtun]])))</f>
        <v>#VALUE!</v>
      </c>
      <c r="G673" s="18" t="str" cm="1">
        <f t="array" ref="G673">IFERROR(_xlfn.IFS(ISNUMBER(Table1[[#This Row],[Column3]]),Table1[[#This Row],[Column3]],Table1[[#This Row],[Column3]]="NEW",Table1[[#This Row],[Column3]]),"")</f>
        <v/>
      </c>
      <c r="H673" s="15" cm="1">
        <f t="array" ref="H673">_xlfn.IFS(Table1[[#This Row],[Column4]]="NEW",AVERAGEIFS(Table1[Column4],Table1[Year],Table1[[#This Row],[Year]]),ISNUMBER(Table1[[#This Row],[Column4]]),Table1[[#This Row],[Column4]],Table1[[#This Row],[Column4]]="",H672*(1+Table1[[#This Row],[Ávöxtun]]))</f>
        <v>75.761176470588225</v>
      </c>
      <c r="I673" cm="1">
        <f t="array" ref="I673">_xlfn.IFS(Table1[[#This Row],[Column4]]="NEW",_xlfn.XLOOKUP(Table1[[#This Row],[Year]],$N$2:$N$27,$P$2:$P$27),ISNUMBER(Table1[[#This Row],[Column4]]),Table1[[#This Row],[Column4]],Table1[[#This Row],[Column4]]="",I672*(1+Table1[[#This Row],[Ávöxtun]]))</f>
        <v>76.049424616283247</v>
      </c>
      <c r="L673" s="33">
        <v>75.761176470588225</v>
      </c>
      <c r="M673" s="33">
        <v>81.910292355892338</v>
      </c>
    </row>
    <row r="674" spans="1:13">
      <c r="A674" t="s">
        <v>118</v>
      </c>
      <c r="B674">
        <v>2001</v>
      </c>
      <c r="C674" s="16">
        <v>-0.12</v>
      </c>
      <c r="D674" s="1">
        <v>6073269.6200000001</v>
      </c>
      <c r="E674" s="29">
        <f>Table1[[#This Row],[Ávöxtun]]*Table1[[#This Row],[Eignir]]/SUMIFS(Table1[Eignir],Table1[Year],Table1[[#This Row],[Year]])</f>
        <v>-6.2940017096767579E-4</v>
      </c>
      <c r="F674" s="23" t="e">
        <f>IF(B674=1997, 100, IF(COUNTIF(A$1:A673,A674)=0, "NEW", F673*(1+Table1[[#This Row],[Ávöxtun]])))</f>
        <v>#VALUE!</v>
      </c>
      <c r="G674" s="18" t="str" cm="1">
        <f t="array" ref="G674">IFERROR(_xlfn.IFS(ISNUMBER(Table1[[#This Row],[Column3]]),Table1[[#This Row],[Column3]],Table1[[#This Row],[Column3]]="NEW",Table1[[#This Row],[Column3]]),"")</f>
        <v/>
      </c>
      <c r="H674" s="15" cm="1">
        <f t="array" ref="H674">_xlfn.IFS(Table1[[#This Row],[Column4]]="NEW",AVERAGEIFS(Table1[Column4],Table1[Year],Table1[[#This Row],[Year]]),ISNUMBER(Table1[[#This Row],[Column4]]),Table1[[#This Row],[Column4]],Table1[[#This Row],[Column4]]="",H673*(1+Table1[[#This Row],[Ávöxtun]]))</f>
        <v>66.669835294117632</v>
      </c>
      <c r="I674" cm="1">
        <f t="array" ref="I674">_xlfn.IFS(Table1[[#This Row],[Column4]]="NEW",_xlfn.XLOOKUP(Table1[[#This Row],[Year]],$N$2:$N$27,$P$2:$P$27),ISNUMBER(Table1[[#This Row],[Column4]]),Table1[[#This Row],[Column4]],Table1[[#This Row],[Column4]]="",I673*(1+Table1[[#This Row],[Ávöxtun]]))</f>
        <v>66.923493662329264</v>
      </c>
      <c r="L674" s="33">
        <v>66.669835294117632</v>
      </c>
      <c r="M674" s="33">
        <v>72.081057273185252</v>
      </c>
    </row>
    <row r="675" spans="1:13">
      <c r="A675" t="s">
        <v>118</v>
      </c>
      <c r="B675">
        <v>2002</v>
      </c>
      <c r="C675" s="16">
        <v>-0.05</v>
      </c>
      <c r="D675" s="1">
        <v>4642432</v>
      </c>
      <c r="E675" s="29">
        <f>Table1[[#This Row],[Ávöxtun]]*Table1[[#This Row],[Eignir]]/SUMIFS(Table1[Eignir],Table1[Year],Table1[[#This Row],[Year]])</f>
        <v>-3.6545135308485181E-4</v>
      </c>
      <c r="F675" s="23" t="e">
        <f>IF(B675=1997, 100, IF(COUNTIF(A$1:A674,A675)=0, "NEW", F674*(1+Table1[[#This Row],[Ávöxtun]])))</f>
        <v>#VALUE!</v>
      </c>
      <c r="G675" s="18" t="str" cm="1">
        <f t="array" ref="G675">IFERROR(_xlfn.IFS(ISNUMBER(Table1[[#This Row],[Column3]]),Table1[[#This Row],[Column3]],Table1[[#This Row],[Column3]]="NEW",Table1[[#This Row],[Column3]]),"")</f>
        <v/>
      </c>
      <c r="H675" s="15" cm="1">
        <f t="array" ref="H675">_xlfn.IFS(Table1[[#This Row],[Column4]]="NEW",AVERAGEIFS(Table1[Column4],Table1[Year],Table1[[#This Row],[Year]]),ISNUMBER(Table1[[#This Row],[Column4]]),Table1[[#This Row],[Column4]],Table1[[#This Row],[Column4]]="",H674*(1+Table1[[#This Row],[Ávöxtun]]))</f>
        <v>63.336343529411749</v>
      </c>
      <c r="I675" cm="1">
        <f t="array" ref="I675">_xlfn.IFS(Table1[[#This Row],[Column4]]="NEW",_xlfn.XLOOKUP(Table1[[#This Row],[Year]],$N$2:$N$27,$P$2:$P$27),ISNUMBER(Table1[[#This Row],[Column4]]),Table1[[#This Row],[Column4]],Table1[[#This Row],[Column4]]="",I674*(1+Table1[[#This Row],[Ávöxtun]]))</f>
        <v>63.577318979212798</v>
      </c>
      <c r="L675" s="33">
        <v>63.336343529411749</v>
      </c>
      <c r="M675" s="33">
        <v>68.477004409525989</v>
      </c>
    </row>
    <row r="676" spans="1:13">
      <c r="A676" t="s">
        <v>118</v>
      </c>
      <c r="B676">
        <v>2003</v>
      </c>
      <c r="C676" s="16">
        <v>0.19</v>
      </c>
      <c r="D676" s="1">
        <v>7354351</v>
      </c>
      <c r="E676" s="29">
        <f>Table1[[#This Row],[Ávöxtun]]*Table1[[#This Row],[Eignir]]/SUMIFS(Table1[Eignir],Table1[Year],Table1[[#This Row],[Year]])</f>
        <v>1.8388505244740277E-3</v>
      </c>
      <c r="F676" s="23" t="e">
        <f>IF(B676=1997, 100, IF(COUNTIF(A$1:A675,A676)=0, "NEW", F675*(1+Table1[[#This Row],[Ávöxtun]])))</f>
        <v>#VALUE!</v>
      </c>
      <c r="G676" s="18" t="str" cm="1">
        <f t="array" ref="G676">IFERROR(_xlfn.IFS(ISNUMBER(Table1[[#This Row],[Column3]]),Table1[[#This Row],[Column3]],Table1[[#This Row],[Column3]]="NEW",Table1[[#This Row],[Column3]]),"")</f>
        <v/>
      </c>
      <c r="H676" s="15" cm="1">
        <f t="array" ref="H676">_xlfn.IFS(Table1[[#This Row],[Column4]]="NEW",AVERAGEIFS(Table1[Column4],Table1[Year],Table1[[#This Row],[Year]]),ISNUMBER(Table1[[#This Row],[Column4]]),Table1[[#This Row],[Column4]],Table1[[#This Row],[Column4]]="",H675*(1+Table1[[#This Row],[Ávöxtun]]))</f>
        <v>75.370248799999985</v>
      </c>
      <c r="I676" cm="1">
        <f t="array" ref="I676">_xlfn.IFS(Table1[[#This Row],[Column4]]="NEW",_xlfn.XLOOKUP(Table1[[#This Row],[Year]],$N$2:$N$27,$P$2:$P$27),ISNUMBER(Table1[[#This Row],[Column4]]),Table1[[#This Row],[Column4]],Table1[[#This Row],[Column4]]="",I675*(1+Table1[[#This Row],[Ávöxtun]]))</f>
        <v>75.657009585263225</v>
      </c>
      <c r="L676" s="33">
        <v>75.370248799999985</v>
      </c>
      <c r="M676" s="33">
        <v>81.48763524733593</v>
      </c>
    </row>
    <row r="677" spans="1:13">
      <c r="A677" t="s">
        <v>118</v>
      </c>
      <c r="B677">
        <v>2004</v>
      </c>
      <c r="C677" s="16">
        <v>0.1</v>
      </c>
      <c r="D677" s="1">
        <v>12011566.029999999</v>
      </c>
      <c r="E677" s="29">
        <f>Table1[[#This Row],[Ávöxtun]]*Table1[[#This Row],[Eignir]]/SUMIFS(Table1[Eignir],Table1[Year],Table1[[#This Row],[Year]])</f>
        <v>1.3233400249957094E-3</v>
      </c>
      <c r="F677" s="23" t="e">
        <f>IF(B677=1997, 100, IF(COUNTIF(A$1:A676,A677)=0, "NEW", F676*(1+Table1[[#This Row],[Ávöxtun]])))</f>
        <v>#VALUE!</v>
      </c>
      <c r="G677" s="18" t="str" cm="1">
        <f t="array" ref="G677">IFERROR(_xlfn.IFS(ISNUMBER(Table1[[#This Row],[Column3]]),Table1[[#This Row],[Column3]],Table1[[#This Row],[Column3]]="NEW",Table1[[#This Row],[Column3]]),"")</f>
        <v/>
      </c>
      <c r="H677" s="15" cm="1">
        <f t="array" ref="H677">_xlfn.IFS(Table1[[#This Row],[Column4]]="NEW",AVERAGEIFS(Table1[Column4],Table1[Year],Table1[[#This Row],[Year]]),ISNUMBER(Table1[[#This Row],[Column4]]),Table1[[#This Row],[Column4]],Table1[[#This Row],[Column4]]="",H676*(1+Table1[[#This Row],[Ávöxtun]]))</f>
        <v>82.907273679999989</v>
      </c>
      <c r="I677" cm="1">
        <f t="array" ref="I677">_xlfn.IFS(Table1[[#This Row],[Column4]]="NEW",_xlfn.XLOOKUP(Table1[[#This Row],[Year]],$N$2:$N$27,$P$2:$P$27),ISNUMBER(Table1[[#This Row],[Column4]]),Table1[[#This Row],[Column4]],Table1[[#This Row],[Column4]]="",I676*(1+Table1[[#This Row],[Ávöxtun]]))</f>
        <v>83.22271054378956</v>
      </c>
      <c r="L677" s="33">
        <v>82.907273679999989</v>
      </c>
      <c r="M677" s="33">
        <v>89.636398772069526</v>
      </c>
    </row>
    <row r="678" spans="1:13">
      <c r="A678" t="s">
        <v>118</v>
      </c>
      <c r="B678">
        <v>2005</v>
      </c>
      <c r="C678" s="16">
        <v>0.14000000000000001</v>
      </c>
      <c r="D678" s="1">
        <v>16163013</v>
      </c>
      <c r="E678" s="29">
        <f>Table1[[#This Row],[Ávöxtun]]*Table1[[#This Row],[Eignir]]/SUMIFS(Table1[Eignir],Table1[Year],Table1[[#This Row],[Year]])</f>
        <v>2.0179663425776021E-3</v>
      </c>
      <c r="F678" s="23" t="e">
        <f>IF(B678=1997, 100, IF(COUNTIF(A$1:A677,A678)=0, "NEW", F677*(1+Table1[[#This Row],[Ávöxtun]])))</f>
        <v>#VALUE!</v>
      </c>
      <c r="G678" s="18" t="str" cm="1">
        <f t="array" ref="G678">IFERROR(_xlfn.IFS(ISNUMBER(Table1[[#This Row],[Column3]]),Table1[[#This Row],[Column3]],Table1[[#This Row],[Column3]]="NEW",Table1[[#This Row],[Column3]]),"")</f>
        <v/>
      </c>
      <c r="H678" s="15" cm="1">
        <f t="array" ref="H678">_xlfn.IFS(Table1[[#This Row],[Column4]]="NEW",AVERAGEIFS(Table1[Column4],Table1[Year],Table1[[#This Row],[Year]]),ISNUMBER(Table1[[#This Row],[Column4]]),Table1[[#This Row],[Column4]],Table1[[#This Row],[Column4]]="",H677*(1+Table1[[#This Row],[Ávöxtun]]))</f>
        <v>94.514291995199997</v>
      </c>
      <c r="I678" cm="1">
        <f t="array" ref="I678">_xlfn.IFS(Table1[[#This Row],[Column4]]="NEW",_xlfn.XLOOKUP(Table1[[#This Row],[Year]],$N$2:$N$27,$P$2:$P$27),ISNUMBER(Table1[[#This Row],[Column4]]),Table1[[#This Row],[Column4]],Table1[[#This Row],[Column4]]="",I677*(1+Table1[[#This Row],[Ávöxtun]]))</f>
        <v>94.873890019920111</v>
      </c>
      <c r="L678" s="33">
        <v>94.514291995199997</v>
      </c>
      <c r="M678" s="33">
        <v>102.18549460015927</v>
      </c>
    </row>
    <row r="679" spans="1:13">
      <c r="A679" t="s">
        <v>118</v>
      </c>
      <c r="B679">
        <v>2006</v>
      </c>
      <c r="C679" s="16">
        <v>0.15859999999999999</v>
      </c>
      <c r="D679" s="1">
        <v>22146893</v>
      </c>
      <c r="E679" s="29">
        <f>Table1[[#This Row],[Ávöxtun]]*Table1[[#This Row],[Eignir]]/SUMIFS(Table1[Eignir],Table1[Year],Table1[[#This Row],[Year]])</f>
        <v>2.5588690637796995E-3</v>
      </c>
      <c r="F679" s="23" t="e">
        <f>IF(B679=1997, 100, IF(COUNTIF(A$1:A678,A679)=0, "NEW", F678*(1+Table1[[#This Row],[Ávöxtun]])))</f>
        <v>#VALUE!</v>
      </c>
      <c r="G679" s="18" t="str" cm="1">
        <f t="array" ref="G679">IFERROR(_xlfn.IFS(ISNUMBER(Table1[[#This Row],[Column3]]),Table1[[#This Row],[Column3]],Table1[[#This Row],[Column3]]="NEW",Table1[[#This Row],[Column3]]),"")</f>
        <v/>
      </c>
      <c r="H679" s="15" cm="1">
        <f t="array" ref="H679">_xlfn.IFS(Table1[[#This Row],[Column4]]="NEW",AVERAGEIFS(Table1[Column4],Table1[Year],Table1[[#This Row],[Year]]),ISNUMBER(Table1[[#This Row],[Column4]]),Table1[[#This Row],[Column4]],Table1[[#This Row],[Column4]]="",H678*(1+Table1[[#This Row],[Ávöxtun]]))</f>
        <v>109.50425870563872</v>
      </c>
      <c r="I679" cm="1">
        <f t="array" ref="I679">_xlfn.IFS(Table1[[#This Row],[Column4]]="NEW",_xlfn.XLOOKUP(Table1[[#This Row],[Year]],$N$2:$N$27,$P$2:$P$27),ISNUMBER(Table1[[#This Row],[Column4]]),Table1[[#This Row],[Column4]],Table1[[#This Row],[Column4]]="",I678*(1+Table1[[#This Row],[Ávöxtun]]))</f>
        <v>109.92088897707944</v>
      </c>
      <c r="L679" s="33">
        <v>109.50425870563872</v>
      </c>
      <c r="M679" s="33">
        <v>118.39211404374454</v>
      </c>
    </row>
    <row r="680" spans="1:13">
      <c r="A680" t="s">
        <v>118</v>
      </c>
      <c r="B680">
        <v>2007</v>
      </c>
      <c r="C680" s="16">
        <v>1.95E-2</v>
      </c>
      <c r="D680" s="1">
        <v>27587433</v>
      </c>
      <c r="E680" s="29">
        <f>Table1[[#This Row],[Ávöxtun]]*Table1[[#This Row],[Eignir]]/SUMIFS(Table1[Eignir],Table1[Year],Table1[[#This Row],[Year]])</f>
        <v>3.4787387446028371E-4</v>
      </c>
      <c r="F680" s="23" t="e">
        <f>IF(B680=1997, 100, IF(COUNTIF(A$1:A679,A680)=0, "NEW", F679*(1+Table1[[#This Row],[Ávöxtun]])))</f>
        <v>#VALUE!</v>
      </c>
      <c r="G680" s="18" t="str" cm="1">
        <f t="array" ref="G680">IFERROR(_xlfn.IFS(ISNUMBER(Table1[[#This Row],[Column3]]),Table1[[#This Row],[Column3]],Table1[[#This Row],[Column3]]="NEW",Table1[[#This Row],[Column3]]),"")</f>
        <v/>
      </c>
      <c r="H680" s="15" cm="1">
        <f t="array" ref="H680">_xlfn.IFS(Table1[[#This Row],[Column4]]="NEW",AVERAGEIFS(Table1[Column4],Table1[Year],Table1[[#This Row],[Year]]),ISNUMBER(Table1[[#This Row],[Column4]]),Table1[[#This Row],[Column4]],Table1[[#This Row],[Column4]]="",H679*(1+Table1[[#This Row],[Ávöxtun]]))</f>
        <v>111.63959175039868</v>
      </c>
      <c r="I680" cm="1">
        <f t="array" ref="I680">_xlfn.IFS(Table1[[#This Row],[Column4]]="NEW",_xlfn.XLOOKUP(Table1[[#This Row],[Year]],$N$2:$N$27,$P$2:$P$27),ISNUMBER(Table1[[#This Row],[Column4]]),Table1[[#This Row],[Column4]],Table1[[#This Row],[Column4]]="",I679*(1+Table1[[#This Row],[Ávöxtun]]))</f>
        <v>112.0643463121325</v>
      </c>
      <c r="L680" s="33">
        <v>111.63959175039868</v>
      </c>
      <c r="M680" s="33">
        <v>120.70076026759757</v>
      </c>
    </row>
    <row r="681" spans="1:13">
      <c r="A681" t="s">
        <v>118</v>
      </c>
      <c r="B681">
        <v>2008</v>
      </c>
      <c r="C681" s="16">
        <v>-0.2389</v>
      </c>
      <c r="D681" s="1">
        <v>32677126</v>
      </c>
      <c r="E681" s="29">
        <f>Table1[[#This Row],[Ávöxtun]]*Table1[[#This Row],[Eignir]]/SUMIFS(Table1[Eignir],Table1[Year],Table1[[#This Row],[Year]])</f>
        <v>-5.2136993693674546E-3</v>
      </c>
      <c r="F681" s="23" t="e">
        <f>IF(B681=1997, 100, IF(COUNTIF(A$1:A680,A681)=0, "NEW", F680*(1+Table1[[#This Row],[Ávöxtun]])))</f>
        <v>#VALUE!</v>
      </c>
      <c r="G681" s="18" t="str" cm="1">
        <f t="array" ref="G681">IFERROR(_xlfn.IFS(ISNUMBER(Table1[[#This Row],[Column3]]),Table1[[#This Row],[Column3]],Table1[[#This Row],[Column3]]="NEW",Table1[[#This Row],[Column3]]),"")</f>
        <v/>
      </c>
      <c r="H681" s="15" cm="1">
        <f t="array" ref="H681">_xlfn.IFS(Table1[[#This Row],[Column4]]="NEW",AVERAGEIFS(Table1[Column4],Table1[Year],Table1[[#This Row],[Year]]),ISNUMBER(Table1[[#This Row],[Column4]]),Table1[[#This Row],[Column4]],Table1[[#This Row],[Column4]]="",H680*(1+Table1[[#This Row],[Ávöxtun]]))</f>
        <v>84.968893281228432</v>
      </c>
      <c r="I681" cm="1">
        <f t="array" ref="I681">_xlfn.IFS(Table1[[#This Row],[Column4]]="NEW",_xlfn.XLOOKUP(Table1[[#This Row],[Year]],$N$2:$N$27,$P$2:$P$27),ISNUMBER(Table1[[#This Row],[Column4]]),Table1[[#This Row],[Column4]],Table1[[#This Row],[Column4]]="",I680*(1+Table1[[#This Row],[Ávöxtun]]))</f>
        <v>85.292173978164044</v>
      </c>
      <c r="L681" s="33">
        <v>84.968893281228432</v>
      </c>
      <c r="M681" s="33">
        <v>91.865348639668511</v>
      </c>
    </row>
    <row r="682" spans="1:13">
      <c r="A682" t="s">
        <v>118</v>
      </c>
      <c r="B682">
        <v>2009</v>
      </c>
      <c r="C682" s="16">
        <v>2.5099999999999997E-2</v>
      </c>
      <c r="D682" s="1">
        <v>41028939</v>
      </c>
      <c r="E682" s="29">
        <f>Table1[[#This Row],[Ávöxtun]]*Table1[[#This Row],[Eignir]]/SUMIFS(Table1[Eignir],Table1[Year],Table1[[#This Row],[Year]])</f>
        <v>6.1730628507200688E-4</v>
      </c>
      <c r="F682" s="23" t="e">
        <f>IF(B682=1997, 100, IF(COUNTIF(A$1:A681,A682)=0, "NEW", F681*(1+Table1[[#This Row],[Ávöxtun]])))</f>
        <v>#VALUE!</v>
      </c>
      <c r="G682" s="18" t="str" cm="1">
        <f t="array" ref="G682">IFERROR(_xlfn.IFS(ISNUMBER(Table1[[#This Row],[Column3]]),Table1[[#This Row],[Column3]],Table1[[#This Row],[Column3]]="NEW",Table1[[#This Row],[Column3]]),"")</f>
        <v/>
      </c>
      <c r="H682" s="15" cm="1">
        <f t="array" ref="H682">_xlfn.IFS(Table1[[#This Row],[Column4]]="NEW",AVERAGEIFS(Table1[Column4],Table1[Year],Table1[[#This Row],[Year]]),ISNUMBER(Table1[[#This Row],[Column4]]),Table1[[#This Row],[Column4]],Table1[[#This Row],[Column4]]="",H681*(1+Table1[[#This Row],[Ávöxtun]]))</f>
        <v>87.101612502587258</v>
      </c>
      <c r="I682" cm="1">
        <f t="array" ref="I682">_xlfn.IFS(Table1[[#This Row],[Column4]]="NEW",_xlfn.XLOOKUP(Table1[[#This Row],[Year]],$N$2:$N$27,$P$2:$P$27),ISNUMBER(Table1[[#This Row],[Column4]]),Table1[[#This Row],[Column4]],Table1[[#This Row],[Column4]]="",I681*(1+Table1[[#This Row],[Ávöxtun]]))</f>
        <v>87.433007545015954</v>
      </c>
      <c r="L682" s="33">
        <v>87.101612502587258</v>
      </c>
      <c r="M682" s="33">
        <v>94.171168890524186</v>
      </c>
    </row>
    <row r="683" spans="1:13">
      <c r="A683" t="s">
        <v>118</v>
      </c>
      <c r="B683">
        <v>2010</v>
      </c>
      <c r="C683" s="16">
        <v>2.4300000000000002E-2</v>
      </c>
      <c r="D683" s="1">
        <v>47690511</v>
      </c>
      <c r="E683" s="29">
        <f>Table1[[#This Row],[Ávöxtun]]*Table1[[#This Row],[Eignir]]/SUMIFS(Table1[Eignir],Table1[Year],Table1[[#This Row],[Year]])</f>
        <v>6.4822023158526282E-4</v>
      </c>
      <c r="F683" s="23" t="e">
        <f>IF(B683=1997, 100, IF(COUNTIF(A$1:A682,A683)=0, "NEW", F682*(1+Table1[[#This Row],[Ávöxtun]])))</f>
        <v>#VALUE!</v>
      </c>
      <c r="G683" s="18" t="str" cm="1">
        <f t="array" ref="G683">IFERROR(_xlfn.IFS(ISNUMBER(Table1[[#This Row],[Column3]]),Table1[[#This Row],[Column3]],Table1[[#This Row],[Column3]]="NEW",Table1[[#This Row],[Column3]]),"")</f>
        <v/>
      </c>
      <c r="H683" s="15" cm="1">
        <f t="array" ref="H683">_xlfn.IFS(Table1[[#This Row],[Column4]]="NEW",AVERAGEIFS(Table1[Column4],Table1[Year],Table1[[#This Row],[Year]]),ISNUMBER(Table1[[#This Row],[Column4]]),Table1[[#This Row],[Column4]],Table1[[#This Row],[Column4]]="",H682*(1+Table1[[#This Row],[Ávöxtun]]))</f>
        <v>89.218181686400129</v>
      </c>
      <c r="I683" cm="1">
        <f t="array" ref="I683">_xlfn.IFS(Table1[[#This Row],[Column4]]="NEW",_xlfn.XLOOKUP(Table1[[#This Row],[Year]],$N$2:$N$27,$P$2:$P$27),ISNUMBER(Table1[[#This Row],[Column4]]),Table1[[#This Row],[Column4]],Table1[[#This Row],[Column4]]="",I682*(1+Table1[[#This Row],[Ávöxtun]]))</f>
        <v>89.557629628359834</v>
      </c>
      <c r="L683" s="33">
        <v>89.218181686400129</v>
      </c>
      <c r="M683" s="33">
        <v>96.459528294563924</v>
      </c>
    </row>
    <row r="684" spans="1:13">
      <c r="A684" t="s">
        <v>118</v>
      </c>
      <c r="B684">
        <v>2011</v>
      </c>
      <c r="C684" s="16">
        <v>7.2000000000000008E-2</v>
      </c>
      <c r="D684" s="1">
        <v>57425655</v>
      </c>
      <c r="E684" s="29">
        <f>Table1[[#This Row],[Ávöxtun]]*Table1[[#This Row],[Eignir]]/SUMIFS(Table1[Eignir],Table1[Year],Table1[[#This Row],[Year]])</f>
        <v>2.119724398695632E-3</v>
      </c>
      <c r="F684" s="23" t="e">
        <f>IF(B684=1997, 100, IF(COUNTIF(A$1:A683,A684)=0, "NEW", F683*(1+Table1[[#This Row],[Ávöxtun]])))</f>
        <v>#VALUE!</v>
      </c>
      <c r="G684" s="18" t="str" cm="1">
        <f t="array" ref="G684">IFERROR(_xlfn.IFS(ISNUMBER(Table1[[#This Row],[Column3]]),Table1[[#This Row],[Column3]],Table1[[#This Row],[Column3]]="NEW",Table1[[#This Row],[Column3]]),"")</f>
        <v/>
      </c>
      <c r="H684" s="15" cm="1">
        <f t="array" ref="H684">_xlfn.IFS(Table1[[#This Row],[Column4]]="NEW",AVERAGEIFS(Table1[Column4],Table1[Year],Table1[[#This Row],[Year]]),ISNUMBER(Table1[[#This Row],[Column4]]),Table1[[#This Row],[Column4]],Table1[[#This Row],[Column4]]="",H683*(1+Table1[[#This Row],[Ávöxtun]]))</f>
        <v>95.641890767820939</v>
      </c>
      <c r="I684" cm="1">
        <f t="array" ref="I684">_xlfn.IFS(Table1[[#This Row],[Column4]]="NEW",_xlfn.XLOOKUP(Table1[[#This Row],[Year]],$N$2:$N$27,$P$2:$P$27),ISNUMBER(Table1[[#This Row],[Column4]]),Table1[[#This Row],[Column4]],Table1[[#This Row],[Column4]]="",I683*(1+Table1[[#This Row],[Ávöxtun]]))</f>
        <v>96.005778961601749</v>
      </c>
      <c r="L684" s="33">
        <v>95.641890767820939</v>
      </c>
      <c r="M684" s="33">
        <v>103.40461433177254</v>
      </c>
    </row>
    <row r="685" spans="1:13">
      <c r="A685" t="s">
        <v>118</v>
      </c>
      <c r="B685">
        <v>2012</v>
      </c>
      <c r="C685" s="16">
        <v>8.199999999999999E-2</v>
      </c>
      <c r="D685" s="1">
        <v>68503666</v>
      </c>
      <c r="E685" s="29">
        <f>Table1[[#This Row],[Ávöxtun]]*Table1[[#This Row],[Eignir]]/SUMIFS(Table1[Eignir],Table1[Year],Table1[[#This Row],[Year]])</f>
        <v>2.5500231288611507E-3</v>
      </c>
      <c r="F685" s="23" t="e">
        <f>IF(B685=1997, 100, IF(COUNTIF(A$1:A684,A685)=0, "NEW", F684*(1+Table1[[#This Row],[Ávöxtun]])))</f>
        <v>#VALUE!</v>
      </c>
      <c r="G685" s="18" t="str" cm="1">
        <f t="array" ref="G685">IFERROR(_xlfn.IFS(ISNUMBER(Table1[[#This Row],[Column3]]),Table1[[#This Row],[Column3]],Table1[[#This Row],[Column3]]="NEW",Table1[[#This Row],[Column3]]),"")</f>
        <v/>
      </c>
      <c r="H685" s="15" cm="1">
        <f t="array" ref="H685">_xlfn.IFS(Table1[[#This Row],[Column4]]="NEW",AVERAGEIFS(Table1[Column4],Table1[Year],Table1[[#This Row],[Year]]),ISNUMBER(Table1[[#This Row],[Column4]]),Table1[[#This Row],[Column4]],Table1[[#This Row],[Column4]]="",H684*(1+Table1[[#This Row],[Ávöxtun]]))</f>
        <v>103.48452581078226</v>
      </c>
      <c r="I685" cm="1">
        <f t="array" ref="I685">_xlfn.IFS(Table1[[#This Row],[Column4]]="NEW",_xlfn.XLOOKUP(Table1[[#This Row],[Year]],$N$2:$N$27,$P$2:$P$27),ISNUMBER(Table1[[#This Row],[Column4]]),Table1[[#This Row],[Column4]],Table1[[#This Row],[Column4]]="",I684*(1+Table1[[#This Row],[Ávöxtun]]))</f>
        <v>103.8782528364531</v>
      </c>
      <c r="L685" s="33">
        <v>103.48452581078226</v>
      </c>
      <c r="M685" s="33">
        <v>111.88379270697789</v>
      </c>
    </row>
    <row r="686" spans="1:13">
      <c r="A686" t="s">
        <v>118</v>
      </c>
      <c r="B686">
        <v>2013</v>
      </c>
      <c r="C686" s="16">
        <v>0.11</v>
      </c>
      <c r="D686" s="1">
        <v>85374276</v>
      </c>
      <c r="E686" s="29">
        <f>Table1[[#This Row],[Ávöxtun]]*Table1[[#This Row],[Eignir]]/SUMIFS(Table1[Eignir],Table1[Year],Table1[[#This Row],[Year]])</f>
        <v>3.8589946358901245E-3</v>
      </c>
      <c r="F686" s="23" t="e">
        <f>IF(B686=1997, 100, IF(COUNTIF(A$1:A685,A686)=0, "NEW", F685*(1+Table1[[#This Row],[Ávöxtun]])))</f>
        <v>#VALUE!</v>
      </c>
      <c r="G686" s="18" t="str" cm="1">
        <f t="array" ref="G686">IFERROR(_xlfn.IFS(ISNUMBER(Table1[[#This Row],[Column3]]),Table1[[#This Row],[Column3]],Table1[[#This Row],[Column3]]="NEW",Table1[[#This Row],[Column3]]),"")</f>
        <v/>
      </c>
      <c r="H686" s="15" cm="1">
        <f t="array" ref="H686">_xlfn.IFS(Table1[[#This Row],[Column4]]="NEW",AVERAGEIFS(Table1[Column4],Table1[Year],Table1[[#This Row],[Year]]),ISNUMBER(Table1[[#This Row],[Column4]]),Table1[[#This Row],[Column4]],Table1[[#This Row],[Column4]]="",H685*(1+Table1[[#This Row],[Ávöxtun]]))</f>
        <v>114.86782364996832</v>
      </c>
      <c r="I686" cm="1">
        <f t="array" ref="I686">_xlfn.IFS(Table1[[#This Row],[Column4]]="NEW",_xlfn.XLOOKUP(Table1[[#This Row],[Year]],$N$2:$N$27,$P$2:$P$27),ISNUMBER(Table1[[#This Row],[Column4]]),Table1[[#This Row],[Column4]],Table1[[#This Row],[Column4]]="",I685*(1+Table1[[#This Row],[Ávöxtun]]))</f>
        <v>115.30486064846295</v>
      </c>
      <c r="L686" s="33">
        <v>114.86782364996832</v>
      </c>
      <c r="M686" s="33">
        <v>124.19100990474547</v>
      </c>
    </row>
    <row r="687" spans="1:13">
      <c r="A687" t="s">
        <v>118</v>
      </c>
      <c r="B687">
        <v>2014</v>
      </c>
      <c r="C687" s="16">
        <v>0.14599999999999999</v>
      </c>
      <c r="D687" s="1">
        <v>97109569</v>
      </c>
      <c r="E687" s="29">
        <f>Table1[[#This Row],[Ávöxtun]]*Table1[[#This Row],[Eignir]]/SUMIFS(Table1[Eignir],Table1[Year],Table1[[#This Row],[Year]])</f>
        <v>5.3441004067673152E-3</v>
      </c>
      <c r="F687" s="23" t="e">
        <f>IF(B687=1997, 100, IF(COUNTIF(A$1:A686,A687)=0, "NEW", F686*(1+Table1[[#This Row],[Ávöxtun]])))</f>
        <v>#VALUE!</v>
      </c>
      <c r="G687" s="18" t="str" cm="1">
        <f t="array" ref="G687">IFERROR(_xlfn.IFS(ISNUMBER(Table1[[#This Row],[Column3]]),Table1[[#This Row],[Column3]],Table1[[#This Row],[Column3]]="NEW",Table1[[#This Row],[Column3]]),"")</f>
        <v/>
      </c>
      <c r="H687" s="15" cm="1">
        <f t="array" ref="H687">_xlfn.IFS(Table1[[#This Row],[Column4]]="NEW",AVERAGEIFS(Table1[Column4],Table1[Year],Table1[[#This Row],[Year]]),ISNUMBER(Table1[[#This Row],[Column4]]),Table1[[#This Row],[Column4]],Table1[[#This Row],[Column4]]="",H686*(1+Table1[[#This Row],[Ávöxtun]]))</f>
        <v>131.63852590286368</v>
      </c>
      <c r="I687" cm="1">
        <f t="array" ref="I687">_xlfn.IFS(Table1[[#This Row],[Column4]]="NEW",_xlfn.XLOOKUP(Table1[[#This Row],[Year]],$N$2:$N$27,$P$2:$P$27),ISNUMBER(Table1[[#This Row],[Column4]]),Table1[[#This Row],[Column4]],Table1[[#This Row],[Column4]]="",I686*(1+Table1[[#This Row],[Ávöxtun]]))</f>
        <v>132.13937030313852</v>
      </c>
      <c r="L687" s="33">
        <v>131.63852590286368</v>
      </c>
      <c r="M687" s="33">
        <v>142.3228973508383</v>
      </c>
    </row>
    <row r="688" spans="1:13">
      <c r="A688" t="s">
        <v>118</v>
      </c>
      <c r="B688">
        <v>2015</v>
      </c>
      <c r="C688" s="16">
        <v>0.25</v>
      </c>
      <c r="D688" s="1">
        <v>114600024</v>
      </c>
      <c r="E688" s="29">
        <f>Table1[[#This Row],[Ávöxtun]]*Table1[[#This Row],[Eignir]]/SUMIFS(Table1[Eignir],Table1[Year],Table1[[#This Row],[Year]])</f>
        <v>9.6745514344838881E-3</v>
      </c>
      <c r="F688" s="23" t="e">
        <f>IF(B688=1997, 100, IF(COUNTIF(A$1:A687,A688)=0, "NEW", F687*(1+Table1[[#This Row],[Ávöxtun]])))</f>
        <v>#VALUE!</v>
      </c>
      <c r="G688" s="18" t="str" cm="1">
        <f t="array" ref="G688">IFERROR(_xlfn.IFS(ISNUMBER(Table1[[#This Row],[Column3]]),Table1[[#This Row],[Column3]],Table1[[#This Row],[Column3]]="NEW",Table1[[#This Row],[Column3]]),"")</f>
        <v/>
      </c>
      <c r="H688" s="15" cm="1">
        <f t="array" ref="H688">_xlfn.IFS(Table1[[#This Row],[Column4]]="NEW",AVERAGEIFS(Table1[Column4],Table1[Year],Table1[[#This Row],[Year]]),ISNUMBER(Table1[[#This Row],[Column4]]),Table1[[#This Row],[Column4]],Table1[[#This Row],[Column4]]="",H687*(1+Table1[[#This Row],[Ávöxtun]]))</f>
        <v>164.54815737857959</v>
      </c>
      <c r="I688" cm="1">
        <f t="array" ref="I688">_xlfn.IFS(Table1[[#This Row],[Column4]]="NEW",_xlfn.XLOOKUP(Table1[[#This Row],[Year]],$N$2:$N$27,$P$2:$P$27),ISNUMBER(Table1[[#This Row],[Column4]]),Table1[[#This Row],[Column4]],Table1[[#This Row],[Column4]]="",I687*(1+Table1[[#This Row],[Ávöxtun]]))</f>
        <v>165.17421287892316</v>
      </c>
      <c r="L688" s="33">
        <v>164.54815737857959</v>
      </c>
      <c r="M688" s="33">
        <v>177.90362168854787</v>
      </c>
    </row>
    <row r="689" spans="1:13">
      <c r="A689" t="s">
        <v>118</v>
      </c>
      <c r="B689">
        <v>2016</v>
      </c>
      <c r="C689" s="16">
        <v>-1.9E-2</v>
      </c>
      <c r="D689" s="1">
        <v>128617380.75</v>
      </c>
      <c r="E689" s="29">
        <f>Table1[[#This Row],[Ávöxtun]]*Table1[[#This Row],[Eignir]]/SUMIFS(Table1[Eignir],Table1[Year],Table1[[#This Row],[Year]])</f>
        <v>-7.6365456369241718E-4</v>
      </c>
      <c r="F689" s="23" t="e">
        <f>IF(B689=1997, 100, IF(COUNTIF(A$1:A688,A689)=0, "NEW", F688*(1+Table1[[#This Row],[Ávöxtun]])))</f>
        <v>#VALUE!</v>
      </c>
      <c r="G689" s="18" t="str" cm="1">
        <f t="array" ref="G689">IFERROR(_xlfn.IFS(ISNUMBER(Table1[[#This Row],[Column3]]),Table1[[#This Row],[Column3]],Table1[[#This Row],[Column3]]="NEW",Table1[[#This Row],[Column3]]),"")</f>
        <v/>
      </c>
      <c r="H689" s="15" cm="1">
        <f t="array" ref="H689">_xlfn.IFS(Table1[[#This Row],[Column4]]="NEW",AVERAGEIFS(Table1[Column4],Table1[Year],Table1[[#This Row],[Year]]),ISNUMBER(Table1[[#This Row],[Column4]]),Table1[[#This Row],[Column4]],Table1[[#This Row],[Column4]]="",H688*(1+Table1[[#This Row],[Ávöxtun]]))</f>
        <v>161.42174238838658</v>
      </c>
      <c r="I689" cm="1">
        <f t="array" ref="I689">_xlfn.IFS(Table1[[#This Row],[Column4]]="NEW",_xlfn.XLOOKUP(Table1[[#This Row],[Year]],$N$2:$N$27,$P$2:$P$27),ISNUMBER(Table1[[#This Row],[Column4]]),Table1[[#This Row],[Column4]],Table1[[#This Row],[Column4]]="",I688*(1+Table1[[#This Row],[Ávöxtun]]))</f>
        <v>162.03590283422361</v>
      </c>
      <c r="L689" s="33">
        <v>161.42174238838658</v>
      </c>
      <c r="M689" s="33">
        <v>174.52345287646546</v>
      </c>
    </row>
    <row r="690" spans="1:13">
      <c r="A690" t="s">
        <v>119</v>
      </c>
      <c r="B690">
        <v>1997</v>
      </c>
      <c r="C690" s="16">
        <v>0.06</v>
      </c>
      <c r="D690" s="1">
        <v>428707.49</v>
      </c>
      <c r="E690" s="29">
        <f>Table1[[#This Row],[Ávöxtun]]*Table1[[#This Row],[Eignir]]/SUMIFS(Table1[Eignir],Table1[Year],Table1[[#This Row],[Year]])</f>
        <v>7.5871760142192252E-5</v>
      </c>
      <c r="F690" s="23">
        <f>IF(B690=1997, 100, IF(COUNTIF(A$1:A689,A690)=0, "NEW", F689*(1+Table1[[#This Row],[Ávöxtun]])))</f>
        <v>100</v>
      </c>
      <c r="G690" s="18" cm="1">
        <f t="array" ref="G690">IFERROR(_xlfn.IFS(ISNUMBER(Table1[[#This Row],[Column3]]),Table1[[#This Row],[Column3]],Table1[[#This Row],[Column3]]="NEW",Table1[[#This Row],[Column3]]),"")</f>
        <v>100</v>
      </c>
      <c r="H690" s="15" cm="1">
        <f t="array" ref="H690">_xlfn.IFS(Table1[[#This Row],[Column4]]="NEW",AVERAGEIFS(Table1[Column4],Table1[Year],Table1[[#This Row],[Year]]),ISNUMBER(Table1[[#This Row],[Column4]]),Table1[[#This Row],[Column4]],Table1[[#This Row],[Column4]]="",H689*(1+Table1[[#This Row],[Ávöxtun]]))</f>
        <v>100</v>
      </c>
      <c r="I690" cm="1">
        <f t="array" ref="I690">_xlfn.IFS(Table1[[#This Row],[Column4]]="NEW",_xlfn.XLOOKUP(Table1[[#This Row],[Year]],$N$2:$N$27,$P$2:$P$27),ISNUMBER(Table1[[#This Row],[Column4]]),Table1[[#This Row],[Column4]],Table1[[#This Row],[Column4]]="",I689*(1+Table1[[#This Row],[Ávöxtun]]))</f>
        <v>100</v>
      </c>
      <c r="L690" s="33">
        <v>100</v>
      </c>
      <c r="M690" s="33">
        <v>100</v>
      </c>
    </row>
    <row r="691" spans="1:13">
      <c r="A691" t="s">
        <v>119</v>
      </c>
      <c r="B691">
        <v>1998</v>
      </c>
      <c r="C691" s="16">
        <v>7.0000000000000007E-2</v>
      </c>
      <c r="D691" s="1">
        <v>433461.99</v>
      </c>
      <c r="E691" s="29">
        <f>Table1[[#This Row],[Ávöxtun]]*Table1[[#This Row],[Eignir]]/SUMIFS(Table1[Eignir],Table1[Year],Table1[[#This Row],[Year]])</f>
        <v>7.7476084132718426E-5</v>
      </c>
      <c r="F691" s="23">
        <f>IF(B691=1997, 100, IF(COUNTIF(A$1:A690,A691)=0, "NEW", F690*(1+Table1[[#This Row],[Ávöxtun]])))</f>
        <v>107</v>
      </c>
      <c r="G691" s="18" cm="1">
        <f t="array" ref="G691">IFERROR(_xlfn.IFS(ISNUMBER(Table1[[#This Row],[Column3]]),Table1[[#This Row],[Column3]],Table1[[#This Row],[Column3]]="NEW",Table1[[#This Row],[Column3]]),"")</f>
        <v>107</v>
      </c>
      <c r="H691" s="15" cm="1">
        <f t="array" ref="H691">_xlfn.IFS(Table1[[#This Row],[Column4]]="NEW",AVERAGEIFS(Table1[Column4],Table1[Year],Table1[[#This Row],[Year]]),ISNUMBER(Table1[[#This Row],[Column4]]),Table1[[#This Row],[Column4]],Table1[[#This Row],[Column4]]="",H690*(1+Table1[[#This Row],[Ávöxtun]]))</f>
        <v>107</v>
      </c>
      <c r="I691" cm="1">
        <f t="array" ref="I691">_xlfn.IFS(Table1[[#This Row],[Column4]]="NEW",_xlfn.XLOOKUP(Table1[[#This Row],[Year]],$N$2:$N$27,$P$2:$P$27),ISNUMBER(Table1[[#This Row],[Column4]]),Table1[[#This Row],[Column4]],Table1[[#This Row],[Column4]]="",I690*(1+Table1[[#This Row],[Ávöxtun]]))</f>
        <v>107</v>
      </c>
      <c r="L691" s="33">
        <v>107</v>
      </c>
      <c r="M691" s="33">
        <v>107</v>
      </c>
    </row>
    <row r="692" spans="1:13">
      <c r="A692" t="s">
        <v>119</v>
      </c>
      <c r="B692">
        <v>1999</v>
      </c>
      <c r="C692" s="16">
        <v>0.06</v>
      </c>
      <c r="D692" s="1">
        <v>461300.28</v>
      </c>
      <c r="E692" s="29">
        <f>Table1[[#This Row],[Ávöxtun]]*Table1[[#This Row],[Eignir]]/SUMIFS(Table1[Eignir],Table1[Year],Table1[[#This Row],[Year]])</f>
        <v>5.3153696676291544E-5</v>
      </c>
      <c r="F692" s="23">
        <f>IF(B692=1997, 100, IF(COUNTIF(A$1:A691,A692)=0, "NEW", F691*(1+Table1[[#This Row],[Ávöxtun]])))</f>
        <v>113.42</v>
      </c>
      <c r="G692" s="18" cm="1">
        <f t="array" ref="G692">IFERROR(_xlfn.IFS(ISNUMBER(Table1[[#This Row],[Column3]]),Table1[[#This Row],[Column3]],Table1[[#This Row],[Column3]]="NEW",Table1[[#This Row],[Column3]]),"")</f>
        <v>113.42</v>
      </c>
      <c r="H692" s="15" cm="1">
        <f t="array" ref="H692">_xlfn.IFS(Table1[[#This Row],[Column4]]="NEW",AVERAGEIFS(Table1[Column4],Table1[Year],Table1[[#This Row],[Year]]),ISNUMBER(Table1[[#This Row],[Column4]]),Table1[[#This Row],[Column4]],Table1[[#This Row],[Column4]]="",H691*(1+Table1[[#This Row],[Ávöxtun]]))</f>
        <v>113.42</v>
      </c>
      <c r="I692" cm="1">
        <f t="array" ref="I692">_xlfn.IFS(Table1[[#This Row],[Column4]]="NEW",_xlfn.XLOOKUP(Table1[[#This Row],[Year]],$N$2:$N$27,$P$2:$P$27),ISNUMBER(Table1[[#This Row],[Column4]]),Table1[[#This Row],[Column4]],Table1[[#This Row],[Column4]]="",I691*(1+Table1[[#This Row],[Ávöxtun]]))</f>
        <v>113.42</v>
      </c>
      <c r="L692" s="33">
        <v>113.42</v>
      </c>
      <c r="M692" s="33">
        <v>113.42</v>
      </c>
    </row>
    <row r="693" spans="1:13">
      <c r="A693" t="s">
        <v>119</v>
      </c>
      <c r="B693">
        <v>2000</v>
      </c>
      <c r="C693" s="16">
        <v>0</v>
      </c>
      <c r="D693" s="1">
        <v>463041.65</v>
      </c>
      <c r="E693" s="29">
        <f>Table1[[#This Row],[Ávöxtun]]*Table1[[#This Row],[Eignir]]/SUMIFS(Table1[Eignir],Table1[Year],Table1[[#This Row],[Year]])</f>
        <v>0</v>
      </c>
      <c r="F693" s="23">
        <f>IF(B693=1997, 100, IF(COUNTIF(A$1:A692,A693)=0, "NEW", F692*(1+Table1[[#This Row],[Ávöxtun]])))</f>
        <v>113.42</v>
      </c>
      <c r="G693" s="18" cm="1">
        <f t="array" ref="G693">IFERROR(_xlfn.IFS(ISNUMBER(Table1[[#This Row],[Column3]]),Table1[[#This Row],[Column3]],Table1[[#This Row],[Column3]]="NEW",Table1[[#This Row],[Column3]]),"")</f>
        <v>113.42</v>
      </c>
      <c r="H693" s="15" cm="1">
        <f t="array" ref="H693">_xlfn.IFS(Table1[[#This Row],[Column4]]="NEW",AVERAGEIFS(Table1[Column4],Table1[Year],Table1[[#This Row],[Year]]),ISNUMBER(Table1[[#This Row],[Column4]]),Table1[[#This Row],[Column4]],Table1[[#This Row],[Column4]]="",H692*(1+Table1[[#This Row],[Ávöxtun]]))</f>
        <v>113.42</v>
      </c>
      <c r="I693" cm="1">
        <f t="array" ref="I693">_xlfn.IFS(Table1[[#This Row],[Column4]]="NEW",_xlfn.XLOOKUP(Table1[[#This Row],[Year]],$N$2:$N$27,$P$2:$P$27),ISNUMBER(Table1[[#This Row],[Column4]]),Table1[[#This Row],[Column4]],Table1[[#This Row],[Column4]]="",I692*(1+Table1[[#This Row],[Ávöxtun]]))</f>
        <v>113.42</v>
      </c>
      <c r="L693" s="33">
        <v>113.42</v>
      </c>
      <c r="M693" s="33">
        <v>113.42</v>
      </c>
    </row>
    <row r="694" spans="1:13">
      <c r="A694" t="s">
        <v>119</v>
      </c>
      <c r="B694">
        <v>2001</v>
      </c>
      <c r="C694" s="16">
        <v>0.02</v>
      </c>
      <c r="D694" s="1">
        <v>468899</v>
      </c>
      <c r="E694" s="29">
        <f>Table1[[#This Row],[Ávöxtun]]*Table1[[#This Row],[Eignir]]/SUMIFS(Table1[Eignir],Table1[Year],Table1[[#This Row],[Year]])</f>
        <v>8.0990177513468215E-6</v>
      </c>
      <c r="F694" s="23">
        <f>IF(B694=1997, 100, IF(COUNTIF(A$1:A693,A694)=0, "NEW", F693*(1+Table1[[#This Row],[Ávöxtun]])))</f>
        <v>115.6884</v>
      </c>
      <c r="G694" s="18" cm="1">
        <f t="array" ref="G694">IFERROR(_xlfn.IFS(ISNUMBER(Table1[[#This Row],[Column3]]),Table1[[#This Row],[Column3]],Table1[[#This Row],[Column3]]="NEW",Table1[[#This Row],[Column3]]),"")</f>
        <v>115.6884</v>
      </c>
      <c r="H694" s="15" cm="1">
        <f t="array" ref="H694">_xlfn.IFS(Table1[[#This Row],[Column4]]="NEW",AVERAGEIFS(Table1[Column4],Table1[Year],Table1[[#This Row],[Year]]),ISNUMBER(Table1[[#This Row],[Column4]]),Table1[[#This Row],[Column4]],Table1[[#This Row],[Column4]]="",H693*(1+Table1[[#This Row],[Ávöxtun]]))</f>
        <v>115.6884</v>
      </c>
      <c r="I694" cm="1">
        <f t="array" ref="I694">_xlfn.IFS(Table1[[#This Row],[Column4]]="NEW",_xlfn.XLOOKUP(Table1[[#This Row],[Year]],$N$2:$N$27,$P$2:$P$27),ISNUMBER(Table1[[#This Row],[Column4]]),Table1[[#This Row],[Column4]],Table1[[#This Row],[Column4]]="",I693*(1+Table1[[#This Row],[Ávöxtun]]))</f>
        <v>115.6884</v>
      </c>
      <c r="L694" s="33">
        <v>115.6884</v>
      </c>
      <c r="M694" s="33">
        <v>115.6884</v>
      </c>
    </row>
    <row r="695" spans="1:13">
      <c r="A695" t="s">
        <v>119</v>
      </c>
      <c r="B695">
        <v>2002</v>
      </c>
      <c r="C695" s="16">
        <v>7.0000000000000007E-2</v>
      </c>
      <c r="D695" s="1">
        <v>478231</v>
      </c>
      <c r="E695" s="29">
        <f>Table1[[#This Row],[Ávöxtun]]*Table1[[#This Row],[Eignir]]/SUMIFS(Table1[Eignir],Table1[Year],Table1[[#This Row],[Year]])</f>
        <v>5.2704753123356575E-5</v>
      </c>
      <c r="F695" s="23">
        <f>IF(B695=1997, 100, IF(COUNTIF(A$1:A694,A695)=0, "NEW", F694*(1+Table1[[#This Row],[Ávöxtun]])))</f>
        <v>123.78658800000001</v>
      </c>
      <c r="G695" s="18" cm="1">
        <f t="array" ref="G695">IFERROR(_xlfn.IFS(ISNUMBER(Table1[[#This Row],[Column3]]),Table1[[#This Row],[Column3]],Table1[[#This Row],[Column3]]="NEW",Table1[[#This Row],[Column3]]),"")</f>
        <v>123.78658800000001</v>
      </c>
      <c r="H695" s="15" cm="1">
        <f t="array" ref="H695">_xlfn.IFS(Table1[[#This Row],[Column4]]="NEW",AVERAGEIFS(Table1[Column4],Table1[Year],Table1[[#This Row],[Year]]),ISNUMBER(Table1[[#This Row],[Column4]]),Table1[[#This Row],[Column4]],Table1[[#This Row],[Column4]]="",H694*(1+Table1[[#This Row],[Ávöxtun]]))</f>
        <v>123.78658800000001</v>
      </c>
      <c r="I695" cm="1">
        <f t="array" ref="I695">_xlfn.IFS(Table1[[#This Row],[Column4]]="NEW",_xlfn.XLOOKUP(Table1[[#This Row],[Year]],$N$2:$N$27,$P$2:$P$27),ISNUMBER(Table1[[#This Row],[Column4]]),Table1[[#This Row],[Column4]],Table1[[#This Row],[Column4]]="",I694*(1+Table1[[#This Row],[Ávöxtun]]))</f>
        <v>123.78658800000001</v>
      </c>
      <c r="L695" s="33">
        <v>123.78658800000001</v>
      </c>
      <c r="M695" s="33">
        <v>123.78658800000001</v>
      </c>
    </row>
    <row r="696" spans="1:13">
      <c r="A696" t="s">
        <v>119</v>
      </c>
      <c r="B696">
        <v>2003</v>
      </c>
      <c r="C696" s="16">
        <v>0.09</v>
      </c>
      <c r="D696" s="1">
        <v>495586</v>
      </c>
      <c r="E696" s="29">
        <f>Table1[[#This Row],[Ávöxtun]]*Table1[[#This Row],[Eignir]]/SUMIFS(Table1[Eignir],Table1[Year],Table1[[#This Row],[Year]])</f>
        <v>5.8696203564234996E-5</v>
      </c>
      <c r="F696" s="23">
        <f>IF(B696=1997, 100, IF(COUNTIF(A$1:A695,A696)=0, "NEW", F695*(1+Table1[[#This Row],[Ávöxtun]])))</f>
        <v>134.92738092000002</v>
      </c>
      <c r="G696" s="18" cm="1">
        <f t="array" ref="G696">IFERROR(_xlfn.IFS(ISNUMBER(Table1[[#This Row],[Column3]]),Table1[[#This Row],[Column3]],Table1[[#This Row],[Column3]]="NEW",Table1[[#This Row],[Column3]]),"")</f>
        <v>134.92738092000002</v>
      </c>
      <c r="H696" s="15" cm="1">
        <f t="array" ref="H696">_xlfn.IFS(Table1[[#This Row],[Column4]]="NEW",AVERAGEIFS(Table1[Column4],Table1[Year],Table1[[#This Row],[Year]]),ISNUMBER(Table1[[#This Row],[Column4]]),Table1[[#This Row],[Column4]],Table1[[#This Row],[Column4]]="",H695*(1+Table1[[#This Row],[Ávöxtun]]))</f>
        <v>134.92738092000002</v>
      </c>
      <c r="I696" cm="1">
        <f t="array" ref="I696">_xlfn.IFS(Table1[[#This Row],[Column4]]="NEW",_xlfn.XLOOKUP(Table1[[#This Row],[Year]],$N$2:$N$27,$P$2:$P$27),ISNUMBER(Table1[[#This Row],[Column4]]),Table1[[#This Row],[Column4]],Table1[[#This Row],[Column4]]="",I695*(1+Table1[[#This Row],[Ávöxtun]]))</f>
        <v>134.92738092000002</v>
      </c>
      <c r="L696" s="33">
        <v>134.92738092000002</v>
      </c>
      <c r="M696" s="33">
        <v>134.92738092000002</v>
      </c>
    </row>
    <row r="697" spans="1:13">
      <c r="A697" t="s">
        <v>119</v>
      </c>
      <c r="B697">
        <v>2004</v>
      </c>
      <c r="C697" s="16">
        <v>7.0000000000000007E-2</v>
      </c>
      <c r="D697" s="1">
        <v>513782</v>
      </c>
      <c r="E697" s="29">
        <f>Table1[[#This Row],[Ávöxtun]]*Table1[[#This Row],[Eignir]]/SUMIFS(Table1[Eignir],Table1[Year],Table1[[#This Row],[Year]])</f>
        <v>3.9623126419731464E-5</v>
      </c>
      <c r="F697" s="23">
        <f>IF(B697=1997, 100, IF(COUNTIF(A$1:A696,A697)=0, "NEW", F696*(1+Table1[[#This Row],[Ávöxtun]])))</f>
        <v>144.37229758440003</v>
      </c>
      <c r="G697" s="18" cm="1">
        <f t="array" ref="G697">IFERROR(_xlfn.IFS(ISNUMBER(Table1[[#This Row],[Column3]]),Table1[[#This Row],[Column3]],Table1[[#This Row],[Column3]]="NEW",Table1[[#This Row],[Column3]]),"")</f>
        <v>144.37229758440003</v>
      </c>
      <c r="H697" s="15" cm="1">
        <f t="array" ref="H697">_xlfn.IFS(Table1[[#This Row],[Column4]]="NEW",AVERAGEIFS(Table1[Column4],Table1[Year],Table1[[#This Row],[Year]]),ISNUMBER(Table1[[#This Row],[Column4]]),Table1[[#This Row],[Column4]],Table1[[#This Row],[Column4]]="",H696*(1+Table1[[#This Row],[Ávöxtun]]))</f>
        <v>144.37229758440003</v>
      </c>
      <c r="I697" cm="1">
        <f t="array" ref="I697">_xlfn.IFS(Table1[[#This Row],[Column4]]="NEW",_xlfn.XLOOKUP(Table1[[#This Row],[Year]],$N$2:$N$27,$P$2:$P$27),ISNUMBER(Table1[[#This Row],[Column4]]),Table1[[#This Row],[Column4]],Table1[[#This Row],[Column4]]="",I696*(1+Table1[[#This Row],[Ávöxtun]]))</f>
        <v>144.37229758440003</v>
      </c>
      <c r="L697" s="33">
        <v>144.37229758440003</v>
      </c>
      <c r="M697" s="33">
        <v>144.37229758440003</v>
      </c>
    </row>
    <row r="698" spans="1:13">
      <c r="A698" t="s">
        <v>119</v>
      </c>
      <c r="B698">
        <v>2005</v>
      </c>
      <c r="C698" s="16">
        <v>0.05</v>
      </c>
      <c r="D698" s="1">
        <v>523379</v>
      </c>
      <c r="E698" s="29">
        <f>Table1[[#This Row],[Ávöxtun]]*Table1[[#This Row],[Eignir]]/SUMIFS(Table1[Eignir],Table1[Year],Table1[[#This Row],[Year]])</f>
        <v>2.3337259634784735E-5</v>
      </c>
      <c r="F698" s="23">
        <f>IF(B698=1997, 100, IF(COUNTIF(A$1:A697,A698)=0, "NEW", F697*(1+Table1[[#This Row],[Ávöxtun]])))</f>
        <v>151.59091246362004</v>
      </c>
      <c r="G698" s="18" cm="1">
        <f t="array" ref="G698">IFERROR(_xlfn.IFS(ISNUMBER(Table1[[#This Row],[Column3]]),Table1[[#This Row],[Column3]],Table1[[#This Row],[Column3]]="NEW",Table1[[#This Row],[Column3]]),"")</f>
        <v>151.59091246362004</v>
      </c>
      <c r="H698" s="15" cm="1">
        <f t="array" ref="H698">_xlfn.IFS(Table1[[#This Row],[Column4]]="NEW",AVERAGEIFS(Table1[Column4],Table1[Year],Table1[[#This Row],[Year]]),ISNUMBER(Table1[[#This Row],[Column4]]),Table1[[#This Row],[Column4]],Table1[[#This Row],[Column4]]="",H697*(1+Table1[[#This Row],[Ávöxtun]]))</f>
        <v>151.59091246362004</v>
      </c>
      <c r="I698" cm="1">
        <f t="array" ref="I698">_xlfn.IFS(Table1[[#This Row],[Column4]]="NEW",_xlfn.XLOOKUP(Table1[[#This Row],[Year]],$N$2:$N$27,$P$2:$P$27),ISNUMBER(Table1[[#This Row],[Column4]]),Table1[[#This Row],[Column4]],Table1[[#This Row],[Column4]]="",I697*(1+Table1[[#This Row],[Ávöxtun]]))</f>
        <v>151.59091246362004</v>
      </c>
      <c r="L698" s="33">
        <v>151.59091246362004</v>
      </c>
      <c r="M698" s="33">
        <v>151.59091246362004</v>
      </c>
    </row>
    <row r="699" spans="1:13">
      <c r="A699" t="s">
        <v>119</v>
      </c>
      <c r="B699">
        <v>2006</v>
      </c>
      <c r="C699" s="16">
        <v>5.0700000000000002E-2</v>
      </c>
      <c r="D699" s="1">
        <v>547160</v>
      </c>
      <c r="E699" s="29">
        <f>Table1[[#This Row],[Ávöxtun]]*Table1[[#This Row],[Eignir]]/SUMIFS(Table1[Eignir],Table1[Year],Table1[[#This Row],[Year]])</f>
        <v>2.020944438119409E-5</v>
      </c>
      <c r="F699" s="23">
        <f>IF(B699=1997, 100, IF(COUNTIF(A$1:A698,A699)=0, "NEW", F698*(1+Table1[[#This Row],[Ávöxtun]])))</f>
        <v>159.27657172552557</v>
      </c>
      <c r="G699" s="18" cm="1">
        <f t="array" ref="G699">IFERROR(_xlfn.IFS(ISNUMBER(Table1[[#This Row],[Column3]]),Table1[[#This Row],[Column3]],Table1[[#This Row],[Column3]]="NEW",Table1[[#This Row],[Column3]]),"")</f>
        <v>159.27657172552557</v>
      </c>
      <c r="H699" s="15" cm="1">
        <f t="array" ref="H699">_xlfn.IFS(Table1[[#This Row],[Column4]]="NEW",AVERAGEIFS(Table1[Column4],Table1[Year],Table1[[#This Row],[Year]]),ISNUMBER(Table1[[#This Row],[Column4]]),Table1[[#This Row],[Column4]],Table1[[#This Row],[Column4]]="",H698*(1+Table1[[#This Row],[Ávöxtun]]))</f>
        <v>159.27657172552557</v>
      </c>
      <c r="I699" cm="1">
        <f t="array" ref="I699">_xlfn.IFS(Table1[[#This Row],[Column4]]="NEW",_xlfn.XLOOKUP(Table1[[#This Row],[Year]],$N$2:$N$27,$P$2:$P$27),ISNUMBER(Table1[[#This Row],[Column4]]),Table1[[#This Row],[Column4]],Table1[[#This Row],[Column4]]="",I698*(1+Table1[[#This Row],[Ávöxtun]]))</f>
        <v>159.27657172552557</v>
      </c>
      <c r="L699" s="33">
        <v>159.27657172552557</v>
      </c>
      <c r="M699" s="33">
        <v>159.27657172552557</v>
      </c>
    </row>
    <row r="700" spans="1:13">
      <c r="A700" t="s">
        <v>100</v>
      </c>
      <c r="B700">
        <v>1997</v>
      </c>
      <c r="C700" s="16">
        <v>7.0000000000000007E-2</v>
      </c>
      <c r="D700" s="1">
        <v>7241571.3600000003</v>
      </c>
      <c r="E700" s="29">
        <f>Table1[[#This Row],[Ávöxtun]]*Table1[[#This Row],[Eignir]]/SUMIFS(Table1[Eignir],Table1[Year],Table1[[#This Row],[Year]])</f>
        <v>1.4951979483530146E-3</v>
      </c>
      <c r="F700" s="23">
        <f>IF(B700=1997, 100, IF(COUNTIF(A$1:A699,A700)=0, "NEW", F699*(1+Table1[[#This Row],[Ávöxtun]])))</f>
        <v>100</v>
      </c>
      <c r="G700" s="18" cm="1">
        <f t="array" ref="G700">IFERROR(_xlfn.IFS(ISNUMBER(Table1[[#This Row],[Column3]]),Table1[[#This Row],[Column3]],Table1[[#This Row],[Column3]]="NEW",Table1[[#This Row],[Column3]]),"")</f>
        <v>100</v>
      </c>
      <c r="H700" s="15" cm="1">
        <f t="array" ref="H700">_xlfn.IFS(Table1[[#This Row],[Column4]]="NEW",AVERAGEIFS(Table1[Column4],Table1[Year],Table1[[#This Row],[Year]]),ISNUMBER(Table1[[#This Row],[Column4]]),Table1[[#This Row],[Column4]],Table1[[#This Row],[Column4]]="",H699*(1+Table1[[#This Row],[Ávöxtun]]))</f>
        <v>100</v>
      </c>
      <c r="I700" cm="1">
        <f t="array" ref="I700">_xlfn.IFS(Table1[[#This Row],[Column4]]="NEW",_xlfn.XLOOKUP(Table1[[#This Row],[Year]],$N$2:$N$27,$P$2:$P$27),ISNUMBER(Table1[[#This Row],[Column4]]),Table1[[#This Row],[Column4]],Table1[[#This Row],[Column4]]="",I699*(1+Table1[[#This Row],[Ávöxtun]]))</f>
        <v>100</v>
      </c>
      <c r="L700" s="33">
        <v>100</v>
      </c>
      <c r="M700" s="33">
        <v>100</v>
      </c>
    </row>
    <row r="701" spans="1:13">
      <c r="A701" t="s">
        <v>100</v>
      </c>
      <c r="B701">
        <v>1998</v>
      </c>
      <c r="C701" s="16">
        <v>0.09</v>
      </c>
      <c r="D701" s="1">
        <v>8227564.0199999996</v>
      </c>
      <c r="E701" s="29">
        <f>Table1[[#This Row],[Ávöxtun]]*Table1[[#This Row],[Eignir]]/SUMIFS(Table1[Eignir],Table1[Year],Table1[[#This Row],[Year]])</f>
        <v>1.8907424781146069E-3</v>
      </c>
      <c r="F701" s="23">
        <f>IF(B701=1997, 100, IF(COUNTIF(A$1:A700,A701)=0, "NEW", F700*(1+Table1[[#This Row],[Ávöxtun]])))</f>
        <v>109.00000000000001</v>
      </c>
      <c r="G701" s="18" cm="1">
        <f t="array" ref="G701">IFERROR(_xlfn.IFS(ISNUMBER(Table1[[#This Row],[Column3]]),Table1[[#This Row],[Column3]],Table1[[#This Row],[Column3]]="NEW",Table1[[#This Row],[Column3]]),"")</f>
        <v>109.00000000000001</v>
      </c>
      <c r="H701" s="15" cm="1">
        <f t="array" ref="H701">_xlfn.IFS(Table1[[#This Row],[Column4]]="NEW",AVERAGEIFS(Table1[Column4],Table1[Year],Table1[[#This Row],[Year]]),ISNUMBER(Table1[[#This Row],[Column4]]),Table1[[#This Row],[Column4]],Table1[[#This Row],[Column4]]="",H700*(1+Table1[[#This Row],[Ávöxtun]]))</f>
        <v>109.00000000000001</v>
      </c>
      <c r="I701" cm="1">
        <f t="array" ref="I701">_xlfn.IFS(Table1[[#This Row],[Column4]]="NEW",_xlfn.XLOOKUP(Table1[[#This Row],[Year]],$N$2:$N$27,$P$2:$P$27),ISNUMBER(Table1[[#This Row],[Column4]]),Table1[[#This Row],[Column4]],Table1[[#This Row],[Column4]]="",I700*(1+Table1[[#This Row],[Ávöxtun]]))</f>
        <v>109.00000000000001</v>
      </c>
      <c r="L701" s="33">
        <v>109.00000000000001</v>
      </c>
      <c r="M701" s="33">
        <v>109.00000000000001</v>
      </c>
    </row>
    <row r="702" spans="1:13">
      <c r="A702" t="s">
        <v>100</v>
      </c>
      <c r="B702">
        <v>1999</v>
      </c>
      <c r="C702" s="16">
        <v>0.09</v>
      </c>
      <c r="D702" s="1">
        <v>9712070.5</v>
      </c>
      <c r="E702" s="29">
        <f>Table1[[#This Row],[Ávöxtun]]*Table1[[#This Row],[Eignir]]/SUMIFS(Table1[Eignir],Table1[Year],Table1[[#This Row],[Year]])</f>
        <v>1.6786217302613359E-3</v>
      </c>
      <c r="F702" s="23">
        <f>IF(B702=1997, 100, IF(COUNTIF(A$1:A701,A702)=0, "NEW", F701*(1+Table1[[#This Row],[Ávöxtun]])))</f>
        <v>118.81000000000003</v>
      </c>
      <c r="G702" s="18" cm="1">
        <f t="array" ref="G702">IFERROR(_xlfn.IFS(ISNUMBER(Table1[[#This Row],[Column3]]),Table1[[#This Row],[Column3]],Table1[[#This Row],[Column3]]="NEW",Table1[[#This Row],[Column3]]),"")</f>
        <v>118.81000000000003</v>
      </c>
      <c r="H702" s="15" cm="1">
        <f t="array" ref="H702">_xlfn.IFS(Table1[[#This Row],[Column4]]="NEW",AVERAGEIFS(Table1[Column4],Table1[Year],Table1[[#This Row],[Year]]),ISNUMBER(Table1[[#This Row],[Column4]]),Table1[[#This Row],[Column4]],Table1[[#This Row],[Column4]]="",H701*(1+Table1[[#This Row],[Ávöxtun]]))</f>
        <v>118.81000000000003</v>
      </c>
      <c r="I702" cm="1">
        <f t="array" ref="I702">_xlfn.IFS(Table1[[#This Row],[Column4]]="NEW",_xlfn.XLOOKUP(Table1[[#This Row],[Year]],$N$2:$N$27,$P$2:$P$27),ISNUMBER(Table1[[#This Row],[Column4]]),Table1[[#This Row],[Column4]],Table1[[#This Row],[Column4]]="",I701*(1+Table1[[#This Row],[Ávöxtun]]))</f>
        <v>118.81000000000003</v>
      </c>
      <c r="L702" s="33">
        <v>118.81000000000003</v>
      </c>
      <c r="M702" s="33">
        <v>118.81000000000003</v>
      </c>
    </row>
    <row r="703" spans="1:13">
      <c r="A703" t="s">
        <v>100</v>
      </c>
      <c r="B703">
        <v>2000</v>
      </c>
      <c r="C703" s="16">
        <v>-0.04</v>
      </c>
      <c r="D703" s="1">
        <v>11032896.970000001</v>
      </c>
      <c r="E703" s="29">
        <f>Table1[[#This Row],[Ávöxtun]]*Table1[[#This Row],[Eignir]]/SUMIFS(Table1[Eignir],Table1[Year],Table1[[#This Row],[Year]])</f>
        <v>-6.2079373503989171E-4</v>
      </c>
      <c r="F703" s="23">
        <f>IF(B703=1997, 100, IF(COUNTIF(A$1:A702,A703)=0, "NEW", F702*(1+Table1[[#This Row],[Ávöxtun]])))</f>
        <v>114.05760000000002</v>
      </c>
      <c r="G703" s="18" cm="1">
        <f t="array" ref="G703">IFERROR(_xlfn.IFS(ISNUMBER(Table1[[#This Row],[Column3]]),Table1[[#This Row],[Column3]],Table1[[#This Row],[Column3]]="NEW",Table1[[#This Row],[Column3]]),"")</f>
        <v>114.05760000000002</v>
      </c>
      <c r="H703" s="15" cm="1">
        <f t="array" ref="H703">_xlfn.IFS(Table1[[#This Row],[Column4]]="NEW",AVERAGEIFS(Table1[Column4],Table1[Year],Table1[[#This Row],[Year]]),ISNUMBER(Table1[[#This Row],[Column4]]),Table1[[#This Row],[Column4]],Table1[[#This Row],[Column4]]="",H702*(1+Table1[[#This Row],[Ávöxtun]]))</f>
        <v>114.05760000000002</v>
      </c>
      <c r="I703" cm="1">
        <f t="array" ref="I703">_xlfn.IFS(Table1[[#This Row],[Column4]]="NEW",_xlfn.XLOOKUP(Table1[[#This Row],[Year]],$N$2:$N$27,$P$2:$P$27),ISNUMBER(Table1[[#This Row],[Column4]]),Table1[[#This Row],[Column4]],Table1[[#This Row],[Column4]]="",I702*(1+Table1[[#This Row],[Ávöxtun]]))</f>
        <v>114.05760000000002</v>
      </c>
      <c r="L703" s="33">
        <v>114.05760000000002</v>
      </c>
      <c r="M703" s="33">
        <v>114.05760000000002</v>
      </c>
    </row>
    <row r="704" spans="1:13">
      <c r="A704" t="s">
        <v>100</v>
      </c>
      <c r="B704">
        <v>2001</v>
      </c>
      <c r="C704" s="16">
        <v>-0.05</v>
      </c>
      <c r="D704" s="1">
        <v>11755402</v>
      </c>
      <c r="E704" s="29">
        <f>Table1[[#This Row],[Ávöxtun]]*Table1[[#This Row],[Eignir]]/SUMIFS(Table1[Eignir],Table1[Year],Table1[[#This Row],[Year]])</f>
        <v>-5.0761043141602956E-4</v>
      </c>
      <c r="F704" s="23">
        <f>IF(B704=1997, 100, IF(COUNTIF(A$1:A703,A704)=0, "NEW", F703*(1+Table1[[#This Row],[Ávöxtun]])))</f>
        <v>108.35472000000001</v>
      </c>
      <c r="G704" s="18" cm="1">
        <f t="array" ref="G704">IFERROR(_xlfn.IFS(ISNUMBER(Table1[[#This Row],[Column3]]),Table1[[#This Row],[Column3]],Table1[[#This Row],[Column3]]="NEW",Table1[[#This Row],[Column3]]),"")</f>
        <v>108.35472000000001</v>
      </c>
      <c r="H704" s="15" cm="1">
        <f t="array" ref="H704">_xlfn.IFS(Table1[[#This Row],[Column4]]="NEW",AVERAGEIFS(Table1[Column4],Table1[Year],Table1[[#This Row],[Year]]),ISNUMBER(Table1[[#This Row],[Column4]]),Table1[[#This Row],[Column4]],Table1[[#This Row],[Column4]]="",H703*(1+Table1[[#This Row],[Ávöxtun]]))</f>
        <v>108.35472000000001</v>
      </c>
      <c r="I704" cm="1">
        <f t="array" ref="I704">_xlfn.IFS(Table1[[#This Row],[Column4]]="NEW",_xlfn.XLOOKUP(Table1[[#This Row],[Year]],$N$2:$N$27,$P$2:$P$27),ISNUMBER(Table1[[#This Row],[Column4]]),Table1[[#This Row],[Column4]],Table1[[#This Row],[Column4]]="",I703*(1+Table1[[#This Row],[Ávöxtun]]))</f>
        <v>108.35472000000001</v>
      </c>
      <c r="L704" s="33">
        <v>108.35472000000001</v>
      </c>
      <c r="M704" s="33">
        <v>108.35472000000001</v>
      </c>
    </row>
    <row r="705" spans="1:13">
      <c r="A705" t="s">
        <v>100</v>
      </c>
      <c r="B705">
        <v>2002</v>
      </c>
      <c r="C705" s="16">
        <v>-0.04</v>
      </c>
      <c r="D705" s="1">
        <v>11781559</v>
      </c>
      <c r="E705" s="29">
        <f>Table1[[#This Row],[Ávöxtun]]*Table1[[#This Row],[Eignir]]/SUMIFS(Table1[Eignir],Table1[Year],Table1[[#This Row],[Year]])</f>
        <v>-7.4195364464125927E-4</v>
      </c>
      <c r="F705" s="23">
        <f>IF(B705=1997, 100, IF(COUNTIF(A$1:A704,A705)=0, "NEW", F704*(1+Table1[[#This Row],[Ávöxtun]])))</f>
        <v>104.02053120000001</v>
      </c>
      <c r="G705" s="18" cm="1">
        <f t="array" ref="G705">IFERROR(_xlfn.IFS(ISNUMBER(Table1[[#This Row],[Column3]]),Table1[[#This Row],[Column3]],Table1[[#This Row],[Column3]]="NEW",Table1[[#This Row],[Column3]]),"")</f>
        <v>104.02053120000001</v>
      </c>
      <c r="H705" s="15" cm="1">
        <f t="array" ref="H705">_xlfn.IFS(Table1[[#This Row],[Column4]]="NEW",AVERAGEIFS(Table1[Column4],Table1[Year],Table1[[#This Row],[Year]]),ISNUMBER(Table1[[#This Row],[Column4]]),Table1[[#This Row],[Column4]],Table1[[#This Row],[Column4]]="",H704*(1+Table1[[#This Row],[Ávöxtun]]))</f>
        <v>104.02053120000001</v>
      </c>
      <c r="I705" cm="1">
        <f t="array" ref="I705">_xlfn.IFS(Table1[[#This Row],[Column4]]="NEW",_xlfn.XLOOKUP(Table1[[#This Row],[Year]],$N$2:$N$27,$P$2:$P$27),ISNUMBER(Table1[[#This Row],[Column4]]),Table1[[#This Row],[Column4]],Table1[[#This Row],[Column4]]="",I704*(1+Table1[[#This Row],[Ávöxtun]]))</f>
        <v>104.02053120000001</v>
      </c>
      <c r="L705" s="33">
        <v>104.02053120000001</v>
      </c>
      <c r="M705" s="33">
        <v>104.02053120000001</v>
      </c>
    </row>
    <row r="706" spans="1:13">
      <c r="A706" t="s">
        <v>100</v>
      </c>
      <c r="B706">
        <v>2003</v>
      </c>
      <c r="C706" s="16">
        <v>0.1</v>
      </c>
      <c r="D706" s="1">
        <v>13729431</v>
      </c>
      <c r="E706" s="29">
        <f>Table1[[#This Row],[Ávöxtun]]*Table1[[#This Row],[Eignir]]/SUMIFS(Table1[Eignir],Table1[Year],Table1[[#This Row],[Year]])</f>
        <v>1.8067622679618304E-3</v>
      </c>
      <c r="F706" s="23">
        <f>IF(B706=1997, 100, IF(COUNTIF(A$1:A705,A706)=0, "NEW", F705*(1+Table1[[#This Row],[Ávöxtun]])))</f>
        <v>114.42258432000001</v>
      </c>
      <c r="G706" s="18" cm="1">
        <f t="array" ref="G706">IFERROR(_xlfn.IFS(ISNUMBER(Table1[[#This Row],[Column3]]),Table1[[#This Row],[Column3]],Table1[[#This Row],[Column3]]="NEW",Table1[[#This Row],[Column3]]),"")</f>
        <v>114.42258432000001</v>
      </c>
      <c r="H706" s="15" cm="1">
        <f t="array" ref="H706">_xlfn.IFS(Table1[[#This Row],[Column4]]="NEW",AVERAGEIFS(Table1[Column4],Table1[Year],Table1[[#This Row],[Year]]),ISNUMBER(Table1[[#This Row],[Column4]]),Table1[[#This Row],[Column4]],Table1[[#This Row],[Column4]]="",H705*(1+Table1[[#This Row],[Ávöxtun]]))</f>
        <v>114.42258432000001</v>
      </c>
      <c r="I706" cm="1">
        <f t="array" ref="I706">_xlfn.IFS(Table1[[#This Row],[Column4]]="NEW",_xlfn.XLOOKUP(Table1[[#This Row],[Year]],$N$2:$N$27,$P$2:$P$27),ISNUMBER(Table1[[#This Row],[Column4]]),Table1[[#This Row],[Column4]],Table1[[#This Row],[Column4]]="",I705*(1+Table1[[#This Row],[Ávöxtun]]))</f>
        <v>114.42258432000001</v>
      </c>
      <c r="L706" s="33">
        <v>114.42258432000001</v>
      </c>
      <c r="M706" s="33">
        <v>114.42258432000001</v>
      </c>
    </row>
    <row r="707" spans="1:13">
      <c r="A707" t="s">
        <v>100</v>
      </c>
      <c r="B707">
        <v>2004</v>
      </c>
      <c r="C707" s="16">
        <v>0.06</v>
      </c>
      <c r="D707" s="1">
        <v>15438869</v>
      </c>
      <c r="E707" s="29">
        <f>Table1[[#This Row],[Ávöxtun]]*Table1[[#This Row],[Eignir]]/SUMIFS(Table1[Eignir],Table1[Year],Table1[[#This Row],[Year]])</f>
        <v>1.020560012108537E-3</v>
      </c>
      <c r="F707" s="23">
        <f>IF(B707=1997, 100, IF(COUNTIF(A$1:A706,A707)=0, "NEW", F706*(1+Table1[[#This Row],[Ávöxtun]])))</f>
        <v>121.28793937920003</v>
      </c>
      <c r="G707" s="18" cm="1">
        <f t="array" ref="G707">IFERROR(_xlfn.IFS(ISNUMBER(Table1[[#This Row],[Column3]]),Table1[[#This Row],[Column3]],Table1[[#This Row],[Column3]]="NEW",Table1[[#This Row],[Column3]]),"")</f>
        <v>121.28793937920003</v>
      </c>
      <c r="H707" s="15" cm="1">
        <f t="array" ref="H707">_xlfn.IFS(Table1[[#This Row],[Column4]]="NEW",AVERAGEIFS(Table1[Column4],Table1[Year],Table1[[#This Row],[Year]]),ISNUMBER(Table1[[#This Row],[Column4]]),Table1[[#This Row],[Column4]],Table1[[#This Row],[Column4]]="",H706*(1+Table1[[#This Row],[Ávöxtun]]))</f>
        <v>121.28793937920003</v>
      </c>
      <c r="I707" cm="1">
        <f t="array" ref="I707">_xlfn.IFS(Table1[[#This Row],[Column4]]="NEW",_xlfn.XLOOKUP(Table1[[#This Row],[Year]],$N$2:$N$27,$P$2:$P$27),ISNUMBER(Table1[[#This Row],[Column4]]),Table1[[#This Row],[Column4]],Table1[[#This Row],[Column4]]="",I706*(1+Table1[[#This Row],[Ávöxtun]]))</f>
        <v>121.28793937920003</v>
      </c>
      <c r="L707" s="33">
        <v>121.28793937920003</v>
      </c>
      <c r="M707" s="33">
        <v>121.28793937920003</v>
      </c>
    </row>
    <row r="708" spans="1:13">
      <c r="A708" t="s">
        <v>101</v>
      </c>
      <c r="B708">
        <v>1999</v>
      </c>
      <c r="C708" s="16">
        <v>0.12</v>
      </c>
      <c r="D708" s="1">
        <v>1083169.8700000001</v>
      </c>
      <c r="E708" s="29">
        <f>Table1[[#This Row],[Ávöxtun]]*Table1[[#This Row],[Eignir]]/SUMIFS(Table1[Eignir],Table1[Year],Table1[[#This Row],[Year]])</f>
        <v>2.4961824310567573E-4</v>
      </c>
      <c r="F708" s="23" t="str">
        <f>IF(B708=1997, 100, IF(COUNTIF(A$1:A707,A708)=0, "NEW", F707*(1+Table1[[#This Row],[Ávöxtun]])))</f>
        <v>NEW</v>
      </c>
      <c r="G708" s="18" t="str" cm="1">
        <f t="array" ref="G708">IFERROR(_xlfn.IFS(ISNUMBER(Table1[[#This Row],[Column3]]),Table1[[#This Row],[Column3]],Table1[[#This Row],[Column3]]="NEW",Table1[[#This Row],[Column3]]),"")</f>
        <v>NEW</v>
      </c>
      <c r="H708" s="15" cm="1">
        <f t="array" ref="H708">_xlfn.IFS(Table1[[#This Row],[Column4]]="NEW",AVERAGEIFS(Table1[Column4],Table1[Year],Table1[[#This Row],[Year]]),ISNUMBER(Table1[[#This Row],[Column4]]),Table1[[#This Row],[Column4]],Table1[[#This Row],[Column4]]="",H707*(1+Table1[[#This Row],[Ávöxtun]]))</f>
        <v>117.05306122448981</v>
      </c>
      <c r="I708" cm="1">
        <f t="array" ref="I708">_xlfn.IFS(Table1[[#This Row],[Column4]]="NEW",_xlfn.XLOOKUP(Table1[[#This Row],[Year]],$N$2:$N$27,$P$2:$P$27),ISNUMBER(Table1[[#This Row],[Column4]]),Table1[[#This Row],[Column4]],Table1[[#This Row],[Column4]]="",I707*(1+Table1[[#This Row],[Ávöxtun]]))</f>
        <v>120.02032965757705</v>
      </c>
      <c r="L708" s="33">
        <v>117.05306122448981</v>
      </c>
      <c r="M708" s="33">
        <v>129.26988390123572</v>
      </c>
    </row>
    <row r="709" spans="1:13">
      <c r="A709" t="s">
        <v>101</v>
      </c>
      <c r="B709">
        <v>2000</v>
      </c>
      <c r="C709" s="16">
        <v>-0.09</v>
      </c>
      <c r="D709" s="1">
        <v>1068173.6499999999</v>
      </c>
      <c r="E709" s="29">
        <f>Table1[[#This Row],[Ávöxtun]]*Table1[[#This Row],[Eignir]]/SUMIFS(Table1[Eignir],Table1[Year],Table1[[#This Row],[Year]])</f>
        <v>-1.3523283152467081E-4</v>
      </c>
      <c r="F709" s="23" t="e">
        <f>IF(B709=1997, 100, IF(COUNTIF(A$1:A708,A709)=0, "NEW", F708*(1+Table1[[#This Row],[Ávöxtun]])))</f>
        <v>#VALUE!</v>
      </c>
      <c r="G709" s="18" t="str" cm="1">
        <f t="array" ref="G709">IFERROR(_xlfn.IFS(ISNUMBER(Table1[[#This Row],[Column3]]),Table1[[#This Row],[Column3]],Table1[[#This Row],[Column3]]="NEW",Table1[[#This Row],[Column3]]),"")</f>
        <v/>
      </c>
      <c r="H709" s="15" cm="1">
        <f t="array" ref="H709">_xlfn.IFS(Table1[[#This Row],[Column4]]="NEW",AVERAGEIFS(Table1[Column4],Table1[Year],Table1[[#This Row],[Year]]),ISNUMBER(Table1[[#This Row],[Column4]]),Table1[[#This Row],[Column4]],Table1[[#This Row],[Column4]]="",H708*(1+Table1[[#This Row],[Ávöxtun]]))</f>
        <v>106.51828571428572</v>
      </c>
      <c r="I709" cm="1">
        <f t="array" ref="I709">_xlfn.IFS(Table1[[#This Row],[Column4]]="NEW",_xlfn.XLOOKUP(Table1[[#This Row],[Year]],$N$2:$N$27,$P$2:$P$27),ISNUMBER(Table1[[#This Row],[Column4]]),Table1[[#This Row],[Column4]],Table1[[#This Row],[Column4]]="",I708*(1+Table1[[#This Row],[Ávöxtun]]))</f>
        <v>109.21849998839512</v>
      </c>
      <c r="L709" s="33">
        <v>106.51828571428572</v>
      </c>
      <c r="M709" s="33">
        <v>117.63559435012451</v>
      </c>
    </row>
    <row r="710" spans="1:13">
      <c r="A710" t="s">
        <v>101</v>
      </c>
      <c r="B710">
        <v>2001</v>
      </c>
      <c r="C710" s="16">
        <v>-0.05</v>
      </c>
      <c r="D710" s="1">
        <v>1244818</v>
      </c>
      <c r="E710" s="29">
        <f>Table1[[#This Row],[Ávöxtun]]*Table1[[#This Row],[Eignir]]/SUMIFS(Table1[Eignir],Table1[Year],Table1[[#This Row],[Year]])</f>
        <v>-5.3752530284752412E-5</v>
      </c>
      <c r="F710" s="23" t="e">
        <f>IF(B710=1997, 100, IF(COUNTIF(A$1:A709,A710)=0, "NEW", F709*(1+Table1[[#This Row],[Ávöxtun]])))</f>
        <v>#VALUE!</v>
      </c>
      <c r="G710" s="18" t="str" cm="1">
        <f t="array" ref="G710">IFERROR(_xlfn.IFS(ISNUMBER(Table1[[#This Row],[Column3]]),Table1[[#This Row],[Column3]],Table1[[#This Row],[Column3]]="NEW",Table1[[#This Row],[Column3]]),"")</f>
        <v/>
      </c>
      <c r="H710" s="15" cm="1">
        <f t="array" ref="H710">_xlfn.IFS(Table1[[#This Row],[Column4]]="NEW",AVERAGEIFS(Table1[Column4],Table1[Year],Table1[[#This Row],[Year]]),ISNUMBER(Table1[[#This Row],[Column4]]),Table1[[#This Row],[Column4]],Table1[[#This Row],[Column4]]="",H709*(1+Table1[[#This Row],[Ávöxtun]]))</f>
        <v>101.19237142857143</v>
      </c>
      <c r="I710" cm="1">
        <f t="array" ref="I710">_xlfn.IFS(Table1[[#This Row],[Column4]]="NEW",_xlfn.XLOOKUP(Table1[[#This Row],[Year]],$N$2:$N$27,$P$2:$P$27),ISNUMBER(Table1[[#This Row],[Column4]]),Table1[[#This Row],[Column4]],Table1[[#This Row],[Column4]]="",I709*(1+Table1[[#This Row],[Ávöxtun]]))</f>
        <v>103.75757498897536</v>
      </c>
      <c r="L710" s="33">
        <v>101.19237142857143</v>
      </c>
      <c r="M710" s="33">
        <v>111.75381463261827</v>
      </c>
    </row>
    <row r="711" spans="1:13">
      <c r="A711" t="s">
        <v>101</v>
      </c>
      <c r="B711">
        <v>2002</v>
      </c>
      <c r="C711" s="16">
        <v>0.01</v>
      </c>
      <c r="D711" s="1">
        <v>84637</v>
      </c>
      <c r="E711" s="29">
        <f>Table1[[#This Row],[Ávöxtun]]*Table1[[#This Row],[Eignir]]/SUMIFS(Table1[Eignir],Table1[Year],Table1[[#This Row],[Year]])</f>
        <v>1.3325216684290734E-6</v>
      </c>
      <c r="F711" s="23" t="e">
        <f>IF(B711=1997, 100, IF(COUNTIF(A$1:A710,A711)=0, "NEW", F710*(1+Table1[[#This Row],[Ávöxtun]])))</f>
        <v>#VALUE!</v>
      </c>
      <c r="G711" s="18" t="str" cm="1">
        <f t="array" ref="G711">IFERROR(_xlfn.IFS(ISNUMBER(Table1[[#This Row],[Column3]]),Table1[[#This Row],[Column3]],Table1[[#This Row],[Column3]]="NEW",Table1[[#This Row],[Column3]]),"")</f>
        <v/>
      </c>
      <c r="H711" s="15" cm="1">
        <f t="array" ref="H711">_xlfn.IFS(Table1[[#This Row],[Column4]]="NEW",AVERAGEIFS(Table1[Column4],Table1[Year],Table1[[#This Row],[Year]]),ISNUMBER(Table1[[#This Row],[Column4]]),Table1[[#This Row],[Column4]],Table1[[#This Row],[Column4]]="",H710*(1+Table1[[#This Row],[Ávöxtun]]))</f>
        <v>102.20429514285715</v>
      </c>
      <c r="I711" cm="1">
        <f t="array" ref="I711">_xlfn.IFS(Table1[[#This Row],[Column4]]="NEW",_xlfn.XLOOKUP(Table1[[#This Row],[Year]],$N$2:$N$27,$P$2:$P$27),ISNUMBER(Table1[[#This Row],[Column4]]),Table1[[#This Row],[Column4]],Table1[[#This Row],[Column4]]="",I710*(1+Table1[[#This Row],[Ávöxtun]]))</f>
        <v>104.79515073886512</v>
      </c>
      <c r="L711" s="33">
        <v>102.20429514285715</v>
      </c>
      <c r="M711" s="33">
        <v>112.87135277894446</v>
      </c>
    </row>
    <row r="712" spans="1:13">
      <c r="A712" t="s">
        <v>101</v>
      </c>
      <c r="B712">
        <v>2003</v>
      </c>
      <c r="C712" s="16">
        <v>0.13</v>
      </c>
      <c r="D712" s="1">
        <v>132481</v>
      </c>
      <c r="E712" s="29">
        <f>Table1[[#This Row],[Ávöxtun]]*Table1[[#This Row],[Eignir]]/SUMIFS(Table1[Eignir],Table1[Year],Table1[[#This Row],[Year]])</f>
        <v>2.2664462469595909E-5</v>
      </c>
      <c r="F712" s="23" t="e">
        <f>IF(B712=1997, 100, IF(COUNTIF(A$1:A711,A712)=0, "NEW", F711*(1+Table1[[#This Row],[Ávöxtun]])))</f>
        <v>#VALUE!</v>
      </c>
      <c r="G712" s="18" t="str" cm="1">
        <f t="array" ref="G712">IFERROR(_xlfn.IFS(ISNUMBER(Table1[[#This Row],[Column3]]),Table1[[#This Row],[Column3]],Table1[[#This Row],[Column3]]="NEW",Table1[[#This Row],[Column3]]),"")</f>
        <v/>
      </c>
      <c r="H712" s="15" cm="1">
        <f t="array" ref="H712">_xlfn.IFS(Table1[[#This Row],[Column4]]="NEW",AVERAGEIFS(Table1[Column4],Table1[Year],Table1[[#This Row],[Year]]),ISNUMBER(Table1[[#This Row],[Column4]]),Table1[[#This Row],[Column4]],Table1[[#This Row],[Column4]]="",H711*(1+Table1[[#This Row],[Ávöxtun]]))</f>
        <v>115.49085351142857</v>
      </c>
      <c r="I712" cm="1">
        <f t="array" ref="I712">_xlfn.IFS(Table1[[#This Row],[Column4]]="NEW",_xlfn.XLOOKUP(Table1[[#This Row],[Year]],$N$2:$N$27,$P$2:$P$27),ISNUMBER(Table1[[#This Row],[Column4]]),Table1[[#This Row],[Column4]],Table1[[#This Row],[Column4]]="",I711*(1+Table1[[#This Row],[Ávöxtun]]))</f>
        <v>118.41852033491757</v>
      </c>
      <c r="L712" s="33">
        <v>115.49085351142857</v>
      </c>
      <c r="M712" s="33">
        <v>127.54462864020722</v>
      </c>
    </row>
    <row r="713" spans="1:13">
      <c r="A713" t="s">
        <v>101</v>
      </c>
      <c r="B713">
        <v>2004</v>
      </c>
      <c r="C713" s="16">
        <v>0.08</v>
      </c>
      <c r="D713" s="1">
        <v>186713</v>
      </c>
      <c r="E713" s="29">
        <f>Table1[[#This Row],[Ávöxtun]]*Table1[[#This Row],[Eignir]]/SUMIFS(Table1[Eignir],Table1[Year],Table1[[#This Row],[Year]])</f>
        <v>1.6456457748800232E-5</v>
      </c>
      <c r="F713" s="23" t="e">
        <f>IF(B713=1997, 100, IF(COUNTIF(A$1:A712,A713)=0, "NEW", F712*(1+Table1[[#This Row],[Ávöxtun]])))</f>
        <v>#VALUE!</v>
      </c>
      <c r="G713" s="18" t="str" cm="1">
        <f t="array" ref="G713">IFERROR(_xlfn.IFS(ISNUMBER(Table1[[#This Row],[Column3]]),Table1[[#This Row],[Column3]],Table1[[#This Row],[Column3]]="NEW",Table1[[#This Row],[Column3]]),"")</f>
        <v/>
      </c>
      <c r="H713" s="15" cm="1">
        <f t="array" ref="H713">_xlfn.IFS(Table1[[#This Row],[Column4]]="NEW",AVERAGEIFS(Table1[Column4],Table1[Year],Table1[[#This Row],[Year]]),ISNUMBER(Table1[[#This Row],[Column4]]),Table1[[#This Row],[Column4]],Table1[[#This Row],[Column4]]="",H712*(1+Table1[[#This Row],[Ávöxtun]]))</f>
        <v>124.73012179234286</v>
      </c>
      <c r="I713" cm="1">
        <f t="array" ref="I713">_xlfn.IFS(Table1[[#This Row],[Column4]]="NEW",_xlfn.XLOOKUP(Table1[[#This Row],[Year]],$N$2:$N$27,$P$2:$P$27),ISNUMBER(Table1[[#This Row],[Column4]]),Table1[[#This Row],[Column4]],Table1[[#This Row],[Column4]]="",I712*(1+Table1[[#This Row],[Ávöxtun]]))</f>
        <v>127.89200196171099</v>
      </c>
      <c r="L713" s="33">
        <v>124.73012179234286</v>
      </c>
      <c r="M713" s="33">
        <v>137.74819893142381</v>
      </c>
    </row>
    <row r="714" spans="1:13">
      <c r="A714" t="s">
        <v>101</v>
      </c>
      <c r="B714">
        <v>2005</v>
      </c>
      <c r="C714" s="16">
        <v>7.0000000000000007E-2</v>
      </c>
      <c r="D714" s="1">
        <v>246645</v>
      </c>
      <c r="E714" s="29">
        <f>Table1[[#This Row],[Ávöxtun]]*Table1[[#This Row],[Eignir]]/SUMIFS(Table1[Eignir],Table1[Year],Table1[[#This Row],[Year]])</f>
        <v>1.5396922237365417E-5</v>
      </c>
      <c r="F714" s="23" t="e">
        <f>IF(B714=1997, 100, IF(COUNTIF(A$1:A713,A714)=0, "NEW", F713*(1+Table1[[#This Row],[Ávöxtun]])))</f>
        <v>#VALUE!</v>
      </c>
      <c r="G714" s="18" t="str" cm="1">
        <f t="array" ref="G714">IFERROR(_xlfn.IFS(ISNUMBER(Table1[[#This Row],[Column3]]),Table1[[#This Row],[Column3]],Table1[[#This Row],[Column3]]="NEW",Table1[[#This Row],[Column3]]),"")</f>
        <v/>
      </c>
      <c r="H714" s="15" cm="1">
        <f t="array" ref="H714">_xlfn.IFS(Table1[[#This Row],[Column4]]="NEW",AVERAGEIFS(Table1[Column4],Table1[Year],Table1[[#This Row],[Year]]),ISNUMBER(Table1[[#This Row],[Column4]]),Table1[[#This Row],[Column4]],Table1[[#This Row],[Column4]]="",H713*(1+Table1[[#This Row],[Ávöxtun]]))</f>
        <v>133.46123031780687</v>
      </c>
      <c r="I714" cm="1">
        <f t="array" ref="I714">_xlfn.IFS(Table1[[#This Row],[Column4]]="NEW",_xlfn.XLOOKUP(Table1[[#This Row],[Year]],$N$2:$N$27,$P$2:$P$27),ISNUMBER(Table1[[#This Row],[Column4]]),Table1[[#This Row],[Column4]],Table1[[#This Row],[Column4]]="",I713*(1+Table1[[#This Row],[Ávöxtun]]))</f>
        <v>136.84444209903077</v>
      </c>
      <c r="L714" s="33">
        <v>133.46123031780687</v>
      </c>
      <c r="M714" s="33">
        <v>147.39057285662349</v>
      </c>
    </row>
    <row r="715" spans="1:13">
      <c r="A715" t="s">
        <v>101</v>
      </c>
      <c r="B715">
        <v>2006</v>
      </c>
      <c r="C715" s="16">
        <v>7.6399999999999996E-2</v>
      </c>
      <c r="D715" s="1">
        <v>323153</v>
      </c>
      <c r="E715" s="29">
        <f>Table1[[#This Row],[Ávöxtun]]*Table1[[#This Row],[Eignir]]/SUMIFS(Table1[Eignir],Table1[Year],Table1[[#This Row],[Year]])</f>
        <v>1.7985960033500703E-5</v>
      </c>
      <c r="F715" s="23" t="e">
        <f>IF(B715=1997, 100, IF(COUNTIF(A$1:A714,A715)=0, "NEW", F714*(1+Table1[[#This Row],[Ávöxtun]])))</f>
        <v>#VALUE!</v>
      </c>
      <c r="G715" s="18" t="str" cm="1">
        <f t="array" ref="G715">IFERROR(_xlfn.IFS(ISNUMBER(Table1[[#This Row],[Column3]]),Table1[[#This Row],[Column3]],Table1[[#This Row],[Column3]]="NEW",Table1[[#This Row],[Column3]]),"")</f>
        <v/>
      </c>
      <c r="H715" s="15" cm="1">
        <f t="array" ref="H715">_xlfn.IFS(Table1[[#This Row],[Column4]]="NEW",AVERAGEIFS(Table1[Column4],Table1[Year],Table1[[#This Row],[Year]]),ISNUMBER(Table1[[#This Row],[Column4]]),Table1[[#This Row],[Column4]],Table1[[#This Row],[Column4]]="",H714*(1+Table1[[#This Row],[Ávöxtun]]))</f>
        <v>143.65766831408732</v>
      </c>
      <c r="I715" cm="1">
        <f t="array" ref="I715">_xlfn.IFS(Table1[[#This Row],[Column4]]="NEW",_xlfn.XLOOKUP(Table1[[#This Row],[Year]],$N$2:$N$27,$P$2:$P$27),ISNUMBER(Table1[[#This Row],[Column4]]),Table1[[#This Row],[Column4]],Table1[[#This Row],[Column4]]="",I714*(1+Table1[[#This Row],[Ávöxtun]]))</f>
        <v>147.29935747539673</v>
      </c>
      <c r="L715" s="33">
        <v>143.65766831408732</v>
      </c>
      <c r="M715" s="33">
        <v>158.65121262286954</v>
      </c>
    </row>
    <row r="716" spans="1:13">
      <c r="A716" t="s">
        <v>101</v>
      </c>
      <c r="B716">
        <v>2007</v>
      </c>
      <c r="C716" s="16">
        <v>5.3E-3</v>
      </c>
      <c r="D716" s="1">
        <v>306414</v>
      </c>
      <c r="E716" s="29">
        <f>Table1[[#This Row],[Ávöxtun]]*Table1[[#This Row],[Eignir]]/SUMIFS(Table1[Eignir],Table1[Year],Table1[[#This Row],[Year]])</f>
        <v>1.050171880156779E-6</v>
      </c>
      <c r="F716" s="23" t="e">
        <f>IF(B716=1997, 100, IF(COUNTIF(A$1:A715,A716)=0, "NEW", F715*(1+Table1[[#This Row],[Ávöxtun]])))</f>
        <v>#VALUE!</v>
      </c>
      <c r="G716" s="18" t="str" cm="1">
        <f t="array" ref="G716">IFERROR(_xlfn.IFS(ISNUMBER(Table1[[#This Row],[Column3]]),Table1[[#This Row],[Column3]],Table1[[#This Row],[Column3]]="NEW",Table1[[#This Row],[Column3]]),"")</f>
        <v/>
      </c>
      <c r="H716" s="15" cm="1">
        <f t="array" ref="H716">_xlfn.IFS(Table1[[#This Row],[Column4]]="NEW",AVERAGEIFS(Table1[Column4],Table1[Year],Table1[[#This Row],[Year]]),ISNUMBER(Table1[[#This Row],[Column4]]),Table1[[#This Row],[Column4]],Table1[[#This Row],[Column4]]="",H715*(1+Table1[[#This Row],[Ávöxtun]]))</f>
        <v>144.419053956152</v>
      </c>
      <c r="I716" cm="1">
        <f t="array" ref="I716">_xlfn.IFS(Table1[[#This Row],[Column4]]="NEW",_xlfn.XLOOKUP(Table1[[#This Row],[Year]],$N$2:$N$27,$P$2:$P$27),ISNUMBER(Table1[[#This Row],[Column4]]),Table1[[#This Row],[Column4]],Table1[[#This Row],[Column4]]="",I715*(1+Table1[[#This Row],[Ávöxtun]]))</f>
        <v>148.08004407001636</v>
      </c>
      <c r="L716" s="33">
        <v>144.419053956152</v>
      </c>
      <c r="M716" s="33">
        <v>159.49206404977076</v>
      </c>
    </row>
    <row r="717" spans="1:13">
      <c r="A717" t="s">
        <v>101</v>
      </c>
      <c r="B717">
        <v>2008</v>
      </c>
      <c r="C717" s="16">
        <v>-0.26700000000000002</v>
      </c>
      <c r="D717" s="1">
        <v>295679</v>
      </c>
      <c r="E717" s="29">
        <f>Table1[[#This Row],[Ávöxtun]]*Table1[[#This Row],[Eignir]]/SUMIFS(Table1[Eignir],Table1[Year],Table1[[#This Row],[Year]])</f>
        <v>-5.2725137991437708E-5</v>
      </c>
      <c r="F717" s="23" t="e">
        <f>IF(B717=1997, 100, IF(COUNTIF(A$1:A716,A717)=0, "NEW", F716*(1+Table1[[#This Row],[Ávöxtun]])))</f>
        <v>#VALUE!</v>
      </c>
      <c r="G717" s="18" t="str" cm="1">
        <f t="array" ref="G717">IFERROR(_xlfn.IFS(ISNUMBER(Table1[[#This Row],[Column3]]),Table1[[#This Row],[Column3]],Table1[[#This Row],[Column3]]="NEW",Table1[[#This Row],[Column3]]),"")</f>
        <v/>
      </c>
      <c r="H717" s="15" cm="1">
        <f t="array" ref="H717">_xlfn.IFS(Table1[[#This Row],[Column4]]="NEW",AVERAGEIFS(Table1[Column4],Table1[Year],Table1[[#This Row],[Year]]),ISNUMBER(Table1[[#This Row],[Column4]]),Table1[[#This Row],[Column4]],Table1[[#This Row],[Column4]]="",H716*(1+Table1[[#This Row],[Ávöxtun]]))</f>
        <v>105.85916654985941</v>
      </c>
      <c r="I717" cm="1">
        <f t="array" ref="I717">_xlfn.IFS(Table1[[#This Row],[Column4]]="NEW",_xlfn.XLOOKUP(Table1[[#This Row],[Year]],$N$2:$N$27,$P$2:$P$27),ISNUMBER(Table1[[#This Row],[Column4]]),Table1[[#This Row],[Column4]],Table1[[#This Row],[Column4]]="",I716*(1+Table1[[#This Row],[Ávöxtun]]))</f>
        <v>108.54267230332199</v>
      </c>
      <c r="L717" s="33">
        <v>105.85916654985941</v>
      </c>
      <c r="M717" s="33">
        <v>116.90768294848196</v>
      </c>
    </row>
    <row r="718" spans="1:13">
      <c r="A718" t="s">
        <v>101</v>
      </c>
      <c r="B718">
        <v>2009</v>
      </c>
      <c r="C718" s="16">
        <v>4.7500000000000001E-2</v>
      </c>
      <c r="D718" s="1">
        <v>379542</v>
      </c>
      <c r="E718" s="29">
        <f>Table1[[#This Row],[Ávöxtun]]*Table1[[#This Row],[Eignir]]/SUMIFS(Table1[Eignir],Table1[Year],Table1[[#This Row],[Year]])</f>
        <v>1.0806626518221002E-5</v>
      </c>
      <c r="F718" s="23" t="e">
        <f>IF(B718=1997, 100, IF(COUNTIF(A$1:A717,A718)=0, "NEW", F717*(1+Table1[[#This Row],[Ávöxtun]])))</f>
        <v>#VALUE!</v>
      </c>
      <c r="G718" s="18" t="str" cm="1">
        <f t="array" ref="G718">IFERROR(_xlfn.IFS(ISNUMBER(Table1[[#This Row],[Column3]]),Table1[[#This Row],[Column3]],Table1[[#This Row],[Column3]]="NEW",Table1[[#This Row],[Column3]]),"")</f>
        <v/>
      </c>
      <c r="H718" s="15" cm="1">
        <f t="array" ref="H718">_xlfn.IFS(Table1[[#This Row],[Column4]]="NEW",AVERAGEIFS(Table1[Column4],Table1[Year],Table1[[#This Row],[Year]]),ISNUMBER(Table1[[#This Row],[Column4]]),Table1[[#This Row],[Column4]],Table1[[#This Row],[Column4]]="",H717*(1+Table1[[#This Row],[Ávöxtun]]))</f>
        <v>110.88747696097774</v>
      </c>
      <c r="I718" cm="1">
        <f t="array" ref="I718">_xlfn.IFS(Table1[[#This Row],[Column4]]="NEW",_xlfn.XLOOKUP(Table1[[#This Row],[Year]],$N$2:$N$27,$P$2:$P$27),ISNUMBER(Table1[[#This Row],[Column4]]),Table1[[#This Row],[Column4]],Table1[[#This Row],[Column4]]="",I717*(1+Table1[[#This Row],[Ávöxtun]]))</f>
        <v>113.6984492377298</v>
      </c>
      <c r="L718" s="33">
        <v>110.88747696097774</v>
      </c>
      <c r="M718" s="33">
        <v>122.46079788853487</v>
      </c>
    </row>
    <row r="719" spans="1:13">
      <c r="A719" t="s">
        <v>101</v>
      </c>
      <c r="B719">
        <v>2010</v>
      </c>
      <c r="C719" s="16">
        <v>3.44E-2</v>
      </c>
      <c r="D719" s="1">
        <v>443571</v>
      </c>
      <c r="E719" s="29">
        <f>Table1[[#This Row],[Ávöxtun]]*Table1[[#This Row],[Eignir]]/SUMIFS(Table1[Eignir],Table1[Year],Table1[[#This Row],[Year]])</f>
        <v>8.5350470520010203E-6</v>
      </c>
      <c r="F719" s="23" t="e">
        <f>IF(B719=1997, 100, IF(COUNTIF(A$1:A718,A719)=0, "NEW", F718*(1+Table1[[#This Row],[Ávöxtun]])))</f>
        <v>#VALUE!</v>
      </c>
      <c r="G719" s="18" t="str" cm="1">
        <f t="array" ref="G719">IFERROR(_xlfn.IFS(ISNUMBER(Table1[[#This Row],[Column3]]),Table1[[#This Row],[Column3]],Table1[[#This Row],[Column3]]="NEW",Table1[[#This Row],[Column3]]),"")</f>
        <v/>
      </c>
      <c r="H719" s="15" cm="1">
        <f t="array" ref="H719">_xlfn.IFS(Table1[[#This Row],[Column4]]="NEW",AVERAGEIFS(Table1[Column4],Table1[Year],Table1[[#This Row],[Year]]),ISNUMBER(Table1[[#This Row],[Column4]]),Table1[[#This Row],[Column4]],Table1[[#This Row],[Column4]]="",H718*(1+Table1[[#This Row],[Ávöxtun]]))</f>
        <v>114.70200616843537</v>
      </c>
      <c r="I719" cm="1">
        <f t="array" ref="I719">_xlfn.IFS(Table1[[#This Row],[Column4]]="NEW",_xlfn.XLOOKUP(Table1[[#This Row],[Year]],$N$2:$N$27,$P$2:$P$27),ISNUMBER(Table1[[#This Row],[Column4]]),Table1[[#This Row],[Column4]],Table1[[#This Row],[Column4]]="",I718*(1+Table1[[#This Row],[Ávöxtun]]))</f>
        <v>117.60967589150771</v>
      </c>
      <c r="L719" s="33">
        <v>114.70200616843537</v>
      </c>
      <c r="M719" s="33">
        <v>126.67344933590047</v>
      </c>
    </row>
    <row r="720" spans="1:13">
      <c r="A720" t="s">
        <v>101</v>
      </c>
      <c r="B720">
        <v>2011</v>
      </c>
      <c r="C720" s="16">
        <v>2.2000000000000002E-2</v>
      </c>
      <c r="D720" s="1">
        <v>529702</v>
      </c>
      <c r="E720" s="29">
        <f>Table1[[#This Row],[Ávöxtun]]*Table1[[#This Row],[Eignir]]/SUMIFS(Table1[Eignir],Table1[Year],Table1[[#This Row],[Year]])</f>
        <v>5.974412959492587E-6</v>
      </c>
      <c r="F720" s="23" t="e">
        <f>IF(B720=1997, 100, IF(COUNTIF(A$1:A719,A720)=0, "NEW", F719*(1+Table1[[#This Row],[Ávöxtun]])))</f>
        <v>#VALUE!</v>
      </c>
      <c r="G720" s="18" t="str" cm="1">
        <f t="array" ref="G720">IFERROR(_xlfn.IFS(ISNUMBER(Table1[[#This Row],[Column3]]),Table1[[#This Row],[Column3]],Table1[[#This Row],[Column3]]="NEW",Table1[[#This Row],[Column3]]),"")</f>
        <v/>
      </c>
      <c r="H720" s="15" cm="1">
        <f t="array" ref="H720">_xlfn.IFS(Table1[[#This Row],[Column4]]="NEW",AVERAGEIFS(Table1[Column4],Table1[Year],Table1[[#This Row],[Year]]),ISNUMBER(Table1[[#This Row],[Column4]]),Table1[[#This Row],[Column4]],Table1[[#This Row],[Column4]]="",H719*(1+Table1[[#This Row],[Ávöxtun]]))</f>
        <v>117.22545030414095</v>
      </c>
      <c r="I720" cm="1">
        <f t="array" ref="I720">_xlfn.IFS(Table1[[#This Row],[Column4]]="NEW",_xlfn.XLOOKUP(Table1[[#This Row],[Year]],$N$2:$N$27,$P$2:$P$27),ISNUMBER(Table1[[#This Row],[Column4]]),Table1[[#This Row],[Column4]],Table1[[#This Row],[Column4]]="",I719*(1+Table1[[#This Row],[Ávöxtun]]))</f>
        <v>120.19708876112088</v>
      </c>
      <c r="L720" s="33">
        <v>117.22545030414095</v>
      </c>
      <c r="M720" s="33">
        <v>129.46026522129029</v>
      </c>
    </row>
    <row r="721" spans="1:13">
      <c r="A721" t="s">
        <v>101</v>
      </c>
      <c r="B721">
        <v>2012</v>
      </c>
      <c r="C721" s="16">
        <v>0.04</v>
      </c>
      <c r="D721" s="1">
        <v>632948</v>
      </c>
      <c r="E721" s="29">
        <f>Table1[[#This Row],[Ávöxtun]]*Table1[[#This Row],[Eignir]]/SUMIFS(Table1[Eignir],Table1[Year],Table1[[#This Row],[Year]])</f>
        <v>1.1493292959386364E-5</v>
      </c>
      <c r="F721" s="23" t="e">
        <f>IF(B721=1997, 100, IF(COUNTIF(A$1:A720,A721)=0, "NEW", F720*(1+Table1[[#This Row],[Ávöxtun]])))</f>
        <v>#VALUE!</v>
      </c>
      <c r="G721" s="18" t="str" cm="1">
        <f t="array" ref="G721">IFERROR(_xlfn.IFS(ISNUMBER(Table1[[#This Row],[Column3]]),Table1[[#This Row],[Column3]],Table1[[#This Row],[Column3]]="NEW",Table1[[#This Row],[Column3]]),"")</f>
        <v/>
      </c>
      <c r="H721" s="15" cm="1">
        <f t="array" ref="H721">_xlfn.IFS(Table1[[#This Row],[Column4]]="NEW",AVERAGEIFS(Table1[Column4],Table1[Year],Table1[[#This Row],[Year]]),ISNUMBER(Table1[[#This Row],[Column4]]),Table1[[#This Row],[Column4]],Table1[[#This Row],[Column4]]="",H720*(1+Table1[[#This Row],[Ávöxtun]]))</f>
        <v>121.9144683163066</v>
      </c>
      <c r="I721" cm="1">
        <f t="array" ref="I721">_xlfn.IFS(Table1[[#This Row],[Column4]]="NEW",_xlfn.XLOOKUP(Table1[[#This Row],[Year]],$N$2:$N$27,$P$2:$P$27),ISNUMBER(Table1[[#This Row],[Column4]]),Table1[[#This Row],[Column4]],Table1[[#This Row],[Column4]]="",I720*(1+Table1[[#This Row],[Ávöxtun]]))</f>
        <v>125.00497231156572</v>
      </c>
      <c r="L721" s="33">
        <v>121.9144683163066</v>
      </c>
      <c r="M721" s="33">
        <v>134.63867583014189</v>
      </c>
    </row>
    <row r="722" spans="1:13">
      <c r="A722" t="s">
        <v>101</v>
      </c>
      <c r="B722">
        <v>2013</v>
      </c>
      <c r="C722" s="16">
        <v>6.2000000000000006E-2</v>
      </c>
      <c r="D722" s="1">
        <v>729256</v>
      </c>
      <c r="E722" s="29">
        <f>Table1[[#This Row],[Ávöxtun]]*Table1[[#This Row],[Eignir]]/SUMIFS(Table1[Eignir],Table1[Year],Table1[[#This Row],[Year]])</f>
        <v>1.8579163493720576E-5</v>
      </c>
      <c r="F722" s="23" t="e">
        <f>IF(B722=1997, 100, IF(COUNTIF(A$1:A721,A722)=0, "NEW", F721*(1+Table1[[#This Row],[Ávöxtun]])))</f>
        <v>#VALUE!</v>
      </c>
      <c r="G722" s="18" t="str" cm="1">
        <f t="array" ref="G722">IFERROR(_xlfn.IFS(ISNUMBER(Table1[[#This Row],[Column3]]),Table1[[#This Row],[Column3]],Table1[[#This Row],[Column3]]="NEW",Table1[[#This Row],[Column3]]),"")</f>
        <v/>
      </c>
      <c r="H722" s="15" cm="1">
        <f t="array" ref="H722">_xlfn.IFS(Table1[[#This Row],[Column4]]="NEW",AVERAGEIFS(Table1[Column4],Table1[Year],Table1[[#This Row],[Year]]),ISNUMBER(Table1[[#This Row],[Column4]]),Table1[[#This Row],[Column4]],Table1[[#This Row],[Column4]]="",H721*(1+Table1[[#This Row],[Ávöxtun]]))</f>
        <v>129.4731653519176</v>
      </c>
      <c r="I722" cm="1">
        <f t="array" ref="I722">_xlfn.IFS(Table1[[#This Row],[Column4]]="NEW",_xlfn.XLOOKUP(Table1[[#This Row],[Year]],$N$2:$N$27,$P$2:$P$27),ISNUMBER(Table1[[#This Row],[Column4]]),Table1[[#This Row],[Column4]],Table1[[#This Row],[Column4]]="",I721*(1+Table1[[#This Row],[Ávöxtun]]))</f>
        <v>132.75528059488281</v>
      </c>
      <c r="L722" s="33">
        <v>129.4731653519176</v>
      </c>
      <c r="M722" s="33">
        <v>142.98627373161071</v>
      </c>
    </row>
    <row r="723" spans="1:13">
      <c r="A723" t="s">
        <v>101</v>
      </c>
      <c r="B723">
        <v>2014</v>
      </c>
      <c r="C723" s="16">
        <v>4.8000000000000001E-2</v>
      </c>
      <c r="D723" s="1">
        <v>822012</v>
      </c>
      <c r="E723" s="29">
        <f>Table1[[#This Row],[Ávöxtun]]*Table1[[#This Row],[Eignir]]/SUMIFS(Table1[Eignir],Table1[Year],Table1[[#This Row],[Year]])</f>
        <v>1.4872333711926501E-5</v>
      </c>
      <c r="F723" s="23" t="e">
        <f>IF(B723=1997, 100, IF(COUNTIF(A$1:A722,A723)=0, "NEW", F722*(1+Table1[[#This Row],[Ávöxtun]])))</f>
        <v>#VALUE!</v>
      </c>
      <c r="G723" s="18" t="str" cm="1">
        <f t="array" ref="G723">IFERROR(_xlfn.IFS(ISNUMBER(Table1[[#This Row],[Column3]]),Table1[[#This Row],[Column3]],Table1[[#This Row],[Column3]]="NEW",Table1[[#This Row],[Column3]]),"")</f>
        <v/>
      </c>
      <c r="H723" s="15" cm="1">
        <f t="array" ref="H723">_xlfn.IFS(Table1[[#This Row],[Column4]]="NEW",AVERAGEIFS(Table1[Column4],Table1[Year],Table1[[#This Row],[Year]]),ISNUMBER(Table1[[#This Row],[Column4]]),Table1[[#This Row],[Column4]],Table1[[#This Row],[Column4]]="",H722*(1+Table1[[#This Row],[Ávöxtun]]))</f>
        <v>135.68787728880966</v>
      </c>
      <c r="I723" cm="1">
        <f t="array" ref="I723">_xlfn.IFS(Table1[[#This Row],[Column4]]="NEW",_xlfn.XLOOKUP(Table1[[#This Row],[Year]],$N$2:$N$27,$P$2:$P$27),ISNUMBER(Table1[[#This Row],[Column4]]),Table1[[#This Row],[Column4]],Table1[[#This Row],[Column4]]="",I722*(1+Table1[[#This Row],[Ávöxtun]]))</f>
        <v>139.1275340634372</v>
      </c>
      <c r="L723" s="33">
        <v>135.68787728880966</v>
      </c>
      <c r="M723" s="33">
        <v>149.84961487072803</v>
      </c>
    </row>
    <row r="724" spans="1:13">
      <c r="A724" t="s">
        <v>101</v>
      </c>
      <c r="B724">
        <v>2015</v>
      </c>
      <c r="C724" s="16">
        <v>0.109</v>
      </c>
      <c r="D724" s="1">
        <v>982532</v>
      </c>
      <c r="E724" s="29">
        <f>Table1[[#This Row],[Ávöxtun]]*Table1[[#This Row],[Eignir]]/SUMIFS(Table1[Eignir],Table1[Year],Table1[[#This Row],[Year]])</f>
        <v>3.6164238301830351E-5</v>
      </c>
      <c r="F724" s="23" t="e">
        <f>IF(B724=1997, 100, IF(COUNTIF(A$1:A723,A724)=0, "NEW", F723*(1+Table1[[#This Row],[Ávöxtun]])))</f>
        <v>#VALUE!</v>
      </c>
      <c r="G724" s="18" t="str" cm="1">
        <f t="array" ref="G724">IFERROR(_xlfn.IFS(ISNUMBER(Table1[[#This Row],[Column3]]),Table1[[#This Row],[Column3]],Table1[[#This Row],[Column3]]="NEW",Table1[[#This Row],[Column3]]),"")</f>
        <v/>
      </c>
      <c r="H724" s="15" cm="1">
        <f t="array" ref="H724">_xlfn.IFS(Table1[[#This Row],[Column4]]="NEW",AVERAGEIFS(Table1[Column4],Table1[Year],Table1[[#This Row],[Year]]),ISNUMBER(Table1[[#This Row],[Column4]]),Table1[[#This Row],[Column4]],Table1[[#This Row],[Column4]]="",H723*(1+Table1[[#This Row],[Ávöxtun]]))</f>
        <v>150.47785591328991</v>
      </c>
      <c r="I724" cm="1">
        <f t="array" ref="I724">_xlfn.IFS(Table1[[#This Row],[Column4]]="NEW",_xlfn.XLOOKUP(Table1[[#This Row],[Year]],$N$2:$N$27,$P$2:$P$27),ISNUMBER(Table1[[#This Row],[Column4]]),Table1[[#This Row],[Column4]],Table1[[#This Row],[Column4]]="",I723*(1+Table1[[#This Row],[Ávöxtun]]))</f>
        <v>154.29243527635185</v>
      </c>
      <c r="L724" s="33">
        <v>150.47785591328991</v>
      </c>
      <c r="M724" s="33">
        <v>166.1832228916374</v>
      </c>
    </row>
    <row r="725" spans="1:13">
      <c r="A725" t="s">
        <v>101</v>
      </c>
      <c r="B725">
        <v>2016</v>
      </c>
      <c r="C725" s="16">
        <v>1.38E-2</v>
      </c>
      <c r="D725" s="1">
        <v>1122960.21</v>
      </c>
      <c r="E725" s="29">
        <f>Table1[[#This Row],[Ávöxtun]]*Table1[[#This Row],[Eignir]]/SUMIFS(Table1[Eignir],Table1[Year],Table1[[#This Row],[Year]])</f>
        <v>4.8426952964186961E-6</v>
      </c>
      <c r="F725" s="23" t="e">
        <f>IF(B725=1997, 100, IF(COUNTIF(A$1:A724,A725)=0, "NEW", F724*(1+Table1[[#This Row],[Ávöxtun]])))</f>
        <v>#VALUE!</v>
      </c>
      <c r="G725" s="18" t="str" cm="1">
        <f t="array" ref="G725">IFERROR(_xlfn.IFS(ISNUMBER(Table1[[#This Row],[Column3]]),Table1[[#This Row],[Column3]],Table1[[#This Row],[Column3]]="NEW",Table1[[#This Row],[Column3]]),"")</f>
        <v/>
      </c>
      <c r="H725" s="15" cm="1">
        <f t="array" ref="H725">_xlfn.IFS(Table1[[#This Row],[Column4]]="NEW",AVERAGEIFS(Table1[Column4],Table1[Year],Table1[[#This Row],[Year]]),ISNUMBER(Table1[[#This Row],[Column4]]),Table1[[#This Row],[Column4]],Table1[[#This Row],[Column4]]="",H724*(1+Table1[[#This Row],[Ávöxtun]]))</f>
        <v>152.55445032489331</v>
      </c>
      <c r="I725" cm="1">
        <f t="array" ref="I725">_xlfn.IFS(Table1[[#This Row],[Column4]]="NEW",_xlfn.XLOOKUP(Table1[[#This Row],[Year]],$N$2:$N$27,$P$2:$P$27),ISNUMBER(Table1[[#This Row],[Column4]]),Table1[[#This Row],[Column4]],Table1[[#This Row],[Column4]]="",I724*(1+Table1[[#This Row],[Ávöxtun]]))</f>
        <v>156.42167088316552</v>
      </c>
      <c r="L725" s="33">
        <v>152.55445032489331</v>
      </c>
      <c r="M725" s="33">
        <v>168.47655136754202</v>
      </c>
    </row>
    <row r="726" spans="1:13">
      <c r="A726" t="s">
        <v>101</v>
      </c>
      <c r="B726">
        <v>2017</v>
      </c>
      <c r="C726" s="16">
        <v>5.2000000000000005E-2</v>
      </c>
      <c r="D726" s="1">
        <v>1274111</v>
      </c>
      <c r="E726" s="29">
        <f>Table1[[#This Row],[Ávöxtun]]*Table1[[#This Row],[Eignir]]/SUMIFS(Table1[Eignir],Table1[Year],Table1[[#This Row],[Year]])</f>
        <v>1.8615047934558206E-5</v>
      </c>
      <c r="F726" s="23" t="e">
        <f>IF(B726=1997, 100, IF(COUNTIF(A$1:A725,A726)=0, "NEW", F725*(1+Table1[[#This Row],[Ávöxtun]])))</f>
        <v>#VALUE!</v>
      </c>
      <c r="G726" s="18" t="str" cm="1">
        <f t="array" ref="G726">IFERROR(_xlfn.IFS(ISNUMBER(Table1[[#This Row],[Column3]]),Table1[[#This Row],[Column3]],Table1[[#This Row],[Column3]]="NEW",Table1[[#This Row],[Column3]]),"")</f>
        <v/>
      </c>
      <c r="H726" s="15" cm="1">
        <f t="array" ref="H726">_xlfn.IFS(Table1[[#This Row],[Column4]]="NEW",AVERAGEIFS(Table1[Column4],Table1[Year],Table1[[#This Row],[Year]]),ISNUMBER(Table1[[#This Row],[Column4]]),Table1[[#This Row],[Column4]],Table1[[#This Row],[Column4]]="",H725*(1+Table1[[#This Row],[Ávöxtun]]))</f>
        <v>160.48728174178777</v>
      </c>
      <c r="I726" cm="1">
        <f t="array" ref="I726">_xlfn.IFS(Table1[[#This Row],[Column4]]="NEW",_xlfn.XLOOKUP(Table1[[#This Row],[Year]],$N$2:$N$27,$P$2:$P$27),ISNUMBER(Table1[[#This Row],[Column4]]),Table1[[#This Row],[Column4]],Table1[[#This Row],[Column4]]="",I725*(1+Table1[[#This Row],[Ávöxtun]]))</f>
        <v>164.55559776909013</v>
      </c>
      <c r="L726" s="33">
        <v>160.48728174178777</v>
      </c>
      <c r="M726" s="33">
        <v>177.23733203865422</v>
      </c>
    </row>
    <row r="727" spans="1:13">
      <c r="A727" t="s">
        <v>101</v>
      </c>
      <c r="B727">
        <v>2018</v>
      </c>
      <c r="C727" s="16">
        <v>1.2E-2</v>
      </c>
      <c r="D727" s="1">
        <v>1402953</v>
      </c>
      <c r="E727" s="29">
        <f>Table1[[#This Row],[Ávöxtun]]*Table1[[#This Row],[Eignir]]/SUMIFS(Table1[Eignir],Table1[Year],Table1[[#This Row],[Year]])</f>
        <v>4.4091231249622272E-6</v>
      </c>
      <c r="F727" s="23" t="e">
        <f>IF(B727=1997, 100, IF(COUNTIF(A$1:A726,A727)=0, "NEW", F726*(1+Table1[[#This Row],[Ávöxtun]])))</f>
        <v>#VALUE!</v>
      </c>
      <c r="G727" s="18" t="str" cm="1">
        <f t="array" ref="G727">IFERROR(_xlfn.IFS(ISNUMBER(Table1[[#This Row],[Column3]]),Table1[[#This Row],[Column3]],Table1[[#This Row],[Column3]]="NEW",Table1[[#This Row],[Column3]]),"")</f>
        <v/>
      </c>
      <c r="H727" s="15" cm="1">
        <f t="array" ref="H727">_xlfn.IFS(Table1[[#This Row],[Column4]]="NEW",AVERAGEIFS(Table1[Column4],Table1[Year],Table1[[#This Row],[Year]]),ISNUMBER(Table1[[#This Row],[Column4]]),Table1[[#This Row],[Column4]],Table1[[#This Row],[Column4]]="",H726*(1+Table1[[#This Row],[Ávöxtun]]))</f>
        <v>162.41312912268921</v>
      </c>
      <c r="I727" cm="1">
        <f t="array" ref="I727">_xlfn.IFS(Table1[[#This Row],[Column4]]="NEW",_xlfn.XLOOKUP(Table1[[#This Row],[Year]],$N$2:$N$27,$P$2:$P$27),ISNUMBER(Table1[[#This Row],[Column4]]),Table1[[#This Row],[Column4]],Table1[[#This Row],[Column4]]="",I726*(1+Table1[[#This Row],[Ávöxtun]]))</f>
        <v>166.53026494231921</v>
      </c>
      <c r="L727" s="33">
        <v>162.41312912268921</v>
      </c>
      <c r="M727" s="33">
        <v>179.36418002311808</v>
      </c>
    </row>
    <row r="728" spans="1:13">
      <c r="A728" t="s">
        <v>101</v>
      </c>
      <c r="B728">
        <v>2019</v>
      </c>
      <c r="C728" s="16">
        <v>9.7200000000000009E-2</v>
      </c>
      <c r="D728" s="1">
        <v>1645723.11</v>
      </c>
      <c r="E728" s="29">
        <f>Table1[[#This Row],[Ávöxtun]]*Table1[[#This Row],[Eignir]]/SUMIFS(Table1[Eignir],Table1[Year],Table1[[#This Row],[Year]])</f>
        <v>3.6134776509126337E-5</v>
      </c>
      <c r="F728" s="23" t="e">
        <f>IF(B728=1997, 100, IF(COUNTIF(A$1:A727,A728)=0, "NEW", F727*(1+Table1[[#This Row],[Ávöxtun]])))</f>
        <v>#VALUE!</v>
      </c>
      <c r="G728" s="18" t="str" cm="1">
        <f t="array" ref="G728">IFERROR(_xlfn.IFS(ISNUMBER(Table1[[#This Row],[Column3]]),Table1[[#This Row],[Column3]],Table1[[#This Row],[Column3]]="NEW",Table1[[#This Row],[Column3]]),"")</f>
        <v/>
      </c>
      <c r="H728" s="15" cm="1">
        <f t="array" ref="H728">_xlfn.IFS(Table1[[#This Row],[Column4]]="NEW",AVERAGEIFS(Table1[Column4],Table1[Year],Table1[[#This Row],[Year]]),ISNUMBER(Table1[[#This Row],[Column4]]),Table1[[#This Row],[Column4]],Table1[[#This Row],[Column4]]="",H727*(1+Table1[[#This Row],[Ávöxtun]]))</f>
        <v>178.19968527341459</v>
      </c>
      <c r="I728" cm="1">
        <f t="array" ref="I728">_xlfn.IFS(Table1[[#This Row],[Column4]]="NEW",_xlfn.XLOOKUP(Table1[[#This Row],[Year]],$N$2:$N$27,$P$2:$P$27),ISNUMBER(Table1[[#This Row],[Column4]]),Table1[[#This Row],[Column4]],Table1[[#This Row],[Column4]]="",I727*(1+Table1[[#This Row],[Ávöxtun]]))</f>
        <v>182.71700669471264</v>
      </c>
      <c r="L728" s="33">
        <v>178.19968527341459</v>
      </c>
      <c r="M728" s="33">
        <v>196.79837832136516</v>
      </c>
    </row>
    <row r="729" spans="1:13">
      <c r="A729" t="s">
        <v>101</v>
      </c>
      <c r="B729">
        <v>2020</v>
      </c>
      <c r="C729" s="16">
        <v>8.0299999999999996E-2</v>
      </c>
      <c r="D729" s="1">
        <v>1922226.04</v>
      </c>
      <c r="E729" s="29">
        <f>Table1[[#This Row],[Ávöxtun]]*Table1[[#This Row],[Eignir]]/SUMIFS(Table1[Eignir],Table1[Year],Table1[[#This Row],[Year]])</f>
        <v>3.0049904972702604E-5</v>
      </c>
      <c r="F729" s="23" t="e">
        <f>IF(B729=1997, 100, IF(COUNTIF(A$1:A728,A729)=0, "NEW", F728*(1+Table1[[#This Row],[Ávöxtun]])))</f>
        <v>#VALUE!</v>
      </c>
      <c r="G729" s="18" t="str" cm="1">
        <f t="array" ref="G729">IFERROR(_xlfn.IFS(ISNUMBER(Table1[[#This Row],[Column3]]),Table1[[#This Row],[Column3]],Table1[[#This Row],[Column3]]="NEW",Table1[[#This Row],[Column3]]),"")</f>
        <v/>
      </c>
      <c r="H729" s="15" cm="1">
        <f t="array" ref="H729">_xlfn.IFS(Table1[[#This Row],[Column4]]="NEW",AVERAGEIFS(Table1[Column4],Table1[Year],Table1[[#This Row],[Year]]),ISNUMBER(Table1[[#This Row],[Column4]]),Table1[[#This Row],[Column4]],Table1[[#This Row],[Column4]]="",H728*(1+Table1[[#This Row],[Ávöxtun]]))</f>
        <v>192.50912000086979</v>
      </c>
      <c r="I729" cm="1">
        <f t="array" ref="I729">_xlfn.IFS(Table1[[#This Row],[Column4]]="NEW",_xlfn.XLOOKUP(Table1[[#This Row],[Year]],$N$2:$N$27,$P$2:$P$27),ISNUMBER(Table1[[#This Row],[Column4]]),Table1[[#This Row],[Column4]],Table1[[#This Row],[Column4]]="",I728*(1+Table1[[#This Row],[Ávöxtun]]))</f>
        <v>197.38918233229808</v>
      </c>
      <c r="L729" s="33">
        <v>192.50912000086979</v>
      </c>
      <c r="M729" s="33">
        <v>212.6012881005708</v>
      </c>
    </row>
    <row r="730" spans="1:13">
      <c r="A730" t="s">
        <v>101</v>
      </c>
      <c r="B730">
        <v>2021</v>
      </c>
      <c r="C730" s="16">
        <v>6.2699999999999992E-2</v>
      </c>
      <c r="D730" s="1">
        <v>2241434.46</v>
      </c>
      <c r="E730" s="29">
        <f>Table1[[#This Row],[Ávöxtun]]*Table1[[#This Row],[Eignir]]/SUMIFS(Table1[Eignir],Table1[Year],Table1[[#This Row],[Year]])</f>
        <v>2.3269804164782413E-5</v>
      </c>
      <c r="F730" s="23" t="e">
        <f>IF(B730=1997, 100, IF(COUNTIF(A$1:A729,A730)=0, "NEW", F729*(1+Table1[[#This Row],[Ávöxtun]])))</f>
        <v>#VALUE!</v>
      </c>
      <c r="G730" s="18" t="str" cm="1">
        <f t="array" ref="G730">IFERROR(_xlfn.IFS(ISNUMBER(Table1[[#This Row],[Column3]]),Table1[[#This Row],[Column3]],Table1[[#This Row],[Column3]]="NEW",Table1[[#This Row],[Column3]]),"")</f>
        <v/>
      </c>
      <c r="H730" s="15" cm="1">
        <f t="array" ref="H730">_xlfn.IFS(Table1[[#This Row],[Column4]]="NEW",AVERAGEIFS(Table1[Column4],Table1[Year],Table1[[#This Row],[Year]]),ISNUMBER(Table1[[#This Row],[Column4]]),Table1[[#This Row],[Column4]],Table1[[#This Row],[Column4]]="",H729*(1+Table1[[#This Row],[Ávöxtun]]))</f>
        <v>204.57944182492432</v>
      </c>
      <c r="I730" cm="1">
        <f t="array" ref="I730">_xlfn.IFS(Table1[[#This Row],[Column4]]="NEW",_xlfn.XLOOKUP(Table1[[#This Row],[Year]],$N$2:$N$27,$P$2:$P$27),ISNUMBER(Table1[[#This Row],[Column4]]),Table1[[#This Row],[Column4]],Table1[[#This Row],[Column4]]="",I729*(1+Table1[[#This Row],[Ávöxtun]]))</f>
        <v>209.76548406453315</v>
      </c>
      <c r="L730" s="33">
        <v>204.57944182492432</v>
      </c>
      <c r="M730" s="33">
        <v>225.93138886447659</v>
      </c>
    </row>
    <row r="731" spans="1:13">
      <c r="A731" t="s">
        <v>120</v>
      </c>
      <c r="B731">
        <v>1997</v>
      </c>
      <c r="C731" s="16">
        <v>0.05</v>
      </c>
      <c r="D731" s="1">
        <v>750043.87</v>
      </c>
      <c r="E731" s="29">
        <f>Table1[[#This Row],[Ávöxtun]]*Table1[[#This Row],[Eignir]]/SUMIFS(Table1[Eignir],Table1[Year],Table1[[#This Row],[Year]])</f>
        <v>1.1061767041664708E-4</v>
      </c>
      <c r="F731" s="23">
        <f>IF(B731=1997, 100, IF(COUNTIF(A$1:A730,A731)=0, "NEW", F730*(1+Table1[[#This Row],[Ávöxtun]])))</f>
        <v>100</v>
      </c>
      <c r="G731" s="18" cm="1">
        <f t="array" ref="G731">IFERROR(_xlfn.IFS(ISNUMBER(Table1[[#This Row],[Column3]]),Table1[[#This Row],[Column3]],Table1[[#This Row],[Column3]]="NEW",Table1[[#This Row],[Column3]]),"")</f>
        <v>100</v>
      </c>
      <c r="H731" s="15" cm="1">
        <f t="array" ref="H731">_xlfn.IFS(Table1[[#This Row],[Column4]]="NEW",AVERAGEIFS(Table1[Column4],Table1[Year],Table1[[#This Row],[Year]]),ISNUMBER(Table1[[#This Row],[Column4]]),Table1[[#This Row],[Column4]],Table1[[#This Row],[Column4]]="",H730*(1+Table1[[#This Row],[Ávöxtun]]))</f>
        <v>100</v>
      </c>
      <c r="I731" cm="1">
        <f t="array" ref="I731">_xlfn.IFS(Table1[[#This Row],[Column4]]="NEW",_xlfn.XLOOKUP(Table1[[#This Row],[Year]],$N$2:$N$27,$P$2:$P$27),ISNUMBER(Table1[[#This Row],[Column4]]),Table1[[#This Row],[Column4]],Table1[[#This Row],[Column4]]="",I730*(1+Table1[[#This Row],[Ávöxtun]]))</f>
        <v>100</v>
      </c>
      <c r="L731" s="33">
        <v>100</v>
      </c>
      <c r="M731" s="33">
        <v>100</v>
      </c>
    </row>
    <row r="732" spans="1:13">
      <c r="A732" t="s">
        <v>120</v>
      </c>
      <c r="B732">
        <v>1998</v>
      </c>
      <c r="C732" s="16">
        <v>0.05</v>
      </c>
      <c r="D732" s="1">
        <v>825193.66</v>
      </c>
      <c r="E732" s="29">
        <f>Table1[[#This Row],[Ávöxtun]]*Table1[[#This Row],[Eignir]]/SUMIFS(Table1[Eignir],Table1[Year],Table1[[#This Row],[Year]])</f>
        <v>1.0535241333212869E-4</v>
      </c>
      <c r="F732" s="23">
        <f>IF(B732=1997, 100, IF(COUNTIF(A$1:A731,A732)=0, "NEW", F731*(1+Table1[[#This Row],[Ávöxtun]])))</f>
        <v>105</v>
      </c>
      <c r="G732" s="18" cm="1">
        <f t="array" ref="G732">IFERROR(_xlfn.IFS(ISNUMBER(Table1[[#This Row],[Column3]]),Table1[[#This Row],[Column3]],Table1[[#This Row],[Column3]]="NEW",Table1[[#This Row],[Column3]]),"")</f>
        <v>105</v>
      </c>
      <c r="H732" s="15" cm="1">
        <f t="array" ref="H732">_xlfn.IFS(Table1[[#This Row],[Column4]]="NEW",AVERAGEIFS(Table1[Column4],Table1[Year],Table1[[#This Row],[Year]]),ISNUMBER(Table1[[#This Row],[Column4]]),Table1[[#This Row],[Column4]],Table1[[#This Row],[Column4]]="",H731*(1+Table1[[#This Row],[Ávöxtun]]))</f>
        <v>105</v>
      </c>
      <c r="I732" cm="1">
        <f t="array" ref="I732">_xlfn.IFS(Table1[[#This Row],[Column4]]="NEW",_xlfn.XLOOKUP(Table1[[#This Row],[Year]],$N$2:$N$27,$P$2:$P$27),ISNUMBER(Table1[[#This Row],[Column4]]),Table1[[#This Row],[Column4]],Table1[[#This Row],[Column4]]="",I731*(1+Table1[[#This Row],[Ávöxtun]]))</f>
        <v>105</v>
      </c>
      <c r="L732" s="33">
        <v>105</v>
      </c>
      <c r="M732" s="33">
        <v>105</v>
      </c>
    </row>
    <row r="733" spans="1:13">
      <c r="A733" t="s">
        <v>120</v>
      </c>
      <c r="B733">
        <v>1999</v>
      </c>
      <c r="C733" s="16">
        <v>0.05</v>
      </c>
      <c r="D733" s="1">
        <v>963234.35</v>
      </c>
      <c r="E733" s="29">
        <f>Table1[[#This Row],[Ávöxtun]]*Table1[[#This Row],[Eignir]]/SUMIFS(Table1[Eignir],Table1[Year],Table1[[#This Row],[Year]])</f>
        <v>9.2491212137866836E-5</v>
      </c>
      <c r="F733" s="23">
        <f>IF(B733=1997, 100, IF(COUNTIF(A$1:A732,A733)=0, "NEW", F732*(1+Table1[[#This Row],[Ávöxtun]])))</f>
        <v>110.25</v>
      </c>
      <c r="G733" s="18" cm="1">
        <f t="array" ref="G733">IFERROR(_xlfn.IFS(ISNUMBER(Table1[[#This Row],[Column3]]),Table1[[#This Row],[Column3]],Table1[[#This Row],[Column3]]="NEW",Table1[[#This Row],[Column3]]),"")</f>
        <v>110.25</v>
      </c>
      <c r="H733" s="15" cm="1">
        <f t="array" ref="H733">_xlfn.IFS(Table1[[#This Row],[Column4]]="NEW",AVERAGEIFS(Table1[Column4],Table1[Year],Table1[[#This Row],[Year]]),ISNUMBER(Table1[[#This Row],[Column4]]),Table1[[#This Row],[Column4]],Table1[[#This Row],[Column4]]="",H732*(1+Table1[[#This Row],[Ávöxtun]]))</f>
        <v>110.25</v>
      </c>
      <c r="I733" cm="1">
        <f t="array" ref="I733">_xlfn.IFS(Table1[[#This Row],[Column4]]="NEW",_xlfn.XLOOKUP(Table1[[#This Row],[Year]],$N$2:$N$27,$P$2:$P$27),ISNUMBER(Table1[[#This Row],[Column4]]),Table1[[#This Row],[Column4]],Table1[[#This Row],[Column4]]="",I732*(1+Table1[[#This Row],[Ávöxtun]]))</f>
        <v>110.25</v>
      </c>
      <c r="L733" s="33">
        <v>110.25</v>
      </c>
      <c r="M733" s="33">
        <v>110.25</v>
      </c>
    </row>
    <row r="734" spans="1:13">
      <c r="A734" t="s">
        <v>121</v>
      </c>
      <c r="B734">
        <v>1997</v>
      </c>
      <c r="C734" s="16">
        <v>0.06</v>
      </c>
      <c r="D734" s="1">
        <v>3442571.01</v>
      </c>
      <c r="E734" s="29">
        <f>Table1[[#This Row],[Ávöxtun]]*Table1[[#This Row],[Eignir]]/SUMIFS(Table1[Eignir],Table1[Year],Table1[[#This Row],[Year]])</f>
        <v>6.0925905899890972E-4</v>
      </c>
      <c r="F734" s="23">
        <f>IF(B734=1997, 100, IF(COUNTIF(A$1:A733,A734)=0, "NEW", F733*(1+Table1[[#This Row],[Ávöxtun]])))</f>
        <v>100</v>
      </c>
      <c r="G734" s="18" cm="1">
        <f t="array" ref="G734">IFERROR(_xlfn.IFS(ISNUMBER(Table1[[#This Row],[Column3]]),Table1[[#This Row],[Column3]],Table1[[#This Row],[Column3]]="NEW",Table1[[#This Row],[Column3]]),"")</f>
        <v>100</v>
      </c>
      <c r="H734" s="15" cm="1">
        <f t="array" ref="H734">_xlfn.IFS(Table1[[#This Row],[Column4]]="NEW",AVERAGEIFS(Table1[Column4],Table1[Year],Table1[[#This Row],[Year]]),ISNUMBER(Table1[[#This Row],[Column4]]),Table1[[#This Row],[Column4]],Table1[[#This Row],[Column4]]="",H733*(1+Table1[[#This Row],[Ávöxtun]]))</f>
        <v>100</v>
      </c>
      <c r="I734" cm="1">
        <f t="array" ref="I734">_xlfn.IFS(Table1[[#This Row],[Column4]]="NEW",_xlfn.XLOOKUP(Table1[[#This Row],[Year]],$N$2:$N$27,$P$2:$P$27),ISNUMBER(Table1[[#This Row],[Column4]]),Table1[[#This Row],[Column4]],Table1[[#This Row],[Column4]]="",I733*(1+Table1[[#This Row],[Ávöxtun]]))</f>
        <v>100</v>
      </c>
      <c r="L734" s="33">
        <v>100</v>
      </c>
      <c r="M734" s="33">
        <v>100</v>
      </c>
    </row>
    <row r="735" spans="1:13">
      <c r="A735" t="s">
        <v>122</v>
      </c>
      <c r="B735">
        <v>1997</v>
      </c>
      <c r="C735" s="16">
        <v>7.0000000000000007E-2</v>
      </c>
      <c r="D735" s="1">
        <v>6095064.8600000003</v>
      </c>
      <c r="E735" s="29">
        <f>Table1[[#This Row],[Ávöxtun]]*Table1[[#This Row],[Eignir]]/SUMIFS(Table1[Eignir],Table1[Year],Table1[[#This Row],[Year]])</f>
        <v>1.2584738892568966E-3</v>
      </c>
      <c r="F735" s="23">
        <f>IF(B735=1997, 100, IF(COUNTIF(A$1:A734,A735)=0, "NEW", F734*(1+Table1[[#This Row],[Ávöxtun]])))</f>
        <v>100</v>
      </c>
      <c r="G735" s="18" cm="1">
        <f t="array" ref="G735">IFERROR(_xlfn.IFS(ISNUMBER(Table1[[#This Row],[Column3]]),Table1[[#This Row],[Column3]],Table1[[#This Row],[Column3]]="NEW",Table1[[#This Row],[Column3]]),"")</f>
        <v>100</v>
      </c>
      <c r="H735" s="15" cm="1">
        <f t="array" ref="H735">_xlfn.IFS(Table1[[#This Row],[Column4]]="NEW",AVERAGEIFS(Table1[Column4],Table1[Year],Table1[[#This Row],[Year]]),ISNUMBER(Table1[[#This Row],[Column4]]),Table1[[#This Row],[Column4]],Table1[[#This Row],[Column4]]="",H734*(1+Table1[[#This Row],[Ávöxtun]]))</f>
        <v>100</v>
      </c>
      <c r="I735" cm="1">
        <f t="array" ref="I735">_xlfn.IFS(Table1[[#This Row],[Column4]]="NEW",_xlfn.XLOOKUP(Table1[[#This Row],[Year]],$N$2:$N$27,$P$2:$P$27),ISNUMBER(Table1[[#This Row],[Column4]]),Table1[[#This Row],[Column4]],Table1[[#This Row],[Column4]]="",I734*(1+Table1[[#This Row],[Ávöxtun]]))</f>
        <v>100</v>
      </c>
      <c r="L735" s="33">
        <v>100</v>
      </c>
      <c r="M735" s="33">
        <v>100</v>
      </c>
    </row>
    <row r="736" spans="1:13">
      <c r="A736" t="s">
        <v>122</v>
      </c>
      <c r="B736">
        <v>1998</v>
      </c>
      <c r="C736" s="16">
        <v>0.11</v>
      </c>
      <c r="D736" s="1">
        <v>7452913.1200000001</v>
      </c>
      <c r="E736" s="29">
        <f>Table1[[#This Row],[Ávöxtun]]*Table1[[#This Row],[Eignir]]/SUMIFS(Table1[Eignir],Table1[Year],Table1[[#This Row],[Year]])</f>
        <v>2.0933283028407011E-3</v>
      </c>
      <c r="F736" s="23">
        <f>IF(B736=1997, 100, IF(COUNTIF(A$1:A735,A736)=0, "NEW", F735*(1+Table1[[#This Row],[Ávöxtun]])))</f>
        <v>111.00000000000001</v>
      </c>
      <c r="G736" s="18" cm="1">
        <f t="array" ref="G736">IFERROR(_xlfn.IFS(ISNUMBER(Table1[[#This Row],[Column3]]),Table1[[#This Row],[Column3]],Table1[[#This Row],[Column3]]="NEW",Table1[[#This Row],[Column3]]),"")</f>
        <v>111.00000000000001</v>
      </c>
      <c r="H736" s="15" cm="1">
        <f t="array" ref="H736">_xlfn.IFS(Table1[[#This Row],[Column4]]="NEW",AVERAGEIFS(Table1[Column4],Table1[Year],Table1[[#This Row],[Year]]),ISNUMBER(Table1[[#This Row],[Column4]]),Table1[[#This Row],[Column4]],Table1[[#This Row],[Column4]]="",H735*(1+Table1[[#This Row],[Ávöxtun]]))</f>
        <v>111.00000000000001</v>
      </c>
      <c r="I736" cm="1">
        <f t="array" ref="I736">_xlfn.IFS(Table1[[#This Row],[Column4]]="NEW",_xlfn.XLOOKUP(Table1[[#This Row],[Year]],$N$2:$N$27,$P$2:$P$27),ISNUMBER(Table1[[#This Row],[Column4]]),Table1[[#This Row],[Column4]],Table1[[#This Row],[Column4]]="",I735*(1+Table1[[#This Row],[Ávöxtun]]))</f>
        <v>111.00000000000001</v>
      </c>
      <c r="L736" s="33">
        <v>111.00000000000001</v>
      </c>
      <c r="M736" s="33">
        <v>111.00000000000001</v>
      </c>
    </row>
    <row r="737" spans="1:13">
      <c r="A737" t="s">
        <v>122</v>
      </c>
      <c r="B737">
        <v>1999</v>
      </c>
      <c r="C737" s="16">
        <v>0.22</v>
      </c>
      <c r="D737" s="1">
        <v>10352635.789999999</v>
      </c>
      <c r="E737" s="29">
        <f>Table1[[#This Row],[Ávöxtun]]*Table1[[#This Row],[Eignir]]/SUMIFS(Table1[Eignir],Table1[Year],Table1[[#This Row],[Year]])</f>
        <v>4.3739329534618811E-3</v>
      </c>
      <c r="F737" s="23">
        <f>IF(B737=1997, 100, IF(COUNTIF(A$1:A736,A737)=0, "NEW", F736*(1+Table1[[#This Row],[Ávöxtun]])))</f>
        <v>135.42000000000002</v>
      </c>
      <c r="G737" s="18" cm="1">
        <f t="array" ref="G737">IFERROR(_xlfn.IFS(ISNUMBER(Table1[[#This Row],[Column3]]),Table1[[#This Row],[Column3]],Table1[[#This Row],[Column3]]="NEW",Table1[[#This Row],[Column3]]),"")</f>
        <v>135.42000000000002</v>
      </c>
      <c r="H737" s="15" cm="1">
        <f t="array" ref="H737">_xlfn.IFS(Table1[[#This Row],[Column4]]="NEW",AVERAGEIFS(Table1[Column4],Table1[Year],Table1[[#This Row],[Year]]),ISNUMBER(Table1[[#This Row],[Column4]]),Table1[[#This Row],[Column4]],Table1[[#This Row],[Column4]]="",H736*(1+Table1[[#This Row],[Ávöxtun]]))</f>
        <v>135.42000000000002</v>
      </c>
      <c r="I737" cm="1">
        <f t="array" ref="I737">_xlfn.IFS(Table1[[#This Row],[Column4]]="NEW",_xlfn.XLOOKUP(Table1[[#This Row],[Year]],$N$2:$N$27,$P$2:$P$27),ISNUMBER(Table1[[#This Row],[Column4]]),Table1[[#This Row],[Column4]],Table1[[#This Row],[Column4]]="",I736*(1+Table1[[#This Row],[Ávöxtun]]))</f>
        <v>135.42000000000002</v>
      </c>
      <c r="L737" s="33">
        <v>135.42000000000002</v>
      </c>
      <c r="M737" s="33">
        <v>135.42000000000002</v>
      </c>
    </row>
    <row r="738" spans="1:13">
      <c r="A738" t="s">
        <v>122</v>
      </c>
      <c r="B738">
        <v>2000</v>
      </c>
      <c r="C738" s="16">
        <v>-0.08</v>
      </c>
      <c r="D738" s="1">
        <v>10653925.210000001</v>
      </c>
      <c r="E738" s="29">
        <f>Table1[[#This Row],[Ávöxtun]]*Table1[[#This Row],[Eignir]]/SUMIFS(Table1[Eignir],Table1[Year],Table1[[#This Row],[Year]])</f>
        <v>-1.198939869000075E-3</v>
      </c>
      <c r="F738" s="23">
        <f>IF(B738=1997, 100, IF(COUNTIF(A$1:A737,A738)=0, "NEW", F737*(1+Table1[[#This Row],[Ávöxtun]])))</f>
        <v>124.58640000000003</v>
      </c>
      <c r="G738" s="18" cm="1">
        <f t="array" ref="G738">IFERROR(_xlfn.IFS(ISNUMBER(Table1[[#This Row],[Column3]]),Table1[[#This Row],[Column3]],Table1[[#This Row],[Column3]]="NEW",Table1[[#This Row],[Column3]]),"")</f>
        <v>124.58640000000003</v>
      </c>
      <c r="H738" s="15" cm="1">
        <f t="array" ref="H738">_xlfn.IFS(Table1[[#This Row],[Column4]]="NEW",AVERAGEIFS(Table1[Column4],Table1[Year],Table1[[#This Row],[Year]]),ISNUMBER(Table1[[#This Row],[Column4]]),Table1[[#This Row],[Column4]],Table1[[#This Row],[Column4]]="",H737*(1+Table1[[#This Row],[Ávöxtun]]))</f>
        <v>124.58640000000003</v>
      </c>
      <c r="I738" cm="1">
        <f t="array" ref="I738">_xlfn.IFS(Table1[[#This Row],[Column4]]="NEW",_xlfn.XLOOKUP(Table1[[#This Row],[Year]],$N$2:$N$27,$P$2:$P$27),ISNUMBER(Table1[[#This Row],[Column4]]),Table1[[#This Row],[Column4]],Table1[[#This Row],[Column4]]="",I737*(1+Table1[[#This Row],[Ávöxtun]]))</f>
        <v>124.58640000000003</v>
      </c>
      <c r="L738" s="33">
        <v>124.58640000000003</v>
      </c>
      <c r="M738" s="33">
        <v>124.58640000000003</v>
      </c>
    </row>
    <row r="739" spans="1:13">
      <c r="A739" t="s">
        <v>122</v>
      </c>
      <c r="B739">
        <v>2001</v>
      </c>
      <c r="C739" s="16">
        <v>-0.1</v>
      </c>
      <c r="D739" s="1">
        <v>23781169</v>
      </c>
      <c r="E739" s="29">
        <f>Table1[[#This Row],[Ávöxtun]]*Table1[[#This Row],[Eignir]]/SUMIFS(Table1[Eignir],Table1[Year],Table1[[#This Row],[Year]])</f>
        <v>-2.0537910070055464E-3</v>
      </c>
      <c r="F739" s="23">
        <f>IF(B739=1997, 100, IF(COUNTIF(A$1:A738,A739)=0, "NEW", F738*(1+Table1[[#This Row],[Ávöxtun]])))</f>
        <v>112.12776000000002</v>
      </c>
      <c r="G739" s="18" cm="1">
        <f t="array" ref="G739">IFERROR(_xlfn.IFS(ISNUMBER(Table1[[#This Row],[Column3]]),Table1[[#This Row],[Column3]],Table1[[#This Row],[Column3]]="NEW",Table1[[#This Row],[Column3]]),"")</f>
        <v>112.12776000000002</v>
      </c>
      <c r="H739" s="15" cm="1">
        <f t="array" ref="H739">_xlfn.IFS(Table1[[#This Row],[Column4]]="NEW",AVERAGEIFS(Table1[Column4],Table1[Year],Table1[[#This Row],[Year]]),ISNUMBER(Table1[[#This Row],[Column4]]),Table1[[#This Row],[Column4]],Table1[[#This Row],[Column4]]="",H738*(1+Table1[[#This Row],[Ávöxtun]]))</f>
        <v>112.12776000000002</v>
      </c>
      <c r="I739" cm="1">
        <f t="array" ref="I739">_xlfn.IFS(Table1[[#This Row],[Column4]]="NEW",_xlfn.XLOOKUP(Table1[[#This Row],[Year]],$N$2:$N$27,$P$2:$P$27),ISNUMBER(Table1[[#This Row],[Column4]]),Table1[[#This Row],[Column4]],Table1[[#This Row],[Column4]]="",I738*(1+Table1[[#This Row],[Ávöxtun]]))</f>
        <v>112.12776000000002</v>
      </c>
      <c r="L739" s="33">
        <v>112.12776000000002</v>
      </c>
      <c r="M739" s="33">
        <v>112.12776000000002</v>
      </c>
    </row>
    <row r="740" spans="1:13">
      <c r="A740" t="s">
        <v>122</v>
      </c>
      <c r="B740">
        <v>2002</v>
      </c>
      <c r="C740" s="16">
        <v>-0.11</v>
      </c>
      <c r="D740" s="1">
        <v>11655680.23</v>
      </c>
      <c r="E740" s="29">
        <f>Table1[[#This Row],[Ávöxtun]]*Table1[[#This Row],[Eignir]]/SUMIFS(Table1[Eignir],Table1[Year],Table1[[#This Row],[Year]])</f>
        <v>-2.0185723871865621E-3</v>
      </c>
      <c r="F740" s="23">
        <f>IF(B740=1997, 100, IF(COUNTIF(A$1:A739,A740)=0, "NEW", F739*(1+Table1[[#This Row],[Ávöxtun]])))</f>
        <v>99.793706400000019</v>
      </c>
      <c r="G740" s="18" cm="1">
        <f t="array" ref="G740">IFERROR(_xlfn.IFS(ISNUMBER(Table1[[#This Row],[Column3]]),Table1[[#This Row],[Column3]],Table1[[#This Row],[Column3]]="NEW",Table1[[#This Row],[Column3]]),"")</f>
        <v>99.793706400000019</v>
      </c>
      <c r="H740" s="15" cm="1">
        <f t="array" ref="H740">_xlfn.IFS(Table1[[#This Row],[Column4]]="NEW",AVERAGEIFS(Table1[Column4],Table1[Year],Table1[[#This Row],[Year]]),ISNUMBER(Table1[[#This Row],[Column4]]),Table1[[#This Row],[Column4]],Table1[[#This Row],[Column4]]="",H739*(1+Table1[[#This Row],[Ávöxtun]]))</f>
        <v>99.793706400000019</v>
      </c>
      <c r="I740" cm="1">
        <f t="array" ref="I740">_xlfn.IFS(Table1[[#This Row],[Column4]]="NEW",_xlfn.XLOOKUP(Table1[[#This Row],[Year]],$N$2:$N$27,$P$2:$P$27),ISNUMBER(Table1[[#This Row],[Column4]]),Table1[[#This Row],[Column4]],Table1[[#This Row],[Column4]]="",I739*(1+Table1[[#This Row],[Ávöxtun]]))</f>
        <v>99.793706400000019</v>
      </c>
      <c r="L740" s="33">
        <v>99.793706400000019</v>
      </c>
      <c r="M740" s="33">
        <v>99.793706400000019</v>
      </c>
    </row>
    <row r="741" spans="1:13">
      <c r="A741" t="s">
        <v>122</v>
      </c>
      <c r="B741">
        <v>2003</v>
      </c>
      <c r="C741" s="16">
        <v>0.1</v>
      </c>
      <c r="D741" s="1">
        <v>14195768</v>
      </c>
      <c r="E741" s="29">
        <f>Table1[[#This Row],[Ávöxtun]]*Table1[[#This Row],[Eignir]]/SUMIFS(Table1[Eignir],Table1[Year],Table1[[#This Row],[Year]])</f>
        <v>1.8681311692480174E-3</v>
      </c>
      <c r="F741" s="23">
        <f>IF(B741=1997, 100, IF(COUNTIF(A$1:A740,A741)=0, "NEW", F740*(1+Table1[[#This Row],[Ávöxtun]])))</f>
        <v>109.77307704000003</v>
      </c>
      <c r="G741" s="18" cm="1">
        <f t="array" ref="G741">IFERROR(_xlfn.IFS(ISNUMBER(Table1[[#This Row],[Column3]]),Table1[[#This Row],[Column3]],Table1[[#This Row],[Column3]]="NEW",Table1[[#This Row],[Column3]]),"")</f>
        <v>109.77307704000003</v>
      </c>
      <c r="H741" s="15" cm="1">
        <f t="array" ref="H741">_xlfn.IFS(Table1[[#This Row],[Column4]]="NEW",AVERAGEIFS(Table1[Column4],Table1[Year],Table1[[#This Row],[Year]]),ISNUMBER(Table1[[#This Row],[Column4]]),Table1[[#This Row],[Column4]],Table1[[#This Row],[Column4]]="",H740*(1+Table1[[#This Row],[Ávöxtun]]))</f>
        <v>109.77307704000003</v>
      </c>
      <c r="I741" cm="1">
        <f t="array" ref="I741">_xlfn.IFS(Table1[[#This Row],[Column4]]="NEW",_xlfn.XLOOKUP(Table1[[#This Row],[Year]],$N$2:$N$27,$P$2:$P$27),ISNUMBER(Table1[[#This Row],[Column4]]),Table1[[#This Row],[Column4]],Table1[[#This Row],[Column4]]="",I740*(1+Table1[[#This Row],[Ávöxtun]]))</f>
        <v>109.77307704000003</v>
      </c>
      <c r="L741" s="33">
        <v>109.77307704000003</v>
      </c>
      <c r="M741" s="33">
        <v>109.77307704000003</v>
      </c>
    </row>
    <row r="742" spans="1:13">
      <c r="A742" t="s">
        <v>122</v>
      </c>
      <c r="B742">
        <v>2004</v>
      </c>
      <c r="C742" s="16">
        <v>0.06</v>
      </c>
      <c r="D742" s="1">
        <v>16811540</v>
      </c>
      <c r="E742" s="29">
        <f>Table1[[#This Row],[Ávöxtun]]*Table1[[#This Row],[Eignir]]/SUMIFS(Table1[Eignir],Table1[Year],Table1[[#This Row],[Year]])</f>
        <v>1.1112980792804933E-3</v>
      </c>
      <c r="F742" s="23">
        <f>IF(B742=1997, 100, IF(COUNTIF(A$1:A741,A742)=0, "NEW", F741*(1+Table1[[#This Row],[Ávöxtun]])))</f>
        <v>116.35946166240004</v>
      </c>
      <c r="G742" s="18" cm="1">
        <f t="array" ref="G742">IFERROR(_xlfn.IFS(ISNUMBER(Table1[[#This Row],[Column3]]),Table1[[#This Row],[Column3]],Table1[[#This Row],[Column3]]="NEW",Table1[[#This Row],[Column3]]),"")</f>
        <v>116.35946166240004</v>
      </c>
      <c r="H742" s="15" cm="1">
        <f t="array" ref="H742">_xlfn.IFS(Table1[[#This Row],[Column4]]="NEW",AVERAGEIFS(Table1[Column4],Table1[Year],Table1[[#This Row],[Year]]),ISNUMBER(Table1[[#This Row],[Column4]]),Table1[[#This Row],[Column4]],Table1[[#This Row],[Column4]]="",H741*(1+Table1[[#This Row],[Ávöxtun]]))</f>
        <v>116.35946166240004</v>
      </c>
      <c r="I742" cm="1">
        <f t="array" ref="I742">_xlfn.IFS(Table1[[#This Row],[Column4]]="NEW",_xlfn.XLOOKUP(Table1[[#This Row],[Year]],$N$2:$N$27,$P$2:$P$27),ISNUMBER(Table1[[#This Row],[Column4]]),Table1[[#This Row],[Column4]],Table1[[#This Row],[Column4]]="",I741*(1+Table1[[#This Row],[Ávöxtun]]))</f>
        <v>116.35946166240004</v>
      </c>
      <c r="L742" s="33">
        <v>116.35946166240004</v>
      </c>
      <c r="M742" s="33">
        <v>116.35946166240004</v>
      </c>
    </row>
    <row r="743" spans="1:13">
      <c r="A743" t="s">
        <v>122</v>
      </c>
      <c r="B743">
        <v>2005</v>
      </c>
      <c r="C743" s="16">
        <v>0.11</v>
      </c>
      <c r="D743" s="1">
        <v>20678257</v>
      </c>
      <c r="E743" s="29">
        <f>Table1[[#This Row],[Ávöxtun]]*Table1[[#This Row],[Eignir]]/SUMIFS(Table1[Eignir],Table1[Year],Table1[[#This Row],[Year]])</f>
        <v>2.0284774041151267E-3</v>
      </c>
      <c r="F743" s="23">
        <f>IF(B743=1997, 100, IF(COUNTIF(A$1:A742,A743)=0, "NEW", F742*(1+Table1[[#This Row],[Ávöxtun]])))</f>
        <v>129.15900244526406</v>
      </c>
      <c r="G743" s="18" cm="1">
        <f t="array" ref="G743">IFERROR(_xlfn.IFS(ISNUMBER(Table1[[#This Row],[Column3]]),Table1[[#This Row],[Column3]],Table1[[#This Row],[Column3]]="NEW",Table1[[#This Row],[Column3]]),"")</f>
        <v>129.15900244526406</v>
      </c>
      <c r="H743" s="15" cm="1">
        <f t="array" ref="H743">_xlfn.IFS(Table1[[#This Row],[Column4]]="NEW",AVERAGEIFS(Table1[Column4],Table1[Year],Table1[[#This Row],[Year]]),ISNUMBER(Table1[[#This Row],[Column4]]),Table1[[#This Row],[Column4]],Table1[[#This Row],[Column4]]="",H742*(1+Table1[[#This Row],[Ávöxtun]]))</f>
        <v>129.15900244526406</v>
      </c>
      <c r="I743" cm="1">
        <f t="array" ref="I743">_xlfn.IFS(Table1[[#This Row],[Column4]]="NEW",_xlfn.XLOOKUP(Table1[[#This Row],[Year]],$N$2:$N$27,$P$2:$P$27),ISNUMBER(Table1[[#This Row],[Column4]]),Table1[[#This Row],[Column4]],Table1[[#This Row],[Column4]]="",I742*(1+Table1[[#This Row],[Ávöxtun]]))</f>
        <v>129.15900244526406</v>
      </c>
      <c r="L743" s="33">
        <v>129.15900244526406</v>
      </c>
      <c r="M743" s="33">
        <v>129.15900244526406</v>
      </c>
    </row>
    <row r="744" spans="1:13">
      <c r="A744" t="s">
        <v>122</v>
      </c>
      <c r="B744">
        <v>2006</v>
      </c>
      <c r="C744" s="16">
        <v>9.6199999999999994E-2</v>
      </c>
      <c r="D744" s="1">
        <v>25794255</v>
      </c>
      <c r="E744" s="29">
        <f>Table1[[#This Row],[Ávöxtun]]*Table1[[#This Row],[Eignir]]/SUMIFS(Table1[Eignir],Table1[Year],Table1[[#This Row],[Year]])</f>
        <v>1.8077157186238112E-3</v>
      </c>
      <c r="F744" s="23">
        <f>IF(B744=1997, 100, IF(COUNTIF(A$1:A743,A744)=0, "NEW", F743*(1+Table1[[#This Row],[Ávöxtun]])))</f>
        <v>141.58409848049848</v>
      </c>
      <c r="G744" s="18" cm="1">
        <f t="array" ref="G744">IFERROR(_xlfn.IFS(ISNUMBER(Table1[[#This Row],[Column3]]),Table1[[#This Row],[Column3]],Table1[[#This Row],[Column3]]="NEW",Table1[[#This Row],[Column3]]),"")</f>
        <v>141.58409848049848</v>
      </c>
      <c r="H744" s="15" cm="1">
        <f t="array" ref="H744">_xlfn.IFS(Table1[[#This Row],[Column4]]="NEW",AVERAGEIFS(Table1[Column4],Table1[Year],Table1[[#This Row],[Year]]),ISNUMBER(Table1[[#This Row],[Column4]]),Table1[[#This Row],[Column4]],Table1[[#This Row],[Column4]]="",H743*(1+Table1[[#This Row],[Ávöxtun]]))</f>
        <v>141.58409848049848</v>
      </c>
      <c r="I744" cm="1">
        <f t="array" ref="I744">_xlfn.IFS(Table1[[#This Row],[Column4]]="NEW",_xlfn.XLOOKUP(Table1[[#This Row],[Year]],$N$2:$N$27,$P$2:$P$27),ISNUMBER(Table1[[#This Row],[Column4]]),Table1[[#This Row],[Column4]],Table1[[#This Row],[Column4]]="",I743*(1+Table1[[#This Row],[Ávöxtun]]))</f>
        <v>141.58409848049848</v>
      </c>
      <c r="L744" s="33">
        <v>141.58409848049848</v>
      </c>
      <c r="M744" s="33">
        <v>141.58409848049848</v>
      </c>
    </row>
    <row r="745" spans="1:13">
      <c r="A745" t="s">
        <v>122</v>
      </c>
      <c r="B745">
        <v>2007</v>
      </c>
      <c r="C745" s="16">
        <v>-7.3000000000000001E-3</v>
      </c>
      <c r="D745" s="1">
        <v>28665140</v>
      </c>
      <c r="E745" s="29">
        <f>Table1[[#This Row],[Ávöxtun]]*Table1[[#This Row],[Eignir]]/SUMIFS(Table1[Eignir],Table1[Year],Table1[[#This Row],[Year]])</f>
        <v>-1.353171488986403E-4</v>
      </c>
      <c r="F745" s="23">
        <f>IF(B745=1997, 100, IF(COUNTIF(A$1:A744,A745)=0, "NEW", F744*(1+Table1[[#This Row],[Ávöxtun]])))</f>
        <v>140.55053456159084</v>
      </c>
      <c r="G745" s="18" cm="1">
        <f t="array" ref="G745">IFERROR(_xlfn.IFS(ISNUMBER(Table1[[#This Row],[Column3]]),Table1[[#This Row],[Column3]],Table1[[#This Row],[Column3]]="NEW",Table1[[#This Row],[Column3]]),"")</f>
        <v>140.55053456159084</v>
      </c>
      <c r="H745" s="15" cm="1">
        <f t="array" ref="H745">_xlfn.IFS(Table1[[#This Row],[Column4]]="NEW",AVERAGEIFS(Table1[Column4],Table1[Year],Table1[[#This Row],[Year]]),ISNUMBER(Table1[[#This Row],[Column4]]),Table1[[#This Row],[Column4]],Table1[[#This Row],[Column4]]="",H744*(1+Table1[[#This Row],[Ávöxtun]]))</f>
        <v>140.55053456159084</v>
      </c>
      <c r="I745" cm="1">
        <f t="array" ref="I745">_xlfn.IFS(Table1[[#This Row],[Column4]]="NEW",_xlfn.XLOOKUP(Table1[[#This Row],[Year]],$N$2:$N$27,$P$2:$P$27),ISNUMBER(Table1[[#This Row],[Column4]]),Table1[[#This Row],[Column4]],Table1[[#This Row],[Column4]]="",I744*(1+Table1[[#This Row],[Ávöxtun]]))</f>
        <v>140.55053456159084</v>
      </c>
      <c r="L745" s="33">
        <v>140.55053456159084</v>
      </c>
      <c r="M745" s="33">
        <v>140.55053456159084</v>
      </c>
    </row>
    <row r="746" spans="1:13">
      <c r="A746" t="s">
        <v>122</v>
      </c>
      <c r="B746">
        <v>2008</v>
      </c>
      <c r="C746" s="16">
        <v>-0.31409999999999999</v>
      </c>
      <c r="D746" s="1">
        <v>24599372</v>
      </c>
      <c r="E746" s="29">
        <f>Table1[[#This Row],[Ávöxtun]]*Table1[[#This Row],[Eignir]]/SUMIFS(Table1[Eignir],Table1[Year],Table1[[#This Row],[Year]])</f>
        <v>-5.1603355138406673E-3</v>
      </c>
      <c r="F746" s="23">
        <f>IF(B746=1997, 100, IF(COUNTIF(A$1:A745,A746)=0, "NEW", F745*(1+Table1[[#This Row],[Ávöxtun]])))</f>
        <v>96.403611655795146</v>
      </c>
      <c r="G746" s="18" cm="1">
        <f t="array" ref="G746">IFERROR(_xlfn.IFS(ISNUMBER(Table1[[#This Row],[Column3]]),Table1[[#This Row],[Column3]],Table1[[#This Row],[Column3]]="NEW",Table1[[#This Row],[Column3]]),"")</f>
        <v>96.403611655795146</v>
      </c>
      <c r="H746" s="15" cm="1">
        <f t="array" ref="H746">_xlfn.IFS(Table1[[#This Row],[Column4]]="NEW",AVERAGEIFS(Table1[Column4],Table1[Year],Table1[[#This Row],[Year]]),ISNUMBER(Table1[[#This Row],[Column4]]),Table1[[#This Row],[Column4]],Table1[[#This Row],[Column4]]="",H745*(1+Table1[[#This Row],[Ávöxtun]]))</f>
        <v>96.403611655795146</v>
      </c>
      <c r="I746" cm="1">
        <f t="array" ref="I746">_xlfn.IFS(Table1[[#This Row],[Column4]]="NEW",_xlfn.XLOOKUP(Table1[[#This Row],[Year]],$N$2:$N$27,$P$2:$P$27),ISNUMBER(Table1[[#This Row],[Column4]]),Table1[[#This Row],[Column4]],Table1[[#This Row],[Column4]]="",I745*(1+Table1[[#This Row],[Ávöxtun]]))</f>
        <v>96.403611655795146</v>
      </c>
      <c r="L746" s="33">
        <v>96.403611655795146</v>
      </c>
      <c r="M746" s="33">
        <v>96.403611655795146</v>
      </c>
    </row>
    <row r="747" spans="1:13">
      <c r="A747" t="s">
        <v>122</v>
      </c>
      <c r="B747">
        <v>2009</v>
      </c>
      <c r="C747" s="16">
        <v>-4.0000000000000001E-3</v>
      </c>
      <c r="D747" s="1">
        <v>29080106</v>
      </c>
      <c r="E747" s="29">
        <f>Table1[[#This Row],[Ávöxtun]]*Table1[[#This Row],[Eignir]]/SUMIFS(Table1[Eignir],Table1[Year],Table1[[#This Row],[Year]])</f>
        <v>-6.9725665399439081E-5</v>
      </c>
      <c r="F747" s="23">
        <f>IF(B747=1997, 100, IF(COUNTIF(A$1:A746,A747)=0, "NEW", F746*(1+Table1[[#This Row],[Ávöxtun]])))</f>
        <v>96.017997209171966</v>
      </c>
      <c r="G747" s="18" cm="1">
        <f t="array" ref="G747">IFERROR(_xlfn.IFS(ISNUMBER(Table1[[#This Row],[Column3]]),Table1[[#This Row],[Column3]],Table1[[#This Row],[Column3]]="NEW",Table1[[#This Row],[Column3]]),"")</f>
        <v>96.017997209171966</v>
      </c>
      <c r="H747" s="15" cm="1">
        <f t="array" ref="H747">_xlfn.IFS(Table1[[#This Row],[Column4]]="NEW",AVERAGEIFS(Table1[Column4],Table1[Year],Table1[[#This Row],[Year]]),ISNUMBER(Table1[[#This Row],[Column4]]),Table1[[#This Row],[Column4]],Table1[[#This Row],[Column4]]="",H746*(1+Table1[[#This Row],[Ávöxtun]]))</f>
        <v>96.017997209171966</v>
      </c>
      <c r="I747" cm="1">
        <f t="array" ref="I747">_xlfn.IFS(Table1[[#This Row],[Column4]]="NEW",_xlfn.XLOOKUP(Table1[[#This Row],[Year]],$N$2:$N$27,$P$2:$P$27),ISNUMBER(Table1[[#This Row],[Column4]]),Table1[[#This Row],[Column4]],Table1[[#This Row],[Column4]]="",I746*(1+Table1[[#This Row],[Ávöxtun]]))</f>
        <v>96.017997209171966</v>
      </c>
      <c r="L747" s="33">
        <v>96.017997209171966</v>
      </c>
      <c r="M747" s="33">
        <v>96.017997209171966</v>
      </c>
    </row>
    <row r="748" spans="1:13">
      <c r="A748" t="s">
        <v>122</v>
      </c>
      <c r="B748">
        <v>2010</v>
      </c>
      <c r="C748" s="16">
        <v>-2.3900000000000001E-2</v>
      </c>
      <c r="D748" s="1">
        <v>30805708</v>
      </c>
      <c r="E748" s="29">
        <f>Table1[[#This Row],[Ávöxtun]]*Table1[[#This Row],[Eignir]]/SUMIFS(Table1[Eignir],Table1[Year],Table1[[#This Row],[Year]])</f>
        <v>-4.1182568326938627E-4</v>
      </c>
      <c r="F748" s="23">
        <f>IF(B748=1997, 100, IF(COUNTIF(A$1:A747,A748)=0, "NEW", F747*(1+Table1[[#This Row],[Ávöxtun]])))</f>
        <v>93.723167075872752</v>
      </c>
      <c r="G748" s="18" cm="1">
        <f t="array" ref="G748">IFERROR(_xlfn.IFS(ISNUMBER(Table1[[#This Row],[Column3]]),Table1[[#This Row],[Column3]],Table1[[#This Row],[Column3]]="NEW",Table1[[#This Row],[Column3]]),"")</f>
        <v>93.723167075872752</v>
      </c>
      <c r="H748" s="15" cm="1">
        <f t="array" ref="H748">_xlfn.IFS(Table1[[#This Row],[Column4]]="NEW",AVERAGEIFS(Table1[Column4],Table1[Year],Table1[[#This Row],[Year]]),ISNUMBER(Table1[[#This Row],[Column4]]),Table1[[#This Row],[Column4]],Table1[[#This Row],[Column4]]="",H747*(1+Table1[[#This Row],[Ávöxtun]]))</f>
        <v>93.723167075872752</v>
      </c>
      <c r="I748" cm="1">
        <f t="array" ref="I748">_xlfn.IFS(Table1[[#This Row],[Column4]]="NEW",_xlfn.XLOOKUP(Table1[[#This Row],[Year]],$N$2:$N$27,$P$2:$P$27),ISNUMBER(Table1[[#This Row],[Column4]]),Table1[[#This Row],[Column4]],Table1[[#This Row],[Column4]]="",I747*(1+Table1[[#This Row],[Ávöxtun]]))</f>
        <v>93.723167075872752</v>
      </c>
      <c r="L748" s="33">
        <v>93.723167075872752</v>
      </c>
      <c r="M748" s="33">
        <v>93.723167075872752</v>
      </c>
    </row>
    <row r="749" spans="1:13">
      <c r="A749" t="s">
        <v>122</v>
      </c>
      <c r="B749">
        <v>2011</v>
      </c>
      <c r="C749" s="16">
        <v>9.0000000000000011E-3</v>
      </c>
      <c r="D749" s="1">
        <v>33813827</v>
      </c>
      <c r="E749" s="29">
        <f>Table1[[#This Row],[Ávöxtun]]*Table1[[#This Row],[Eignir]]/SUMIFS(Table1[Eignir],Table1[Year],Table1[[#This Row],[Year]])</f>
        <v>1.560191044080671E-4</v>
      </c>
      <c r="F749" s="23">
        <f>IF(B749=1997, 100, IF(COUNTIF(A$1:A748,A749)=0, "NEW", F748*(1+Table1[[#This Row],[Ávöxtun]])))</f>
        <v>94.566675579555593</v>
      </c>
      <c r="G749" s="18" cm="1">
        <f t="array" ref="G749">IFERROR(_xlfn.IFS(ISNUMBER(Table1[[#This Row],[Column3]]),Table1[[#This Row],[Column3]],Table1[[#This Row],[Column3]]="NEW",Table1[[#This Row],[Column3]]),"")</f>
        <v>94.566675579555593</v>
      </c>
      <c r="H749" s="15" cm="1">
        <f t="array" ref="H749">_xlfn.IFS(Table1[[#This Row],[Column4]]="NEW",AVERAGEIFS(Table1[Column4],Table1[Year],Table1[[#This Row],[Year]]),ISNUMBER(Table1[[#This Row],[Column4]]),Table1[[#This Row],[Column4]],Table1[[#This Row],[Column4]]="",H748*(1+Table1[[#This Row],[Ávöxtun]]))</f>
        <v>94.566675579555593</v>
      </c>
      <c r="I749" cm="1">
        <f t="array" ref="I749">_xlfn.IFS(Table1[[#This Row],[Column4]]="NEW",_xlfn.XLOOKUP(Table1[[#This Row],[Year]],$N$2:$N$27,$P$2:$P$27),ISNUMBER(Table1[[#This Row],[Column4]]),Table1[[#This Row],[Column4]],Table1[[#This Row],[Column4]]="",I748*(1+Table1[[#This Row],[Ávöxtun]]))</f>
        <v>94.566675579555593</v>
      </c>
      <c r="L749" s="33">
        <v>94.566675579555593</v>
      </c>
      <c r="M749" s="33">
        <v>94.566675579555593</v>
      </c>
    </row>
    <row r="750" spans="1:13">
      <c r="A750" t="s">
        <v>122</v>
      </c>
      <c r="B750">
        <v>2012</v>
      </c>
      <c r="C750" s="16">
        <v>5.5E-2</v>
      </c>
      <c r="D750" s="1">
        <v>39163120</v>
      </c>
      <c r="E750" s="29">
        <f>Table1[[#This Row],[Ávöxtun]]*Table1[[#This Row],[Eignir]]/SUMIFS(Table1[Eignir],Table1[Year],Table1[[#This Row],[Year]])</f>
        <v>9.7781439490282705E-4</v>
      </c>
      <c r="F750" s="23">
        <f>IF(B750=1997, 100, IF(COUNTIF(A$1:A749,A750)=0, "NEW", F749*(1+Table1[[#This Row],[Ávöxtun]])))</f>
        <v>99.767842736431149</v>
      </c>
      <c r="G750" s="18" cm="1">
        <f t="array" ref="G750">IFERROR(_xlfn.IFS(ISNUMBER(Table1[[#This Row],[Column3]]),Table1[[#This Row],[Column3]],Table1[[#This Row],[Column3]]="NEW",Table1[[#This Row],[Column3]]),"")</f>
        <v>99.767842736431149</v>
      </c>
      <c r="H750" s="15" cm="1">
        <f t="array" ref="H750">_xlfn.IFS(Table1[[#This Row],[Column4]]="NEW",AVERAGEIFS(Table1[Column4],Table1[Year],Table1[[#This Row],[Year]]),ISNUMBER(Table1[[#This Row],[Column4]]),Table1[[#This Row],[Column4]],Table1[[#This Row],[Column4]]="",H749*(1+Table1[[#This Row],[Ávöxtun]]))</f>
        <v>99.767842736431149</v>
      </c>
      <c r="I750" cm="1">
        <f t="array" ref="I750">_xlfn.IFS(Table1[[#This Row],[Column4]]="NEW",_xlfn.XLOOKUP(Table1[[#This Row],[Year]],$N$2:$N$27,$P$2:$P$27),ISNUMBER(Table1[[#This Row],[Column4]]),Table1[[#This Row],[Column4]],Table1[[#This Row],[Column4]]="",I749*(1+Table1[[#This Row],[Ávöxtun]]))</f>
        <v>99.767842736431149</v>
      </c>
      <c r="L750" s="33">
        <v>99.767842736431149</v>
      </c>
      <c r="M750" s="33">
        <v>99.767842736431149</v>
      </c>
    </row>
    <row r="751" spans="1:13">
      <c r="A751" t="s">
        <v>122</v>
      </c>
      <c r="B751">
        <v>2013</v>
      </c>
      <c r="C751" s="16">
        <v>4.5999999999999999E-2</v>
      </c>
      <c r="D751" s="1">
        <v>44634884</v>
      </c>
      <c r="E751" s="29">
        <f>Table1[[#This Row],[Ávöxtun]]*Table1[[#This Row],[Eignir]]/SUMIFS(Table1[Eignir],Table1[Year],Table1[[#This Row],[Year]])</f>
        <v>8.4369737541004259E-4</v>
      </c>
      <c r="F751" s="23">
        <f>IF(B751=1997, 100, IF(COUNTIF(A$1:A750,A751)=0, "NEW", F750*(1+Table1[[#This Row],[Ávöxtun]])))</f>
        <v>104.35716350230699</v>
      </c>
      <c r="G751" s="18" cm="1">
        <f t="array" ref="G751">IFERROR(_xlfn.IFS(ISNUMBER(Table1[[#This Row],[Column3]]),Table1[[#This Row],[Column3]],Table1[[#This Row],[Column3]]="NEW",Table1[[#This Row],[Column3]]),"")</f>
        <v>104.35716350230699</v>
      </c>
      <c r="H751" s="15" cm="1">
        <f t="array" ref="H751">_xlfn.IFS(Table1[[#This Row],[Column4]]="NEW",AVERAGEIFS(Table1[Column4],Table1[Year],Table1[[#This Row],[Year]]),ISNUMBER(Table1[[#This Row],[Column4]]),Table1[[#This Row],[Column4]],Table1[[#This Row],[Column4]]="",H750*(1+Table1[[#This Row],[Ávöxtun]]))</f>
        <v>104.35716350230699</v>
      </c>
      <c r="I751" cm="1">
        <f t="array" ref="I751">_xlfn.IFS(Table1[[#This Row],[Column4]]="NEW",_xlfn.XLOOKUP(Table1[[#This Row],[Year]],$N$2:$N$27,$P$2:$P$27),ISNUMBER(Table1[[#This Row],[Column4]]),Table1[[#This Row],[Column4]],Table1[[#This Row],[Column4]]="",I750*(1+Table1[[#This Row],[Ávöxtun]]))</f>
        <v>104.35716350230699</v>
      </c>
      <c r="L751" s="33">
        <v>104.35716350230699</v>
      </c>
      <c r="M751" s="33">
        <v>104.35716350230699</v>
      </c>
    </row>
    <row r="752" spans="1:13">
      <c r="A752" t="s">
        <v>123</v>
      </c>
      <c r="B752">
        <v>1997</v>
      </c>
      <c r="C752" s="16">
        <v>0.1</v>
      </c>
      <c r="D752" s="1">
        <v>53487624.140000001</v>
      </c>
      <c r="E752" s="29">
        <f>Table1[[#This Row],[Ávöxtun]]*Table1[[#This Row],[Eignir]]/SUMIFS(Table1[Eignir],Table1[Year],Table1[[#This Row],[Year]])</f>
        <v>1.5776880833618483E-2</v>
      </c>
      <c r="F752" s="23">
        <f>IF(B752=1997, 100, IF(COUNTIF(A$1:A751,A752)=0, "NEW", F751*(1+Table1[[#This Row],[Ávöxtun]])))</f>
        <v>100</v>
      </c>
      <c r="G752" s="18" cm="1">
        <f t="array" ref="G752">IFERROR(_xlfn.IFS(ISNUMBER(Table1[[#This Row],[Column3]]),Table1[[#This Row],[Column3]],Table1[[#This Row],[Column3]]="NEW",Table1[[#This Row],[Column3]]),"")</f>
        <v>100</v>
      </c>
      <c r="H752" s="15" cm="1">
        <f t="array" ref="H752">_xlfn.IFS(Table1[[#This Row],[Column4]]="NEW",AVERAGEIFS(Table1[Column4],Table1[Year],Table1[[#This Row],[Year]]),ISNUMBER(Table1[[#This Row],[Column4]]),Table1[[#This Row],[Column4]],Table1[[#This Row],[Column4]]="",H751*(1+Table1[[#This Row],[Ávöxtun]]))</f>
        <v>100</v>
      </c>
      <c r="I752" cm="1">
        <f t="array" ref="I752">_xlfn.IFS(Table1[[#This Row],[Column4]]="NEW",_xlfn.XLOOKUP(Table1[[#This Row],[Year]],$N$2:$N$27,$P$2:$P$27),ISNUMBER(Table1[[#This Row],[Column4]]),Table1[[#This Row],[Column4]],Table1[[#This Row],[Column4]]="",I751*(1+Table1[[#This Row],[Ávöxtun]]))</f>
        <v>100</v>
      </c>
      <c r="L752" s="33">
        <v>100</v>
      </c>
      <c r="M752" s="33">
        <v>100</v>
      </c>
    </row>
    <row r="753" spans="1:13">
      <c r="A753" t="s">
        <v>123</v>
      </c>
      <c r="B753">
        <v>1998</v>
      </c>
      <c r="C753" s="16">
        <v>0.08</v>
      </c>
      <c r="D753" s="1">
        <v>60934619.640000001</v>
      </c>
      <c r="E753" s="29">
        <f>Table1[[#This Row],[Ávöxtun]]*Table1[[#This Row],[Eignir]]/SUMIFS(Table1[Eignir],Table1[Year],Table1[[#This Row],[Year]])</f>
        <v>1.2447229387679641E-2</v>
      </c>
      <c r="F753" s="23">
        <f>IF(B753=1997, 100, IF(COUNTIF(A$1:A752,A753)=0, "NEW", F752*(1+Table1[[#This Row],[Ávöxtun]])))</f>
        <v>108</v>
      </c>
      <c r="G753" s="18" cm="1">
        <f t="array" ref="G753">IFERROR(_xlfn.IFS(ISNUMBER(Table1[[#This Row],[Column3]]),Table1[[#This Row],[Column3]],Table1[[#This Row],[Column3]]="NEW",Table1[[#This Row],[Column3]]),"")</f>
        <v>108</v>
      </c>
      <c r="H753" s="15" cm="1">
        <f t="array" ref="H753">_xlfn.IFS(Table1[[#This Row],[Column4]]="NEW",AVERAGEIFS(Table1[Column4],Table1[Year],Table1[[#This Row],[Year]]),ISNUMBER(Table1[[#This Row],[Column4]]),Table1[[#This Row],[Column4]],Table1[[#This Row],[Column4]]="",H752*(1+Table1[[#This Row],[Ávöxtun]]))</f>
        <v>108</v>
      </c>
      <c r="I753" cm="1">
        <f t="array" ref="I753">_xlfn.IFS(Table1[[#This Row],[Column4]]="NEW",_xlfn.XLOOKUP(Table1[[#This Row],[Year]],$N$2:$N$27,$P$2:$P$27),ISNUMBER(Table1[[#This Row],[Column4]]),Table1[[#This Row],[Column4]],Table1[[#This Row],[Column4]]="",I752*(1+Table1[[#This Row],[Ávöxtun]]))</f>
        <v>108</v>
      </c>
      <c r="L753" s="33">
        <v>108</v>
      </c>
      <c r="M753" s="33">
        <v>108</v>
      </c>
    </row>
    <row r="754" spans="1:13">
      <c r="A754" t="s">
        <v>123</v>
      </c>
      <c r="B754">
        <v>1999</v>
      </c>
      <c r="C754" s="16">
        <v>0.12</v>
      </c>
      <c r="D754" s="1">
        <v>76658047.469999999</v>
      </c>
      <c r="E754" s="29">
        <f>Table1[[#This Row],[Ávöxtun]]*Table1[[#This Row],[Eignir]]/SUMIFS(Table1[Eignir],Table1[Year],Table1[[#This Row],[Year]])</f>
        <v>1.7665970647219805E-2</v>
      </c>
      <c r="F754" s="23">
        <f>IF(B754=1997, 100, IF(COUNTIF(A$1:A753,A754)=0, "NEW", F753*(1+Table1[[#This Row],[Ávöxtun]])))</f>
        <v>120.96000000000001</v>
      </c>
      <c r="G754" s="18" cm="1">
        <f t="array" ref="G754">IFERROR(_xlfn.IFS(ISNUMBER(Table1[[#This Row],[Column3]]),Table1[[#This Row],[Column3]],Table1[[#This Row],[Column3]]="NEW",Table1[[#This Row],[Column3]]),"")</f>
        <v>120.96000000000001</v>
      </c>
      <c r="H754" s="15" cm="1">
        <f t="array" ref="H754">_xlfn.IFS(Table1[[#This Row],[Column4]]="NEW",AVERAGEIFS(Table1[Column4],Table1[Year],Table1[[#This Row],[Year]]),ISNUMBER(Table1[[#This Row],[Column4]]),Table1[[#This Row],[Column4]],Table1[[#This Row],[Column4]]="",H753*(1+Table1[[#This Row],[Ávöxtun]]))</f>
        <v>120.96000000000001</v>
      </c>
      <c r="I754" cm="1">
        <f t="array" ref="I754">_xlfn.IFS(Table1[[#This Row],[Column4]]="NEW",_xlfn.XLOOKUP(Table1[[#This Row],[Year]],$N$2:$N$27,$P$2:$P$27),ISNUMBER(Table1[[#This Row],[Column4]]),Table1[[#This Row],[Column4]],Table1[[#This Row],[Column4]]="",I753*(1+Table1[[#This Row],[Ávöxtun]]))</f>
        <v>120.96000000000001</v>
      </c>
      <c r="L754" s="33">
        <v>120.96000000000001</v>
      </c>
      <c r="M754" s="33">
        <v>120.96000000000001</v>
      </c>
    </row>
    <row r="755" spans="1:13">
      <c r="A755" t="s">
        <v>123</v>
      </c>
      <c r="B755">
        <v>2000</v>
      </c>
      <c r="C755" s="16">
        <v>0.01</v>
      </c>
      <c r="D755" s="1">
        <v>86298797.840000004</v>
      </c>
      <c r="E755" s="29">
        <f>Table1[[#This Row],[Ávöxtun]]*Table1[[#This Row],[Eignir]]/SUMIFS(Table1[Eignir],Table1[Year],Table1[[#This Row],[Year]])</f>
        <v>1.2139548023112313E-3</v>
      </c>
      <c r="F755" s="23">
        <f>IF(B755=1997, 100, IF(COUNTIF(A$1:A754,A755)=0, "NEW", F754*(1+Table1[[#This Row],[Ávöxtun]])))</f>
        <v>122.1696</v>
      </c>
      <c r="G755" s="18" cm="1">
        <f t="array" ref="G755">IFERROR(_xlfn.IFS(ISNUMBER(Table1[[#This Row],[Column3]]),Table1[[#This Row],[Column3]],Table1[[#This Row],[Column3]]="NEW",Table1[[#This Row],[Column3]]),"")</f>
        <v>122.1696</v>
      </c>
      <c r="H755" s="15" cm="1">
        <f t="array" ref="H755">_xlfn.IFS(Table1[[#This Row],[Column4]]="NEW",AVERAGEIFS(Table1[Column4],Table1[Year],Table1[[#This Row],[Year]]),ISNUMBER(Table1[[#This Row],[Column4]]),Table1[[#This Row],[Column4]],Table1[[#This Row],[Column4]]="",H754*(1+Table1[[#This Row],[Ávöxtun]]))</f>
        <v>122.1696</v>
      </c>
      <c r="I755" cm="1">
        <f t="array" ref="I755">_xlfn.IFS(Table1[[#This Row],[Column4]]="NEW",_xlfn.XLOOKUP(Table1[[#This Row],[Year]],$N$2:$N$27,$P$2:$P$27),ISNUMBER(Table1[[#This Row],[Column4]]),Table1[[#This Row],[Column4]],Table1[[#This Row],[Column4]]="",I754*(1+Table1[[#This Row],[Ávöxtun]]))</f>
        <v>122.1696</v>
      </c>
      <c r="L755" s="33">
        <v>122.1696</v>
      </c>
      <c r="M755" s="33">
        <v>122.1696</v>
      </c>
    </row>
    <row r="756" spans="1:13">
      <c r="A756" t="s">
        <v>123</v>
      </c>
      <c r="B756">
        <v>2001</v>
      </c>
      <c r="C756" s="16">
        <v>-0.02</v>
      </c>
      <c r="D756" s="1">
        <v>196771470</v>
      </c>
      <c r="E756" s="29">
        <f>Table1[[#This Row],[Ávöxtun]]*Table1[[#This Row],[Eignir]]/SUMIFS(Table1[Eignir],Table1[Year],Table1[[#This Row],[Year]])</f>
        <v>-3.3987183348409972E-3</v>
      </c>
      <c r="F756" s="23">
        <f>IF(B756=1997, 100, IF(COUNTIF(A$1:A755,A756)=0, "NEW", F755*(1+Table1[[#This Row],[Ávöxtun]])))</f>
        <v>119.726208</v>
      </c>
      <c r="G756" s="18" cm="1">
        <f t="array" ref="G756">IFERROR(_xlfn.IFS(ISNUMBER(Table1[[#This Row],[Column3]]),Table1[[#This Row],[Column3]],Table1[[#This Row],[Column3]]="NEW",Table1[[#This Row],[Column3]]),"")</f>
        <v>119.726208</v>
      </c>
      <c r="H756" s="15" cm="1">
        <f t="array" ref="H756">_xlfn.IFS(Table1[[#This Row],[Column4]]="NEW",AVERAGEIFS(Table1[Column4],Table1[Year],Table1[[#This Row],[Year]]),ISNUMBER(Table1[[#This Row],[Column4]]),Table1[[#This Row],[Column4]],Table1[[#This Row],[Column4]]="",H755*(1+Table1[[#This Row],[Ávöxtun]]))</f>
        <v>119.726208</v>
      </c>
      <c r="I756" cm="1">
        <f t="array" ref="I756">_xlfn.IFS(Table1[[#This Row],[Column4]]="NEW",_xlfn.XLOOKUP(Table1[[#This Row],[Year]],$N$2:$N$27,$P$2:$P$27),ISNUMBER(Table1[[#This Row],[Column4]]),Table1[[#This Row],[Column4]],Table1[[#This Row],[Column4]]="",I755*(1+Table1[[#This Row],[Ávöxtun]]))</f>
        <v>119.726208</v>
      </c>
      <c r="L756" s="33">
        <v>119.726208</v>
      </c>
      <c r="M756" s="33">
        <v>119.726208</v>
      </c>
    </row>
    <row r="757" spans="1:13">
      <c r="A757" t="s">
        <v>123</v>
      </c>
      <c r="B757">
        <v>2002</v>
      </c>
      <c r="C757" s="16">
        <v>-0.03</v>
      </c>
      <c r="D757" s="1">
        <v>102177838</v>
      </c>
      <c r="E757" s="29">
        <f>Table1[[#This Row],[Ávöxtun]]*Table1[[#This Row],[Eignir]]/SUMIFS(Table1[Eignir],Table1[Year],Table1[[#This Row],[Year]])</f>
        <v>-4.8260518390858213E-3</v>
      </c>
      <c r="F757" s="23">
        <f>IF(B757=1997, 100, IF(COUNTIF(A$1:A756,A757)=0, "NEW", F756*(1+Table1[[#This Row],[Ávöxtun]])))</f>
        <v>116.13442176</v>
      </c>
      <c r="G757" s="18" cm="1">
        <f t="array" ref="G757">IFERROR(_xlfn.IFS(ISNUMBER(Table1[[#This Row],[Column3]]),Table1[[#This Row],[Column3]],Table1[[#This Row],[Column3]]="NEW",Table1[[#This Row],[Column3]]),"")</f>
        <v>116.13442176</v>
      </c>
      <c r="H757" s="15" cm="1">
        <f t="array" ref="H757">_xlfn.IFS(Table1[[#This Row],[Column4]]="NEW",AVERAGEIFS(Table1[Column4],Table1[Year],Table1[[#This Row],[Year]]),ISNUMBER(Table1[[#This Row],[Column4]]),Table1[[#This Row],[Column4]],Table1[[#This Row],[Column4]]="",H756*(1+Table1[[#This Row],[Ávöxtun]]))</f>
        <v>116.13442176</v>
      </c>
      <c r="I757" cm="1">
        <f t="array" ref="I757">_xlfn.IFS(Table1[[#This Row],[Column4]]="NEW",_xlfn.XLOOKUP(Table1[[#This Row],[Year]],$N$2:$N$27,$P$2:$P$27),ISNUMBER(Table1[[#This Row],[Column4]]),Table1[[#This Row],[Column4]],Table1[[#This Row],[Column4]]="",I756*(1+Table1[[#This Row],[Ávöxtun]]))</f>
        <v>116.13442176</v>
      </c>
      <c r="L757" s="33">
        <v>116.13442176</v>
      </c>
      <c r="M757" s="33">
        <v>116.13442176</v>
      </c>
    </row>
    <row r="758" spans="1:13">
      <c r="A758" t="s">
        <v>123</v>
      </c>
      <c r="B758">
        <v>2003</v>
      </c>
      <c r="C758" s="16">
        <v>0.12</v>
      </c>
      <c r="D758" s="1">
        <v>122001974</v>
      </c>
      <c r="E758" s="29">
        <f>Table1[[#This Row],[Ávöxtun]]*Table1[[#This Row],[Eignir]]/SUMIFS(Table1[Eignir],Table1[Year],Table1[[#This Row],[Year]])</f>
        <v>1.9266222750824291E-2</v>
      </c>
      <c r="F758" s="23">
        <f>IF(B758=1997, 100, IF(COUNTIF(A$1:A757,A758)=0, "NEW", F757*(1+Table1[[#This Row],[Ávöxtun]])))</f>
        <v>130.07055237119999</v>
      </c>
      <c r="G758" s="18" cm="1">
        <f t="array" ref="G758">IFERROR(_xlfn.IFS(ISNUMBER(Table1[[#This Row],[Column3]]),Table1[[#This Row],[Column3]],Table1[[#This Row],[Column3]]="NEW",Table1[[#This Row],[Column3]]),"")</f>
        <v>130.07055237119999</v>
      </c>
      <c r="H758" s="15" cm="1">
        <f t="array" ref="H758">_xlfn.IFS(Table1[[#This Row],[Column4]]="NEW",AVERAGEIFS(Table1[Column4],Table1[Year],Table1[[#This Row],[Year]]),ISNUMBER(Table1[[#This Row],[Column4]]),Table1[[#This Row],[Column4]],Table1[[#This Row],[Column4]]="",H757*(1+Table1[[#This Row],[Ávöxtun]]))</f>
        <v>130.07055237119999</v>
      </c>
      <c r="I758" cm="1">
        <f t="array" ref="I758">_xlfn.IFS(Table1[[#This Row],[Column4]]="NEW",_xlfn.XLOOKUP(Table1[[#This Row],[Year]],$N$2:$N$27,$P$2:$P$27),ISNUMBER(Table1[[#This Row],[Column4]]),Table1[[#This Row],[Column4]],Table1[[#This Row],[Column4]]="",I757*(1+Table1[[#This Row],[Ávöxtun]]))</f>
        <v>130.07055237119999</v>
      </c>
      <c r="L758" s="33">
        <v>130.07055237119999</v>
      </c>
      <c r="M758" s="33">
        <v>130.07055237119999</v>
      </c>
    </row>
    <row r="759" spans="1:13">
      <c r="A759" t="s">
        <v>123</v>
      </c>
      <c r="B759">
        <v>2004</v>
      </c>
      <c r="C759" s="16">
        <v>0.12</v>
      </c>
      <c r="D759" s="1">
        <v>147947805</v>
      </c>
      <c r="E759" s="29">
        <f>Table1[[#This Row],[Ávöxtun]]*Table1[[#This Row],[Eignir]]/SUMIFS(Table1[Eignir],Table1[Year],Table1[[#This Row],[Year]])</f>
        <v>1.955967288306306E-2</v>
      </c>
      <c r="F759" s="23">
        <f>IF(B759=1997, 100, IF(COUNTIF(A$1:A758,A759)=0, "NEW", F758*(1+Table1[[#This Row],[Ávöxtun]])))</f>
        <v>145.67901865574402</v>
      </c>
      <c r="G759" s="18" cm="1">
        <f t="array" ref="G759">IFERROR(_xlfn.IFS(ISNUMBER(Table1[[#This Row],[Column3]]),Table1[[#This Row],[Column3]],Table1[[#This Row],[Column3]]="NEW",Table1[[#This Row],[Column3]]),"")</f>
        <v>145.67901865574402</v>
      </c>
      <c r="H759" s="15" cm="1">
        <f t="array" ref="H759">_xlfn.IFS(Table1[[#This Row],[Column4]]="NEW",AVERAGEIFS(Table1[Column4],Table1[Year],Table1[[#This Row],[Year]]),ISNUMBER(Table1[[#This Row],[Column4]]),Table1[[#This Row],[Column4]],Table1[[#This Row],[Column4]]="",H758*(1+Table1[[#This Row],[Ávöxtun]]))</f>
        <v>145.67901865574402</v>
      </c>
      <c r="I759" cm="1">
        <f t="array" ref="I759">_xlfn.IFS(Table1[[#This Row],[Column4]]="NEW",_xlfn.XLOOKUP(Table1[[#This Row],[Year]],$N$2:$N$27,$P$2:$P$27),ISNUMBER(Table1[[#This Row],[Column4]]),Table1[[#This Row],[Column4]],Table1[[#This Row],[Column4]]="",I758*(1+Table1[[#This Row],[Ávöxtun]]))</f>
        <v>145.67901865574402</v>
      </c>
      <c r="L759" s="33">
        <v>145.67901865574402</v>
      </c>
      <c r="M759" s="33">
        <v>145.67901865574402</v>
      </c>
    </row>
    <row r="760" spans="1:13">
      <c r="A760" t="s">
        <v>123</v>
      </c>
      <c r="B760">
        <v>2005</v>
      </c>
      <c r="C760" s="16">
        <v>0.16</v>
      </c>
      <c r="D760" s="1">
        <v>187856735</v>
      </c>
      <c r="E760" s="29">
        <f>Table1[[#This Row],[Ávöxtun]]*Table1[[#This Row],[Eignir]]/SUMIFS(Table1[Eignir],Table1[Year],Table1[[#This Row],[Year]])</f>
        <v>2.6804660630788492E-2</v>
      </c>
      <c r="F760" s="23">
        <f>IF(B760=1997, 100, IF(COUNTIF(A$1:A759,A760)=0, "NEW", F759*(1+Table1[[#This Row],[Ávöxtun]])))</f>
        <v>168.98766164066305</v>
      </c>
      <c r="G760" s="18" cm="1">
        <f t="array" ref="G760">IFERROR(_xlfn.IFS(ISNUMBER(Table1[[#This Row],[Column3]]),Table1[[#This Row],[Column3]],Table1[[#This Row],[Column3]]="NEW",Table1[[#This Row],[Column3]]),"")</f>
        <v>168.98766164066305</v>
      </c>
      <c r="H760" s="15" cm="1">
        <f t="array" ref="H760">_xlfn.IFS(Table1[[#This Row],[Column4]]="NEW",AVERAGEIFS(Table1[Column4],Table1[Year],Table1[[#This Row],[Year]]),ISNUMBER(Table1[[#This Row],[Column4]]),Table1[[#This Row],[Column4]],Table1[[#This Row],[Column4]]="",H759*(1+Table1[[#This Row],[Ávöxtun]]))</f>
        <v>168.98766164066305</v>
      </c>
      <c r="I760" cm="1">
        <f t="array" ref="I760">_xlfn.IFS(Table1[[#This Row],[Column4]]="NEW",_xlfn.XLOOKUP(Table1[[#This Row],[Year]],$N$2:$N$27,$P$2:$P$27),ISNUMBER(Table1[[#This Row],[Column4]]),Table1[[#This Row],[Column4]],Table1[[#This Row],[Column4]]="",I759*(1+Table1[[#This Row],[Ávöxtun]]))</f>
        <v>168.98766164066305</v>
      </c>
      <c r="L760" s="33">
        <v>168.98766164066305</v>
      </c>
      <c r="M760" s="33">
        <v>168.98766164066305</v>
      </c>
    </row>
    <row r="761" spans="1:13">
      <c r="A761" t="s">
        <v>123</v>
      </c>
      <c r="B761">
        <v>2006</v>
      </c>
      <c r="C761" s="16">
        <v>0.12620000000000001</v>
      </c>
      <c r="D761" s="1">
        <v>235020727</v>
      </c>
      <c r="E761" s="29">
        <f>Table1[[#This Row],[Ávöxtun]]*Table1[[#This Row],[Eignir]]/SUMIFS(Table1[Eignir],Table1[Year],Table1[[#This Row],[Year]])</f>
        <v>2.1607155312670955E-2</v>
      </c>
      <c r="F761" s="23">
        <f>IF(B761=1997, 100, IF(COUNTIF(A$1:A760,A761)=0, "NEW", F760*(1+Table1[[#This Row],[Ávöxtun]])))</f>
        <v>190.31390453971474</v>
      </c>
      <c r="G761" s="18" cm="1">
        <f t="array" ref="G761">IFERROR(_xlfn.IFS(ISNUMBER(Table1[[#This Row],[Column3]]),Table1[[#This Row],[Column3]],Table1[[#This Row],[Column3]]="NEW",Table1[[#This Row],[Column3]]),"")</f>
        <v>190.31390453971474</v>
      </c>
      <c r="H761" s="15" cm="1">
        <f t="array" ref="H761">_xlfn.IFS(Table1[[#This Row],[Column4]]="NEW",AVERAGEIFS(Table1[Column4],Table1[Year],Table1[[#This Row],[Year]]),ISNUMBER(Table1[[#This Row],[Column4]]),Table1[[#This Row],[Column4]],Table1[[#This Row],[Column4]]="",H760*(1+Table1[[#This Row],[Ávöxtun]]))</f>
        <v>190.31390453971474</v>
      </c>
      <c r="I761" cm="1">
        <f t="array" ref="I761">_xlfn.IFS(Table1[[#This Row],[Column4]]="NEW",_xlfn.XLOOKUP(Table1[[#This Row],[Year]],$N$2:$N$27,$P$2:$P$27),ISNUMBER(Table1[[#This Row],[Column4]]),Table1[[#This Row],[Column4]],Table1[[#This Row],[Column4]]="",I760*(1+Table1[[#This Row],[Ávöxtun]]))</f>
        <v>190.31390453971474</v>
      </c>
      <c r="L761" s="33">
        <v>190.31390453971474</v>
      </c>
      <c r="M761" s="33">
        <v>190.31390453971474</v>
      </c>
    </row>
    <row r="762" spans="1:13">
      <c r="A762" t="s">
        <v>123</v>
      </c>
      <c r="B762">
        <v>2007</v>
      </c>
      <c r="C762" s="16">
        <v>1.0500000000000001E-2</v>
      </c>
      <c r="D762" s="1">
        <v>262908922</v>
      </c>
      <c r="E762" s="29">
        <f>Table1[[#This Row],[Ávöxtun]]*Table1[[#This Row],[Eignir]]/SUMIFS(Table1[Eignir],Table1[Year],Table1[[#This Row],[Year]])</f>
        <v>1.7851328211213352E-3</v>
      </c>
      <c r="F762" s="23">
        <f>IF(B762=1997, 100, IF(COUNTIF(A$1:A761,A762)=0, "NEW", F761*(1+Table1[[#This Row],[Ávöxtun]])))</f>
        <v>192.31220053738173</v>
      </c>
      <c r="G762" s="18" cm="1">
        <f t="array" ref="G762">IFERROR(_xlfn.IFS(ISNUMBER(Table1[[#This Row],[Column3]]),Table1[[#This Row],[Column3]],Table1[[#This Row],[Column3]]="NEW",Table1[[#This Row],[Column3]]),"")</f>
        <v>192.31220053738173</v>
      </c>
      <c r="H762" s="15" cm="1">
        <f t="array" ref="H762">_xlfn.IFS(Table1[[#This Row],[Column4]]="NEW",AVERAGEIFS(Table1[Column4],Table1[Year],Table1[[#This Row],[Year]]),ISNUMBER(Table1[[#This Row],[Column4]]),Table1[[#This Row],[Column4]],Table1[[#This Row],[Column4]]="",H761*(1+Table1[[#This Row],[Ávöxtun]]))</f>
        <v>192.31220053738173</v>
      </c>
      <c r="I762" cm="1">
        <f t="array" ref="I762">_xlfn.IFS(Table1[[#This Row],[Column4]]="NEW",_xlfn.XLOOKUP(Table1[[#This Row],[Year]],$N$2:$N$27,$P$2:$P$27),ISNUMBER(Table1[[#This Row],[Column4]]),Table1[[#This Row],[Column4]],Table1[[#This Row],[Column4]]="",I761*(1+Table1[[#This Row],[Ávöxtun]]))</f>
        <v>192.31220053738173</v>
      </c>
      <c r="L762" s="33">
        <v>192.31220053738173</v>
      </c>
      <c r="M762" s="33">
        <v>192.31220053738173</v>
      </c>
    </row>
    <row r="763" spans="1:13">
      <c r="A763" t="s">
        <v>123</v>
      </c>
      <c r="B763">
        <v>2008</v>
      </c>
      <c r="C763" s="16">
        <v>-0.24170000000000003</v>
      </c>
      <c r="D763" s="1">
        <v>258300154</v>
      </c>
      <c r="E763" s="29">
        <f>Table1[[#This Row],[Ávöxtun]]*Table1[[#This Row],[Eignir]]/SUMIFS(Table1[Eignir],Table1[Year],Table1[[#This Row],[Year]])</f>
        <v>-4.1695318768585732E-2</v>
      </c>
      <c r="F763" s="23">
        <f>IF(B763=1997, 100, IF(COUNTIF(A$1:A762,A763)=0, "NEW", F762*(1+Table1[[#This Row],[Ávöxtun]])))</f>
        <v>145.83034166749655</v>
      </c>
      <c r="G763" s="18" cm="1">
        <f t="array" ref="G763">IFERROR(_xlfn.IFS(ISNUMBER(Table1[[#This Row],[Column3]]),Table1[[#This Row],[Column3]],Table1[[#This Row],[Column3]]="NEW",Table1[[#This Row],[Column3]]),"")</f>
        <v>145.83034166749655</v>
      </c>
      <c r="H763" s="15" cm="1">
        <f t="array" ref="H763">_xlfn.IFS(Table1[[#This Row],[Column4]]="NEW",AVERAGEIFS(Table1[Column4],Table1[Year],Table1[[#This Row],[Year]]),ISNUMBER(Table1[[#This Row],[Column4]]),Table1[[#This Row],[Column4]],Table1[[#This Row],[Column4]]="",H762*(1+Table1[[#This Row],[Ávöxtun]]))</f>
        <v>145.83034166749655</v>
      </c>
      <c r="I763" cm="1">
        <f t="array" ref="I763">_xlfn.IFS(Table1[[#This Row],[Column4]]="NEW",_xlfn.XLOOKUP(Table1[[#This Row],[Year]],$N$2:$N$27,$P$2:$P$27),ISNUMBER(Table1[[#This Row],[Column4]]),Table1[[#This Row],[Column4]],Table1[[#This Row],[Column4]]="",I762*(1+Table1[[#This Row],[Ávöxtun]]))</f>
        <v>145.83034166749655</v>
      </c>
      <c r="L763" s="33">
        <v>145.83034166749655</v>
      </c>
      <c r="M763" s="33">
        <v>145.83034166749655</v>
      </c>
    </row>
    <row r="764" spans="1:13">
      <c r="A764" t="s">
        <v>123</v>
      </c>
      <c r="B764">
        <v>2009</v>
      </c>
      <c r="C764" s="16">
        <v>1.15E-2</v>
      </c>
      <c r="D764" s="1">
        <v>295119276</v>
      </c>
      <c r="E764" s="29">
        <f>Table1[[#This Row],[Ávöxtun]]*Table1[[#This Row],[Eignir]]/SUMIFS(Table1[Eignir],Table1[Year],Table1[[#This Row],[Year]])</f>
        <v>2.0343801424757375E-3</v>
      </c>
      <c r="F764" s="23">
        <f>IF(B764=1997, 100, IF(COUNTIF(A$1:A763,A764)=0, "NEW", F763*(1+Table1[[#This Row],[Ávöxtun]])))</f>
        <v>147.50739059667276</v>
      </c>
      <c r="G764" s="18" cm="1">
        <f t="array" ref="G764">IFERROR(_xlfn.IFS(ISNUMBER(Table1[[#This Row],[Column3]]),Table1[[#This Row],[Column3]],Table1[[#This Row],[Column3]]="NEW",Table1[[#This Row],[Column3]]),"")</f>
        <v>147.50739059667276</v>
      </c>
      <c r="H764" s="15" cm="1">
        <f t="array" ref="H764">_xlfn.IFS(Table1[[#This Row],[Column4]]="NEW",AVERAGEIFS(Table1[Column4],Table1[Year],Table1[[#This Row],[Year]]),ISNUMBER(Table1[[#This Row],[Column4]]),Table1[[#This Row],[Column4]],Table1[[#This Row],[Column4]]="",H763*(1+Table1[[#This Row],[Ávöxtun]]))</f>
        <v>147.50739059667276</v>
      </c>
      <c r="I764" cm="1">
        <f t="array" ref="I764">_xlfn.IFS(Table1[[#This Row],[Column4]]="NEW",_xlfn.XLOOKUP(Table1[[#This Row],[Year]],$N$2:$N$27,$P$2:$P$27),ISNUMBER(Table1[[#This Row],[Column4]]),Table1[[#This Row],[Column4]],Table1[[#This Row],[Column4]]="",I763*(1+Table1[[#This Row],[Ávöxtun]]))</f>
        <v>147.50739059667276</v>
      </c>
      <c r="L764" s="33">
        <v>147.50739059667276</v>
      </c>
      <c r="M764" s="33">
        <v>147.50739059667276</v>
      </c>
    </row>
    <row r="765" spans="1:13">
      <c r="A765" t="s">
        <v>123</v>
      </c>
      <c r="B765">
        <v>2010</v>
      </c>
      <c r="C765" s="16">
        <v>3.4500000000000003E-2</v>
      </c>
      <c r="D765" s="1">
        <v>323005716</v>
      </c>
      <c r="E765" s="29">
        <f>Table1[[#This Row],[Ávöxtun]]*Table1[[#This Row],[Eignir]]/SUMIFS(Table1[Eignir],Table1[Year],Table1[[#This Row],[Year]])</f>
        <v>6.2332369297111384E-3</v>
      </c>
      <c r="F765" s="23">
        <f>IF(B765=1997, 100, IF(COUNTIF(A$1:A764,A765)=0, "NEW", F764*(1+Table1[[#This Row],[Ávöxtun]])))</f>
        <v>152.59639557225796</v>
      </c>
      <c r="G765" s="18" cm="1">
        <f t="array" ref="G765">IFERROR(_xlfn.IFS(ISNUMBER(Table1[[#This Row],[Column3]]),Table1[[#This Row],[Column3]],Table1[[#This Row],[Column3]]="NEW",Table1[[#This Row],[Column3]]),"")</f>
        <v>152.59639557225796</v>
      </c>
      <c r="H765" s="15" cm="1">
        <f t="array" ref="H765">_xlfn.IFS(Table1[[#This Row],[Column4]]="NEW",AVERAGEIFS(Table1[Column4],Table1[Year],Table1[[#This Row],[Year]]),ISNUMBER(Table1[[#This Row],[Column4]]),Table1[[#This Row],[Column4]],Table1[[#This Row],[Column4]]="",H764*(1+Table1[[#This Row],[Ávöxtun]]))</f>
        <v>152.59639557225796</v>
      </c>
      <c r="I765" cm="1">
        <f t="array" ref="I765">_xlfn.IFS(Table1[[#This Row],[Column4]]="NEW",_xlfn.XLOOKUP(Table1[[#This Row],[Year]],$N$2:$N$27,$P$2:$P$27),ISNUMBER(Table1[[#This Row],[Column4]]),Table1[[#This Row],[Column4]],Table1[[#This Row],[Column4]]="",I764*(1+Table1[[#This Row],[Ávöxtun]]))</f>
        <v>152.59639557225796</v>
      </c>
      <c r="L765" s="33">
        <v>152.59639557225796</v>
      </c>
      <c r="M765" s="33">
        <v>152.59639557225796</v>
      </c>
    </row>
    <row r="766" spans="1:13">
      <c r="A766" t="s">
        <v>123</v>
      </c>
      <c r="B766">
        <v>2011</v>
      </c>
      <c r="C766" s="16">
        <v>2.7999999999999997E-2</v>
      </c>
      <c r="D766" s="1">
        <v>362654454</v>
      </c>
      <c r="E766" s="29">
        <f>Table1[[#This Row],[Ávöxtun]]*Table1[[#This Row],[Eignir]]/SUMIFS(Table1[Eignir],Table1[Year],Table1[[#This Row],[Year]])</f>
        <v>5.2058540937999637E-3</v>
      </c>
      <c r="F766" s="23">
        <f>IF(B766=1997, 100, IF(COUNTIF(A$1:A765,A766)=0, "NEW", F765*(1+Table1[[#This Row],[Ávöxtun]])))</f>
        <v>156.86909464828119</v>
      </c>
      <c r="G766" s="18" cm="1">
        <f t="array" ref="G766">IFERROR(_xlfn.IFS(ISNUMBER(Table1[[#This Row],[Column3]]),Table1[[#This Row],[Column3]],Table1[[#This Row],[Column3]]="NEW",Table1[[#This Row],[Column3]]),"")</f>
        <v>156.86909464828119</v>
      </c>
      <c r="H766" s="15" cm="1">
        <f t="array" ref="H766">_xlfn.IFS(Table1[[#This Row],[Column4]]="NEW",AVERAGEIFS(Table1[Column4],Table1[Year],Table1[[#This Row],[Year]]),ISNUMBER(Table1[[#This Row],[Column4]]),Table1[[#This Row],[Column4]],Table1[[#This Row],[Column4]]="",H765*(1+Table1[[#This Row],[Ávöxtun]]))</f>
        <v>156.86909464828119</v>
      </c>
      <c r="I766" cm="1">
        <f t="array" ref="I766">_xlfn.IFS(Table1[[#This Row],[Column4]]="NEW",_xlfn.XLOOKUP(Table1[[#This Row],[Year]],$N$2:$N$27,$P$2:$P$27),ISNUMBER(Table1[[#This Row],[Column4]]),Table1[[#This Row],[Column4]],Table1[[#This Row],[Column4]]="",I765*(1+Table1[[#This Row],[Ávöxtun]]))</f>
        <v>156.86909464828119</v>
      </c>
      <c r="L766" s="33">
        <v>156.86909464828119</v>
      </c>
      <c r="M766" s="33">
        <v>156.86909464828119</v>
      </c>
    </row>
    <row r="767" spans="1:13">
      <c r="A767" t="s">
        <v>123</v>
      </c>
      <c r="B767">
        <v>2012</v>
      </c>
      <c r="C767" s="16">
        <v>8.5000000000000006E-2</v>
      </c>
      <c r="D767" s="1">
        <v>407954953</v>
      </c>
      <c r="E767" s="29">
        <f>Table1[[#This Row],[Ávöxtun]]*Table1[[#This Row],[Eignir]]/SUMIFS(Table1[Eignir],Table1[Year],Table1[[#This Row],[Year]])</f>
        <v>1.5741553495320474E-2</v>
      </c>
      <c r="F767" s="23">
        <f>IF(B767=1997, 100, IF(COUNTIF(A$1:A766,A767)=0, "NEW", F766*(1+Table1[[#This Row],[Ávöxtun]])))</f>
        <v>170.20296769338509</v>
      </c>
      <c r="G767" s="18" cm="1">
        <f t="array" ref="G767">IFERROR(_xlfn.IFS(ISNUMBER(Table1[[#This Row],[Column3]]),Table1[[#This Row],[Column3]],Table1[[#This Row],[Column3]]="NEW",Table1[[#This Row],[Column3]]),"")</f>
        <v>170.20296769338509</v>
      </c>
      <c r="H767" s="15" cm="1">
        <f t="array" ref="H767">_xlfn.IFS(Table1[[#This Row],[Column4]]="NEW",AVERAGEIFS(Table1[Column4],Table1[Year],Table1[[#This Row],[Year]]),ISNUMBER(Table1[[#This Row],[Column4]]),Table1[[#This Row],[Column4]],Table1[[#This Row],[Column4]]="",H766*(1+Table1[[#This Row],[Ávöxtun]]))</f>
        <v>170.20296769338509</v>
      </c>
      <c r="I767" cm="1">
        <f t="array" ref="I767">_xlfn.IFS(Table1[[#This Row],[Column4]]="NEW",_xlfn.XLOOKUP(Table1[[#This Row],[Year]],$N$2:$N$27,$P$2:$P$27),ISNUMBER(Table1[[#This Row],[Column4]]),Table1[[#This Row],[Column4]],Table1[[#This Row],[Column4]]="",I766*(1+Table1[[#This Row],[Ávöxtun]]))</f>
        <v>170.20296769338509</v>
      </c>
      <c r="L767" s="33">
        <v>170.20296769338509</v>
      </c>
      <c r="M767" s="33">
        <v>170.20296769338509</v>
      </c>
    </row>
    <row r="768" spans="1:13">
      <c r="A768" t="s">
        <v>123</v>
      </c>
      <c r="B768">
        <v>2013</v>
      </c>
      <c r="C768" s="16">
        <v>6.3E-2</v>
      </c>
      <c r="D768" s="1">
        <v>459656722</v>
      </c>
      <c r="E768" s="29">
        <f>Table1[[#This Row],[Ávöxtun]]*Table1[[#This Row],[Eignir]]/SUMIFS(Table1[Eignir],Table1[Year],Table1[[#This Row],[Year]])</f>
        <v>1.1899497470789873E-2</v>
      </c>
      <c r="F768" s="23">
        <f>IF(B768=1997, 100, IF(COUNTIF(A$1:A767,A768)=0, "NEW", F767*(1+Table1[[#This Row],[Ávöxtun]])))</f>
        <v>180.92575465806834</v>
      </c>
      <c r="G768" s="18" cm="1">
        <f t="array" ref="G768">IFERROR(_xlfn.IFS(ISNUMBER(Table1[[#This Row],[Column3]]),Table1[[#This Row],[Column3]],Table1[[#This Row],[Column3]]="NEW",Table1[[#This Row],[Column3]]),"")</f>
        <v>180.92575465806834</v>
      </c>
      <c r="H768" s="15" cm="1">
        <f t="array" ref="H768">_xlfn.IFS(Table1[[#This Row],[Column4]]="NEW",AVERAGEIFS(Table1[Column4],Table1[Year],Table1[[#This Row],[Year]]),ISNUMBER(Table1[[#This Row],[Column4]]),Table1[[#This Row],[Column4]],Table1[[#This Row],[Column4]]="",H767*(1+Table1[[#This Row],[Ávöxtun]]))</f>
        <v>180.92575465806834</v>
      </c>
      <c r="I768" cm="1">
        <f t="array" ref="I768">_xlfn.IFS(Table1[[#This Row],[Column4]]="NEW",_xlfn.XLOOKUP(Table1[[#This Row],[Year]],$N$2:$N$27,$P$2:$P$27),ISNUMBER(Table1[[#This Row],[Column4]]),Table1[[#This Row],[Column4]],Table1[[#This Row],[Column4]]="",I767*(1+Table1[[#This Row],[Ávöxtun]]))</f>
        <v>180.92575465806834</v>
      </c>
      <c r="L768" s="33">
        <v>180.92575465806834</v>
      </c>
      <c r="M768" s="33">
        <v>180.92575465806834</v>
      </c>
    </row>
    <row r="769" spans="1:13">
      <c r="A769" t="s">
        <v>123</v>
      </c>
      <c r="B769">
        <v>2014</v>
      </c>
      <c r="C769" s="16">
        <v>8.6999999999999994E-2</v>
      </c>
      <c r="D769" s="1">
        <v>500484862</v>
      </c>
      <c r="E769" s="29">
        <f>Table1[[#This Row],[Ávöxtun]]*Table1[[#This Row],[Eignir]]/SUMIFS(Table1[Eignir],Table1[Year],Table1[[#This Row],[Year]])</f>
        <v>1.6412318089449499E-2</v>
      </c>
      <c r="F769" s="23">
        <f>IF(B769=1997, 100, IF(COUNTIF(A$1:A768,A769)=0, "NEW", F768*(1+Table1[[#This Row],[Ávöxtun]])))</f>
        <v>196.66629531332029</v>
      </c>
      <c r="G769" s="18" cm="1">
        <f t="array" ref="G769">IFERROR(_xlfn.IFS(ISNUMBER(Table1[[#This Row],[Column3]]),Table1[[#This Row],[Column3]],Table1[[#This Row],[Column3]]="NEW",Table1[[#This Row],[Column3]]),"")</f>
        <v>196.66629531332029</v>
      </c>
      <c r="H769" s="15" cm="1">
        <f t="array" ref="H769">_xlfn.IFS(Table1[[#This Row],[Column4]]="NEW",AVERAGEIFS(Table1[Column4],Table1[Year],Table1[[#This Row],[Year]]),ISNUMBER(Table1[[#This Row],[Column4]]),Table1[[#This Row],[Column4]],Table1[[#This Row],[Column4]]="",H768*(1+Table1[[#This Row],[Ávöxtun]]))</f>
        <v>196.66629531332029</v>
      </c>
      <c r="I769" cm="1">
        <f t="array" ref="I769">_xlfn.IFS(Table1[[#This Row],[Column4]]="NEW",_xlfn.XLOOKUP(Table1[[#This Row],[Year]],$N$2:$N$27,$P$2:$P$27),ISNUMBER(Table1[[#This Row],[Column4]]),Table1[[#This Row],[Column4]],Table1[[#This Row],[Column4]]="",I768*(1+Table1[[#This Row],[Ávöxtun]]))</f>
        <v>196.66629531332029</v>
      </c>
      <c r="L769" s="33">
        <v>196.66629531332029</v>
      </c>
      <c r="M769" s="33">
        <v>196.66629531332029</v>
      </c>
    </row>
    <row r="770" spans="1:13">
      <c r="A770" t="s">
        <v>123</v>
      </c>
      <c r="B770">
        <v>2015</v>
      </c>
      <c r="C770" s="16">
        <v>0.10199999999999999</v>
      </c>
      <c r="D770" s="1">
        <v>573581173.80999994</v>
      </c>
      <c r="E770" s="29">
        <f>Table1[[#This Row],[Ávöxtun]]*Table1[[#This Row],[Eignir]]/SUMIFS(Table1[Eignir],Table1[Year],Table1[[#This Row],[Year]])</f>
        <v>1.9756098407916624E-2</v>
      </c>
      <c r="F770" s="23">
        <f>IF(B770=1997, 100, IF(COUNTIF(A$1:A769,A770)=0, "NEW", F769*(1+Table1[[#This Row],[Ávöxtun]])))</f>
        <v>216.72625743527897</v>
      </c>
      <c r="G770" s="18" cm="1">
        <f t="array" ref="G770">IFERROR(_xlfn.IFS(ISNUMBER(Table1[[#This Row],[Column3]]),Table1[[#This Row],[Column3]],Table1[[#This Row],[Column3]]="NEW",Table1[[#This Row],[Column3]]),"")</f>
        <v>216.72625743527897</v>
      </c>
      <c r="H770" s="15" cm="1">
        <f t="array" ref="H770">_xlfn.IFS(Table1[[#This Row],[Column4]]="NEW",AVERAGEIFS(Table1[Column4],Table1[Year],Table1[[#This Row],[Year]]),ISNUMBER(Table1[[#This Row],[Column4]]),Table1[[#This Row],[Column4]],Table1[[#This Row],[Column4]]="",H769*(1+Table1[[#This Row],[Ávöxtun]]))</f>
        <v>216.72625743527897</v>
      </c>
      <c r="I770" cm="1">
        <f t="array" ref="I770">_xlfn.IFS(Table1[[#This Row],[Column4]]="NEW",_xlfn.XLOOKUP(Table1[[#This Row],[Year]],$N$2:$N$27,$P$2:$P$27),ISNUMBER(Table1[[#This Row],[Column4]]),Table1[[#This Row],[Column4]],Table1[[#This Row],[Column4]]="",I769*(1+Table1[[#This Row],[Ávöxtun]]))</f>
        <v>216.72625743527897</v>
      </c>
      <c r="L770" s="33">
        <v>216.72625743527897</v>
      </c>
      <c r="M770" s="33">
        <v>216.72625743527897</v>
      </c>
    </row>
    <row r="771" spans="1:13">
      <c r="A771" t="s">
        <v>123</v>
      </c>
      <c r="B771">
        <v>2016</v>
      </c>
      <c r="C771" s="16">
        <v>-1.2E-2</v>
      </c>
      <c r="D771" s="1">
        <v>592058238.17999995</v>
      </c>
      <c r="E771" s="29">
        <f>Table1[[#This Row],[Ávöxtun]]*Table1[[#This Row],[Eignir]]/SUMIFS(Table1[Eignir],Table1[Year],Table1[[#This Row],[Year]])</f>
        <v>-2.2201860216208885E-3</v>
      </c>
      <c r="F771" s="23">
        <f>IF(B771=1997, 100, IF(COUNTIF(A$1:A770,A771)=0, "NEW", F770*(1+Table1[[#This Row],[Ávöxtun]])))</f>
        <v>214.12554234605562</v>
      </c>
      <c r="G771" s="18" cm="1">
        <f t="array" ref="G771">IFERROR(_xlfn.IFS(ISNUMBER(Table1[[#This Row],[Column3]]),Table1[[#This Row],[Column3]],Table1[[#This Row],[Column3]]="NEW",Table1[[#This Row],[Column3]]),"")</f>
        <v>214.12554234605562</v>
      </c>
      <c r="H771" s="15" cm="1">
        <f t="array" ref="H771">_xlfn.IFS(Table1[[#This Row],[Column4]]="NEW",AVERAGEIFS(Table1[Column4],Table1[Year],Table1[[#This Row],[Year]]),ISNUMBER(Table1[[#This Row],[Column4]]),Table1[[#This Row],[Column4]],Table1[[#This Row],[Column4]]="",H770*(1+Table1[[#This Row],[Ávöxtun]]))</f>
        <v>214.12554234605562</v>
      </c>
      <c r="I771" cm="1">
        <f t="array" ref="I771">_xlfn.IFS(Table1[[#This Row],[Column4]]="NEW",_xlfn.XLOOKUP(Table1[[#This Row],[Year]],$N$2:$N$27,$P$2:$P$27),ISNUMBER(Table1[[#This Row],[Column4]]),Table1[[#This Row],[Column4]],Table1[[#This Row],[Column4]]="",I770*(1+Table1[[#This Row],[Ávöxtun]]))</f>
        <v>214.12554234605562</v>
      </c>
      <c r="L771" s="33">
        <v>214.12554234605562</v>
      </c>
      <c r="M771" s="33">
        <v>214.12554234605562</v>
      </c>
    </row>
    <row r="772" spans="1:13">
      <c r="A772" t="s">
        <v>123</v>
      </c>
      <c r="B772">
        <v>2017</v>
      </c>
      <c r="C772" s="16">
        <v>5.7000000000000002E-2</v>
      </c>
      <c r="D772" s="1">
        <v>653001256</v>
      </c>
      <c r="E772" s="29">
        <f>Table1[[#This Row],[Ávöxtun]]*Table1[[#This Row],[Eignir]]/SUMIFS(Table1[Eignir],Table1[Year],Table1[[#This Row],[Year]])</f>
        <v>1.045785033734687E-2</v>
      </c>
      <c r="F772" s="23">
        <f>IF(B772=1997, 100, IF(COUNTIF(A$1:A771,A772)=0, "NEW", F771*(1+Table1[[#This Row],[Ávöxtun]])))</f>
        <v>226.33069825978077</v>
      </c>
      <c r="G772" s="18" cm="1">
        <f t="array" ref="G772">IFERROR(_xlfn.IFS(ISNUMBER(Table1[[#This Row],[Column3]]),Table1[[#This Row],[Column3]],Table1[[#This Row],[Column3]]="NEW",Table1[[#This Row],[Column3]]),"")</f>
        <v>226.33069825978077</v>
      </c>
      <c r="H772" s="15" cm="1">
        <f t="array" ref="H772">_xlfn.IFS(Table1[[#This Row],[Column4]]="NEW",AVERAGEIFS(Table1[Column4],Table1[Year],Table1[[#This Row],[Year]]),ISNUMBER(Table1[[#This Row],[Column4]]),Table1[[#This Row],[Column4]],Table1[[#This Row],[Column4]]="",H771*(1+Table1[[#This Row],[Ávöxtun]]))</f>
        <v>226.33069825978077</v>
      </c>
      <c r="I772" cm="1">
        <f t="array" ref="I772">_xlfn.IFS(Table1[[#This Row],[Column4]]="NEW",_xlfn.XLOOKUP(Table1[[#This Row],[Year]],$N$2:$N$27,$P$2:$P$27),ISNUMBER(Table1[[#This Row],[Column4]]),Table1[[#This Row],[Column4]],Table1[[#This Row],[Column4]]="",I771*(1+Table1[[#This Row],[Ávöxtun]]))</f>
        <v>226.33069825978077</v>
      </c>
      <c r="L772" s="33">
        <v>226.33069825978077</v>
      </c>
      <c r="M772" s="33">
        <v>226.33069825978077</v>
      </c>
    </row>
    <row r="773" spans="1:13">
      <c r="A773" t="s">
        <v>123</v>
      </c>
      <c r="B773">
        <v>2018</v>
      </c>
      <c r="C773" s="16">
        <v>0.01</v>
      </c>
      <c r="D773" s="1">
        <v>699398274</v>
      </c>
      <c r="E773" s="29">
        <f>Table1[[#This Row],[Ávöxtun]]*Table1[[#This Row],[Eignir]]/SUMIFS(Table1[Eignir],Table1[Year],Table1[[#This Row],[Year]])</f>
        <v>1.8316918572539895E-3</v>
      </c>
      <c r="F773" s="23">
        <f>IF(B773=1997, 100, IF(COUNTIF(A$1:A772,A773)=0, "NEW", F772*(1+Table1[[#This Row],[Ávöxtun]])))</f>
        <v>228.59400524237859</v>
      </c>
      <c r="G773" s="18" cm="1">
        <f t="array" ref="G773">IFERROR(_xlfn.IFS(ISNUMBER(Table1[[#This Row],[Column3]]),Table1[[#This Row],[Column3]],Table1[[#This Row],[Column3]]="NEW",Table1[[#This Row],[Column3]]),"")</f>
        <v>228.59400524237859</v>
      </c>
      <c r="H773" s="15" cm="1">
        <f t="array" ref="H773">_xlfn.IFS(Table1[[#This Row],[Column4]]="NEW",AVERAGEIFS(Table1[Column4],Table1[Year],Table1[[#This Row],[Year]]),ISNUMBER(Table1[[#This Row],[Column4]]),Table1[[#This Row],[Column4]],Table1[[#This Row],[Column4]]="",H772*(1+Table1[[#This Row],[Ávöxtun]]))</f>
        <v>228.59400524237859</v>
      </c>
      <c r="I773" cm="1">
        <f t="array" ref="I773">_xlfn.IFS(Table1[[#This Row],[Column4]]="NEW",_xlfn.XLOOKUP(Table1[[#This Row],[Year]],$N$2:$N$27,$P$2:$P$27),ISNUMBER(Table1[[#This Row],[Column4]]),Table1[[#This Row],[Column4]],Table1[[#This Row],[Column4]]="",I772*(1+Table1[[#This Row],[Ávöxtun]]))</f>
        <v>228.59400524237859</v>
      </c>
      <c r="L773" s="33">
        <v>228.59400524237859</v>
      </c>
      <c r="M773" s="33">
        <v>228.59400524237859</v>
      </c>
    </row>
    <row r="774" spans="1:13">
      <c r="A774" t="s">
        <v>123</v>
      </c>
      <c r="B774">
        <v>2019</v>
      </c>
      <c r="C774" s="16">
        <v>0.156</v>
      </c>
      <c r="D774" s="1">
        <v>850453088.38</v>
      </c>
      <c r="E774" s="29">
        <f>Table1[[#This Row],[Ávöxtun]]*Table1[[#This Row],[Eignir]]/SUMIFS(Table1[Eignir],Table1[Year],Table1[[#This Row],[Year]])</f>
        <v>2.9969348451602065E-2</v>
      </c>
      <c r="F774" s="23">
        <f>IF(B774=1997, 100, IF(COUNTIF(A$1:A773,A774)=0, "NEW", F773*(1+Table1[[#This Row],[Ávöxtun]])))</f>
        <v>264.25467006018965</v>
      </c>
      <c r="G774" s="18" cm="1">
        <f t="array" ref="G774">IFERROR(_xlfn.IFS(ISNUMBER(Table1[[#This Row],[Column3]]),Table1[[#This Row],[Column3]],Table1[[#This Row],[Column3]]="NEW",Table1[[#This Row],[Column3]]),"")</f>
        <v>264.25467006018965</v>
      </c>
      <c r="H774" s="15" cm="1">
        <f t="array" ref="H774">_xlfn.IFS(Table1[[#This Row],[Column4]]="NEW",AVERAGEIFS(Table1[Column4],Table1[Year],Table1[[#This Row],[Year]]),ISNUMBER(Table1[[#This Row],[Column4]]),Table1[[#This Row],[Column4]],Table1[[#This Row],[Column4]]="",H773*(1+Table1[[#This Row],[Ávöxtun]]))</f>
        <v>264.25467006018965</v>
      </c>
      <c r="I774" cm="1">
        <f t="array" ref="I774">_xlfn.IFS(Table1[[#This Row],[Column4]]="NEW",_xlfn.XLOOKUP(Table1[[#This Row],[Year]],$N$2:$N$27,$P$2:$P$27),ISNUMBER(Table1[[#This Row],[Column4]]),Table1[[#This Row],[Column4]],Table1[[#This Row],[Column4]]="",I773*(1+Table1[[#This Row],[Ávöxtun]]))</f>
        <v>264.25467006018965</v>
      </c>
      <c r="L774" s="33">
        <v>264.25467006018965</v>
      </c>
      <c r="M774" s="33">
        <v>264.25467006018965</v>
      </c>
    </row>
    <row r="775" spans="1:13">
      <c r="A775" t="s">
        <v>123</v>
      </c>
      <c r="B775">
        <v>2020</v>
      </c>
      <c r="C775" s="16">
        <v>0.10800000000000001</v>
      </c>
      <c r="D775" s="1">
        <v>992465107.03999996</v>
      </c>
      <c r="E775" s="29">
        <f>Table1[[#This Row],[Ávöxtun]]*Table1[[#This Row],[Eignir]]/SUMIFS(Table1[Eignir],Table1[Year],Table1[[#This Row],[Year]])</f>
        <v>2.0867100310500375E-2</v>
      </c>
      <c r="F775" s="23">
        <f>IF(B775=1997, 100, IF(COUNTIF(A$1:A774,A775)=0, "NEW", F774*(1+Table1[[#This Row],[Ávöxtun]])))</f>
        <v>292.79417442669018</v>
      </c>
      <c r="G775" s="18" cm="1">
        <f t="array" ref="G775">IFERROR(_xlfn.IFS(ISNUMBER(Table1[[#This Row],[Column3]]),Table1[[#This Row],[Column3]],Table1[[#This Row],[Column3]]="NEW",Table1[[#This Row],[Column3]]),"")</f>
        <v>292.79417442669018</v>
      </c>
      <c r="H775" s="15" cm="1">
        <f t="array" ref="H775">_xlfn.IFS(Table1[[#This Row],[Column4]]="NEW",AVERAGEIFS(Table1[Column4],Table1[Year],Table1[[#This Row],[Year]]),ISNUMBER(Table1[[#This Row],[Column4]]),Table1[[#This Row],[Column4]],Table1[[#This Row],[Column4]]="",H774*(1+Table1[[#This Row],[Ávöxtun]]))</f>
        <v>292.79417442669018</v>
      </c>
      <c r="I775" cm="1">
        <f t="array" ref="I775">_xlfn.IFS(Table1[[#This Row],[Column4]]="NEW",_xlfn.XLOOKUP(Table1[[#This Row],[Year]],$N$2:$N$27,$P$2:$P$27),ISNUMBER(Table1[[#This Row],[Column4]]),Table1[[#This Row],[Column4]],Table1[[#This Row],[Column4]]="",I774*(1+Table1[[#This Row],[Ávöxtun]]))</f>
        <v>292.79417442669018</v>
      </c>
      <c r="L775" s="33">
        <v>292.79417442669018</v>
      </c>
      <c r="M775" s="33">
        <v>292.79417442669018</v>
      </c>
    </row>
    <row r="776" spans="1:13">
      <c r="A776" t="s">
        <v>123</v>
      </c>
      <c r="B776">
        <v>2021</v>
      </c>
      <c r="C776" s="16">
        <v>0.115</v>
      </c>
      <c r="D776" s="1">
        <v>1175702937.8770001</v>
      </c>
      <c r="E776" s="29">
        <f>Table1[[#This Row],[Ávöxtun]]*Table1[[#This Row],[Eignir]]/SUMIFS(Table1[Eignir],Table1[Year],Table1[[#This Row],[Year]])</f>
        <v>2.2386932343455873E-2</v>
      </c>
      <c r="F776" s="23">
        <f>IF(B776=1997, 100, IF(COUNTIF(A$1:A775,A776)=0, "NEW", F775*(1+Table1[[#This Row],[Ávöxtun]])))</f>
        <v>326.46550448575954</v>
      </c>
      <c r="G776" s="18" cm="1">
        <f t="array" ref="G776">IFERROR(_xlfn.IFS(ISNUMBER(Table1[[#This Row],[Column3]]),Table1[[#This Row],[Column3]],Table1[[#This Row],[Column3]]="NEW",Table1[[#This Row],[Column3]]),"")</f>
        <v>326.46550448575954</v>
      </c>
      <c r="H776" s="15" cm="1">
        <f t="array" ref="H776">_xlfn.IFS(Table1[[#This Row],[Column4]]="NEW",AVERAGEIFS(Table1[Column4],Table1[Year],Table1[[#This Row],[Year]]),ISNUMBER(Table1[[#This Row],[Column4]]),Table1[[#This Row],[Column4]],Table1[[#This Row],[Column4]]="",H775*(1+Table1[[#This Row],[Ávöxtun]]))</f>
        <v>326.46550448575954</v>
      </c>
      <c r="I776" cm="1">
        <f t="array" ref="I776">_xlfn.IFS(Table1[[#This Row],[Column4]]="NEW",_xlfn.XLOOKUP(Table1[[#This Row],[Year]],$N$2:$N$27,$P$2:$P$27),ISNUMBER(Table1[[#This Row],[Column4]]),Table1[[#This Row],[Column4]],Table1[[#This Row],[Column4]]="",I775*(1+Table1[[#This Row],[Ávöxtun]]))</f>
        <v>326.46550448575954</v>
      </c>
      <c r="L776" s="33">
        <v>326.46550448575954</v>
      </c>
      <c r="M776" s="33">
        <v>326.46550448575954</v>
      </c>
    </row>
    <row r="777" spans="1:13">
      <c r="A777" t="s">
        <v>103</v>
      </c>
      <c r="B777">
        <v>1997</v>
      </c>
      <c r="C777" s="16">
        <v>0.06</v>
      </c>
      <c r="D777" s="1">
        <v>8772602.2200000007</v>
      </c>
      <c r="E777" s="29">
        <f>Table1[[#This Row],[Ávöxtun]]*Table1[[#This Row],[Eignir]]/SUMIFS(Table1[Eignir],Table1[Year],Table1[[#This Row],[Year]])</f>
        <v>1.5525568994810503E-3</v>
      </c>
      <c r="F777" s="23">
        <f>IF(B777=1997, 100, IF(COUNTIF(A$1:A776,A777)=0, "NEW", F776*(1+Table1[[#This Row],[Ávöxtun]])))</f>
        <v>100</v>
      </c>
      <c r="G777" s="18" cm="1">
        <f t="array" ref="G777">IFERROR(_xlfn.IFS(ISNUMBER(Table1[[#This Row],[Column3]]),Table1[[#This Row],[Column3]],Table1[[#This Row],[Column3]]="NEW",Table1[[#This Row],[Column3]]),"")</f>
        <v>100</v>
      </c>
      <c r="H777" s="15" cm="1">
        <f t="array" ref="H777">_xlfn.IFS(Table1[[#This Row],[Column4]]="NEW",AVERAGEIFS(Table1[Column4],Table1[Year],Table1[[#This Row],[Year]]),ISNUMBER(Table1[[#This Row],[Column4]]),Table1[[#This Row],[Column4]],Table1[[#This Row],[Column4]]="",H776*(1+Table1[[#This Row],[Ávöxtun]]))</f>
        <v>100</v>
      </c>
      <c r="I777" cm="1">
        <f t="array" ref="I777">_xlfn.IFS(Table1[[#This Row],[Column4]]="NEW",_xlfn.XLOOKUP(Table1[[#This Row],[Year]],$N$2:$N$27,$P$2:$P$27),ISNUMBER(Table1[[#This Row],[Column4]]),Table1[[#This Row],[Column4]],Table1[[#This Row],[Column4]]="",I776*(1+Table1[[#This Row],[Ávöxtun]]))</f>
        <v>100</v>
      </c>
      <c r="L777" s="33">
        <v>100</v>
      </c>
      <c r="M777" s="33">
        <v>100</v>
      </c>
    </row>
    <row r="778" spans="1:13">
      <c r="A778" t="s">
        <v>103</v>
      </c>
      <c r="B778">
        <v>1998</v>
      </c>
      <c r="C778" s="16">
        <v>0.08</v>
      </c>
      <c r="D778" s="1">
        <v>9943439.0899999999</v>
      </c>
      <c r="E778" s="29">
        <f>Table1[[#This Row],[Ávöxtun]]*Table1[[#This Row],[Eignir]]/SUMIFS(Table1[Eignir],Table1[Year],Table1[[#This Row],[Year]])</f>
        <v>2.0311650091010647E-3</v>
      </c>
      <c r="F778" s="23">
        <f>IF(B778=1997, 100, IF(COUNTIF(A$1:A777,A778)=0, "NEW", F777*(1+Table1[[#This Row],[Ávöxtun]])))</f>
        <v>108</v>
      </c>
      <c r="G778" s="18" cm="1">
        <f t="array" ref="G778">IFERROR(_xlfn.IFS(ISNUMBER(Table1[[#This Row],[Column3]]),Table1[[#This Row],[Column3]],Table1[[#This Row],[Column3]]="NEW",Table1[[#This Row],[Column3]]),"")</f>
        <v>108</v>
      </c>
      <c r="H778" s="15" cm="1">
        <f t="array" ref="H778">_xlfn.IFS(Table1[[#This Row],[Column4]]="NEW",AVERAGEIFS(Table1[Column4],Table1[Year],Table1[[#This Row],[Year]]),ISNUMBER(Table1[[#This Row],[Column4]]),Table1[[#This Row],[Column4]],Table1[[#This Row],[Column4]]="",H777*(1+Table1[[#This Row],[Ávöxtun]]))</f>
        <v>108</v>
      </c>
      <c r="I778" cm="1">
        <f t="array" ref="I778">_xlfn.IFS(Table1[[#This Row],[Column4]]="NEW",_xlfn.XLOOKUP(Table1[[#This Row],[Year]],$N$2:$N$27,$P$2:$P$27),ISNUMBER(Table1[[#This Row],[Column4]]),Table1[[#This Row],[Column4]],Table1[[#This Row],[Column4]]="",I777*(1+Table1[[#This Row],[Ávöxtun]]))</f>
        <v>108</v>
      </c>
      <c r="L778" s="33">
        <v>108</v>
      </c>
      <c r="M778" s="33">
        <v>108</v>
      </c>
    </row>
    <row r="779" spans="1:13">
      <c r="A779" t="s">
        <v>103</v>
      </c>
      <c r="B779">
        <v>1999</v>
      </c>
      <c r="C779" s="16">
        <v>0.14000000000000001</v>
      </c>
      <c r="D779" s="1">
        <v>12306473.34</v>
      </c>
      <c r="E779" s="29">
        <f>Table1[[#This Row],[Ávöxtun]]*Table1[[#This Row],[Eignir]]/SUMIFS(Table1[Eignir],Table1[Year],Table1[[#This Row],[Year]])</f>
        <v>3.3087210623303038E-3</v>
      </c>
      <c r="F779" s="23">
        <f>IF(B779=1997, 100, IF(COUNTIF(A$1:A778,A779)=0, "NEW", F778*(1+Table1[[#This Row],[Ávöxtun]])))</f>
        <v>123.12000000000002</v>
      </c>
      <c r="G779" s="18" cm="1">
        <f t="array" ref="G779">IFERROR(_xlfn.IFS(ISNUMBER(Table1[[#This Row],[Column3]]),Table1[[#This Row],[Column3]],Table1[[#This Row],[Column3]]="NEW",Table1[[#This Row],[Column3]]),"")</f>
        <v>123.12000000000002</v>
      </c>
      <c r="H779" s="15" cm="1">
        <f t="array" ref="H779">_xlfn.IFS(Table1[[#This Row],[Column4]]="NEW",AVERAGEIFS(Table1[Column4],Table1[Year],Table1[[#This Row],[Year]]),ISNUMBER(Table1[[#This Row],[Column4]]),Table1[[#This Row],[Column4]],Table1[[#This Row],[Column4]]="",H778*(1+Table1[[#This Row],[Ávöxtun]]))</f>
        <v>123.12000000000002</v>
      </c>
      <c r="I779" cm="1">
        <f t="array" ref="I779">_xlfn.IFS(Table1[[#This Row],[Column4]]="NEW",_xlfn.XLOOKUP(Table1[[#This Row],[Year]],$N$2:$N$27,$P$2:$P$27),ISNUMBER(Table1[[#This Row],[Column4]]),Table1[[#This Row],[Column4]],Table1[[#This Row],[Column4]]="",I778*(1+Table1[[#This Row],[Ávöxtun]]))</f>
        <v>123.12000000000002</v>
      </c>
      <c r="L779" s="33">
        <v>123.12000000000002</v>
      </c>
      <c r="M779" s="33">
        <v>123.12000000000002</v>
      </c>
    </row>
    <row r="780" spans="1:13">
      <c r="A780" t="s">
        <v>103</v>
      </c>
      <c r="B780">
        <v>2000</v>
      </c>
      <c r="C780" s="16">
        <v>-0.05</v>
      </c>
      <c r="D780" s="1">
        <v>12283009.130000001</v>
      </c>
      <c r="E780" s="29">
        <f>Table1[[#This Row],[Ávöxtun]]*Table1[[#This Row],[Eignir]]/SUMIFS(Table1[Eignir],Table1[Year],Table1[[#This Row],[Year]])</f>
        <v>-8.6391805525736171E-4</v>
      </c>
      <c r="F780" s="23">
        <f>IF(B780=1997, 100, IF(COUNTIF(A$1:A779,A780)=0, "NEW", F779*(1+Table1[[#This Row],[Ávöxtun]])))</f>
        <v>116.96400000000001</v>
      </c>
      <c r="G780" s="18" cm="1">
        <f t="array" ref="G780">IFERROR(_xlfn.IFS(ISNUMBER(Table1[[#This Row],[Column3]]),Table1[[#This Row],[Column3]],Table1[[#This Row],[Column3]]="NEW",Table1[[#This Row],[Column3]]),"")</f>
        <v>116.96400000000001</v>
      </c>
      <c r="H780" s="15" cm="1">
        <f t="array" ref="H780">_xlfn.IFS(Table1[[#This Row],[Column4]]="NEW",AVERAGEIFS(Table1[Column4],Table1[Year],Table1[[#This Row],[Year]]),ISNUMBER(Table1[[#This Row],[Column4]]),Table1[[#This Row],[Column4]],Table1[[#This Row],[Column4]]="",H779*(1+Table1[[#This Row],[Ávöxtun]]))</f>
        <v>116.96400000000001</v>
      </c>
      <c r="I780" cm="1">
        <f t="array" ref="I780">_xlfn.IFS(Table1[[#This Row],[Column4]]="NEW",_xlfn.XLOOKUP(Table1[[#This Row],[Year]],$N$2:$N$27,$P$2:$P$27),ISNUMBER(Table1[[#This Row],[Column4]]),Table1[[#This Row],[Column4]],Table1[[#This Row],[Column4]]="",I779*(1+Table1[[#This Row],[Ávöxtun]]))</f>
        <v>116.96400000000001</v>
      </c>
      <c r="L780" s="33">
        <v>116.96400000000001</v>
      </c>
      <c r="M780" s="33">
        <v>116.96400000000001</v>
      </c>
    </row>
    <row r="781" spans="1:13">
      <c r="A781" t="s">
        <v>103</v>
      </c>
      <c r="B781">
        <v>2001</v>
      </c>
      <c r="C781" s="16">
        <v>-0.08</v>
      </c>
      <c r="D781" s="1">
        <v>26445491</v>
      </c>
      <c r="E781" s="29">
        <f>Table1[[#This Row],[Ávöxtun]]*Table1[[#This Row],[Eignir]]/SUMIFS(Table1[Eignir],Table1[Year],Table1[[#This Row],[Year]])</f>
        <v>-1.8271098983114287E-3</v>
      </c>
      <c r="F781" s="23">
        <f>IF(B781=1997, 100, IF(COUNTIF(A$1:A780,A781)=0, "NEW", F780*(1+Table1[[#This Row],[Ávöxtun]])))</f>
        <v>107.60688000000002</v>
      </c>
      <c r="G781" s="18" cm="1">
        <f t="array" ref="G781">IFERROR(_xlfn.IFS(ISNUMBER(Table1[[#This Row],[Column3]]),Table1[[#This Row],[Column3]],Table1[[#This Row],[Column3]]="NEW",Table1[[#This Row],[Column3]]),"")</f>
        <v>107.60688000000002</v>
      </c>
      <c r="H781" s="15" cm="1">
        <f t="array" ref="H781">_xlfn.IFS(Table1[[#This Row],[Column4]]="NEW",AVERAGEIFS(Table1[Column4],Table1[Year],Table1[[#This Row],[Year]]),ISNUMBER(Table1[[#This Row],[Column4]]),Table1[[#This Row],[Column4]],Table1[[#This Row],[Column4]]="",H780*(1+Table1[[#This Row],[Ávöxtun]]))</f>
        <v>107.60688000000002</v>
      </c>
      <c r="I781" cm="1">
        <f t="array" ref="I781">_xlfn.IFS(Table1[[#This Row],[Column4]]="NEW",_xlfn.XLOOKUP(Table1[[#This Row],[Year]],$N$2:$N$27,$P$2:$P$27),ISNUMBER(Table1[[#This Row],[Column4]]),Table1[[#This Row],[Column4]],Table1[[#This Row],[Column4]]="",I780*(1+Table1[[#This Row],[Ávöxtun]]))</f>
        <v>107.60688000000002</v>
      </c>
      <c r="L781" s="33">
        <v>107.60688000000002</v>
      </c>
      <c r="M781" s="33">
        <v>107.60688000000002</v>
      </c>
    </row>
    <row r="782" spans="1:13">
      <c r="A782" t="s">
        <v>103</v>
      </c>
      <c r="B782">
        <v>2002</v>
      </c>
      <c r="C782" s="16">
        <v>0.02</v>
      </c>
      <c r="D782" s="1">
        <v>12891022</v>
      </c>
      <c r="E782" s="29">
        <f>Table1[[#This Row],[Ávöxtun]]*Table1[[#This Row],[Eignir]]/SUMIFS(Table1[Eignir],Table1[Year],Table1[[#This Row],[Year]])</f>
        <v>4.0591150780854452E-4</v>
      </c>
      <c r="F782" s="23">
        <f>IF(B782=1997, 100, IF(COUNTIF(A$1:A781,A782)=0, "NEW", F781*(1+Table1[[#This Row],[Ávöxtun]])))</f>
        <v>109.75901760000002</v>
      </c>
      <c r="G782" s="18" cm="1">
        <f t="array" ref="G782">IFERROR(_xlfn.IFS(ISNUMBER(Table1[[#This Row],[Column3]]),Table1[[#This Row],[Column3]],Table1[[#This Row],[Column3]]="NEW",Table1[[#This Row],[Column3]]),"")</f>
        <v>109.75901760000002</v>
      </c>
      <c r="H782" s="15" cm="1">
        <f t="array" ref="H782">_xlfn.IFS(Table1[[#This Row],[Column4]]="NEW",AVERAGEIFS(Table1[Column4],Table1[Year],Table1[[#This Row],[Year]]),ISNUMBER(Table1[[#This Row],[Column4]]),Table1[[#This Row],[Column4]],Table1[[#This Row],[Column4]]="",H781*(1+Table1[[#This Row],[Ávöxtun]]))</f>
        <v>109.75901760000002</v>
      </c>
      <c r="I782" cm="1">
        <f t="array" ref="I782">_xlfn.IFS(Table1[[#This Row],[Column4]]="NEW",_xlfn.XLOOKUP(Table1[[#This Row],[Year]],$N$2:$N$27,$P$2:$P$27),ISNUMBER(Table1[[#This Row],[Column4]]),Table1[[#This Row],[Column4]],Table1[[#This Row],[Column4]]="",I781*(1+Table1[[#This Row],[Ávöxtun]]))</f>
        <v>109.75901760000002</v>
      </c>
      <c r="L782" s="33">
        <v>109.75901760000002</v>
      </c>
      <c r="M782" s="33">
        <v>109.75901760000002</v>
      </c>
    </row>
    <row r="783" spans="1:13">
      <c r="A783" t="s">
        <v>103</v>
      </c>
      <c r="B783">
        <v>2003</v>
      </c>
      <c r="C783" s="16">
        <v>0.23</v>
      </c>
      <c r="D783" s="1">
        <v>15142950</v>
      </c>
      <c r="E783" s="29">
        <f>Table1[[#This Row],[Ávöxtun]]*Table1[[#This Row],[Eignir]]/SUMIFS(Table1[Eignir],Table1[Year],Table1[[#This Row],[Year]])</f>
        <v>4.5833898416442007E-3</v>
      </c>
      <c r="F783" s="23">
        <f>IF(B783=1997, 100, IF(COUNTIF(A$1:A782,A783)=0, "NEW", F782*(1+Table1[[#This Row],[Ávöxtun]])))</f>
        <v>135.00359164800003</v>
      </c>
      <c r="G783" s="18" cm="1">
        <f t="array" ref="G783">IFERROR(_xlfn.IFS(ISNUMBER(Table1[[#This Row],[Column3]]),Table1[[#This Row],[Column3]],Table1[[#This Row],[Column3]]="NEW",Table1[[#This Row],[Column3]]),"")</f>
        <v>135.00359164800003</v>
      </c>
      <c r="H783" s="15" cm="1">
        <f t="array" ref="H783">_xlfn.IFS(Table1[[#This Row],[Column4]]="NEW",AVERAGEIFS(Table1[Column4],Table1[Year],Table1[[#This Row],[Year]]),ISNUMBER(Table1[[#This Row],[Column4]]),Table1[[#This Row],[Column4]],Table1[[#This Row],[Column4]]="",H782*(1+Table1[[#This Row],[Ávöxtun]]))</f>
        <v>135.00359164800003</v>
      </c>
      <c r="I783" cm="1">
        <f t="array" ref="I783">_xlfn.IFS(Table1[[#This Row],[Column4]]="NEW",_xlfn.XLOOKUP(Table1[[#This Row],[Year]],$N$2:$N$27,$P$2:$P$27),ISNUMBER(Table1[[#This Row],[Column4]]),Table1[[#This Row],[Column4]],Table1[[#This Row],[Column4]]="",I782*(1+Table1[[#This Row],[Ávöxtun]]))</f>
        <v>135.00359164800003</v>
      </c>
      <c r="L783" s="33">
        <v>135.00359164800003</v>
      </c>
      <c r="M783" s="33">
        <v>135.00359164800003</v>
      </c>
    </row>
    <row r="784" spans="1:13">
      <c r="A784" t="s">
        <v>103</v>
      </c>
      <c r="B784">
        <v>2004</v>
      </c>
      <c r="C784" s="16">
        <v>0.12</v>
      </c>
      <c r="D784" s="1">
        <v>17686375</v>
      </c>
      <c r="E784" s="29">
        <f>Table1[[#This Row],[Ávöxtun]]*Table1[[#This Row],[Eignir]]/SUMIFS(Table1[Eignir],Table1[Year],Table1[[#This Row],[Year]])</f>
        <v>2.3382550994060672E-3</v>
      </c>
      <c r="F784" s="23">
        <f>IF(B784=1997, 100, IF(COUNTIF(A$1:A783,A784)=0, "NEW", F783*(1+Table1[[#This Row],[Ávöxtun]])))</f>
        <v>151.20402264576003</v>
      </c>
      <c r="G784" s="18" cm="1">
        <f t="array" ref="G784">IFERROR(_xlfn.IFS(ISNUMBER(Table1[[#This Row],[Column3]]),Table1[[#This Row],[Column3]],Table1[[#This Row],[Column3]]="NEW",Table1[[#This Row],[Column3]]),"")</f>
        <v>151.20402264576003</v>
      </c>
      <c r="H784" s="15" cm="1">
        <f t="array" ref="H784">_xlfn.IFS(Table1[[#This Row],[Column4]]="NEW",AVERAGEIFS(Table1[Column4],Table1[Year],Table1[[#This Row],[Year]]),ISNUMBER(Table1[[#This Row],[Column4]]),Table1[[#This Row],[Column4]],Table1[[#This Row],[Column4]]="",H783*(1+Table1[[#This Row],[Ávöxtun]]))</f>
        <v>151.20402264576003</v>
      </c>
      <c r="I784" cm="1">
        <f t="array" ref="I784">_xlfn.IFS(Table1[[#This Row],[Column4]]="NEW",_xlfn.XLOOKUP(Table1[[#This Row],[Year]],$N$2:$N$27,$P$2:$P$27),ISNUMBER(Table1[[#This Row],[Column4]]),Table1[[#This Row],[Column4]],Table1[[#This Row],[Column4]]="",I783*(1+Table1[[#This Row],[Ávöxtun]]))</f>
        <v>151.20402264576003</v>
      </c>
      <c r="L784" s="33">
        <v>151.20402264576003</v>
      </c>
      <c r="M784" s="33">
        <v>151.20402264576003</v>
      </c>
    </row>
    <row r="785" spans="1:13">
      <c r="A785" t="s">
        <v>103</v>
      </c>
      <c r="B785">
        <v>2005</v>
      </c>
      <c r="C785" s="16">
        <v>0.17</v>
      </c>
      <c r="D785" s="1">
        <v>22046933</v>
      </c>
      <c r="E785" s="29">
        <f>Table1[[#This Row],[Ávöxtun]]*Table1[[#This Row],[Eignir]]/SUMIFS(Table1[Eignir],Table1[Year],Table1[[#This Row],[Year]])</f>
        <v>3.3424172512534745E-3</v>
      </c>
      <c r="F785" s="23">
        <f>IF(B785=1997, 100, IF(COUNTIF(A$1:A784,A785)=0, "NEW", F784*(1+Table1[[#This Row],[Ávöxtun]])))</f>
        <v>176.90870649553923</v>
      </c>
      <c r="G785" s="18" cm="1">
        <f t="array" ref="G785">IFERROR(_xlfn.IFS(ISNUMBER(Table1[[#This Row],[Column3]]),Table1[[#This Row],[Column3]],Table1[[#This Row],[Column3]]="NEW",Table1[[#This Row],[Column3]]),"")</f>
        <v>176.90870649553923</v>
      </c>
      <c r="H785" s="15" cm="1">
        <f t="array" ref="H785">_xlfn.IFS(Table1[[#This Row],[Column4]]="NEW",AVERAGEIFS(Table1[Column4],Table1[Year],Table1[[#This Row],[Year]]),ISNUMBER(Table1[[#This Row],[Column4]]),Table1[[#This Row],[Column4]],Table1[[#This Row],[Column4]]="",H784*(1+Table1[[#This Row],[Ávöxtun]]))</f>
        <v>176.90870649553923</v>
      </c>
      <c r="I785" cm="1">
        <f t="array" ref="I785">_xlfn.IFS(Table1[[#This Row],[Column4]]="NEW",_xlfn.XLOOKUP(Table1[[#This Row],[Year]],$N$2:$N$27,$P$2:$P$27),ISNUMBER(Table1[[#This Row],[Column4]]),Table1[[#This Row],[Column4]],Table1[[#This Row],[Column4]]="",I784*(1+Table1[[#This Row],[Ávöxtun]]))</f>
        <v>176.90870649553923</v>
      </c>
      <c r="L785" s="33">
        <v>176.90870649553923</v>
      </c>
      <c r="M785" s="33">
        <v>176.90870649553923</v>
      </c>
    </row>
    <row r="786" spans="1:13">
      <c r="A786" t="s">
        <v>103</v>
      </c>
      <c r="B786">
        <v>2006</v>
      </c>
      <c r="C786" s="16">
        <v>9.1700000000000004E-2</v>
      </c>
      <c r="D786" s="1">
        <v>26236169</v>
      </c>
      <c r="E786" s="29">
        <f>Table1[[#This Row],[Ávöxtun]]*Table1[[#This Row],[Eignir]]/SUMIFS(Table1[Eignir],Table1[Year],Table1[[#This Row],[Year]])</f>
        <v>1.752676762953264E-3</v>
      </c>
      <c r="F786" s="23">
        <f>IF(B786=1997, 100, IF(COUNTIF(A$1:A785,A786)=0, "NEW", F785*(1+Table1[[#This Row],[Ávöxtun]])))</f>
        <v>193.13123488118018</v>
      </c>
      <c r="G786" s="18" cm="1">
        <f t="array" ref="G786">IFERROR(_xlfn.IFS(ISNUMBER(Table1[[#This Row],[Column3]]),Table1[[#This Row],[Column3]],Table1[[#This Row],[Column3]]="NEW",Table1[[#This Row],[Column3]]),"")</f>
        <v>193.13123488118018</v>
      </c>
      <c r="H786" s="15" cm="1">
        <f t="array" ref="H786">_xlfn.IFS(Table1[[#This Row],[Column4]]="NEW",AVERAGEIFS(Table1[Column4],Table1[Year],Table1[[#This Row],[Year]]),ISNUMBER(Table1[[#This Row],[Column4]]),Table1[[#This Row],[Column4]],Table1[[#This Row],[Column4]]="",H785*(1+Table1[[#This Row],[Ávöxtun]]))</f>
        <v>193.13123488118018</v>
      </c>
      <c r="I786" cm="1">
        <f t="array" ref="I786">_xlfn.IFS(Table1[[#This Row],[Column4]]="NEW",_xlfn.XLOOKUP(Table1[[#This Row],[Year]],$N$2:$N$27,$P$2:$P$27),ISNUMBER(Table1[[#This Row],[Column4]]),Table1[[#This Row],[Column4]],Table1[[#This Row],[Column4]]="",I785*(1+Table1[[#This Row],[Ávöxtun]]))</f>
        <v>193.13123488118018</v>
      </c>
      <c r="L786" s="33">
        <v>193.13123488118018</v>
      </c>
      <c r="M786" s="33">
        <v>193.13123488118018</v>
      </c>
    </row>
    <row r="787" spans="1:13">
      <c r="A787" t="s">
        <v>103</v>
      </c>
      <c r="B787">
        <v>2007</v>
      </c>
      <c r="C787" s="16">
        <v>-4.0000000000000001E-3</v>
      </c>
      <c r="D787" s="1">
        <v>27428205</v>
      </c>
      <c r="E787" s="29">
        <f>Table1[[#This Row],[Ávöxtun]]*Table1[[#This Row],[Eignir]]/SUMIFS(Table1[Eignir],Table1[Year],Table1[[#This Row],[Year]])</f>
        <v>-7.0946878047164377E-5</v>
      </c>
      <c r="F787" s="23">
        <f>IF(B787=1997, 100, IF(COUNTIF(A$1:A786,A787)=0, "NEW", F786*(1+Table1[[#This Row],[Ávöxtun]])))</f>
        <v>192.35870994165546</v>
      </c>
      <c r="G787" s="18" cm="1">
        <f t="array" ref="G787">IFERROR(_xlfn.IFS(ISNUMBER(Table1[[#This Row],[Column3]]),Table1[[#This Row],[Column3]],Table1[[#This Row],[Column3]]="NEW",Table1[[#This Row],[Column3]]),"")</f>
        <v>192.35870994165546</v>
      </c>
      <c r="H787" s="15" cm="1">
        <f t="array" ref="H787">_xlfn.IFS(Table1[[#This Row],[Column4]]="NEW",AVERAGEIFS(Table1[Column4],Table1[Year],Table1[[#This Row],[Year]]),ISNUMBER(Table1[[#This Row],[Column4]]),Table1[[#This Row],[Column4]],Table1[[#This Row],[Column4]]="",H786*(1+Table1[[#This Row],[Ávöxtun]]))</f>
        <v>192.35870994165546</v>
      </c>
      <c r="I787" cm="1">
        <f t="array" ref="I787">_xlfn.IFS(Table1[[#This Row],[Column4]]="NEW",_xlfn.XLOOKUP(Table1[[#This Row],[Year]],$N$2:$N$27,$P$2:$P$27),ISNUMBER(Table1[[#This Row],[Column4]]),Table1[[#This Row],[Column4]],Table1[[#This Row],[Column4]]="",I786*(1+Table1[[#This Row],[Ávöxtun]]))</f>
        <v>192.35870994165546</v>
      </c>
      <c r="L787" s="33">
        <v>192.35870994165546</v>
      </c>
      <c r="M787" s="33">
        <v>192.35870994165546</v>
      </c>
    </row>
    <row r="788" spans="1:13">
      <c r="A788" t="s">
        <v>103</v>
      </c>
      <c r="B788">
        <v>2008</v>
      </c>
      <c r="C788" s="16">
        <v>-0.29699999999999999</v>
      </c>
      <c r="D788" s="1">
        <v>23383264</v>
      </c>
      <c r="E788" s="29">
        <f>Table1[[#This Row],[Ávöxtun]]*Table1[[#This Row],[Eignir]]/SUMIFS(Table1[Eignir],Table1[Year],Table1[[#This Row],[Year]])</f>
        <v>-4.6381796402244577E-3</v>
      </c>
      <c r="F788" s="23">
        <f>IF(B788=1997, 100, IF(COUNTIF(A$1:A787,A788)=0, "NEW", F787*(1+Table1[[#This Row],[Ávöxtun]])))</f>
        <v>135.22817308898379</v>
      </c>
      <c r="G788" s="18" cm="1">
        <f t="array" ref="G788">IFERROR(_xlfn.IFS(ISNUMBER(Table1[[#This Row],[Column3]]),Table1[[#This Row],[Column3]],Table1[[#This Row],[Column3]]="NEW",Table1[[#This Row],[Column3]]),"")</f>
        <v>135.22817308898379</v>
      </c>
      <c r="H788" s="15" cm="1">
        <f t="array" ref="H788">_xlfn.IFS(Table1[[#This Row],[Column4]]="NEW",AVERAGEIFS(Table1[Column4],Table1[Year],Table1[[#This Row],[Year]]),ISNUMBER(Table1[[#This Row],[Column4]]),Table1[[#This Row],[Column4]],Table1[[#This Row],[Column4]]="",H787*(1+Table1[[#This Row],[Ávöxtun]]))</f>
        <v>135.22817308898379</v>
      </c>
      <c r="I788" cm="1">
        <f t="array" ref="I788">_xlfn.IFS(Table1[[#This Row],[Column4]]="NEW",_xlfn.XLOOKUP(Table1[[#This Row],[Year]],$N$2:$N$27,$P$2:$P$27),ISNUMBER(Table1[[#This Row],[Column4]]),Table1[[#This Row],[Column4]],Table1[[#This Row],[Column4]]="",I787*(1+Table1[[#This Row],[Ávöxtun]]))</f>
        <v>135.22817308898379</v>
      </c>
      <c r="L788" s="33">
        <v>135.22817308898379</v>
      </c>
      <c r="M788" s="33">
        <v>135.22817308898379</v>
      </c>
    </row>
    <row r="789" spans="1:13">
      <c r="A789" t="s">
        <v>103</v>
      </c>
      <c r="B789">
        <v>2009</v>
      </c>
      <c r="C789" s="16">
        <v>2.0999999999999999E-3</v>
      </c>
      <c r="D789" s="1">
        <v>25585503</v>
      </c>
      <c r="E789" s="29">
        <f>Table1[[#This Row],[Ávöxtun]]*Table1[[#This Row],[Eignir]]/SUMIFS(Table1[Eignir],Table1[Year],Table1[[#This Row],[Year]])</f>
        <v>3.2206975660904779E-5</v>
      </c>
      <c r="F789" s="23">
        <f>IF(B789=1997, 100, IF(COUNTIF(A$1:A788,A789)=0, "NEW", F788*(1+Table1[[#This Row],[Ávöxtun]])))</f>
        <v>135.51215225247066</v>
      </c>
      <c r="G789" s="18" cm="1">
        <f t="array" ref="G789">IFERROR(_xlfn.IFS(ISNUMBER(Table1[[#This Row],[Column3]]),Table1[[#This Row],[Column3]],Table1[[#This Row],[Column3]]="NEW",Table1[[#This Row],[Column3]]),"")</f>
        <v>135.51215225247066</v>
      </c>
      <c r="H789" s="15" cm="1">
        <f t="array" ref="H789">_xlfn.IFS(Table1[[#This Row],[Column4]]="NEW",AVERAGEIFS(Table1[Column4],Table1[Year],Table1[[#This Row],[Year]]),ISNUMBER(Table1[[#This Row],[Column4]]),Table1[[#This Row],[Column4]],Table1[[#This Row],[Column4]]="",H788*(1+Table1[[#This Row],[Ávöxtun]]))</f>
        <v>135.51215225247066</v>
      </c>
      <c r="I789" cm="1">
        <f t="array" ref="I789">_xlfn.IFS(Table1[[#This Row],[Column4]]="NEW",_xlfn.XLOOKUP(Table1[[#This Row],[Year]],$N$2:$N$27,$P$2:$P$27),ISNUMBER(Table1[[#This Row],[Column4]]),Table1[[#This Row],[Column4]],Table1[[#This Row],[Column4]]="",I788*(1+Table1[[#This Row],[Ávöxtun]]))</f>
        <v>135.51215225247066</v>
      </c>
      <c r="L789" s="33">
        <v>135.51215225247066</v>
      </c>
      <c r="M789" s="33">
        <v>135.51215225247066</v>
      </c>
    </row>
    <row r="790" spans="1:13">
      <c r="A790" t="s">
        <v>103</v>
      </c>
      <c r="B790">
        <v>2010</v>
      </c>
      <c r="C790" s="16">
        <v>2.2100000000000002E-2</v>
      </c>
      <c r="D790" s="1">
        <v>27391200</v>
      </c>
      <c r="E790" s="29">
        <f>Table1[[#This Row],[Ávöxtun]]*Table1[[#This Row],[Eignir]]/SUMIFS(Table1[Eignir],Table1[Year],Table1[[#This Row],[Year]])</f>
        <v>3.386005543853068E-4</v>
      </c>
      <c r="F790" s="23">
        <f>IF(B790=1997, 100, IF(COUNTIF(A$1:A789,A790)=0, "NEW", F789*(1+Table1[[#This Row],[Ávöxtun]])))</f>
        <v>138.50697081725025</v>
      </c>
      <c r="G790" s="18" cm="1">
        <f t="array" ref="G790">IFERROR(_xlfn.IFS(ISNUMBER(Table1[[#This Row],[Column3]]),Table1[[#This Row],[Column3]],Table1[[#This Row],[Column3]]="NEW",Table1[[#This Row],[Column3]]),"")</f>
        <v>138.50697081725025</v>
      </c>
      <c r="H790" s="15" cm="1">
        <f t="array" ref="H790">_xlfn.IFS(Table1[[#This Row],[Column4]]="NEW",AVERAGEIFS(Table1[Column4],Table1[Year],Table1[[#This Row],[Year]]),ISNUMBER(Table1[[#This Row],[Column4]]),Table1[[#This Row],[Column4]],Table1[[#This Row],[Column4]]="",H789*(1+Table1[[#This Row],[Ávöxtun]]))</f>
        <v>138.50697081725025</v>
      </c>
      <c r="I790" cm="1">
        <f t="array" ref="I790">_xlfn.IFS(Table1[[#This Row],[Column4]]="NEW",_xlfn.XLOOKUP(Table1[[#This Row],[Year]],$N$2:$N$27,$P$2:$P$27),ISNUMBER(Table1[[#This Row],[Column4]]),Table1[[#This Row],[Column4]],Table1[[#This Row],[Column4]]="",I789*(1+Table1[[#This Row],[Ávöxtun]]))</f>
        <v>138.50697081725025</v>
      </c>
      <c r="L790" s="33">
        <v>138.50697081725025</v>
      </c>
      <c r="M790" s="33">
        <v>138.50697081725025</v>
      </c>
    </row>
    <row r="791" spans="1:13">
      <c r="A791" t="s">
        <v>103</v>
      </c>
      <c r="B791">
        <v>2011</v>
      </c>
      <c r="C791" s="16">
        <v>-5.0000000000000001E-3</v>
      </c>
      <c r="D791" s="1">
        <v>27877764</v>
      </c>
      <c r="E791" s="29">
        <f>Table1[[#This Row],[Ávöxtun]]*Table1[[#This Row],[Eignir]]/SUMIFS(Table1[Eignir],Table1[Year],Table1[[#This Row],[Year]])</f>
        <v>-7.1460966613507508E-5</v>
      </c>
      <c r="F791" s="23">
        <f>IF(B791=1997, 100, IF(COUNTIF(A$1:A790,A791)=0, "NEW", F790*(1+Table1[[#This Row],[Ávöxtun]])))</f>
        <v>137.81443596316399</v>
      </c>
      <c r="G791" s="18" cm="1">
        <f t="array" ref="G791">IFERROR(_xlfn.IFS(ISNUMBER(Table1[[#This Row],[Column3]]),Table1[[#This Row],[Column3]],Table1[[#This Row],[Column3]]="NEW",Table1[[#This Row],[Column3]]),"")</f>
        <v>137.81443596316399</v>
      </c>
      <c r="H791" s="15" cm="1">
        <f t="array" ref="H791">_xlfn.IFS(Table1[[#This Row],[Column4]]="NEW",AVERAGEIFS(Table1[Column4],Table1[Year],Table1[[#This Row],[Year]]),ISNUMBER(Table1[[#This Row],[Column4]]),Table1[[#This Row],[Column4]],Table1[[#This Row],[Column4]]="",H790*(1+Table1[[#This Row],[Ávöxtun]]))</f>
        <v>137.81443596316399</v>
      </c>
      <c r="I791" cm="1">
        <f t="array" ref="I791">_xlfn.IFS(Table1[[#This Row],[Column4]]="NEW",_xlfn.XLOOKUP(Table1[[#This Row],[Year]],$N$2:$N$27,$P$2:$P$27),ISNUMBER(Table1[[#This Row],[Column4]]),Table1[[#This Row],[Column4]],Table1[[#This Row],[Column4]]="",I790*(1+Table1[[#This Row],[Ávöxtun]]))</f>
        <v>137.81443596316399</v>
      </c>
      <c r="L791" s="33">
        <v>137.81443596316399</v>
      </c>
      <c r="M791" s="33">
        <v>137.81443596316399</v>
      </c>
    </row>
    <row r="792" spans="1:13">
      <c r="A792" t="s">
        <v>103</v>
      </c>
      <c r="B792">
        <v>2012</v>
      </c>
      <c r="C792" s="16">
        <v>6.8000000000000005E-2</v>
      </c>
      <c r="D792" s="1">
        <v>31293975</v>
      </c>
      <c r="E792" s="29">
        <f>Table1[[#This Row],[Ávöxtun]]*Table1[[#This Row],[Eignir]]/SUMIFS(Table1[Eignir],Table1[Year],Table1[[#This Row],[Year]])</f>
        <v>9.6601995474480051E-4</v>
      </c>
      <c r="F792" s="23">
        <f>IF(B792=1997, 100, IF(COUNTIF(A$1:A791,A792)=0, "NEW", F791*(1+Table1[[#This Row],[Ávöxtun]])))</f>
        <v>147.18581760865914</v>
      </c>
      <c r="G792" s="18" cm="1">
        <f t="array" ref="G792">IFERROR(_xlfn.IFS(ISNUMBER(Table1[[#This Row],[Column3]]),Table1[[#This Row],[Column3]],Table1[[#This Row],[Column3]]="NEW",Table1[[#This Row],[Column3]]),"")</f>
        <v>147.18581760865914</v>
      </c>
      <c r="H792" s="15" cm="1">
        <f t="array" ref="H792">_xlfn.IFS(Table1[[#This Row],[Column4]]="NEW",AVERAGEIFS(Table1[Column4],Table1[Year],Table1[[#This Row],[Year]]),ISNUMBER(Table1[[#This Row],[Column4]]),Table1[[#This Row],[Column4]],Table1[[#This Row],[Column4]]="",H791*(1+Table1[[#This Row],[Ávöxtun]]))</f>
        <v>147.18581760865914</v>
      </c>
      <c r="I792" cm="1">
        <f t="array" ref="I792">_xlfn.IFS(Table1[[#This Row],[Column4]]="NEW",_xlfn.XLOOKUP(Table1[[#This Row],[Year]],$N$2:$N$27,$P$2:$P$27),ISNUMBER(Table1[[#This Row],[Column4]]),Table1[[#This Row],[Column4]],Table1[[#This Row],[Column4]]="",I791*(1+Table1[[#This Row],[Ávöxtun]]))</f>
        <v>147.18581760865914</v>
      </c>
      <c r="L792" s="33">
        <v>147.18581760865914</v>
      </c>
      <c r="M792" s="33">
        <v>147.18581760865914</v>
      </c>
    </row>
    <row r="793" spans="1:13">
      <c r="A793" t="s">
        <v>103</v>
      </c>
      <c r="B793">
        <v>2013</v>
      </c>
      <c r="C793" s="16">
        <v>4.5999999999999999E-2</v>
      </c>
      <c r="D793" s="1">
        <v>34070511</v>
      </c>
      <c r="E793" s="29">
        <f>Table1[[#This Row],[Ávöxtun]]*Table1[[#This Row],[Eignir]]/SUMIFS(Table1[Eignir],Table1[Year],Table1[[#This Row],[Year]])</f>
        <v>6.4400751460626606E-4</v>
      </c>
      <c r="F793" s="23">
        <f>IF(B793=1997, 100, IF(COUNTIF(A$1:A792,A793)=0, "NEW", F792*(1+Table1[[#This Row],[Ávöxtun]])))</f>
        <v>153.95636521865745</v>
      </c>
      <c r="G793" s="18" cm="1">
        <f t="array" ref="G793">IFERROR(_xlfn.IFS(ISNUMBER(Table1[[#This Row],[Column3]]),Table1[[#This Row],[Column3]],Table1[[#This Row],[Column3]]="NEW",Table1[[#This Row],[Column3]]),"")</f>
        <v>153.95636521865745</v>
      </c>
      <c r="H793" s="15" cm="1">
        <f t="array" ref="H793">_xlfn.IFS(Table1[[#This Row],[Column4]]="NEW",AVERAGEIFS(Table1[Column4],Table1[Year],Table1[[#This Row],[Year]]),ISNUMBER(Table1[[#This Row],[Column4]]),Table1[[#This Row],[Column4]],Table1[[#This Row],[Column4]]="",H792*(1+Table1[[#This Row],[Ávöxtun]]))</f>
        <v>153.95636521865745</v>
      </c>
      <c r="I793" cm="1">
        <f t="array" ref="I793">_xlfn.IFS(Table1[[#This Row],[Column4]]="NEW",_xlfn.XLOOKUP(Table1[[#This Row],[Year]],$N$2:$N$27,$P$2:$P$27),ISNUMBER(Table1[[#This Row],[Column4]]),Table1[[#This Row],[Column4]],Table1[[#This Row],[Column4]]="",I792*(1+Table1[[#This Row],[Ávöxtun]]))</f>
        <v>153.95636521865745</v>
      </c>
      <c r="L793" s="33">
        <v>153.95636521865745</v>
      </c>
      <c r="M793" s="33">
        <v>153.95636521865745</v>
      </c>
    </row>
    <row r="794" spans="1:13">
      <c r="A794" t="s">
        <v>103</v>
      </c>
      <c r="B794">
        <v>2014</v>
      </c>
      <c r="C794" s="16">
        <v>7.8E-2</v>
      </c>
      <c r="D794" s="1">
        <v>37131083</v>
      </c>
      <c r="E794" s="29">
        <f>Table1[[#This Row],[Ávöxtun]]*Table1[[#This Row],[Eignir]]/SUMIFS(Table1[Eignir],Table1[Year],Table1[[#This Row],[Year]])</f>
        <v>1.0916714334760521E-3</v>
      </c>
      <c r="F794" s="23">
        <f>IF(B794=1997, 100, IF(COUNTIF(A$1:A793,A794)=0, "NEW", F793*(1+Table1[[#This Row],[Ávöxtun]])))</f>
        <v>165.96496170571274</v>
      </c>
      <c r="G794" s="18" cm="1">
        <f t="array" ref="G794">IFERROR(_xlfn.IFS(ISNUMBER(Table1[[#This Row],[Column3]]),Table1[[#This Row],[Column3]],Table1[[#This Row],[Column3]]="NEW",Table1[[#This Row],[Column3]]),"")</f>
        <v>165.96496170571274</v>
      </c>
      <c r="H794" s="15" cm="1">
        <f t="array" ref="H794">_xlfn.IFS(Table1[[#This Row],[Column4]]="NEW",AVERAGEIFS(Table1[Column4],Table1[Year],Table1[[#This Row],[Year]]),ISNUMBER(Table1[[#This Row],[Column4]]),Table1[[#This Row],[Column4]],Table1[[#This Row],[Column4]]="",H793*(1+Table1[[#This Row],[Ávöxtun]]))</f>
        <v>165.96496170571274</v>
      </c>
      <c r="I794" cm="1">
        <f t="array" ref="I794">_xlfn.IFS(Table1[[#This Row],[Column4]]="NEW",_xlfn.XLOOKUP(Table1[[#This Row],[Year]],$N$2:$N$27,$P$2:$P$27),ISNUMBER(Table1[[#This Row],[Column4]]),Table1[[#This Row],[Column4]],Table1[[#This Row],[Column4]]="",I793*(1+Table1[[#This Row],[Ávöxtun]]))</f>
        <v>165.96496170571274</v>
      </c>
      <c r="L794" s="33">
        <v>165.96496170571274</v>
      </c>
      <c r="M794" s="33">
        <v>165.96496170571274</v>
      </c>
    </row>
    <row r="795" spans="1:13">
      <c r="A795" t="s">
        <v>104</v>
      </c>
      <c r="B795">
        <v>1997</v>
      </c>
      <c r="C795" s="16">
        <v>7.0000000000000007E-2</v>
      </c>
      <c r="D795" s="1">
        <v>6939615.0499999998</v>
      </c>
      <c r="E795" s="29">
        <f>Table1[[#This Row],[Ávöxtun]]*Table1[[#This Row],[Eignir]]/SUMIFS(Table1[Eignir],Table1[Year],Table1[[#This Row],[Year]])</f>
        <v>1.4328517485077579E-3</v>
      </c>
      <c r="F795" s="23">
        <f>IF(B795=1997, 100, IF(COUNTIF(A$1:A794,A795)=0, "NEW", F794*(1+Table1[[#This Row],[Ávöxtun]])))</f>
        <v>100</v>
      </c>
      <c r="G795" s="18" cm="1">
        <f t="array" ref="G795">IFERROR(_xlfn.IFS(ISNUMBER(Table1[[#This Row],[Column3]]),Table1[[#This Row],[Column3]],Table1[[#This Row],[Column3]]="NEW",Table1[[#This Row],[Column3]]),"")</f>
        <v>100</v>
      </c>
      <c r="H795" s="15" cm="1">
        <f t="array" ref="H795">_xlfn.IFS(Table1[[#This Row],[Column4]]="NEW",AVERAGEIFS(Table1[Column4],Table1[Year],Table1[[#This Row],[Year]]),ISNUMBER(Table1[[#This Row],[Column4]]),Table1[[#This Row],[Column4]],Table1[[#This Row],[Column4]]="",H794*(1+Table1[[#This Row],[Ávöxtun]]))</f>
        <v>100</v>
      </c>
      <c r="I795" cm="1">
        <f t="array" ref="I795">_xlfn.IFS(Table1[[#This Row],[Column4]]="NEW",_xlfn.XLOOKUP(Table1[[#This Row],[Year]],$N$2:$N$27,$P$2:$P$27),ISNUMBER(Table1[[#This Row],[Column4]]),Table1[[#This Row],[Column4]],Table1[[#This Row],[Column4]]="",I794*(1+Table1[[#This Row],[Ávöxtun]]))</f>
        <v>100</v>
      </c>
      <c r="L795" s="33">
        <v>100</v>
      </c>
      <c r="M795" s="33">
        <v>100</v>
      </c>
    </row>
    <row r="796" spans="1:13">
      <c r="A796" t="s">
        <v>104</v>
      </c>
      <c r="B796">
        <v>1998</v>
      </c>
      <c r="C796" s="16">
        <v>7.0000000000000007E-2</v>
      </c>
      <c r="D796" s="1">
        <v>7751463.6600000001</v>
      </c>
      <c r="E796" s="29">
        <f>Table1[[#This Row],[Ávöxtun]]*Table1[[#This Row],[Eignir]]/SUMIFS(Table1[Eignir],Table1[Year],Table1[[#This Row],[Year]])</f>
        <v>1.3854803062982972E-3</v>
      </c>
      <c r="F796" s="23">
        <f>IF(B796=1997, 100, IF(COUNTIF(A$1:A795,A796)=0, "NEW", F795*(1+Table1[[#This Row],[Ávöxtun]])))</f>
        <v>107</v>
      </c>
      <c r="G796" s="18" cm="1">
        <f t="array" ref="G796">IFERROR(_xlfn.IFS(ISNUMBER(Table1[[#This Row],[Column3]]),Table1[[#This Row],[Column3]],Table1[[#This Row],[Column3]]="NEW",Table1[[#This Row],[Column3]]),"")</f>
        <v>107</v>
      </c>
      <c r="H796" s="15" cm="1">
        <f t="array" ref="H796">_xlfn.IFS(Table1[[#This Row],[Column4]]="NEW",AVERAGEIFS(Table1[Column4],Table1[Year],Table1[[#This Row],[Year]]),ISNUMBER(Table1[[#This Row],[Column4]]),Table1[[#This Row],[Column4]],Table1[[#This Row],[Column4]]="",H795*(1+Table1[[#This Row],[Ávöxtun]]))</f>
        <v>107</v>
      </c>
      <c r="I796" cm="1">
        <f t="array" ref="I796">_xlfn.IFS(Table1[[#This Row],[Column4]]="NEW",_xlfn.XLOOKUP(Table1[[#This Row],[Year]],$N$2:$N$27,$P$2:$P$27),ISNUMBER(Table1[[#This Row],[Column4]]),Table1[[#This Row],[Column4]],Table1[[#This Row],[Column4]]="",I795*(1+Table1[[#This Row],[Ávöxtun]]))</f>
        <v>107</v>
      </c>
      <c r="L796" s="33">
        <v>107</v>
      </c>
      <c r="M796" s="33">
        <v>107</v>
      </c>
    </row>
    <row r="797" spans="1:13">
      <c r="A797" t="s">
        <v>104</v>
      </c>
      <c r="B797">
        <v>1999</v>
      </c>
      <c r="C797" s="16">
        <v>0.13</v>
      </c>
      <c r="D797" s="1">
        <v>9456775.3900000006</v>
      </c>
      <c r="E797" s="29">
        <f>Table1[[#This Row],[Ávöxtun]]*Table1[[#This Row],[Eignir]]/SUMIFS(Table1[Eignir],Table1[Year],Table1[[#This Row],[Year]])</f>
        <v>2.3609398987019989E-3</v>
      </c>
      <c r="F797" s="23">
        <f>IF(B797=1997, 100, IF(COUNTIF(A$1:A796,A797)=0, "NEW", F796*(1+Table1[[#This Row],[Ávöxtun]])))</f>
        <v>120.90999999999998</v>
      </c>
      <c r="G797" s="18" cm="1">
        <f t="array" ref="G797">IFERROR(_xlfn.IFS(ISNUMBER(Table1[[#This Row],[Column3]]),Table1[[#This Row],[Column3]],Table1[[#This Row],[Column3]]="NEW",Table1[[#This Row],[Column3]]),"")</f>
        <v>120.90999999999998</v>
      </c>
      <c r="H797" s="15" cm="1">
        <f t="array" ref="H797">_xlfn.IFS(Table1[[#This Row],[Column4]]="NEW",AVERAGEIFS(Table1[Column4],Table1[Year],Table1[[#This Row],[Year]]),ISNUMBER(Table1[[#This Row],[Column4]]),Table1[[#This Row],[Column4]],Table1[[#This Row],[Column4]]="",H796*(1+Table1[[#This Row],[Ávöxtun]]))</f>
        <v>120.90999999999998</v>
      </c>
      <c r="I797" cm="1">
        <f t="array" ref="I797">_xlfn.IFS(Table1[[#This Row],[Column4]]="NEW",_xlfn.XLOOKUP(Table1[[#This Row],[Year]],$N$2:$N$27,$P$2:$P$27),ISNUMBER(Table1[[#This Row],[Column4]]),Table1[[#This Row],[Column4]],Table1[[#This Row],[Column4]]="",I796*(1+Table1[[#This Row],[Ávöxtun]]))</f>
        <v>120.90999999999998</v>
      </c>
      <c r="L797" s="33">
        <v>120.90999999999998</v>
      </c>
      <c r="M797" s="33">
        <v>120.90999999999998</v>
      </c>
    </row>
    <row r="798" spans="1:13">
      <c r="A798" t="s">
        <v>104</v>
      </c>
      <c r="B798">
        <v>2000</v>
      </c>
      <c r="C798" s="16">
        <v>0</v>
      </c>
      <c r="D798" s="1">
        <v>10051419.9</v>
      </c>
      <c r="E798" s="29">
        <f>Table1[[#This Row],[Ávöxtun]]*Table1[[#This Row],[Eignir]]/SUMIFS(Table1[Eignir],Table1[Year],Table1[[#This Row],[Year]])</f>
        <v>0</v>
      </c>
      <c r="F798" s="23">
        <f>IF(B798=1997, 100, IF(COUNTIF(A$1:A797,A798)=0, "NEW", F797*(1+Table1[[#This Row],[Ávöxtun]])))</f>
        <v>120.90999999999998</v>
      </c>
      <c r="G798" s="18" cm="1">
        <f t="array" ref="G798">IFERROR(_xlfn.IFS(ISNUMBER(Table1[[#This Row],[Column3]]),Table1[[#This Row],[Column3]],Table1[[#This Row],[Column3]]="NEW",Table1[[#This Row],[Column3]]),"")</f>
        <v>120.90999999999998</v>
      </c>
      <c r="H798" s="15" cm="1">
        <f t="array" ref="H798">_xlfn.IFS(Table1[[#This Row],[Column4]]="NEW",AVERAGEIFS(Table1[Column4],Table1[Year],Table1[[#This Row],[Year]]),ISNUMBER(Table1[[#This Row],[Column4]]),Table1[[#This Row],[Column4]],Table1[[#This Row],[Column4]]="",H797*(1+Table1[[#This Row],[Ávöxtun]]))</f>
        <v>120.90999999999998</v>
      </c>
      <c r="I798" cm="1">
        <f t="array" ref="I798">_xlfn.IFS(Table1[[#This Row],[Column4]]="NEW",_xlfn.XLOOKUP(Table1[[#This Row],[Year]],$N$2:$N$27,$P$2:$P$27),ISNUMBER(Table1[[#This Row],[Column4]]),Table1[[#This Row],[Column4]],Table1[[#This Row],[Column4]]="",I797*(1+Table1[[#This Row],[Ávöxtun]]))</f>
        <v>120.90999999999998</v>
      </c>
      <c r="L798" s="33">
        <v>120.90999999999998</v>
      </c>
      <c r="M798" s="33">
        <v>120.90999999999998</v>
      </c>
    </row>
    <row r="799" spans="1:13">
      <c r="A799" t="s">
        <v>104</v>
      </c>
      <c r="B799">
        <v>2001</v>
      </c>
      <c r="C799" s="16">
        <v>-0.04</v>
      </c>
      <c r="D799" s="1">
        <v>21872806</v>
      </c>
      <c r="E799" s="29">
        <f>Table1[[#This Row],[Ávöxtun]]*Table1[[#This Row],[Eignir]]/SUMIFS(Table1[Eignir],Table1[Year],Table1[[#This Row],[Year]])</f>
        <v>-7.5559233039850925E-4</v>
      </c>
      <c r="F799" s="23">
        <f>IF(B799=1997, 100, IF(COUNTIF(A$1:A798,A799)=0, "NEW", F798*(1+Table1[[#This Row],[Ávöxtun]])))</f>
        <v>116.07359999999998</v>
      </c>
      <c r="G799" s="18" cm="1">
        <f t="array" ref="G799">IFERROR(_xlfn.IFS(ISNUMBER(Table1[[#This Row],[Column3]]),Table1[[#This Row],[Column3]],Table1[[#This Row],[Column3]]="NEW",Table1[[#This Row],[Column3]]),"")</f>
        <v>116.07359999999998</v>
      </c>
      <c r="H799" s="15" cm="1">
        <f t="array" ref="H799">_xlfn.IFS(Table1[[#This Row],[Column4]]="NEW",AVERAGEIFS(Table1[Column4],Table1[Year],Table1[[#This Row],[Year]]),ISNUMBER(Table1[[#This Row],[Column4]]),Table1[[#This Row],[Column4]],Table1[[#This Row],[Column4]]="",H798*(1+Table1[[#This Row],[Ávöxtun]]))</f>
        <v>116.07359999999998</v>
      </c>
      <c r="I799" cm="1">
        <f t="array" ref="I799">_xlfn.IFS(Table1[[#This Row],[Column4]]="NEW",_xlfn.XLOOKUP(Table1[[#This Row],[Year]],$N$2:$N$27,$P$2:$P$27),ISNUMBER(Table1[[#This Row],[Column4]]),Table1[[#This Row],[Column4]],Table1[[#This Row],[Column4]]="",I798*(1+Table1[[#This Row],[Ávöxtun]]))</f>
        <v>116.07359999999998</v>
      </c>
      <c r="L799" s="33">
        <v>116.07359999999998</v>
      </c>
      <c r="M799" s="33">
        <v>116.07359999999998</v>
      </c>
    </row>
    <row r="800" spans="1:13">
      <c r="A800" t="s">
        <v>104</v>
      </c>
      <c r="B800">
        <v>2002</v>
      </c>
      <c r="C800" s="16">
        <v>0</v>
      </c>
      <c r="D800" s="1">
        <v>11334092.699999999</v>
      </c>
      <c r="E800" s="29">
        <f>Table1[[#This Row],[Ávöxtun]]*Table1[[#This Row],[Eignir]]/SUMIFS(Table1[Eignir],Table1[Year],Table1[[#This Row],[Year]])</f>
        <v>0</v>
      </c>
      <c r="F800" s="23">
        <f>IF(B800=1997, 100, IF(COUNTIF(A$1:A799,A800)=0, "NEW", F799*(1+Table1[[#This Row],[Ávöxtun]])))</f>
        <v>116.07359999999998</v>
      </c>
      <c r="G800" s="18" cm="1">
        <f t="array" ref="G800">IFERROR(_xlfn.IFS(ISNUMBER(Table1[[#This Row],[Column3]]),Table1[[#This Row],[Column3]],Table1[[#This Row],[Column3]]="NEW",Table1[[#This Row],[Column3]]),"")</f>
        <v>116.07359999999998</v>
      </c>
      <c r="H800" s="15" cm="1">
        <f t="array" ref="H800">_xlfn.IFS(Table1[[#This Row],[Column4]]="NEW",AVERAGEIFS(Table1[Column4],Table1[Year],Table1[[#This Row],[Year]]),ISNUMBER(Table1[[#This Row],[Column4]]),Table1[[#This Row],[Column4]],Table1[[#This Row],[Column4]]="",H799*(1+Table1[[#This Row],[Ávöxtun]]))</f>
        <v>116.07359999999998</v>
      </c>
      <c r="I800" cm="1">
        <f t="array" ref="I800">_xlfn.IFS(Table1[[#This Row],[Column4]]="NEW",_xlfn.XLOOKUP(Table1[[#This Row],[Year]],$N$2:$N$27,$P$2:$P$27),ISNUMBER(Table1[[#This Row],[Column4]]),Table1[[#This Row],[Column4]],Table1[[#This Row],[Column4]]="",I799*(1+Table1[[#This Row],[Ávöxtun]]))</f>
        <v>116.07359999999998</v>
      </c>
      <c r="L800" s="33">
        <v>116.07359999999998</v>
      </c>
      <c r="M800" s="33">
        <v>116.07359999999998</v>
      </c>
    </row>
    <row r="801" spans="1:13">
      <c r="A801" t="s">
        <v>104</v>
      </c>
      <c r="B801">
        <v>2003</v>
      </c>
      <c r="C801" s="16">
        <v>0.09</v>
      </c>
      <c r="D801" s="1">
        <v>12869794</v>
      </c>
      <c r="E801" s="29">
        <f>Table1[[#This Row],[Ávöxtun]]*Table1[[#This Row],[Eignir]]/SUMIFS(Table1[Eignir],Table1[Year],Table1[[#This Row],[Year]])</f>
        <v>1.5242723734200929E-3</v>
      </c>
      <c r="F801" s="23">
        <f>IF(B801=1997, 100, IF(COUNTIF(A$1:A800,A801)=0, "NEW", F800*(1+Table1[[#This Row],[Ávöxtun]])))</f>
        <v>126.520224</v>
      </c>
      <c r="G801" s="18" cm="1">
        <f t="array" ref="G801">IFERROR(_xlfn.IFS(ISNUMBER(Table1[[#This Row],[Column3]]),Table1[[#This Row],[Column3]],Table1[[#This Row],[Column3]]="NEW",Table1[[#This Row],[Column3]]),"")</f>
        <v>126.520224</v>
      </c>
      <c r="H801" s="15" cm="1">
        <f t="array" ref="H801">_xlfn.IFS(Table1[[#This Row],[Column4]]="NEW",AVERAGEIFS(Table1[Column4],Table1[Year],Table1[[#This Row],[Year]]),ISNUMBER(Table1[[#This Row],[Column4]]),Table1[[#This Row],[Column4]],Table1[[#This Row],[Column4]]="",H800*(1+Table1[[#This Row],[Ávöxtun]]))</f>
        <v>126.520224</v>
      </c>
      <c r="I801" cm="1">
        <f t="array" ref="I801">_xlfn.IFS(Table1[[#This Row],[Column4]]="NEW",_xlfn.XLOOKUP(Table1[[#This Row],[Year]],$N$2:$N$27,$P$2:$P$27),ISNUMBER(Table1[[#This Row],[Column4]]),Table1[[#This Row],[Column4]],Table1[[#This Row],[Column4]]="",I800*(1+Table1[[#This Row],[Ávöxtun]]))</f>
        <v>126.520224</v>
      </c>
      <c r="L801" s="33">
        <v>126.520224</v>
      </c>
      <c r="M801" s="33">
        <v>126.520224</v>
      </c>
    </row>
    <row r="802" spans="1:13">
      <c r="A802" t="s">
        <v>104</v>
      </c>
      <c r="B802">
        <v>2004</v>
      </c>
      <c r="C802" s="16">
        <v>0.11</v>
      </c>
      <c r="D802" s="1">
        <v>14973972</v>
      </c>
      <c r="E802" s="29">
        <f>Table1[[#This Row],[Ávöxtun]]*Table1[[#This Row],[Eignir]]/SUMIFS(Table1[Eignir],Table1[Year],Table1[[#This Row],[Year]])</f>
        <v>1.8146861178967818E-3</v>
      </c>
      <c r="F802" s="23">
        <f>IF(B802=1997, 100, IF(COUNTIF(A$1:A801,A802)=0, "NEW", F801*(1+Table1[[#This Row],[Ávöxtun]])))</f>
        <v>140.43744864000001</v>
      </c>
      <c r="G802" s="18" cm="1">
        <f t="array" ref="G802">IFERROR(_xlfn.IFS(ISNUMBER(Table1[[#This Row],[Column3]]),Table1[[#This Row],[Column3]],Table1[[#This Row],[Column3]]="NEW",Table1[[#This Row],[Column3]]),"")</f>
        <v>140.43744864000001</v>
      </c>
      <c r="H802" s="15" cm="1">
        <f t="array" ref="H802">_xlfn.IFS(Table1[[#This Row],[Column4]]="NEW",AVERAGEIFS(Table1[Column4],Table1[Year],Table1[[#This Row],[Year]]),ISNUMBER(Table1[[#This Row],[Column4]]),Table1[[#This Row],[Column4]],Table1[[#This Row],[Column4]]="",H801*(1+Table1[[#This Row],[Ávöxtun]]))</f>
        <v>140.43744864000001</v>
      </c>
      <c r="I802" cm="1">
        <f t="array" ref="I802">_xlfn.IFS(Table1[[#This Row],[Column4]]="NEW",_xlfn.XLOOKUP(Table1[[#This Row],[Year]],$N$2:$N$27,$P$2:$P$27),ISNUMBER(Table1[[#This Row],[Column4]]),Table1[[#This Row],[Column4]],Table1[[#This Row],[Column4]]="",I801*(1+Table1[[#This Row],[Ávöxtun]]))</f>
        <v>140.43744864000001</v>
      </c>
      <c r="L802" s="33">
        <v>140.43744864000001</v>
      </c>
      <c r="M802" s="33">
        <v>140.43744864000001</v>
      </c>
    </row>
    <row r="803" spans="1:13">
      <c r="A803" t="s">
        <v>104</v>
      </c>
      <c r="B803">
        <v>2005</v>
      </c>
      <c r="C803" s="16">
        <v>0.12</v>
      </c>
      <c r="D803" s="1">
        <v>17652399</v>
      </c>
      <c r="E803" s="29">
        <f>Table1[[#This Row],[Ávöxtun]]*Table1[[#This Row],[Eignir]]/SUMIFS(Table1[Eignir],Table1[Year],Table1[[#This Row],[Year]])</f>
        <v>1.8890721346014161E-3</v>
      </c>
      <c r="F803" s="23">
        <f>IF(B803=1997, 100, IF(COUNTIF(A$1:A802,A803)=0, "NEW", F802*(1+Table1[[#This Row],[Ávöxtun]])))</f>
        <v>157.28994247680004</v>
      </c>
      <c r="G803" s="18" cm="1">
        <f t="array" ref="G803">IFERROR(_xlfn.IFS(ISNUMBER(Table1[[#This Row],[Column3]]),Table1[[#This Row],[Column3]],Table1[[#This Row],[Column3]]="NEW",Table1[[#This Row],[Column3]]),"")</f>
        <v>157.28994247680004</v>
      </c>
      <c r="H803" s="15" cm="1">
        <f t="array" ref="H803">_xlfn.IFS(Table1[[#This Row],[Column4]]="NEW",AVERAGEIFS(Table1[Column4],Table1[Year],Table1[[#This Row],[Year]]),ISNUMBER(Table1[[#This Row],[Column4]]),Table1[[#This Row],[Column4]],Table1[[#This Row],[Column4]]="",H802*(1+Table1[[#This Row],[Ávöxtun]]))</f>
        <v>157.28994247680004</v>
      </c>
      <c r="I803" cm="1">
        <f t="array" ref="I803">_xlfn.IFS(Table1[[#This Row],[Column4]]="NEW",_xlfn.XLOOKUP(Table1[[#This Row],[Year]],$N$2:$N$27,$P$2:$P$27),ISNUMBER(Table1[[#This Row],[Column4]]),Table1[[#This Row],[Column4]],Table1[[#This Row],[Column4]]="",I802*(1+Table1[[#This Row],[Ávöxtun]]))</f>
        <v>157.28994247680004</v>
      </c>
      <c r="L803" s="33">
        <v>157.28994247680004</v>
      </c>
      <c r="M803" s="33">
        <v>157.28994247680004</v>
      </c>
    </row>
    <row r="804" spans="1:13">
      <c r="A804" t="s">
        <v>104</v>
      </c>
      <c r="B804">
        <v>2006</v>
      </c>
      <c r="C804" s="16">
        <v>0.12740000000000001</v>
      </c>
      <c r="D804" s="1">
        <v>21446178</v>
      </c>
      <c r="E804" s="29">
        <f>Table1[[#This Row],[Ávöxtun]]*Table1[[#This Row],[Eignir]]/SUMIFS(Table1[Eignir],Table1[Year],Table1[[#This Row],[Year]])</f>
        <v>1.9904506189095043E-3</v>
      </c>
      <c r="F804" s="23">
        <f>IF(B804=1997, 100, IF(COUNTIF(A$1:A803,A804)=0, "NEW", F803*(1+Table1[[#This Row],[Ávöxtun]])))</f>
        <v>177.32868114834434</v>
      </c>
      <c r="G804" s="18" cm="1">
        <f t="array" ref="G804">IFERROR(_xlfn.IFS(ISNUMBER(Table1[[#This Row],[Column3]]),Table1[[#This Row],[Column3]],Table1[[#This Row],[Column3]]="NEW",Table1[[#This Row],[Column3]]),"")</f>
        <v>177.32868114834434</v>
      </c>
      <c r="H804" s="15" cm="1">
        <f t="array" ref="H804">_xlfn.IFS(Table1[[#This Row],[Column4]]="NEW",AVERAGEIFS(Table1[Column4],Table1[Year],Table1[[#This Row],[Year]]),ISNUMBER(Table1[[#This Row],[Column4]]),Table1[[#This Row],[Column4]],Table1[[#This Row],[Column4]]="",H803*(1+Table1[[#This Row],[Ávöxtun]]))</f>
        <v>177.32868114834434</v>
      </c>
      <c r="I804" cm="1">
        <f t="array" ref="I804">_xlfn.IFS(Table1[[#This Row],[Column4]]="NEW",_xlfn.XLOOKUP(Table1[[#This Row],[Year]],$N$2:$N$27,$P$2:$P$27),ISNUMBER(Table1[[#This Row],[Column4]]),Table1[[#This Row],[Column4]],Table1[[#This Row],[Column4]]="",I803*(1+Table1[[#This Row],[Ávöxtun]]))</f>
        <v>177.32868114834434</v>
      </c>
      <c r="L804" s="33">
        <v>177.32868114834434</v>
      </c>
      <c r="M804" s="33">
        <v>177.32868114834434</v>
      </c>
    </row>
    <row r="805" spans="1:13">
      <c r="A805" t="s">
        <v>104</v>
      </c>
      <c r="B805">
        <v>2007</v>
      </c>
      <c r="C805" s="16">
        <v>1.21E-2</v>
      </c>
      <c r="D805" s="1">
        <v>23194956</v>
      </c>
      <c r="E805" s="29">
        <f>Table1[[#This Row],[Ávöxtun]]*Table1[[#This Row],[Eignir]]/SUMIFS(Table1[Eignir],Table1[Year],Table1[[#This Row],[Year]])</f>
        <v>1.8149089183160414E-4</v>
      </c>
      <c r="F805" s="23">
        <f>IF(B805=1997, 100, IF(COUNTIF(A$1:A804,A805)=0, "NEW", F804*(1+Table1[[#This Row],[Ávöxtun]])))</f>
        <v>179.47435819023931</v>
      </c>
      <c r="G805" s="18" cm="1">
        <f t="array" ref="G805">IFERROR(_xlfn.IFS(ISNUMBER(Table1[[#This Row],[Column3]]),Table1[[#This Row],[Column3]],Table1[[#This Row],[Column3]]="NEW",Table1[[#This Row],[Column3]]),"")</f>
        <v>179.47435819023931</v>
      </c>
      <c r="H805" s="15" cm="1">
        <f t="array" ref="H805">_xlfn.IFS(Table1[[#This Row],[Column4]]="NEW",AVERAGEIFS(Table1[Column4],Table1[Year],Table1[[#This Row],[Year]]),ISNUMBER(Table1[[#This Row],[Column4]]),Table1[[#This Row],[Column4]],Table1[[#This Row],[Column4]]="",H804*(1+Table1[[#This Row],[Ávöxtun]]))</f>
        <v>179.47435819023931</v>
      </c>
      <c r="I805" cm="1">
        <f t="array" ref="I805">_xlfn.IFS(Table1[[#This Row],[Column4]]="NEW",_xlfn.XLOOKUP(Table1[[#This Row],[Year]],$N$2:$N$27,$P$2:$P$27),ISNUMBER(Table1[[#This Row],[Column4]]),Table1[[#This Row],[Column4]],Table1[[#This Row],[Column4]]="",I804*(1+Table1[[#This Row],[Ávöxtun]]))</f>
        <v>179.47435819023931</v>
      </c>
      <c r="L805" s="33">
        <v>179.47435819023931</v>
      </c>
      <c r="M805" s="33">
        <v>179.47435819023931</v>
      </c>
    </row>
    <row r="806" spans="1:13">
      <c r="A806" t="s">
        <v>104</v>
      </c>
      <c r="B806">
        <v>2008</v>
      </c>
      <c r="C806" s="16">
        <v>-0.1152</v>
      </c>
      <c r="D806" s="1">
        <v>24410219</v>
      </c>
      <c r="E806" s="29">
        <f>Table1[[#This Row],[Ávöxtun]]*Table1[[#This Row],[Eignir]]/SUMIFS(Table1[Eignir],Table1[Year],Table1[[#This Row],[Year]])</f>
        <v>-1.8780629183982064E-3</v>
      </c>
      <c r="F806" s="23">
        <f>IF(B806=1997, 100, IF(COUNTIF(A$1:A805,A806)=0, "NEW", F805*(1+Table1[[#This Row],[Ávöxtun]])))</f>
        <v>158.79891212672376</v>
      </c>
      <c r="G806" s="18" cm="1">
        <f t="array" ref="G806">IFERROR(_xlfn.IFS(ISNUMBER(Table1[[#This Row],[Column3]]),Table1[[#This Row],[Column3]],Table1[[#This Row],[Column3]]="NEW",Table1[[#This Row],[Column3]]),"")</f>
        <v>158.79891212672376</v>
      </c>
      <c r="H806" s="15" cm="1">
        <f t="array" ref="H806">_xlfn.IFS(Table1[[#This Row],[Column4]]="NEW",AVERAGEIFS(Table1[Column4],Table1[Year],Table1[[#This Row],[Year]]),ISNUMBER(Table1[[#This Row],[Column4]]),Table1[[#This Row],[Column4]],Table1[[#This Row],[Column4]]="",H805*(1+Table1[[#This Row],[Ávöxtun]]))</f>
        <v>158.79891212672376</v>
      </c>
      <c r="I806" cm="1">
        <f t="array" ref="I806">_xlfn.IFS(Table1[[#This Row],[Column4]]="NEW",_xlfn.XLOOKUP(Table1[[#This Row],[Year]],$N$2:$N$27,$P$2:$P$27),ISNUMBER(Table1[[#This Row],[Column4]]),Table1[[#This Row],[Column4]],Table1[[#This Row],[Column4]]="",I805*(1+Table1[[#This Row],[Ávöxtun]]))</f>
        <v>158.79891212672376</v>
      </c>
      <c r="L806" s="33">
        <v>158.79891212672376</v>
      </c>
      <c r="M806" s="33">
        <v>158.79891212672376</v>
      </c>
    </row>
    <row r="807" spans="1:13">
      <c r="A807" t="s">
        <v>104</v>
      </c>
      <c r="B807">
        <v>2009</v>
      </c>
      <c r="C807" s="16">
        <v>2.8900000000000002E-2</v>
      </c>
      <c r="D807" s="1">
        <v>27485233</v>
      </c>
      <c r="E807" s="29">
        <f>Table1[[#This Row],[Ávöxtun]]*Table1[[#This Row],[Eignir]]/SUMIFS(Table1[Eignir],Table1[Year],Table1[[#This Row],[Year]])</f>
        <v>4.7613922050324255E-4</v>
      </c>
      <c r="F807" s="23">
        <f>IF(B807=1997, 100, IF(COUNTIF(A$1:A806,A807)=0, "NEW", F806*(1+Table1[[#This Row],[Ávöxtun]])))</f>
        <v>163.38820068718607</v>
      </c>
      <c r="G807" s="18" cm="1">
        <f t="array" ref="G807">IFERROR(_xlfn.IFS(ISNUMBER(Table1[[#This Row],[Column3]]),Table1[[#This Row],[Column3]],Table1[[#This Row],[Column3]]="NEW",Table1[[#This Row],[Column3]]),"")</f>
        <v>163.38820068718607</v>
      </c>
      <c r="H807" s="15" cm="1">
        <f t="array" ref="H807">_xlfn.IFS(Table1[[#This Row],[Column4]]="NEW",AVERAGEIFS(Table1[Column4],Table1[Year],Table1[[#This Row],[Year]]),ISNUMBER(Table1[[#This Row],[Column4]]),Table1[[#This Row],[Column4]],Table1[[#This Row],[Column4]]="",H806*(1+Table1[[#This Row],[Ávöxtun]]))</f>
        <v>163.38820068718607</v>
      </c>
      <c r="I807" cm="1">
        <f t="array" ref="I807">_xlfn.IFS(Table1[[#This Row],[Column4]]="NEW",_xlfn.XLOOKUP(Table1[[#This Row],[Year]],$N$2:$N$27,$P$2:$P$27),ISNUMBER(Table1[[#This Row],[Column4]]),Table1[[#This Row],[Column4]],Table1[[#This Row],[Column4]]="",I806*(1+Table1[[#This Row],[Ávöxtun]]))</f>
        <v>163.38820068718607</v>
      </c>
      <c r="L807" s="33">
        <v>163.38820068718607</v>
      </c>
      <c r="M807" s="33">
        <v>163.38820068718607</v>
      </c>
    </row>
    <row r="808" spans="1:13">
      <c r="A808" t="s">
        <v>104</v>
      </c>
      <c r="B808">
        <v>2010</v>
      </c>
      <c r="C808" s="16">
        <v>1.24E-2</v>
      </c>
      <c r="D808" s="1">
        <v>28820003</v>
      </c>
      <c r="E808" s="29">
        <f>Table1[[#This Row],[Ávöxtun]]*Table1[[#This Row],[Eignir]]/SUMIFS(Table1[Eignir],Table1[Year],Table1[[#This Row],[Year]])</f>
        <v>1.9989412908434331E-4</v>
      </c>
      <c r="F808" s="23">
        <f>IF(B808=1997, 100, IF(COUNTIF(A$1:A807,A808)=0, "NEW", F807*(1+Table1[[#This Row],[Ávöxtun]])))</f>
        <v>165.41421437570716</v>
      </c>
      <c r="G808" s="18" cm="1">
        <f t="array" ref="G808">IFERROR(_xlfn.IFS(ISNUMBER(Table1[[#This Row],[Column3]]),Table1[[#This Row],[Column3]],Table1[[#This Row],[Column3]]="NEW",Table1[[#This Row],[Column3]]),"")</f>
        <v>165.41421437570716</v>
      </c>
      <c r="H808" s="15" cm="1">
        <f t="array" ref="H808">_xlfn.IFS(Table1[[#This Row],[Column4]]="NEW",AVERAGEIFS(Table1[Column4],Table1[Year],Table1[[#This Row],[Year]]),ISNUMBER(Table1[[#This Row],[Column4]]),Table1[[#This Row],[Column4]],Table1[[#This Row],[Column4]]="",H807*(1+Table1[[#This Row],[Ávöxtun]]))</f>
        <v>165.41421437570716</v>
      </c>
      <c r="I808" cm="1">
        <f t="array" ref="I808">_xlfn.IFS(Table1[[#This Row],[Column4]]="NEW",_xlfn.XLOOKUP(Table1[[#This Row],[Year]],$N$2:$N$27,$P$2:$P$27),ISNUMBER(Table1[[#This Row],[Column4]]),Table1[[#This Row],[Column4]],Table1[[#This Row],[Column4]]="",I807*(1+Table1[[#This Row],[Ávöxtun]]))</f>
        <v>165.41421437570716</v>
      </c>
      <c r="L808" s="33">
        <v>165.41421437570716</v>
      </c>
      <c r="M808" s="33">
        <v>165.41421437570716</v>
      </c>
    </row>
    <row r="809" spans="1:13">
      <c r="A809" t="s">
        <v>104</v>
      </c>
      <c r="B809">
        <v>2011</v>
      </c>
      <c r="C809" s="16">
        <v>9.0000000000000011E-3</v>
      </c>
      <c r="D809" s="1">
        <v>30995398</v>
      </c>
      <c r="E809" s="29">
        <f>Table1[[#This Row],[Ávöxtun]]*Table1[[#This Row],[Eignir]]/SUMIFS(Table1[Eignir],Table1[Year],Table1[[#This Row],[Year]])</f>
        <v>1.4301469741155281E-4</v>
      </c>
      <c r="F809" s="23">
        <f>IF(B809=1997, 100, IF(COUNTIF(A$1:A808,A809)=0, "NEW", F808*(1+Table1[[#This Row],[Ávöxtun]])))</f>
        <v>166.90294230508852</v>
      </c>
      <c r="G809" s="18" cm="1">
        <f t="array" ref="G809">IFERROR(_xlfn.IFS(ISNUMBER(Table1[[#This Row],[Column3]]),Table1[[#This Row],[Column3]],Table1[[#This Row],[Column3]]="NEW",Table1[[#This Row],[Column3]]),"")</f>
        <v>166.90294230508852</v>
      </c>
      <c r="H809" s="15" cm="1">
        <f t="array" ref="H809">_xlfn.IFS(Table1[[#This Row],[Column4]]="NEW",AVERAGEIFS(Table1[Column4],Table1[Year],Table1[[#This Row],[Year]]),ISNUMBER(Table1[[#This Row],[Column4]]),Table1[[#This Row],[Column4]],Table1[[#This Row],[Column4]]="",H808*(1+Table1[[#This Row],[Ávöxtun]]))</f>
        <v>166.90294230508852</v>
      </c>
      <c r="I809" cm="1">
        <f t="array" ref="I809">_xlfn.IFS(Table1[[#This Row],[Column4]]="NEW",_xlfn.XLOOKUP(Table1[[#This Row],[Year]],$N$2:$N$27,$P$2:$P$27),ISNUMBER(Table1[[#This Row],[Column4]]),Table1[[#This Row],[Column4]],Table1[[#This Row],[Column4]]="",I808*(1+Table1[[#This Row],[Ávöxtun]]))</f>
        <v>166.90294230508852</v>
      </c>
      <c r="L809" s="33">
        <v>166.90294230508852</v>
      </c>
      <c r="M809" s="33">
        <v>166.90294230508852</v>
      </c>
    </row>
    <row r="810" spans="1:13">
      <c r="A810" t="s">
        <v>104</v>
      </c>
      <c r="B810">
        <v>2012</v>
      </c>
      <c r="C810" s="16">
        <v>6.5000000000000002E-2</v>
      </c>
      <c r="D810" s="1">
        <v>34910832</v>
      </c>
      <c r="E810" s="29">
        <f>Table1[[#This Row],[Ávöxtun]]*Table1[[#This Row],[Eignir]]/SUMIFS(Table1[Eignir],Table1[Year],Table1[[#This Row],[Year]])</f>
        <v>1.0301251949636782E-3</v>
      </c>
      <c r="F810" s="23">
        <f>IF(B810=1997, 100, IF(COUNTIF(A$1:A809,A810)=0, "NEW", F809*(1+Table1[[#This Row],[Ávöxtun]])))</f>
        <v>177.75163355491927</v>
      </c>
      <c r="G810" s="18" cm="1">
        <f t="array" ref="G810">IFERROR(_xlfn.IFS(ISNUMBER(Table1[[#This Row],[Column3]]),Table1[[#This Row],[Column3]],Table1[[#This Row],[Column3]]="NEW",Table1[[#This Row],[Column3]]),"")</f>
        <v>177.75163355491927</v>
      </c>
      <c r="H810" s="15" cm="1">
        <f t="array" ref="H810">_xlfn.IFS(Table1[[#This Row],[Column4]]="NEW",AVERAGEIFS(Table1[Column4],Table1[Year],Table1[[#This Row],[Year]]),ISNUMBER(Table1[[#This Row],[Column4]]),Table1[[#This Row],[Column4]],Table1[[#This Row],[Column4]]="",H809*(1+Table1[[#This Row],[Ávöxtun]]))</f>
        <v>177.75163355491927</v>
      </c>
      <c r="I810" cm="1">
        <f t="array" ref="I810">_xlfn.IFS(Table1[[#This Row],[Column4]]="NEW",_xlfn.XLOOKUP(Table1[[#This Row],[Year]],$N$2:$N$27,$P$2:$P$27),ISNUMBER(Table1[[#This Row],[Column4]]),Table1[[#This Row],[Column4]],Table1[[#This Row],[Column4]]="",I809*(1+Table1[[#This Row],[Ávöxtun]]))</f>
        <v>177.75163355491927</v>
      </c>
      <c r="L810" s="33">
        <v>177.75163355491927</v>
      </c>
      <c r="M810" s="33">
        <v>177.75163355491927</v>
      </c>
    </row>
    <row r="811" spans="1:13">
      <c r="A811" t="s">
        <v>104</v>
      </c>
      <c r="B811">
        <v>2013</v>
      </c>
      <c r="C811" s="16">
        <v>4.0999999999999995E-2</v>
      </c>
      <c r="D811" s="1">
        <v>37562829</v>
      </c>
      <c r="E811" s="29">
        <f>Table1[[#This Row],[Ávöxtun]]*Table1[[#This Row],[Eignir]]/SUMIFS(Table1[Eignir],Table1[Year],Table1[[#This Row],[Year]])</f>
        <v>6.3284391109844356E-4</v>
      </c>
      <c r="F811" s="23">
        <f>IF(B811=1997, 100, IF(COUNTIF(A$1:A810,A811)=0, "NEW", F810*(1+Table1[[#This Row],[Ávöxtun]])))</f>
        <v>185.03945053067093</v>
      </c>
      <c r="G811" s="18" cm="1">
        <f t="array" ref="G811">IFERROR(_xlfn.IFS(ISNUMBER(Table1[[#This Row],[Column3]]),Table1[[#This Row],[Column3]],Table1[[#This Row],[Column3]]="NEW",Table1[[#This Row],[Column3]]),"")</f>
        <v>185.03945053067093</v>
      </c>
      <c r="H811" s="15" cm="1">
        <f t="array" ref="H811">_xlfn.IFS(Table1[[#This Row],[Column4]]="NEW",AVERAGEIFS(Table1[Column4],Table1[Year],Table1[[#This Row],[Year]]),ISNUMBER(Table1[[#This Row],[Column4]]),Table1[[#This Row],[Column4]],Table1[[#This Row],[Column4]]="",H810*(1+Table1[[#This Row],[Ávöxtun]]))</f>
        <v>185.03945053067093</v>
      </c>
      <c r="I811" cm="1">
        <f t="array" ref="I811">_xlfn.IFS(Table1[[#This Row],[Column4]]="NEW",_xlfn.XLOOKUP(Table1[[#This Row],[Year]],$N$2:$N$27,$P$2:$P$27),ISNUMBER(Table1[[#This Row],[Column4]]),Table1[[#This Row],[Column4]],Table1[[#This Row],[Column4]]="",I810*(1+Table1[[#This Row],[Ávöxtun]]))</f>
        <v>185.03945053067093</v>
      </c>
      <c r="L811" s="33">
        <v>185.03945053067093</v>
      </c>
      <c r="M811" s="33">
        <v>185.03945053067093</v>
      </c>
    </row>
    <row r="812" spans="1:13">
      <c r="A812" t="s">
        <v>104</v>
      </c>
      <c r="B812">
        <v>2014</v>
      </c>
      <c r="C812" s="16">
        <v>7.4999999999999997E-2</v>
      </c>
      <c r="D812" s="1">
        <v>40834143</v>
      </c>
      <c r="E812" s="29">
        <f>Table1[[#This Row],[Ávöxtun]]*Table1[[#This Row],[Eignir]]/SUMIFS(Table1[Eignir],Table1[Year],Table1[[#This Row],[Year]])</f>
        <v>1.1543684154255952E-3</v>
      </c>
      <c r="F812" s="23">
        <f>IF(B812=1997, 100, IF(COUNTIF(A$1:A811,A812)=0, "NEW", F811*(1+Table1[[#This Row],[Ávöxtun]])))</f>
        <v>198.91740932047125</v>
      </c>
      <c r="G812" s="18" cm="1">
        <f t="array" ref="G812">IFERROR(_xlfn.IFS(ISNUMBER(Table1[[#This Row],[Column3]]),Table1[[#This Row],[Column3]],Table1[[#This Row],[Column3]]="NEW",Table1[[#This Row],[Column3]]),"")</f>
        <v>198.91740932047125</v>
      </c>
      <c r="H812" s="15" cm="1">
        <f t="array" ref="H812">_xlfn.IFS(Table1[[#This Row],[Column4]]="NEW",AVERAGEIFS(Table1[Column4],Table1[Year],Table1[[#This Row],[Year]]),ISNUMBER(Table1[[#This Row],[Column4]]),Table1[[#This Row],[Column4]],Table1[[#This Row],[Column4]]="",H811*(1+Table1[[#This Row],[Ávöxtun]]))</f>
        <v>198.91740932047125</v>
      </c>
      <c r="I812" cm="1">
        <f t="array" ref="I812">_xlfn.IFS(Table1[[#This Row],[Column4]]="NEW",_xlfn.XLOOKUP(Table1[[#This Row],[Year]],$N$2:$N$27,$P$2:$P$27),ISNUMBER(Table1[[#This Row],[Column4]]),Table1[[#This Row],[Column4]],Table1[[#This Row],[Column4]]="",I811*(1+Table1[[#This Row],[Ávöxtun]]))</f>
        <v>198.91740932047125</v>
      </c>
      <c r="L812" s="33">
        <v>198.91740932047125</v>
      </c>
      <c r="M812" s="33">
        <v>198.91740932047125</v>
      </c>
    </row>
    <row r="813" spans="1:13">
      <c r="A813" t="s">
        <v>104</v>
      </c>
      <c r="B813">
        <v>2015</v>
      </c>
      <c r="C813" s="16">
        <v>7.9000000000000001E-2</v>
      </c>
      <c r="D813" s="1">
        <v>45058959</v>
      </c>
      <c r="E813" s="29">
        <f>Table1[[#This Row],[Ávöxtun]]*Table1[[#This Row],[Eignir]]/SUMIFS(Table1[Eignir],Table1[Year],Table1[[#This Row],[Year]])</f>
        <v>1.2020273956645682E-3</v>
      </c>
      <c r="F813" s="23">
        <f>IF(B813=1997, 100, IF(COUNTIF(A$1:A812,A813)=0, "NEW", F812*(1+Table1[[#This Row],[Ávöxtun]])))</f>
        <v>214.63188465678846</v>
      </c>
      <c r="G813" s="18" cm="1">
        <f t="array" ref="G813">IFERROR(_xlfn.IFS(ISNUMBER(Table1[[#This Row],[Column3]]),Table1[[#This Row],[Column3]],Table1[[#This Row],[Column3]]="NEW",Table1[[#This Row],[Column3]]),"")</f>
        <v>214.63188465678846</v>
      </c>
      <c r="H813" s="15" cm="1">
        <f t="array" ref="H813">_xlfn.IFS(Table1[[#This Row],[Column4]]="NEW",AVERAGEIFS(Table1[Column4],Table1[Year],Table1[[#This Row],[Year]]),ISNUMBER(Table1[[#This Row],[Column4]]),Table1[[#This Row],[Column4]],Table1[[#This Row],[Column4]]="",H812*(1+Table1[[#This Row],[Ávöxtun]]))</f>
        <v>214.63188465678846</v>
      </c>
      <c r="I813" cm="1">
        <f t="array" ref="I813">_xlfn.IFS(Table1[[#This Row],[Column4]]="NEW",_xlfn.XLOOKUP(Table1[[#This Row],[Year]],$N$2:$N$27,$P$2:$P$27),ISNUMBER(Table1[[#This Row],[Column4]]),Table1[[#This Row],[Column4]],Table1[[#This Row],[Column4]]="",I812*(1+Table1[[#This Row],[Ávöxtun]]))</f>
        <v>214.63188465678846</v>
      </c>
      <c r="L813" s="33">
        <v>214.63188465678846</v>
      </c>
      <c r="M813" s="33">
        <v>214.63188465678846</v>
      </c>
    </row>
    <row r="814" spans="1:13">
      <c r="A814" t="s">
        <v>104</v>
      </c>
      <c r="B814">
        <v>2016</v>
      </c>
      <c r="C814" s="16">
        <v>-1.3000000000000001E-2</v>
      </c>
      <c r="D814" s="1">
        <v>45402711.850000001</v>
      </c>
      <c r="E814" s="29">
        <f>Table1[[#This Row],[Ávöxtun]]*Table1[[#This Row],[Eignir]]/SUMIFS(Table1[Eignir],Table1[Year],Table1[[#This Row],[Year]])</f>
        <v>-1.8444582756728473E-4</v>
      </c>
      <c r="F814" s="23">
        <f>IF(B814=1997, 100, IF(COUNTIF(A$1:A813,A814)=0, "NEW", F813*(1+Table1[[#This Row],[Ávöxtun]])))</f>
        <v>211.84167015625022</v>
      </c>
      <c r="G814" s="18" cm="1">
        <f t="array" ref="G814">IFERROR(_xlfn.IFS(ISNUMBER(Table1[[#This Row],[Column3]]),Table1[[#This Row],[Column3]],Table1[[#This Row],[Column3]]="NEW",Table1[[#This Row],[Column3]]),"")</f>
        <v>211.84167015625022</v>
      </c>
      <c r="H814" s="15" cm="1">
        <f t="array" ref="H814">_xlfn.IFS(Table1[[#This Row],[Column4]]="NEW",AVERAGEIFS(Table1[Column4],Table1[Year],Table1[[#This Row],[Year]]),ISNUMBER(Table1[[#This Row],[Column4]]),Table1[[#This Row],[Column4]],Table1[[#This Row],[Column4]]="",H813*(1+Table1[[#This Row],[Ávöxtun]]))</f>
        <v>211.84167015625022</v>
      </c>
      <c r="I814" cm="1">
        <f t="array" ref="I814">_xlfn.IFS(Table1[[#This Row],[Column4]]="NEW",_xlfn.XLOOKUP(Table1[[#This Row],[Year]],$N$2:$N$27,$P$2:$P$27),ISNUMBER(Table1[[#This Row],[Column4]]),Table1[[#This Row],[Column4]],Table1[[#This Row],[Column4]]="",I813*(1+Table1[[#This Row],[Ávöxtun]]))</f>
        <v>211.84167015625022</v>
      </c>
      <c r="L814" s="33">
        <v>211.84167015625022</v>
      </c>
      <c r="M814" s="33">
        <v>211.84167015625022</v>
      </c>
    </row>
    <row r="815" spans="1:13">
      <c r="A815" t="s">
        <v>104</v>
      </c>
      <c r="B815">
        <v>2017</v>
      </c>
      <c r="C815" s="16">
        <v>0.06</v>
      </c>
      <c r="D815" s="1">
        <v>49019154</v>
      </c>
      <c r="E815" s="29">
        <f>Table1[[#This Row],[Ávöxtun]]*Table1[[#This Row],[Eignir]]/SUMIFS(Table1[Eignir],Table1[Year],Table1[[#This Row],[Year]])</f>
        <v>8.2636252144692121E-4</v>
      </c>
      <c r="F815" s="23">
        <f>IF(B815=1997, 100, IF(COUNTIF(A$1:A814,A815)=0, "NEW", F814*(1+Table1[[#This Row],[Ávöxtun]])))</f>
        <v>224.55217036562524</v>
      </c>
      <c r="G815" s="18" cm="1">
        <f t="array" ref="G815">IFERROR(_xlfn.IFS(ISNUMBER(Table1[[#This Row],[Column3]]),Table1[[#This Row],[Column3]],Table1[[#This Row],[Column3]]="NEW",Table1[[#This Row],[Column3]]),"")</f>
        <v>224.55217036562524</v>
      </c>
      <c r="H815" s="15" cm="1">
        <f t="array" ref="H815">_xlfn.IFS(Table1[[#This Row],[Column4]]="NEW",AVERAGEIFS(Table1[Column4],Table1[Year],Table1[[#This Row],[Year]]),ISNUMBER(Table1[[#This Row],[Column4]]),Table1[[#This Row],[Column4]],Table1[[#This Row],[Column4]]="",H814*(1+Table1[[#This Row],[Ávöxtun]]))</f>
        <v>224.55217036562524</v>
      </c>
      <c r="I815" cm="1">
        <f t="array" ref="I815">_xlfn.IFS(Table1[[#This Row],[Column4]]="NEW",_xlfn.XLOOKUP(Table1[[#This Row],[Year]],$N$2:$N$27,$P$2:$P$27),ISNUMBER(Table1[[#This Row],[Column4]]),Table1[[#This Row],[Column4]],Table1[[#This Row],[Column4]]="",I814*(1+Table1[[#This Row],[Ávöxtun]]))</f>
        <v>224.55217036562524</v>
      </c>
      <c r="L815" s="33">
        <v>224.55217036562524</v>
      </c>
      <c r="M815" s="33">
        <v>224.55217036562524</v>
      </c>
    </row>
    <row r="816" spans="1:13">
      <c r="A816" t="s">
        <v>104</v>
      </c>
      <c r="B816">
        <v>2018</v>
      </c>
      <c r="C816" s="16">
        <v>0.05</v>
      </c>
      <c r="D816" s="1">
        <v>52809678</v>
      </c>
      <c r="E816" s="29">
        <f>Table1[[#This Row],[Ávöxtun]]*Table1[[#This Row],[Eignir]]/SUMIFS(Table1[Eignir],Table1[Year],Table1[[#This Row],[Year]])</f>
        <v>6.91530568295377E-4</v>
      </c>
      <c r="F816" s="23">
        <f>IF(B816=1997, 100, IF(COUNTIF(A$1:A815,A816)=0, "NEW", F815*(1+Table1[[#This Row],[Ávöxtun]])))</f>
        <v>235.77977888390652</v>
      </c>
      <c r="G816" s="18" cm="1">
        <f t="array" ref="G816">IFERROR(_xlfn.IFS(ISNUMBER(Table1[[#This Row],[Column3]]),Table1[[#This Row],[Column3]],Table1[[#This Row],[Column3]]="NEW",Table1[[#This Row],[Column3]]),"")</f>
        <v>235.77977888390652</v>
      </c>
      <c r="H816" s="15" cm="1">
        <f t="array" ref="H816">_xlfn.IFS(Table1[[#This Row],[Column4]]="NEW",AVERAGEIFS(Table1[Column4],Table1[Year],Table1[[#This Row],[Year]]),ISNUMBER(Table1[[#This Row],[Column4]]),Table1[[#This Row],[Column4]],Table1[[#This Row],[Column4]]="",H815*(1+Table1[[#This Row],[Ávöxtun]]))</f>
        <v>235.77977888390652</v>
      </c>
      <c r="I816" cm="1">
        <f t="array" ref="I816">_xlfn.IFS(Table1[[#This Row],[Column4]]="NEW",_xlfn.XLOOKUP(Table1[[#This Row],[Year]],$N$2:$N$27,$P$2:$P$27),ISNUMBER(Table1[[#This Row],[Column4]]),Table1[[#This Row],[Column4]],Table1[[#This Row],[Column4]]="",I815*(1+Table1[[#This Row],[Ávöxtun]]))</f>
        <v>235.77977888390652</v>
      </c>
      <c r="L816" s="33">
        <v>235.77977888390652</v>
      </c>
      <c r="M816" s="33">
        <v>235.77977888390652</v>
      </c>
    </row>
    <row r="817" spans="1:13">
      <c r="A817" t="s">
        <v>104</v>
      </c>
      <c r="B817">
        <v>2019</v>
      </c>
      <c r="C817" s="16">
        <v>0.11609999999999999</v>
      </c>
      <c r="D817" s="1">
        <v>60397914.270000003</v>
      </c>
      <c r="E817" s="29">
        <f>Table1[[#This Row],[Ávöxtun]]*Table1[[#This Row],[Eignir]]/SUMIFS(Table1[Eignir],Table1[Year],Table1[[#This Row],[Year]])</f>
        <v>1.5840048294745637E-3</v>
      </c>
      <c r="F817" s="23">
        <f>IF(B817=1997, 100, IF(COUNTIF(A$1:A816,A817)=0, "NEW", F816*(1+Table1[[#This Row],[Ávöxtun]])))</f>
        <v>263.15381121232809</v>
      </c>
      <c r="G817" s="18" cm="1">
        <f t="array" ref="G817">IFERROR(_xlfn.IFS(ISNUMBER(Table1[[#This Row],[Column3]]),Table1[[#This Row],[Column3]],Table1[[#This Row],[Column3]]="NEW",Table1[[#This Row],[Column3]]),"")</f>
        <v>263.15381121232809</v>
      </c>
      <c r="H817" s="15" cm="1">
        <f t="array" ref="H817">_xlfn.IFS(Table1[[#This Row],[Column4]]="NEW",AVERAGEIFS(Table1[Column4],Table1[Year],Table1[[#This Row],[Year]]),ISNUMBER(Table1[[#This Row],[Column4]]),Table1[[#This Row],[Column4]],Table1[[#This Row],[Column4]]="",H816*(1+Table1[[#This Row],[Ávöxtun]]))</f>
        <v>263.15381121232809</v>
      </c>
      <c r="I817" cm="1">
        <f t="array" ref="I817">_xlfn.IFS(Table1[[#This Row],[Column4]]="NEW",_xlfn.XLOOKUP(Table1[[#This Row],[Year]],$N$2:$N$27,$P$2:$P$27),ISNUMBER(Table1[[#This Row],[Column4]]),Table1[[#This Row],[Column4]],Table1[[#This Row],[Column4]]="",I816*(1+Table1[[#This Row],[Ávöxtun]]))</f>
        <v>263.15381121232809</v>
      </c>
      <c r="L817" s="33">
        <v>263.15381121232809</v>
      </c>
      <c r="M817" s="33">
        <v>263.15381121232809</v>
      </c>
    </row>
    <row r="818" spans="1:13">
      <c r="A818" t="s">
        <v>104</v>
      </c>
      <c r="B818">
        <v>2020</v>
      </c>
      <c r="C818" s="16">
        <v>0.11630000000000001</v>
      </c>
      <c r="D818" s="1">
        <v>69564287.930000007</v>
      </c>
      <c r="E818" s="29">
        <f>Table1[[#This Row],[Ávöxtun]]*Table1[[#This Row],[Eignir]]/SUMIFS(Table1[Eignir],Table1[Year],Table1[[#This Row],[Year]])</f>
        <v>1.5750311961651416E-3</v>
      </c>
      <c r="F818" s="23">
        <f>IF(B818=1997, 100, IF(COUNTIF(A$1:A817,A818)=0, "NEW", F817*(1+Table1[[#This Row],[Ávöxtun]])))</f>
        <v>293.75859945632186</v>
      </c>
      <c r="G818" s="18" cm="1">
        <f t="array" ref="G818">IFERROR(_xlfn.IFS(ISNUMBER(Table1[[#This Row],[Column3]]),Table1[[#This Row],[Column3]],Table1[[#This Row],[Column3]]="NEW",Table1[[#This Row],[Column3]]),"")</f>
        <v>293.75859945632186</v>
      </c>
      <c r="H818" s="15" cm="1">
        <f t="array" ref="H818">_xlfn.IFS(Table1[[#This Row],[Column4]]="NEW",AVERAGEIFS(Table1[Column4],Table1[Year],Table1[[#This Row],[Year]]),ISNUMBER(Table1[[#This Row],[Column4]]),Table1[[#This Row],[Column4]],Table1[[#This Row],[Column4]]="",H817*(1+Table1[[#This Row],[Ávöxtun]]))</f>
        <v>293.75859945632186</v>
      </c>
      <c r="I818" cm="1">
        <f t="array" ref="I818">_xlfn.IFS(Table1[[#This Row],[Column4]]="NEW",_xlfn.XLOOKUP(Table1[[#This Row],[Year]],$N$2:$N$27,$P$2:$P$27),ISNUMBER(Table1[[#This Row],[Column4]]),Table1[[#This Row],[Column4]],Table1[[#This Row],[Column4]]="",I817*(1+Table1[[#This Row],[Ávöxtun]]))</f>
        <v>293.75859945632186</v>
      </c>
      <c r="L818" s="33">
        <v>293.75859945632186</v>
      </c>
      <c r="M818" s="33">
        <v>293.75859945632186</v>
      </c>
    </row>
    <row r="819" spans="1:13">
      <c r="A819" t="s">
        <v>104</v>
      </c>
      <c r="B819">
        <v>2021</v>
      </c>
      <c r="C819" s="16">
        <v>0.17100000000000001</v>
      </c>
      <c r="D819" s="1">
        <v>85203319.5</v>
      </c>
      <c r="E819" s="29">
        <f>Table1[[#This Row],[Ávöxtun]]*Table1[[#This Row],[Eignir]]/SUMIFS(Table1[Eignir],Table1[Year],Table1[[#This Row],[Year]])</f>
        <v>2.4124136018532126E-3</v>
      </c>
      <c r="F819" s="23">
        <f>IF(B819=1997, 100, IF(COUNTIF(A$1:A818,A819)=0, "NEW", F818*(1+Table1[[#This Row],[Ávöxtun]])))</f>
        <v>343.99131996335291</v>
      </c>
      <c r="G819" s="18" cm="1">
        <f t="array" ref="G819">IFERROR(_xlfn.IFS(ISNUMBER(Table1[[#This Row],[Column3]]),Table1[[#This Row],[Column3]],Table1[[#This Row],[Column3]]="NEW",Table1[[#This Row],[Column3]]),"")</f>
        <v>343.99131996335291</v>
      </c>
      <c r="H819" s="15" cm="1">
        <f t="array" ref="H819">_xlfn.IFS(Table1[[#This Row],[Column4]]="NEW",AVERAGEIFS(Table1[Column4],Table1[Year],Table1[[#This Row],[Year]]),ISNUMBER(Table1[[#This Row],[Column4]]),Table1[[#This Row],[Column4]],Table1[[#This Row],[Column4]]="",H818*(1+Table1[[#This Row],[Ávöxtun]]))</f>
        <v>343.99131996335291</v>
      </c>
      <c r="I819" cm="1">
        <f t="array" ref="I819">_xlfn.IFS(Table1[[#This Row],[Column4]]="NEW",_xlfn.XLOOKUP(Table1[[#This Row],[Year]],$N$2:$N$27,$P$2:$P$27),ISNUMBER(Table1[[#This Row],[Column4]]),Table1[[#This Row],[Column4]],Table1[[#This Row],[Column4]]="",I818*(1+Table1[[#This Row],[Ávöxtun]]))</f>
        <v>343.99131996335291</v>
      </c>
      <c r="L819" s="33">
        <v>343.99131996335291</v>
      </c>
      <c r="M819" s="33">
        <v>343.99131996335291</v>
      </c>
    </row>
    <row r="820" spans="1:13">
      <c r="A820" t="s">
        <v>105</v>
      </c>
      <c r="B820">
        <v>1997</v>
      </c>
      <c r="C820" s="16">
        <v>0.06</v>
      </c>
      <c r="D820" s="1">
        <v>4923546</v>
      </c>
      <c r="E820" s="29">
        <f>Table1[[#This Row],[Ávöxtun]]*Table1[[#This Row],[Eignir]]/SUMIFS(Table1[Eignir],Table1[Year],Table1[[#This Row],[Year]])</f>
        <v>8.7135893324618641E-4</v>
      </c>
      <c r="F820" s="23">
        <f>IF(B820=1997, 100, IF(COUNTIF(A$1:A819,A820)=0, "NEW", F819*(1+Table1[[#This Row],[Ávöxtun]])))</f>
        <v>100</v>
      </c>
      <c r="G820" s="18" cm="1">
        <f t="array" ref="G820">IFERROR(_xlfn.IFS(ISNUMBER(Table1[[#This Row],[Column3]]),Table1[[#This Row],[Column3]],Table1[[#This Row],[Column3]]="NEW",Table1[[#This Row],[Column3]]),"")</f>
        <v>100</v>
      </c>
      <c r="H820" s="15" cm="1">
        <f t="array" ref="H820">_xlfn.IFS(Table1[[#This Row],[Column4]]="NEW",AVERAGEIFS(Table1[Column4],Table1[Year],Table1[[#This Row],[Year]]),ISNUMBER(Table1[[#This Row],[Column4]]),Table1[[#This Row],[Column4]],Table1[[#This Row],[Column4]]="",H819*(1+Table1[[#This Row],[Ávöxtun]]))</f>
        <v>100</v>
      </c>
      <c r="I820" cm="1">
        <f t="array" ref="I820">_xlfn.IFS(Table1[[#This Row],[Column4]]="NEW",_xlfn.XLOOKUP(Table1[[#This Row],[Year]],$N$2:$N$27,$P$2:$P$27),ISNUMBER(Table1[[#This Row],[Column4]]),Table1[[#This Row],[Column4]],Table1[[#This Row],[Column4]]="",I819*(1+Table1[[#This Row],[Ávöxtun]]))</f>
        <v>100</v>
      </c>
      <c r="L820" s="33">
        <v>100</v>
      </c>
      <c r="M820" s="33">
        <v>100</v>
      </c>
    </row>
    <row r="821" spans="1:13">
      <c r="A821" t="s">
        <v>105</v>
      </c>
      <c r="B821">
        <v>1998</v>
      </c>
      <c r="C821" s="16">
        <v>7.0000000000000007E-2</v>
      </c>
      <c r="D821" s="1">
        <v>5484034.5800000001</v>
      </c>
      <c r="E821" s="29">
        <f>Table1[[#This Row],[Ávöxtun]]*Table1[[#This Row],[Eignir]]/SUMIFS(Table1[Eignir],Table1[Year],Table1[[#This Row],[Year]])</f>
        <v>9.8020480297895843E-4</v>
      </c>
      <c r="F821" s="23">
        <f>IF(B821=1997, 100, IF(COUNTIF(A$1:A820,A821)=0, "NEW", F820*(1+Table1[[#This Row],[Ávöxtun]])))</f>
        <v>107</v>
      </c>
      <c r="G821" s="18" cm="1">
        <f t="array" ref="G821">IFERROR(_xlfn.IFS(ISNUMBER(Table1[[#This Row],[Column3]]),Table1[[#This Row],[Column3]],Table1[[#This Row],[Column3]]="NEW",Table1[[#This Row],[Column3]]),"")</f>
        <v>107</v>
      </c>
      <c r="H821" s="15" cm="1">
        <f t="array" ref="H821">_xlfn.IFS(Table1[[#This Row],[Column4]]="NEW",AVERAGEIFS(Table1[Column4],Table1[Year],Table1[[#This Row],[Year]]),ISNUMBER(Table1[[#This Row],[Column4]]),Table1[[#This Row],[Column4]],Table1[[#This Row],[Column4]]="",H820*(1+Table1[[#This Row],[Ávöxtun]]))</f>
        <v>107</v>
      </c>
      <c r="I821" cm="1">
        <f t="array" ref="I821">_xlfn.IFS(Table1[[#This Row],[Column4]]="NEW",_xlfn.XLOOKUP(Table1[[#This Row],[Year]],$N$2:$N$27,$P$2:$P$27),ISNUMBER(Table1[[#This Row],[Column4]]),Table1[[#This Row],[Column4]],Table1[[#This Row],[Column4]]="",I820*(1+Table1[[#This Row],[Ávöxtun]]))</f>
        <v>107</v>
      </c>
      <c r="L821" s="33">
        <v>107</v>
      </c>
      <c r="M821" s="33">
        <v>107</v>
      </c>
    </row>
    <row r="822" spans="1:13">
      <c r="A822" t="s">
        <v>105</v>
      </c>
      <c r="B822">
        <v>1999</v>
      </c>
      <c r="C822" s="16">
        <v>0.16</v>
      </c>
      <c r="D822" s="1">
        <v>6901854.4699999997</v>
      </c>
      <c r="E822" s="29">
        <f>Table1[[#This Row],[Ávöxtun]]*Table1[[#This Row],[Eignir]]/SUMIFS(Table1[Eignir],Table1[Year],Table1[[#This Row],[Year]])</f>
        <v>2.1207246554011019E-3</v>
      </c>
      <c r="F822" s="23">
        <f>IF(B822=1997, 100, IF(COUNTIF(A$1:A821,A822)=0, "NEW", F821*(1+Table1[[#This Row],[Ávöxtun]])))</f>
        <v>124.11999999999999</v>
      </c>
      <c r="G822" s="18" cm="1">
        <f t="array" ref="G822">IFERROR(_xlfn.IFS(ISNUMBER(Table1[[#This Row],[Column3]]),Table1[[#This Row],[Column3]],Table1[[#This Row],[Column3]]="NEW",Table1[[#This Row],[Column3]]),"")</f>
        <v>124.11999999999999</v>
      </c>
      <c r="H822" s="15" cm="1">
        <f t="array" ref="H822">_xlfn.IFS(Table1[[#This Row],[Column4]]="NEW",AVERAGEIFS(Table1[Column4],Table1[Year],Table1[[#This Row],[Year]]),ISNUMBER(Table1[[#This Row],[Column4]]),Table1[[#This Row],[Column4]],Table1[[#This Row],[Column4]]="",H821*(1+Table1[[#This Row],[Ávöxtun]]))</f>
        <v>124.11999999999999</v>
      </c>
      <c r="I822" cm="1">
        <f t="array" ref="I822">_xlfn.IFS(Table1[[#This Row],[Column4]]="NEW",_xlfn.XLOOKUP(Table1[[#This Row],[Year]],$N$2:$N$27,$P$2:$P$27),ISNUMBER(Table1[[#This Row],[Column4]]),Table1[[#This Row],[Column4]],Table1[[#This Row],[Column4]]="",I821*(1+Table1[[#This Row],[Ávöxtun]]))</f>
        <v>124.11999999999999</v>
      </c>
      <c r="L822" s="33">
        <v>124.11999999999999</v>
      </c>
      <c r="M822" s="33">
        <v>124.11999999999999</v>
      </c>
    </row>
    <row r="823" spans="1:13">
      <c r="A823" t="s">
        <v>105</v>
      </c>
      <c r="B823">
        <v>2000</v>
      </c>
      <c r="C823" s="16">
        <v>-0.03</v>
      </c>
      <c r="D823" s="1">
        <v>7218164.1299999999</v>
      </c>
      <c r="E823" s="29">
        <f>Table1[[#This Row],[Ávöxtun]]*Table1[[#This Row],[Eignir]]/SUMIFS(Table1[Eignir],Table1[Year],Table1[[#This Row],[Year]])</f>
        <v>-3.0461113812025854E-4</v>
      </c>
      <c r="F823" s="23">
        <f>IF(B823=1997, 100, IF(COUNTIF(A$1:A822,A823)=0, "NEW", F822*(1+Table1[[#This Row],[Ávöxtun]])))</f>
        <v>120.39639999999999</v>
      </c>
      <c r="G823" s="18" cm="1">
        <f t="array" ref="G823">IFERROR(_xlfn.IFS(ISNUMBER(Table1[[#This Row],[Column3]]),Table1[[#This Row],[Column3]],Table1[[#This Row],[Column3]]="NEW",Table1[[#This Row],[Column3]]),"")</f>
        <v>120.39639999999999</v>
      </c>
      <c r="H823" s="15" cm="1">
        <f t="array" ref="H823">_xlfn.IFS(Table1[[#This Row],[Column4]]="NEW",AVERAGEIFS(Table1[Column4],Table1[Year],Table1[[#This Row],[Year]]),ISNUMBER(Table1[[#This Row],[Column4]]),Table1[[#This Row],[Column4]],Table1[[#This Row],[Column4]]="",H822*(1+Table1[[#This Row],[Ávöxtun]]))</f>
        <v>120.39639999999999</v>
      </c>
      <c r="I823" cm="1">
        <f t="array" ref="I823">_xlfn.IFS(Table1[[#This Row],[Column4]]="NEW",_xlfn.XLOOKUP(Table1[[#This Row],[Year]],$N$2:$N$27,$P$2:$P$27),ISNUMBER(Table1[[#This Row],[Column4]]),Table1[[#This Row],[Column4]],Table1[[#This Row],[Column4]]="",I822*(1+Table1[[#This Row],[Ávöxtun]]))</f>
        <v>120.39639999999999</v>
      </c>
      <c r="L823" s="33">
        <v>120.39639999999999</v>
      </c>
      <c r="M823" s="33">
        <v>120.39639999999999</v>
      </c>
    </row>
    <row r="824" spans="1:13">
      <c r="A824" t="s">
        <v>105</v>
      </c>
      <c r="B824">
        <v>2001</v>
      </c>
      <c r="C824" s="16">
        <v>-0.03</v>
      </c>
      <c r="D824" s="1">
        <v>15805979</v>
      </c>
      <c r="E824" s="29">
        <f>Table1[[#This Row],[Ávöxtun]]*Table1[[#This Row],[Eignir]]/SUMIFS(Table1[Eignir],Table1[Year],Table1[[#This Row],[Year]])</f>
        <v>-4.0951112445883364E-4</v>
      </c>
      <c r="F824" s="23">
        <f>IF(B824=1997, 100, IF(COUNTIF(A$1:A823,A824)=0, "NEW", F823*(1+Table1[[#This Row],[Ávöxtun]])))</f>
        <v>116.78450799999999</v>
      </c>
      <c r="G824" s="18" cm="1">
        <f t="array" ref="G824">IFERROR(_xlfn.IFS(ISNUMBER(Table1[[#This Row],[Column3]]),Table1[[#This Row],[Column3]],Table1[[#This Row],[Column3]]="NEW",Table1[[#This Row],[Column3]]),"")</f>
        <v>116.78450799999999</v>
      </c>
      <c r="H824" s="15" cm="1">
        <f t="array" ref="H824">_xlfn.IFS(Table1[[#This Row],[Column4]]="NEW",AVERAGEIFS(Table1[Column4],Table1[Year],Table1[[#This Row],[Year]]),ISNUMBER(Table1[[#This Row],[Column4]]),Table1[[#This Row],[Column4]],Table1[[#This Row],[Column4]]="",H823*(1+Table1[[#This Row],[Ávöxtun]]))</f>
        <v>116.78450799999999</v>
      </c>
      <c r="I824" cm="1">
        <f t="array" ref="I824">_xlfn.IFS(Table1[[#This Row],[Column4]]="NEW",_xlfn.XLOOKUP(Table1[[#This Row],[Year]],$N$2:$N$27,$P$2:$P$27),ISNUMBER(Table1[[#This Row],[Column4]]),Table1[[#This Row],[Column4]],Table1[[#This Row],[Column4]]="",I823*(1+Table1[[#This Row],[Ávöxtun]]))</f>
        <v>116.78450799999999</v>
      </c>
      <c r="L824" s="33">
        <v>116.78450799999999</v>
      </c>
      <c r="M824" s="33">
        <v>116.78450799999999</v>
      </c>
    </row>
    <row r="825" spans="1:13">
      <c r="A825" t="s">
        <v>105</v>
      </c>
      <c r="B825">
        <v>2002</v>
      </c>
      <c r="C825" s="16">
        <v>0</v>
      </c>
      <c r="D825" s="1">
        <v>8247877.7999999998</v>
      </c>
      <c r="E825" s="29">
        <f>Table1[[#This Row],[Ávöxtun]]*Table1[[#This Row],[Eignir]]/SUMIFS(Table1[Eignir],Table1[Year],Table1[[#This Row],[Year]])</f>
        <v>0</v>
      </c>
      <c r="F825" s="23">
        <f>IF(B825=1997, 100, IF(COUNTIF(A$1:A824,A825)=0, "NEW", F824*(1+Table1[[#This Row],[Ávöxtun]])))</f>
        <v>116.78450799999999</v>
      </c>
      <c r="G825" s="18" cm="1">
        <f t="array" ref="G825">IFERROR(_xlfn.IFS(ISNUMBER(Table1[[#This Row],[Column3]]),Table1[[#This Row],[Column3]],Table1[[#This Row],[Column3]]="NEW",Table1[[#This Row],[Column3]]),"")</f>
        <v>116.78450799999999</v>
      </c>
      <c r="H825" s="15" cm="1">
        <f t="array" ref="H825">_xlfn.IFS(Table1[[#This Row],[Column4]]="NEW",AVERAGEIFS(Table1[Column4],Table1[Year],Table1[[#This Row],[Year]]),ISNUMBER(Table1[[#This Row],[Column4]]),Table1[[#This Row],[Column4]],Table1[[#This Row],[Column4]]="",H824*(1+Table1[[#This Row],[Ávöxtun]]))</f>
        <v>116.78450799999999</v>
      </c>
      <c r="I825" cm="1">
        <f t="array" ref="I825">_xlfn.IFS(Table1[[#This Row],[Column4]]="NEW",_xlfn.XLOOKUP(Table1[[#This Row],[Year]],$N$2:$N$27,$P$2:$P$27),ISNUMBER(Table1[[#This Row],[Column4]]),Table1[[#This Row],[Column4]],Table1[[#This Row],[Column4]]="",I824*(1+Table1[[#This Row],[Ávöxtun]]))</f>
        <v>116.78450799999999</v>
      </c>
      <c r="L825" s="33">
        <v>116.78450799999999</v>
      </c>
      <c r="M825" s="33">
        <v>116.78450799999999</v>
      </c>
    </row>
    <row r="826" spans="1:13">
      <c r="A826" t="s">
        <v>105</v>
      </c>
      <c r="B826">
        <v>2003</v>
      </c>
      <c r="C826" s="16">
        <v>0.1</v>
      </c>
      <c r="D826" s="1">
        <v>9546638</v>
      </c>
      <c r="E826" s="29">
        <f>Table1[[#This Row],[Ávöxtun]]*Table1[[#This Row],[Eignir]]/SUMIFS(Table1[Eignir],Table1[Year],Table1[[#This Row],[Year]])</f>
        <v>1.2563161083872006E-3</v>
      </c>
      <c r="F826" s="23">
        <f>IF(B826=1997, 100, IF(COUNTIF(A$1:A825,A826)=0, "NEW", F825*(1+Table1[[#This Row],[Ávöxtun]])))</f>
        <v>128.4629588</v>
      </c>
      <c r="G826" s="18" cm="1">
        <f t="array" ref="G826">IFERROR(_xlfn.IFS(ISNUMBER(Table1[[#This Row],[Column3]]),Table1[[#This Row],[Column3]],Table1[[#This Row],[Column3]]="NEW",Table1[[#This Row],[Column3]]),"")</f>
        <v>128.4629588</v>
      </c>
      <c r="H826" s="15" cm="1">
        <f t="array" ref="H826">_xlfn.IFS(Table1[[#This Row],[Column4]]="NEW",AVERAGEIFS(Table1[Column4],Table1[Year],Table1[[#This Row],[Year]]),ISNUMBER(Table1[[#This Row],[Column4]]),Table1[[#This Row],[Column4]],Table1[[#This Row],[Column4]]="",H825*(1+Table1[[#This Row],[Ávöxtun]]))</f>
        <v>128.4629588</v>
      </c>
      <c r="I826" cm="1">
        <f t="array" ref="I826">_xlfn.IFS(Table1[[#This Row],[Column4]]="NEW",_xlfn.XLOOKUP(Table1[[#This Row],[Year]],$N$2:$N$27,$P$2:$P$27),ISNUMBER(Table1[[#This Row],[Column4]]),Table1[[#This Row],[Column4]],Table1[[#This Row],[Column4]]="",I825*(1+Table1[[#This Row],[Ávöxtun]]))</f>
        <v>128.4629588</v>
      </c>
      <c r="L826" s="33">
        <v>128.4629588</v>
      </c>
      <c r="M826" s="33">
        <v>128.4629588</v>
      </c>
    </row>
    <row r="827" spans="1:13">
      <c r="A827" t="s">
        <v>105</v>
      </c>
      <c r="B827">
        <v>2004</v>
      </c>
      <c r="C827" s="16">
        <v>0.11</v>
      </c>
      <c r="D827" s="1">
        <v>11233915</v>
      </c>
      <c r="E827" s="29">
        <f>Table1[[#This Row],[Ávöxtun]]*Table1[[#This Row],[Eignir]]/SUMIFS(Table1[Eignir],Table1[Year],Table1[[#This Row],[Year]])</f>
        <v>1.3614309950714762E-3</v>
      </c>
      <c r="F827" s="23">
        <f>IF(B827=1997, 100, IF(COUNTIF(A$1:A826,A827)=0, "NEW", F826*(1+Table1[[#This Row],[Ávöxtun]])))</f>
        <v>142.59388426800001</v>
      </c>
      <c r="G827" s="18" cm="1">
        <f t="array" ref="G827">IFERROR(_xlfn.IFS(ISNUMBER(Table1[[#This Row],[Column3]]),Table1[[#This Row],[Column3]],Table1[[#This Row],[Column3]]="NEW",Table1[[#This Row],[Column3]]),"")</f>
        <v>142.59388426800001</v>
      </c>
      <c r="H827" s="15" cm="1">
        <f t="array" ref="H827">_xlfn.IFS(Table1[[#This Row],[Column4]]="NEW",AVERAGEIFS(Table1[Column4],Table1[Year],Table1[[#This Row],[Year]]),ISNUMBER(Table1[[#This Row],[Column4]]),Table1[[#This Row],[Column4]],Table1[[#This Row],[Column4]]="",H826*(1+Table1[[#This Row],[Ávöxtun]]))</f>
        <v>142.59388426800001</v>
      </c>
      <c r="I827" cm="1">
        <f t="array" ref="I827">_xlfn.IFS(Table1[[#This Row],[Column4]]="NEW",_xlfn.XLOOKUP(Table1[[#This Row],[Year]],$N$2:$N$27,$P$2:$P$27),ISNUMBER(Table1[[#This Row],[Column4]]),Table1[[#This Row],[Column4]],Table1[[#This Row],[Column4]]="",I826*(1+Table1[[#This Row],[Ávöxtun]]))</f>
        <v>142.59388426800001</v>
      </c>
      <c r="L827" s="33">
        <v>142.59388426800001</v>
      </c>
      <c r="M827" s="33">
        <v>142.59388426800001</v>
      </c>
    </row>
    <row r="828" spans="1:13">
      <c r="A828" t="s">
        <v>105</v>
      </c>
      <c r="B828">
        <v>2005</v>
      </c>
      <c r="C828" s="16">
        <v>0.1</v>
      </c>
      <c r="D828" s="1">
        <v>13271719</v>
      </c>
      <c r="E828" s="29">
        <f>Table1[[#This Row],[Ávöxtun]]*Table1[[#This Row],[Eignir]]/SUMIFS(Table1[Eignir],Table1[Year],Table1[[#This Row],[Year]])</f>
        <v>1.1835612514178278E-3</v>
      </c>
      <c r="F828" s="23">
        <f>IF(B828=1997, 100, IF(COUNTIF(A$1:A827,A828)=0, "NEW", F827*(1+Table1[[#This Row],[Ávöxtun]])))</f>
        <v>156.85327269480001</v>
      </c>
      <c r="G828" s="18" cm="1">
        <f t="array" ref="G828">IFERROR(_xlfn.IFS(ISNUMBER(Table1[[#This Row],[Column3]]),Table1[[#This Row],[Column3]],Table1[[#This Row],[Column3]]="NEW",Table1[[#This Row],[Column3]]),"")</f>
        <v>156.85327269480001</v>
      </c>
      <c r="H828" s="15" cm="1">
        <f t="array" ref="H828">_xlfn.IFS(Table1[[#This Row],[Column4]]="NEW",AVERAGEIFS(Table1[Column4],Table1[Year],Table1[[#This Row],[Year]]),ISNUMBER(Table1[[#This Row],[Column4]]),Table1[[#This Row],[Column4]],Table1[[#This Row],[Column4]]="",H827*(1+Table1[[#This Row],[Ávöxtun]]))</f>
        <v>156.85327269480001</v>
      </c>
      <c r="I828" cm="1">
        <f t="array" ref="I828">_xlfn.IFS(Table1[[#This Row],[Column4]]="NEW",_xlfn.XLOOKUP(Table1[[#This Row],[Year]],$N$2:$N$27,$P$2:$P$27),ISNUMBER(Table1[[#This Row],[Column4]]),Table1[[#This Row],[Column4]],Table1[[#This Row],[Column4]]="",I827*(1+Table1[[#This Row],[Ávöxtun]]))</f>
        <v>156.85327269480001</v>
      </c>
      <c r="L828" s="33">
        <v>156.85327269480001</v>
      </c>
      <c r="M828" s="33">
        <v>156.85327269480001</v>
      </c>
    </row>
    <row r="829" spans="1:13">
      <c r="A829" t="s">
        <v>124</v>
      </c>
      <c r="B829">
        <v>1997</v>
      </c>
      <c r="C829" s="16">
        <v>0.08</v>
      </c>
      <c r="D829" s="1">
        <v>33298933.260000002</v>
      </c>
      <c r="E829" s="29">
        <f>Table1[[#This Row],[Ávöxtun]]*Table1[[#This Row],[Eignir]]/SUMIFS(Table1[Eignir],Table1[Year],Table1[[#This Row],[Year]])</f>
        <v>7.8575679570969253E-3</v>
      </c>
      <c r="F829" s="23">
        <f>IF(B829=1997, 100, IF(COUNTIF(A$1:A828,A829)=0, "NEW", F828*(1+Table1[[#This Row],[Ávöxtun]])))</f>
        <v>100</v>
      </c>
      <c r="G829" s="18" cm="1">
        <f t="array" ref="G829">IFERROR(_xlfn.IFS(ISNUMBER(Table1[[#This Row],[Column3]]),Table1[[#This Row],[Column3]],Table1[[#This Row],[Column3]]="NEW",Table1[[#This Row],[Column3]]),"")</f>
        <v>100</v>
      </c>
      <c r="H829" s="15" cm="1">
        <f t="array" ref="H829">_xlfn.IFS(Table1[[#This Row],[Column4]]="NEW",AVERAGEIFS(Table1[Column4],Table1[Year],Table1[[#This Row],[Year]]),ISNUMBER(Table1[[#This Row],[Column4]]),Table1[[#This Row],[Column4]],Table1[[#This Row],[Column4]]="",H828*(1+Table1[[#This Row],[Ávöxtun]]))</f>
        <v>100</v>
      </c>
      <c r="I829" cm="1">
        <f t="array" ref="I829">_xlfn.IFS(Table1[[#This Row],[Column4]]="NEW",_xlfn.XLOOKUP(Table1[[#This Row],[Year]],$N$2:$N$27,$P$2:$P$27),ISNUMBER(Table1[[#This Row],[Column4]]),Table1[[#This Row],[Column4]],Table1[[#This Row],[Column4]]="",I828*(1+Table1[[#This Row],[Ávöxtun]]))</f>
        <v>100</v>
      </c>
      <c r="L829" s="33">
        <v>100</v>
      </c>
      <c r="M829" s="33">
        <v>100</v>
      </c>
    </row>
    <row r="830" spans="1:13">
      <c r="A830" t="s">
        <v>124</v>
      </c>
      <c r="B830">
        <v>1998</v>
      </c>
      <c r="C830" s="16">
        <v>0.08</v>
      </c>
      <c r="D830" s="1">
        <v>37030389.799999997</v>
      </c>
      <c r="E830" s="29">
        <f>Table1[[#This Row],[Ávöxtun]]*Table1[[#This Row],[Eignir]]/SUMIFS(Table1[Eignir],Table1[Year],Table1[[#This Row],[Year]])</f>
        <v>7.5642673882093409E-3</v>
      </c>
      <c r="F830" s="23">
        <f>IF(B830=1997, 100, IF(COUNTIF(A$1:A829,A830)=0, "NEW", F829*(1+Table1[[#This Row],[Ávöxtun]])))</f>
        <v>108</v>
      </c>
      <c r="G830" s="18" cm="1">
        <f t="array" ref="G830">IFERROR(_xlfn.IFS(ISNUMBER(Table1[[#This Row],[Column3]]),Table1[[#This Row],[Column3]],Table1[[#This Row],[Column3]]="NEW",Table1[[#This Row],[Column3]]),"")</f>
        <v>108</v>
      </c>
      <c r="H830" s="15" cm="1">
        <f t="array" ref="H830">_xlfn.IFS(Table1[[#This Row],[Column4]]="NEW",AVERAGEIFS(Table1[Column4],Table1[Year],Table1[[#This Row],[Year]]),ISNUMBER(Table1[[#This Row],[Column4]]),Table1[[#This Row],[Column4]],Table1[[#This Row],[Column4]]="",H829*(1+Table1[[#This Row],[Ávöxtun]]))</f>
        <v>108</v>
      </c>
      <c r="I830" cm="1">
        <f t="array" ref="I830">_xlfn.IFS(Table1[[#This Row],[Column4]]="NEW",_xlfn.XLOOKUP(Table1[[#This Row],[Year]],$N$2:$N$27,$P$2:$P$27),ISNUMBER(Table1[[#This Row],[Column4]]),Table1[[#This Row],[Column4]],Table1[[#This Row],[Column4]]="",I829*(1+Table1[[#This Row],[Ávöxtun]]))</f>
        <v>108</v>
      </c>
      <c r="L830" s="33">
        <v>108</v>
      </c>
      <c r="M830" s="33">
        <v>108</v>
      </c>
    </row>
    <row r="831" spans="1:13">
      <c r="A831" t="s">
        <v>124</v>
      </c>
      <c r="B831">
        <v>1999</v>
      </c>
      <c r="C831" s="16">
        <v>0.15</v>
      </c>
      <c r="D831" s="1">
        <v>46338131.829999998</v>
      </c>
      <c r="E831" s="29">
        <f>Table1[[#This Row],[Ávöxtun]]*Table1[[#This Row],[Eignir]]/SUMIFS(Table1[Eignir],Table1[Year],Table1[[#This Row],[Year]])</f>
        <v>1.3348371498050198E-2</v>
      </c>
      <c r="F831" s="23">
        <f>IF(B831=1997, 100, IF(COUNTIF(A$1:A830,A831)=0, "NEW", F830*(1+Table1[[#This Row],[Ávöxtun]])))</f>
        <v>124.19999999999999</v>
      </c>
      <c r="G831" s="18" cm="1">
        <f t="array" ref="G831">IFERROR(_xlfn.IFS(ISNUMBER(Table1[[#This Row],[Column3]]),Table1[[#This Row],[Column3]],Table1[[#This Row],[Column3]]="NEW",Table1[[#This Row],[Column3]]),"")</f>
        <v>124.19999999999999</v>
      </c>
      <c r="H831" s="15" cm="1">
        <f t="array" ref="H831">_xlfn.IFS(Table1[[#This Row],[Column4]]="NEW",AVERAGEIFS(Table1[Column4],Table1[Year],Table1[[#This Row],[Year]]),ISNUMBER(Table1[[#This Row],[Column4]]),Table1[[#This Row],[Column4]],Table1[[#This Row],[Column4]]="",H830*(1+Table1[[#This Row],[Ávöxtun]]))</f>
        <v>124.19999999999999</v>
      </c>
      <c r="I831" cm="1">
        <f t="array" ref="I831">_xlfn.IFS(Table1[[#This Row],[Column4]]="NEW",_xlfn.XLOOKUP(Table1[[#This Row],[Year]],$N$2:$N$27,$P$2:$P$27),ISNUMBER(Table1[[#This Row],[Column4]]),Table1[[#This Row],[Column4]],Table1[[#This Row],[Column4]]="",I830*(1+Table1[[#This Row],[Ávöxtun]]))</f>
        <v>124.19999999999999</v>
      </c>
      <c r="L831" s="33">
        <v>124.19999999999999</v>
      </c>
      <c r="M831" s="33">
        <v>124.19999999999999</v>
      </c>
    </row>
    <row r="832" spans="1:13">
      <c r="A832" t="s">
        <v>124</v>
      </c>
      <c r="B832">
        <v>2000</v>
      </c>
      <c r="C832" s="16">
        <v>-0.01</v>
      </c>
      <c r="D832" s="1">
        <v>48711789.770000003</v>
      </c>
      <c r="E832" s="29">
        <f>Table1[[#This Row],[Ávöxtun]]*Table1[[#This Row],[Eignir]]/SUMIFS(Table1[Eignir],Table1[Year],Table1[[#This Row],[Year]])</f>
        <v>-6.8522288375444439E-4</v>
      </c>
      <c r="F832" s="23">
        <f>IF(B832=1997, 100, IF(COUNTIF(A$1:A831,A832)=0, "NEW", F831*(1+Table1[[#This Row],[Ávöxtun]])))</f>
        <v>122.95799999999998</v>
      </c>
      <c r="G832" s="18" cm="1">
        <f t="array" ref="G832">IFERROR(_xlfn.IFS(ISNUMBER(Table1[[#This Row],[Column3]]),Table1[[#This Row],[Column3]],Table1[[#This Row],[Column3]]="NEW",Table1[[#This Row],[Column3]]),"")</f>
        <v>122.95799999999998</v>
      </c>
      <c r="H832" s="15" cm="1">
        <f t="array" ref="H832">_xlfn.IFS(Table1[[#This Row],[Column4]]="NEW",AVERAGEIFS(Table1[Column4],Table1[Year],Table1[[#This Row],[Year]]),ISNUMBER(Table1[[#This Row],[Column4]]),Table1[[#This Row],[Column4]],Table1[[#This Row],[Column4]]="",H831*(1+Table1[[#This Row],[Ávöxtun]]))</f>
        <v>122.95799999999998</v>
      </c>
      <c r="I832" cm="1">
        <f t="array" ref="I832">_xlfn.IFS(Table1[[#This Row],[Column4]]="NEW",_xlfn.XLOOKUP(Table1[[#This Row],[Year]],$N$2:$N$27,$P$2:$P$27),ISNUMBER(Table1[[#This Row],[Column4]]),Table1[[#This Row],[Column4]],Table1[[#This Row],[Column4]]="",I831*(1+Table1[[#This Row],[Ávöxtun]]))</f>
        <v>122.95799999999998</v>
      </c>
      <c r="L832" s="33">
        <v>122.95799999999998</v>
      </c>
      <c r="M832" s="33">
        <v>122.95799999999998</v>
      </c>
    </row>
    <row r="833" spans="1:13">
      <c r="A833" t="s">
        <v>124</v>
      </c>
      <c r="B833">
        <v>2001</v>
      </c>
      <c r="C833" s="16">
        <v>-0.05</v>
      </c>
      <c r="D833" s="1">
        <v>104961845.41</v>
      </c>
      <c r="E833" s="29">
        <f>Table1[[#This Row],[Ávöxtun]]*Table1[[#This Row],[Eignir]]/SUMIFS(Table1[Eignir],Table1[Year],Table1[[#This Row],[Year]])</f>
        <v>-4.5323611758060428E-3</v>
      </c>
      <c r="F833" s="23">
        <f>IF(B833=1997, 100, IF(COUNTIF(A$1:A832,A833)=0, "NEW", F832*(1+Table1[[#This Row],[Ávöxtun]])))</f>
        <v>116.81009999999998</v>
      </c>
      <c r="G833" s="18" cm="1">
        <f t="array" ref="G833">IFERROR(_xlfn.IFS(ISNUMBER(Table1[[#This Row],[Column3]]),Table1[[#This Row],[Column3]],Table1[[#This Row],[Column3]]="NEW",Table1[[#This Row],[Column3]]),"")</f>
        <v>116.81009999999998</v>
      </c>
      <c r="H833" s="15" cm="1">
        <f t="array" ref="H833">_xlfn.IFS(Table1[[#This Row],[Column4]]="NEW",AVERAGEIFS(Table1[Column4],Table1[Year],Table1[[#This Row],[Year]]),ISNUMBER(Table1[[#This Row],[Column4]]),Table1[[#This Row],[Column4]],Table1[[#This Row],[Column4]]="",H832*(1+Table1[[#This Row],[Ávöxtun]]))</f>
        <v>116.81009999999998</v>
      </c>
      <c r="I833" cm="1">
        <f t="array" ref="I833">_xlfn.IFS(Table1[[#This Row],[Column4]]="NEW",_xlfn.XLOOKUP(Table1[[#This Row],[Year]],$N$2:$N$27,$P$2:$P$27),ISNUMBER(Table1[[#This Row],[Column4]]),Table1[[#This Row],[Column4]],Table1[[#This Row],[Column4]]="",I832*(1+Table1[[#This Row],[Ávöxtun]]))</f>
        <v>116.81009999999998</v>
      </c>
      <c r="L833" s="33">
        <v>116.81009999999998</v>
      </c>
      <c r="M833" s="33">
        <v>116.81009999999998</v>
      </c>
    </row>
    <row r="834" spans="1:13">
      <c r="A834" t="s">
        <v>124</v>
      </c>
      <c r="B834">
        <v>2002</v>
      </c>
      <c r="C834" s="16">
        <v>-0.01</v>
      </c>
      <c r="D834" s="1">
        <v>53465137.770000003</v>
      </c>
      <c r="E834" s="29">
        <f>Table1[[#This Row],[Ávöxtun]]*Table1[[#This Row],[Eignir]]/SUMIFS(Table1[Eignir],Table1[Year],Table1[[#This Row],[Year]])</f>
        <v>-8.4175306998204901E-4</v>
      </c>
      <c r="F834" s="23">
        <f>IF(B834=1997, 100, IF(COUNTIF(A$1:A833,A834)=0, "NEW", F833*(1+Table1[[#This Row],[Ávöxtun]])))</f>
        <v>115.64199899999997</v>
      </c>
      <c r="G834" s="18" cm="1">
        <f t="array" ref="G834">IFERROR(_xlfn.IFS(ISNUMBER(Table1[[#This Row],[Column3]]),Table1[[#This Row],[Column3]],Table1[[#This Row],[Column3]]="NEW",Table1[[#This Row],[Column3]]),"")</f>
        <v>115.64199899999997</v>
      </c>
      <c r="H834" s="15" cm="1">
        <f t="array" ref="H834">_xlfn.IFS(Table1[[#This Row],[Column4]]="NEW",AVERAGEIFS(Table1[Column4],Table1[Year],Table1[[#This Row],[Year]]),ISNUMBER(Table1[[#This Row],[Column4]]),Table1[[#This Row],[Column4]],Table1[[#This Row],[Column4]]="",H833*(1+Table1[[#This Row],[Ávöxtun]]))</f>
        <v>115.64199899999997</v>
      </c>
      <c r="I834" cm="1">
        <f t="array" ref="I834">_xlfn.IFS(Table1[[#This Row],[Column4]]="NEW",_xlfn.XLOOKUP(Table1[[#This Row],[Year]],$N$2:$N$27,$P$2:$P$27),ISNUMBER(Table1[[#This Row],[Column4]]),Table1[[#This Row],[Column4]],Table1[[#This Row],[Column4]]="",I833*(1+Table1[[#This Row],[Ávöxtun]]))</f>
        <v>115.64199899999997</v>
      </c>
      <c r="L834" s="33">
        <v>115.64199899999997</v>
      </c>
      <c r="M834" s="33">
        <v>115.64199899999997</v>
      </c>
    </row>
    <row r="835" spans="1:13">
      <c r="A835" t="s">
        <v>124</v>
      </c>
      <c r="B835">
        <v>2003</v>
      </c>
      <c r="C835" s="16">
        <v>0.14000000000000001</v>
      </c>
      <c r="D835" s="1">
        <v>63621502</v>
      </c>
      <c r="E835" s="29">
        <f>Table1[[#This Row],[Ávöxtun]]*Table1[[#This Row],[Eignir]]/SUMIFS(Table1[Eignir],Table1[Year],Table1[[#This Row],[Year]])</f>
        <v>1.1721425377535413E-2</v>
      </c>
      <c r="F835" s="23">
        <f>IF(B835=1997, 100, IF(COUNTIF(A$1:A834,A835)=0, "NEW", F834*(1+Table1[[#This Row],[Ávöxtun]])))</f>
        <v>131.83187885999999</v>
      </c>
      <c r="G835" s="18" cm="1">
        <f t="array" ref="G835">IFERROR(_xlfn.IFS(ISNUMBER(Table1[[#This Row],[Column3]]),Table1[[#This Row],[Column3]],Table1[[#This Row],[Column3]]="NEW",Table1[[#This Row],[Column3]]),"")</f>
        <v>131.83187885999999</v>
      </c>
      <c r="H835" s="15" cm="1">
        <f t="array" ref="H835">_xlfn.IFS(Table1[[#This Row],[Column4]]="NEW",AVERAGEIFS(Table1[Column4],Table1[Year],Table1[[#This Row],[Year]]),ISNUMBER(Table1[[#This Row],[Column4]]),Table1[[#This Row],[Column4]],Table1[[#This Row],[Column4]]="",H834*(1+Table1[[#This Row],[Ávöxtun]]))</f>
        <v>131.83187885999999</v>
      </c>
      <c r="I835" cm="1">
        <f t="array" ref="I835">_xlfn.IFS(Table1[[#This Row],[Column4]]="NEW",_xlfn.XLOOKUP(Table1[[#This Row],[Year]],$N$2:$N$27,$P$2:$P$27),ISNUMBER(Table1[[#This Row],[Column4]]),Table1[[#This Row],[Column4]],Table1[[#This Row],[Column4]]="",I834*(1+Table1[[#This Row],[Ávöxtun]]))</f>
        <v>131.83187885999999</v>
      </c>
      <c r="L835" s="33">
        <v>131.83187885999999</v>
      </c>
      <c r="M835" s="33">
        <v>131.83187885999999</v>
      </c>
    </row>
    <row r="836" spans="1:13">
      <c r="A836" t="s">
        <v>124</v>
      </c>
      <c r="B836">
        <v>2004</v>
      </c>
      <c r="C836" s="16">
        <v>0.14000000000000001</v>
      </c>
      <c r="D836" s="1">
        <v>76386821.939999998</v>
      </c>
      <c r="E836" s="29">
        <f>Table1[[#This Row],[Ávöxtun]]*Table1[[#This Row],[Eignir]]/SUMIFS(Table1[Eignir],Table1[Year],Table1[[#This Row],[Year]])</f>
        <v>1.1781980304993703E-2</v>
      </c>
      <c r="F836" s="23">
        <f>IF(B836=1997, 100, IF(COUNTIF(A$1:A835,A836)=0, "NEW", F835*(1+Table1[[#This Row],[Ávöxtun]])))</f>
        <v>150.28834190040001</v>
      </c>
      <c r="G836" s="18" cm="1">
        <f t="array" ref="G836">IFERROR(_xlfn.IFS(ISNUMBER(Table1[[#This Row],[Column3]]),Table1[[#This Row],[Column3]],Table1[[#This Row],[Column3]]="NEW",Table1[[#This Row],[Column3]]),"")</f>
        <v>150.28834190040001</v>
      </c>
      <c r="H836" s="15" cm="1">
        <f t="array" ref="H836">_xlfn.IFS(Table1[[#This Row],[Column4]]="NEW",AVERAGEIFS(Table1[Column4],Table1[Year],Table1[[#This Row],[Year]]),ISNUMBER(Table1[[#This Row],[Column4]]),Table1[[#This Row],[Column4]],Table1[[#This Row],[Column4]]="",H835*(1+Table1[[#This Row],[Ávöxtun]]))</f>
        <v>150.28834190040001</v>
      </c>
      <c r="I836" cm="1">
        <f t="array" ref="I836">_xlfn.IFS(Table1[[#This Row],[Column4]]="NEW",_xlfn.XLOOKUP(Table1[[#This Row],[Year]],$N$2:$N$27,$P$2:$P$27),ISNUMBER(Table1[[#This Row],[Column4]]),Table1[[#This Row],[Column4]],Table1[[#This Row],[Column4]]="",I835*(1+Table1[[#This Row],[Ávöxtun]]))</f>
        <v>150.28834190040001</v>
      </c>
      <c r="L836" s="33">
        <v>150.28834190040001</v>
      </c>
      <c r="M836" s="33">
        <v>150.28834190040001</v>
      </c>
    </row>
    <row r="837" spans="1:13">
      <c r="A837" t="s">
        <v>125</v>
      </c>
      <c r="B837">
        <v>1997</v>
      </c>
      <c r="C837" s="16">
        <v>0.1</v>
      </c>
      <c r="D837" s="1">
        <v>10050859.49</v>
      </c>
      <c r="E837" s="29">
        <f>Table1[[#This Row],[Ávöxtun]]*Table1[[#This Row],[Eignir]]/SUMIFS(Table1[Eignir],Table1[Year],Table1[[#This Row],[Year]])</f>
        <v>2.9646336886103731E-3</v>
      </c>
      <c r="F837" s="23">
        <f>IF(B837=1997, 100, IF(COUNTIF(A$1:A836,A837)=0, "NEW", F836*(1+Table1[[#This Row],[Ávöxtun]])))</f>
        <v>100</v>
      </c>
      <c r="G837" s="18" cm="1">
        <f t="array" ref="G837">IFERROR(_xlfn.IFS(ISNUMBER(Table1[[#This Row],[Column3]]),Table1[[#This Row],[Column3]],Table1[[#This Row],[Column3]]="NEW",Table1[[#This Row],[Column3]]),"")</f>
        <v>100</v>
      </c>
      <c r="H837" s="15" cm="1">
        <f t="array" ref="H837">_xlfn.IFS(Table1[[#This Row],[Column4]]="NEW",AVERAGEIFS(Table1[Column4],Table1[Year],Table1[[#This Row],[Year]]),ISNUMBER(Table1[[#This Row],[Column4]]),Table1[[#This Row],[Column4]],Table1[[#This Row],[Column4]]="",H836*(1+Table1[[#This Row],[Ávöxtun]]))</f>
        <v>100</v>
      </c>
      <c r="I837" cm="1">
        <f t="array" ref="I837">_xlfn.IFS(Table1[[#This Row],[Column4]]="NEW",_xlfn.XLOOKUP(Table1[[#This Row],[Year]],$N$2:$N$27,$P$2:$P$27),ISNUMBER(Table1[[#This Row],[Column4]]),Table1[[#This Row],[Column4]],Table1[[#This Row],[Column4]]="",I836*(1+Table1[[#This Row],[Ávöxtun]]))</f>
        <v>100</v>
      </c>
      <c r="L837" s="33">
        <v>100</v>
      </c>
      <c r="M837" s="33">
        <v>100</v>
      </c>
    </row>
    <row r="838" spans="1:13">
      <c r="A838" t="s">
        <v>125</v>
      </c>
      <c r="B838">
        <v>1998</v>
      </c>
      <c r="C838" s="16">
        <v>0.05</v>
      </c>
      <c r="D838" s="1">
        <v>11379300.15</v>
      </c>
      <c r="E838" s="29">
        <f>Table1[[#This Row],[Ávöxtun]]*Table1[[#This Row],[Eignir]]/SUMIFS(Table1[Eignir],Table1[Year],Table1[[#This Row],[Year]])</f>
        <v>1.4527944056588534E-3</v>
      </c>
      <c r="F838" s="23">
        <f>IF(B838=1997, 100, IF(COUNTIF(A$1:A837,A838)=0, "NEW", F837*(1+Table1[[#This Row],[Ávöxtun]])))</f>
        <v>105</v>
      </c>
      <c r="G838" s="18" cm="1">
        <f t="array" ref="G838">IFERROR(_xlfn.IFS(ISNUMBER(Table1[[#This Row],[Column3]]),Table1[[#This Row],[Column3]],Table1[[#This Row],[Column3]]="NEW",Table1[[#This Row],[Column3]]),"")</f>
        <v>105</v>
      </c>
      <c r="H838" s="15" cm="1">
        <f t="array" ref="H838">_xlfn.IFS(Table1[[#This Row],[Column4]]="NEW",AVERAGEIFS(Table1[Column4],Table1[Year],Table1[[#This Row],[Year]]),ISNUMBER(Table1[[#This Row],[Column4]]),Table1[[#This Row],[Column4]],Table1[[#This Row],[Column4]]="",H837*(1+Table1[[#This Row],[Ávöxtun]]))</f>
        <v>105</v>
      </c>
      <c r="I838" cm="1">
        <f t="array" ref="I838">_xlfn.IFS(Table1[[#This Row],[Column4]]="NEW",_xlfn.XLOOKUP(Table1[[#This Row],[Year]],$N$2:$N$27,$P$2:$P$27),ISNUMBER(Table1[[#This Row],[Column4]]),Table1[[#This Row],[Column4]],Table1[[#This Row],[Column4]]="",I837*(1+Table1[[#This Row],[Ávöxtun]]))</f>
        <v>105</v>
      </c>
      <c r="L838" s="33">
        <v>105</v>
      </c>
      <c r="M838" s="33">
        <v>105</v>
      </c>
    </row>
    <row r="839" spans="1:13">
      <c r="A839" t="s">
        <v>125</v>
      </c>
      <c r="B839">
        <v>1999</v>
      </c>
      <c r="C839" s="16">
        <v>0.14000000000000001</v>
      </c>
      <c r="D839" s="1">
        <v>14690531.02</v>
      </c>
      <c r="E839" s="29">
        <f>Table1[[#This Row],[Ávöxtun]]*Table1[[#This Row],[Eignir]]/SUMIFS(Table1[Eignir],Table1[Year],Table1[[#This Row],[Year]])</f>
        <v>3.9496993216328446E-3</v>
      </c>
      <c r="F839" s="23">
        <f>IF(B839=1997, 100, IF(COUNTIF(A$1:A838,A839)=0, "NEW", F838*(1+Table1[[#This Row],[Ávöxtun]])))</f>
        <v>119.70000000000002</v>
      </c>
      <c r="G839" s="18" cm="1">
        <f t="array" ref="G839">IFERROR(_xlfn.IFS(ISNUMBER(Table1[[#This Row],[Column3]]),Table1[[#This Row],[Column3]],Table1[[#This Row],[Column3]]="NEW",Table1[[#This Row],[Column3]]),"")</f>
        <v>119.70000000000002</v>
      </c>
      <c r="H839" s="15" cm="1">
        <f t="array" ref="H839">_xlfn.IFS(Table1[[#This Row],[Column4]]="NEW",AVERAGEIFS(Table1[Column4],Table1[Year],Table1[[#This Row],[Year]]),ISNUMBER(Table1[[#This Row],[Column4]]),Table1[[#This Row],[Column4]],Table1[[#This Row],[Column4]]="",H838*(1+Table1[[#This Row],[Ávöxtun]]))</f>
        <v>119.70000000000002</v>
      </c>
      <c r="I839" cm="1">
        <f t="array" ref="I839">_xlfn.IFS(Table1[[#This Row],[Column4]]="NEW",_xlfn.XLOOKUP(Table1[[#This Row],[Year]],$N$2:$N$27,$P$2:$P$27),ISNUMBER(Table1[[#This Row],[Column4]]),Table1[[#This Row],[Column4]],Table1[[#This Row],[Column4]]="",I838*(1+Table1[[#This Row],[Ávöxtun]]))</f>
        <v>119.70000000000002</v>
      </c>
      <c r="L839" s="33">
        <v>119.70000000000002</v>
      </c>
      <c r="M839" s="33">
        <v>119.70000000000002</v>
      </c>
    </row>
    <row r="840" spans="1:13">
      <c r="A840" t="s">
        <v>125</v>
      </c>
      <c r="B840">
        <v>2000</v>
      </c>
      <c r="C840" s="16">
        <v>0</v>
      </c>
      <c r="D840" s="1">
        <v>16290384.630000001</v>
      </c>
      <c r="E840" s="29">
        <f>Table1[[#This Row],[Ávöxtun]]*Table1[[#This Row],[Eignir]]/SUMIFS(Table1[Eignir],Table1[Year],Table1[[#This Row],[Year]])</f>
        <v>0</v>
      </c>
      <c r="F840" s="23">
        <f>IF(B840=1997, 100, IF(COUNTIF(A$1:A839,A840)=0, "NEW", F839*(1+Table1[[#This Row],[Ávöxtun]])))</f>
        <v>119.70000000000002</v>
      </c>
      <c r="G840" s="18" cm="1">
        <f t="array" ref="G840">IFERROR(_xlfn.IFS(ISNUMBER(Table1[[#This Row],[Column3]]),Table1[[#This Row],[Column3]],Table1[[#This Row],[Column3]]="NEW",Table1[[#This Row],[Column3]]),"")</f>
        <v>119.70000000000002</v>
      </c>
      <c r="H840" s="15" cm="1">
        <f t="array" ref="H840">_xlfn.IFS(Table1[[#This Row],[Column4]]="NEW",AVERAGEIFS(Table1[Column4],Table1[Year],Table1[[#This Row],[Year]]),ISNUMBER(Table1[[#This Row],[Column4]]),Table1[[#This Row],[Column4]],Table1[[#This Row],[Column4]]="",H839*(1+Table1[[#This Row],[Ávöxtun]]))</f>
        <v>119.70000000000002</v>
      </c>
      <c r="I840" cm="1">
        <f t="array" ref="I840">_xlfn.IFS(Table1[[#This Row],[Column4]]="NEW",_xlfn.XLOOKUP(Table1[[#This Row],[Year]],$N$2:$N$27,$P$2:$P$27),ISNUMBER(Table1[[#This Row],[Column4]]),Table1[[#This Row],[Column4]],Table1[[#This Row],[Column4]]="",I839*(1+Table1[[#This Row],[Ávöxtun]]))</f>
        <v>119.70000000000002</v>
      </c>
      <c r="L840" s="33">
        <v>119.70000000000002</v>
      </c>
      <c r="M840" s="33">
        <v>119.70000000000002</v>
      </c>
    </row>
    <row r="841" spans="1:13">
      <c r="A841" t="s">
        <v>125</v>
      </c>
      <c r="B841">
        <v>2001</v>
      </c>
      <c r="C841" s="16">
        <v>-0.1</v>
      </c>
      <c r="D841" s="1">
        <v>36572592.369999997</v>
      </c>
      <c r="E841" s="29">
        <f>Table1[[#This Row],[Ávöxtun]]*Table1[[#This Row],[Eignir]]/SUMIFS(Table1[Eignir],Table1[Year],Table1[[#This Row],[Year]])</f>
        <v>-3.1584848210105092E-3</v>
      </c>
      <c r="F841" s="23">
        <f>IF(B841=1997, 100, IF(COUNTIF(A$1:A840,A841)=0, "NEW", F840*(1+Table1[[#This Row],[Ávöxtun]])))</f>
        <v>107.73000000000002</v>
      </c>
      <c r="G841" s="18" cm="1">
        <f t="array" ref="G841">IFERROR(_xlfn.IFS(ISNUMBER(Table1[[#This Row],[Column3]]),Table1[[#This Row],[Column3]],Table1[[#This Row],[Column3]]="NEW",Table1[[#This Row],[Column3]]),"")</f>
        <v>107.73000000000002</v>
      </c>
      <c r="H841" s="15" cm="1">
        <f t="array" ref="H841">_xlfn.IFS(Table1[[#This Row],[Column4]]="NEW",AVERAGEIFS(Table1[Column4],Table1[Year],Table1[[#This Row],[Year]]),ISNUMBER(Table1[[#This Row],[Column4]]),Table1[[#This Row],[Column4]],Table1[[#This Row],[Column4]]="",H840*(1+Table1[[#This Row],[Ávöxtun]]))</f>
        <v>107.73000000000002</v>
      </c>
      <c r="I841" cm="1">
        <f t="array" ref="I841">_xlfn.IFS(Table1[[#This Row],[Column4]]="NEW",_xlfn.XLOOKUP(Table1[[#This Row],[Year]],$N$2:$N$27,$P$2:$P$27),ISNUMBER(Table1[[#This Row],[Column4]]),Table1[[#This Row],[Column4]],Table1[[#This Row],[Column4]]="",I840*(1+Table1[[#This Row],[Ávöxtun]]))</f>
        <v>107.73000000000002</v>
      </c>
      <c r="L841" s="33">
        <v>107.73000000000002</v>
      </c>
      <c r="M841" s="33">
        <v>107.73000000000002</v>
      </c>
    </row>
    <row r="842" spans="1:13">
      <c r="A842" t="s">
        <v>125</v>
      </c>
      <c r="B842">
        <v>2002</v>
      </c>
      <c r="C842" s="16">
        <v>-0.04</v>
      </c>
      <c r="D842" s="1">
        <v>18858028</v>
      </c>
      <c r="E842" s="29">
        <f>Table1[[#This Row],[Ávöxtun]]*Table1[[#This Row],[Eignir]]/SUMIFS(Table1[Eignir],Table1[Year],Table1[[#This Row],[Year]])</f>
        <v>-1.187600266259068E-3</v>
      </c>
      <c r="F842" s="23">
        <f>IF(B842=1997, 100, IF(COUNTIF(A$1:A841,A842)=0, "NEW", F841*(1+Table1[[#This Row],[Ávöxtun]])))</f>
        <v>103.42080000000001</v>
      </c>
      <c r="G842" s="18" cm="1">
        <f t="array" ref="G842">IFERROR(_xlfn.IFS(ISNUMBER(Table1[[#This Row],[Column3]]),Table1[[#This Row],[Column3]],Table1[[#This Row],[Column3]]="NEW",Table1[[#This Row],[Column3]]),"")</f>
        <v>103.42080000000001</v>
      </c>
      <c r="H842" s="15" cm="1">
        <f t="array" ref="H842">_xlfn.IFS(Table1[[#This Row],[Column4]]="NEW",AVERAGEIFS(Table1[Column4],Table1[Year],Table1[[#This Row],[Year]]),ISNUMBER(Table1[[#This Row],[Column4]]),Table1[[#This Row],[Column4]],Table1[[#This Row],[Column4]]="",H841*(1+Table1[[#This Row],[Ávöxtun]]))</f>
        <v>103.42080000000001</v>
      </c>
      <c r="I842" cm="1">
        <f t="array" ref="I842">_xlfn.IFS(Table1[[#This Row],[Column4]]="NEW",_xlfn.XLOOKUP(Table1[[#This Row],[Year]],$N$2:$N$27,$P$2:$P$27),ISNUMBER(Table1[[#This Row],[Column4]]),Table1[[#This Row],[Column4]],Table1[[#This Row],[Column4]]="",I841*(1+Table1[[#This Row],[Ávöxtun]]))</f>
        <v>103.42080000000001</v>
      </c>
      <c r="L842" s="33">
        <v>103.42080000000001</v>
      </c>
      <c r="M842" s="33">
        <v>103.42080000000001</v>
      </c>
    </row>
    <row r="843" spans="1:13">
      <c r="A843" t="s">
        <v>125</v>
      </c>
      <c r="B843">
        <v>2003</v>
      </c>
      <c r="C843" s="16">
        <v>0.1</v>
      </c>
      <c r="D843" s="1">
        <v>22526414</v>
      </c>
      <c r="E843" s="29">
        <f>Table1[[#This Row],[Ávöxtun]]*Table1[[#This Row],[Eignir]]/SUMIFS(Table1[Eignir],Table1[Year],Table1[[#This Row],[Year]])</f>
        <v>2.9644254629115456E-3</v>
      </c>
      <c r="F843" s="23">
        <f>IF(B843=1997, 100, IF(COUNTIF(A$1:A842,A843)=0, "NEW", F842*(1+Table1[[#This Row],[Ávöxtun]])))</f>
        <v>113.76288000000002</v>
      </c>
      <c r="G843" s="18" cm="1">
        <f t="array" ref="G843">IFERROR(_xlfn.IFS(ISNUMBER(Table1[[#This Row],[Column3]]),Table1[[#This Row],[Column3]],Table1[[#This Row],[Column3]]="NEW",Table1[[#This Row],[Column3]]),"")</f>
        <v>113.76288000000002</v>
      </c>
      <c r="H843" s="15" cm="1">
        <f t="array" ref="H843">_xlfn.IFS(Table1[[#This Row],[Column4]]="NEW",AVERAGEIFS(Table1[Column4],Table1[Year],Table1[[#This Row],[Year]]),ISNUMBER(Table1[[#This Row],[Column4]]),Table1[[#This Row],[Column4]],Table1[[#This Row],[Column4]]="",H842*(1+Table1[[#This Row],[Ávöxtun]]))</f>
        <v>113.76288000000002</v>
      </c>
      <c r="I843" cm="1">
        <f t="array" ref="I843">_xlfn.IFS(Table1[[#This Row],[Column4]]="NEW",_xlfn.XLOOKUP(Table1[[#This Row],[Year]],$N$2:$N$27,$P$2:$P$27),ISNUMBER(Table1[[#This Row],[Column4]]),Table1[[#This Row],[Column4]],Table1[[#This Row],[Column4]]="",I842*(1+Table1[[#This Row],[Ávöxtun]]))</f>
        <v>113.76288000000002</v>
      </c>
      <c r="L843" s="33">
        <v>113.76288000000002</v>
      </c>
      <c r="M843" s="33">
        <v>113.76288000000002</v>
      </c>
    </row>
    <row r="844" spans="1:13">
      <c r="A844" t="s">
        <v>125</v>
      </c>
      <c r="B844">
        <v>2004</v>
      </c>
      <c r="C844" s="16">
        <v>0.09</v>
      </c>
      <c r="D844" s="1">
        <v>26830629</v>
      </c>
      <c r="E844" s="29">
        <f>Table1[[#This Row],[Ávöxtun]]*Table1[[#This Row],[Eignir]]/SUMIFS(Table1[Eignir],Table1[Year],Table1[[#This Row],[Year]])</f>
        <v>2.6603892154068729E-3</v>
      </c>
      <c r="F844" s="23">
        <f>IF(B844=1997, 100, IF(COUNTIF(A$1:A843,A844)=0, "NEW", F843*(1+Table1[[#This Row],[Ávöxtun]])))</f>
        <v>124.00153920000004</v>
      </c>
      <c r="G844" s="18" cm="1">
        <f t="array" ref="G844">IFERROR(_xlfn.IFS(ISNUMBER(Table1[[#This Row],[Column3]]),Table1[[#This Row],[Column3]],Table1[[#This Row],[Column3]]="NEW",Table1[[#This Row],[Column3]]),"")</f>
        <v>124.00153920000004</v>
      </c>
      <c r="H844" s="15" cm="1">
        <f t="array" ref="H844">_xlfn.IFS(Table1[[#This Row],[Column4]]="NEW",AVERAGEIFS(Table1[Column4],Table1[Year],Table1[[#This Row],[Year]]),ISNUMBER(Table1[[#This Row],[Column4]]),Table1[[#This Row],[Column4]],Table1[[#This Row],[Column4]]="",H843*(1+Table1[[#This Row],[Ávöxtun]]))</f>
        <v>124.00153920000004</v>
      </c>
      <c r="I844" cm="1">
        <f t="array" ref="I844">_xlfn.IFS(Table1[[#This Row],[Column4]]="NEW",_xlfn.XLOOKUP(Table1[[#This Row],[Year]],$N$2:$N$27,$P$2:$P$27),ISNUMBER(Table1[[#This Row],[Column4]]),Table1[[#This Row],[Column4]],Table1[[#This Row],[Column4]]="",I843*(1+Table1[[#This Row],[Ávöxtun]]))</f>
        <v>124.00153920000004</v>
      </c>
      <c r="L844" s="33">
        <v>124.00153920000004</v>
      </c>
      <c r="M844" s="33">
        <v>124.00153920000004</v>
      </c>
    </row>
    <row r="845" spans="1:13">
      <c r="A845" t="s">
        <v>125</v>
      </c>
      <c r="B845">
        <v>2005</v>
      </c>
      <c r="C845" s="16">
        <v>0.11</v>
      </c>
      <c r="D845" s="1">
        <v>32675798</v>
      </c>
      <c r="E845" s="29">
        <f>Table1[[#This Row],[Ávöxtun]]*Table1[[#This Row],[Eignir]]/SUMIFS(Table1[Eignir],Table1[Year],Table1[[#This Row],[Year]])</f>
        <v>3.2054015918474288E-3</v>
      </c>
      <c r="F845" s="23">
        <f>IF(B845=1997, 100, IF(COUNTIF(A$1:A844,A845)=0, "NEW", F844*(1+Table1[[#This Row],[Ávöxtun]])))</f>
        <v>137.64170851200006</v>
      </c>
      <c r="G845" s="18" cm="1">
        <f t="array" ref="G845">IFERROR(_xlfn.IFS(ISNUMBER(Table1[[#This Row],[Column3]]),Table1[[#This Row],[Column3]],Table1[[#This Row],[Column3]]="NEW",Table1[[#This Row],[Column3]]),"")</f>
        <v>137.64170851200006</v>
      </c>
      <c r="H845" s="15" cm="1">
        <f t="array" ref="H845">_xlfn.IFS(Table1[[#This Row],[Column4]]="NEW",AVERAGEIFS(Table1[Column4],Table1[Year],Table1[[#This Row],[Year]]),ISNUMBER(Table1[[#This Row],[Column4]]),Table1[[#This Row],[Column4]],Table1[[#This Row],[Column4]]="",H844*(1+Table1[[#This Row],[Ávöxtun]]))</f>
        <v>137.64170851200006</v>
      </c>
      <c r="I845" cm="1">
        <f t="array" ref="I845">_xlfn.IFS(Table1[[#This Row],[Column4]]="NEW",_xlfn.XLOOKUP(Table1[[#This Row],[Year]],$N$2:$N$27,$P$2:$P$27),ISNUMBER(Table1[[#This Row],[Column4]]),Table1[[#This Row],[Column4]],Table1[[#This Row],[Column4]]="",I844*(1+Table1[[#This Row],[Ávöxtun]]))</f>
        <v>137.64170851200006</v>
      </c>
      <c r="L845" s="33">
        <v>137.64170851200006</v>
      </c>
      <c r="M845" s="33">
        <v>137.64170851200006</v>
      </c>
    </row>
    <row r="846" spans="1:13">
      <c r="A846" t="s">
        <v>127</v>
      </c>
      <c r="B846">
        <v>2014</v>
      </c>
      <c r="C846" s="16">
        <v>6.3E-2</v>
      </c>
      <c r="D846" s="1">
        <v>49955272</v>
      </c>
      <c r="E846" s="29">
        <f>Table1[[#This Row],[Ávöxtun]]*Table1[[#This Row],[Eignir]]/SUMIFS(Table1[Eignir],Table1[Year],Table1[[#This Row],[Year]])</f>
        <v>1.1862646920707375E-3</v>
      </c>
      <c r="F846" s="23" t="str">
        <f>IF(B846=1997, 100, IF(COUNTIF(A$1:A845,A846)=0, "NEW", F845*(1+Table1[[#This Row],[Ávöxtun]])))</f>
        <v>NEW</v>
      </c>
      <c r="G846" s="18" t="str" cm="1">
        <f t="array" ref="G846">IFERROR(_xlfn.IFS(ISNUMBER(Table1[[#This Row],[Column3]]),Table1[[#This Row],[Column3]],Table1[[#This Row],[Column3]]="NEW",Table1[[#This Row],[Column3]]),"")</f>
        <v>NEW</v>
      </c>
      <c r="H846" s="15" cm="1">
        <f t="array" ref="H846">_xlfn.IFS(Table1[[#This Row],[Column4]]="NEW",AVERAGEIFS(Table1[Column4],Table1[Year],Table1[[#This Row],[Year]]),ISNUMBER(Table1[[#This Row],[Column4]]),Table1[[#This Row],[Column4]],Table1[[#This Row],[Column4]]="",H845*(1+Table1[[#This Row],[Ávöxtun]]))</f>
        <v>185.98027658661198</v>
      </c>
      <c r="I846" cm="1">
        <f t="array" ref="I846">_xlfn.IFS(Table1[[#This Row],[Column4]]="NEW",_xlfn.XLOOKUP(Table1[[#This Row],[Year]],$N$2:$N$27,$P$2:$P$27),ISNUMBER(Table1[[#This Row],[Column4]]),Table1[[#This Row],[Column4]],Table1[[#This Row],[Column4]]="",I845*(1+Table1[[#This Row],[Ávöxtun]]))</f>
        <v>205.80440874766308</v>
      </c>
      <c r="L846" s="33">
        <v>185.98027658661198</v>
      </c>
      <c r="M846" s="33">
        <v>221.66504708890625</v>
      </c>
    </row>
    <row r="847" spans="1:13">
      <c r="A847" t="s">
        <v>127</v>
      </c>
      <c r="B847">
        <v>2015</v>
      </c>
      <c r="C847" s="16">
        <v>0.08</v>
      </c>
      <c r="D847" s="1">
        <v>57277966</v>
      </c>
      <c r="E847" s="29">
        <f>Table1[[#This Row],[Ávöxtun]]*Table1[[#This Row],[Eignir]]/SUMIFS(Table1[Eignir],Table1[Year],Table1[[#This Row],[Year]])</f>
        <v>1.5473326689833696E-3</v>
      </c>
      <c r="F847" s="23" t="e">
        <f>IF(B847=1997, 100, IF(COUNTIF(A$1:A846,A847)=0, "NEW", F846*(1+Table1[[#This Row],[Ávöxtun]])))</f>
        <v>#VALUE!</v>
      </c>
      <c r="G847" s="18" t="str" cm="1">
        <f t="array" ref="G847">IFERROR(_xlfn.IFS(ISNUMBER(Table1[[#This Row],[Column3]]),Table1[[#This Row],[Column3]],Table1[[#This Row],[Column3]]="NEW",Table1[[#This Row],[Column3]]),"")</f>
        <v/>
      </c>
      <c r="H847" s="15" cm="1">
        <f t="array" ref="H847">_xlfn.IFS(Table1[[#This Row],[Column4]]="NEW",AVERAGEIFS(Table1[Column4],Table1[Year],Table1[[#This Row],[Year]]),ISNUMBER(Table1[[#This Row],[Column4]]),Table1[[#This Row],[Column4]],Table1[[#This Row],[Column4]]="",H846*(1+Table1[[#This Row],[Ávöxtun]]))</f>
        <v>200.85869871354095</v>
      </c>
      <c r="I847" cm="1">
        <f t="array" ref="I847">_xlfn.IFS(Table1[[#This Row],[Column4]]="NEW",_xlfn.XLOOKUP(Table1[[#This Row],[Year]],$N$2:$N$27,$P$2:$P$27),ISNUMBER(Table1[[#This Row],[Column4]]),Table1[[#This Row],[Column4]],Table1[[#This Row],[Column4]]="",I846*(1+Table1[[#This Row],[Ávöxtun]]))</f>
        <v>222.26876144747612</v>
      </c>
      <c r="L847" s="33">
        <v>200.85869871354095</v>
      </c>
      <c r="M847" s="33">
        <v>239.39825085601876</v>
      </c>
    </row>
    <row r="848" spans="1:13">
      <c r="A848" t="s">
        <v>127</v>
      </c>
      <c r="B848">
        <v>2016</v>
      </c>
      <c r="C848" s="16">
        <v>2.6000000000000002E-2</v>
      </c>
      <c r="D848" s="1">
        <v>62756983</v>
      </c>
      <c r="E848" s="29">
        <f>Table1[[#This Row],[Ávöxtun]]*Table1[[#This Row],[Eignir]]/SUMIFS(Table1[Eignir],Table1[Year],Table1[[#This Row],[Year]])</f>
        <v>5.0989305234907546E-4</v>
      </c>
      <c r="F848" s="23" t="e">
        <f>IF(B848=1997, 100, IF(COUNTIF(A$1:A847,A848)=0, "NEW", F847*(1+Table1[[#This Row],[Ávöxtun]])))</f>
        <v>#VALUE!</v>
      </c>
      <c r="G848" s="18" t="str" cm="1">
        <f t="array" ref="G848">IFERROR(_xlfn.IFS(ISNUMBER(Table1[[#This Row],[Column3]]),Table1[[#This Row],[Column3]],Table1[[#This Row],[Column3]]="NEW",Table1[[#This Row],[Column3]]),"")</f>
        <v/>
      </c>
      <c r="H848" s="15" cm="1">
        <f t="array" ref="H848">_xlfn.IFS(Table1[[#This Row],[Column4]]="NEW",AVERAGEIFS(Table1[Column4],Table1[Year],Table1[[#This Row],[Year]]),ISNUMBER(Table1[[#This Row],[Column4]]),Table1[[#This Row],[Column4]],Table1[[#This Row],[Column4]]="",H847*(1+Table1[[#This Row],[Ávöxtun]]))</f>
        <v>206.08102488009303</v>
      </c>
      <c r="I848" cm="1">
        <f t="array" ref="I848">_xlfn.IFS(Table1[[#This Row],[Column4]]="NEW",_xlfn.XLOOKUP(Table1[[#This Row],[Year]],$N$2:$N$27,$P$2:$P$27),ISNUMBER(Table1[[#This Row],[Column4]]),Table1[[#This Row],[Column4]],Table1[[#This Row],[Column4]]="",I847*(1+Table1[[#This Row],[Ávöxtun]]))</f>
        <v>228.04774924511051</v>
      </c>
      <c r="L848" s="33">
        <v>206.08102488009303</v>
      </c>
      <c r="M848" s="33">
        <v>245.62260537827527</v>
      </c>
    </row>
    <row r="849" spans="1:13">
      <c r="A849" t="s">
        <v>127</v>
      </c>
      <c r="B849">
        <v>2017</v>
      </c>
      <c r="C849" s="16">
        <v>3.6000000000000004E-2</v>
      </c>
      <c r="D849" s="1">
        <v>68992090</v>
      </c>
      <c r="E849" s="29">
        <f>Table1[[#This Row],[Ávöxtun]]*Table1[[#This Row],[Eignir]]/SUMIFS(Table1[Eignir],Table1[Year],Table1[[#This Row],[Year]])</f>
        <v>6.9783918489037483E-4</v>
      </c>
      <c r="F849" s="23" t="e">
        <f>IF(B849=1997, 100, IF(COUNTIF(A$1:A848,A849)=0, "NEW", F848*(1+Table1[[#This Row],[Ávöxtun]])))</f>
        <v>#VALUE!</v>
      </c>
      <c r="G849" s="18" t="str" cm="1">
        <f t="array" ref="G849">IFERROR(_xlfn.IFS(ISNUMBER(Table1[[#This Row],[Column3]]),Table1[[#This Row],[Column3]],Table1[[#This Row],[Column3]]="NEW",Table1[[#This Row],[Column3]]),"")</f>
        <v/>
      </c>
      <c r="H849" s="15" cm="1">
        <f t="array" ref="H849">_xlfn.IFS(Table1[[#This Row],[Column4]]="NEW",AVERAGEIFS(Table1[Column4],Table1[Year],Table1[[#This Row],[Year]]),ISNUMBER(Table1[[#This Row],[Column4]]),Table1[[#This Row],[Column4]],Table1[[#This Row],[Column4]]="",H848*(1+Table1[[#This Row],[Ávöxtun]]))</f>
        <v>213.49994177577639</v>
      </c>
      <c r="I849" cm="1">
        <f t="array" ref="I849">_xlfn.IFS(Table1[[#This Row],[Column4]]="NEW",_xlfn.XLOOKUP(Table1[[#This Row],[Year]],$N$2:$N$27,$P$2:$P$27),ISNUMBER(Table1[[#This Row],[Column4]]),Table1[[#This Row],[Column4]],Table1[[#This Row],[Column4]]="",I848*(1+Table1[[#This Row],[Ávöxtun]]))</f>
        <v>236.2574682179345</v>
      </c>
      <c r="L849" s="33">
        <v>213.49994177577639</v>
      </c>
      <c r="M849" s="33">
        <v>254.46501917189318</v>
      </c>
    </row>
    <row r="850" spans="1:13">
      <c r="A850" t="s">
        <v>127</v>
      </c>
      <c r="B850">
        <v>2018</v>
      </c>
      <c r="C850" s="16">
        <v>1.1000000000000001E-2</v>
      </c>
      <c r="D850" s="1">
        <v>74497818</v>
      </c>
      <c r="E850" s="29">
        <f>Table1[[#This Row],[Ávöxtun]]*Table1[[#This Row],[Eignir]]/SUMIFS(Table1[Eignir],Table1[Year],Table1[[#This Row],[Year]])</f>
        <v>2.1461698842449342E-4</v>
      </c>
      <c r="F850" s="23" t="e">
        <f>IF(B850=1997, 100, IF(COUNTIF(A$1:A849,A850)=0, "NEW", F849*(1+Table1[[#This Row],[Ávöxtun]])))</f>
        <v>#VALUE!</v>
      </c>
      <c r="G850" s="18" t="str" cm="1">
        <f t="array" ref="G850">IFERROR(_xlfn.IFS(ISNUMBER(Table1[[#This Row],[Column3]]),Table1[[#This Row],[Column3]],Table1[[#This Row],[Column3]]="NEW",Table1[[#This Row],[Column3]]),"")</f>
        <v/>
      </c>
      <c r="H850" s="15" cm="1">
        <f t="array" ref="H850">_xlfn.IFS(Table1[[#This Row],[Column4]]="NEW",AVERAGEIFS(Table1[Column4],Table1[Year],Table1[[#This Row],[Year]]),ISNUMBER(Table1[[#This Row],[Column4]]),Table1[[#This Row],[Column4]],Table1[[#This Row],[Column4]]="",H849*(1+Table1[[#This Row],[Ávöxtun]]))</f>
        <v>215.84844113530991</v>
      </c>
      <c r="I850" cm="1">
        <f t="array" ref="I850">_xlfn.IFS(Table1[[#This Row],[Column4]]="NEW",_xlfn.XLOOKUP(Table1[[#This Row],[Year]],$N$2:$N$27,$P$2:$P$27),ISNUMBER(Table1[[#This Row],[Column4]]),Table1[[#This Row],[Column4]],Table1[[#This Row],[Column4]]="",I849*(1+Table1[[#This Row],[Ávöxtun]]))</f>
        <v>238.85630036833174</v>
      </c>
      <c r="L850" s="33">
        <v>215.84844113530991</v>
      </c>
      <c r="M850" s="33">
        <v>257.26413438278399</v>
      </c>
    </row>
    <row r="851" spans="1:13">
      <c r="A851" t="s">
        <v>127</v>
      </c>
      <c r="B851">
        <v>2019</v>
      </c>
      <c r="C851" s="16">
        <v>0.09</v>
      </c>
      <c r="D851" s="1">
        <v>86144500</v>
      </c>
      <c r="E851" s="29">
        <f>Table1[[#This Row],[Ávöxtun]]*Table1[[#This Row],[Eignir]]/SUMIFS(Table1[Eignir],Table1[Year],Table1[[#This Row],[Year]])</f>
        <v>1.7513478129596092E-3</v>
      </c>
      <c r="F851" s="23" t="e">
        <f>IF(B851=1997, 100, IF(COUNTIF(A$1:A850,A851)=0, "NEW", F850*(1+Table1[[#This Row],[Ávöxtun]])))</f>
        <v>#VALUE!</v>
      </c>
      <c r="G851" s="18" t="str" cm="1">
        <f t="array" ref="G851">IFERROR(_xlfn.IFS(ISNUMBER(Table1[[#This Row],[Column3]]),Table1[[#This Row],[Column3]],Table1[[#This Row],[Column3]]="NEW",Table1[[#This Row],[Column3]]),"")</f>
        <v/>
      </c>
      <c r="H851" s="15" cm="1">
        <f t="array" ref="H851">_xlfn.IFS(Table1[[#This Row],[Column4]]="NEW",AVERAGEIFS(Table1[Column4],Table1[Year],Table1[[#This Row],[Year]]),ISNUMBER(Table1[[#This Row],[Column4]]),Table1[[#This Row],[Column4]],Table1[[#This Row],[Column4]]="",H850*(1+Table1[[#This Row],[Ávöxtun]]))</f>
        <v>235.27480083748782</v>
      </c>
      <c r="I851" cm="1">
        <f t="array" ref="I851">_xlfn.IFS(Table1[[#This Row],[Column4]]="NEW",_xlfn.XLOOKUP(Table1[[#This Row],[Year]],$N$2:$N$27,$P$2:$P$27),ISNUMBER(Table1[[#This Row],[Column4]]),Table1[[#This Row],[Column4]],Table1[[#This Row],[Column4]]="",I850*(1+Table1[[#This Row],[Ávöxtun]]))</f>
        <v>260.35336740148165</v>
      </c>
      <c r="L851" s="33">
        <v>235.27480083748782</v>
      </c>
      <c r="M851" s="33">
        <v>280.41790647723457</v>
      </c>
    </row>
    <row r="852" spans="1:13">
      <c r="A852" t="s">
        <v>127</v>
      </c>
      <c r="B852">
        <v>2020</v>
      </c>
      <c r="C852" s="16">
        <v>9.3000000000000013E-2</v>
      </c>
      <c r="D852" s="1">
        <v>100264199</v>
      </c>
      <c r="E852" s="29">
        <f>Table1[[#This Row],[Ávöxtun]]*Table1[[#This Row],[Eignir]]/SUMIFS(Table1[Eignir],Table1[Year],Table1[[#This Row],[Year]])</f>
        <v>1.8153147590826771E-3</v>
      </c>
      <c r="F852" s="23" t="e">
        <f>IF(B852=1997, 100, IF(COUNTIF(A$1:A851,A852)=0, "NEW", F851*(1+Table1[[#This Row],[Ávöxtun]])))</f>
        <v>#VALUE!</v>
      </c>
      <c r="G852" s="18" t="str" cm="1">
        <f t="array" ref="G852">IFERROR(_xlfn.IFS(ISNUMBER(Table1[[#This Row],[Column3]]),Table1[[#This Row],[Column3]],Table1[[#This Row],[Column3]]="NEW",Table1[[#This Row],[Column3]]),"")</f>
        <v/>
      </c>
      <c r="H852" s="15" cm="1">
        <f t="array" ref="H852">_xlfn.IFS(Table1[[#This Row],[Column4]]="NEW",AVERAGEIFS(Table1[Column4],Table1[Year],Table1[[#This Row],[Year]]),ISNUMBER(Table1[[#This Row],[Column4]]),Table1[[#This Row],[Column4]],Table1[[#This Row],[Column4]]="",H851*(1+Table1[[#This Row],[Ávöxtun]]))</f>
        <v>257.1553573153742</v>
      </c>
      <c r="I852" cm="1">
        <f t="array" ref="I852">_xlfn.IFS(Table1[[#This Row],[Column4]]="NEW",_xlfn.XLOOKUP(Table1[[#This Row],[Year]],$N$2:$N$27,$P$2:$P$27),ISNUMBER(Table1[[#This Row],[Column4]]),Table1[[#This Row],[Column4]],Table1[[#This Row],[Column4]]="",I851*(1+Table1[[#This Row],[Ávöxtun]]))</f>
        <v>284.56623056981942</v>
      </c>
      <c r="L852" s="33">
        <v>257.1553573153742</v>
      </c>
      <c r="M852" s="33">
        <v>306.49677177961735</v>
      </c>
    </row>
    <row r="853" spans="1:13">
      <c r="A853" t="s">
        <v>127</v>
      </c>
      <c r="B853">
        <v>2021</v>
      </c>
      <c r="C853" s="16">
        <v>0.11900000000000001</v>
      </c>
      <c r="D853" s="1">
        <v>121181205</v>
      </c>
      <c r="E853" s="29">
        <f>Table1[[#This Row],[Ávöxtun]]*Table1[[#This Row],[Eignir]]/SUMIFS(Table1[Eignir],Table1[Year],Table1[[#This Row],[Year]])</f>
        <v>2.3877088607857128E-3</v>
      </c>
      <c r="F853" s="23" t="e">
        <f>IF(B853=1997, 100, IF(COUNTIF(A$1:A852,A853)=0, "NEW", F852*(1+Table1[[#This Row],[Ávöxtun]])))</f>
        <v>#VALUE!</v>
      </c>
      <c r="G853" s="18" t="str" cm="1">
        <f t="array" ref="G853">IFERROR(_xlfn.IFS(ISNUMBER(Table1[[#This Row],[Column3]]),Table1[[#This Row],[Column3]],Table1[[#This Row],[Column3]]="NEW",Table1[[#This Row],[Column3]]),"")</f>
        <v/>
      </c>
      <c r="H853" s="15" cm="1">
        <f t="array" ref="H853">_xlfn.IFS(Table1[[#This Row],[Column4]]="NEW",AVERAGEIFS(Table1[Column4],Table1[Year],Table1[[#This Row],[Year]]),ISNUMBER(Table1[[#This Row],[Column4]]),Table1[[#This Row],[Column4]],Table1[[#This Row],[Column4]]="",H852*(1+Table1[[#This Row],[Ávöxtun]]))</f>
        <v>287.75684483590373</v>
      </c>
      <c r="I853" cm="1">
        <f t="array" ref="I853">_xlfn.IFS(Table1[[#This Row],[Column4]]="NEW",_xlfn.XLOOKUP(Table1[[#This Row],[Year]],$N$2:$N$27,$P$2:$P$27),ISNUMBER(Table1[[#This Row],[Column4]]),Table1[[#This Row],[Column4]],Table1[[#This Row],[Column4]]="",I852*(1+Table1[[#This Row],[Ávöxtun]]))</f>
        <v>318.42961200762795</v>
      </c>
      <c r="L853" s="33">
        <v>287.75684483590373</v>
      </c>
      <c r="M853" s="33">
        <v>342.96988762139182</v>
      </c>
    </row>
    <row r="854" spans="1:13">
      <c r="A854" t="s">
        <v>128</v>
      </c>
      <c r="B854">
        <v>1997</v>
      </c>
      <c r="C854" s="16">
        <v>0.08</v>
      </c>
      <c r="D854" s="1">
        <v>27655597.260000002</v>
      </c>
      <c r="E854" s="29">
        <f>Table1[[#This Row],[Ávöxtun]]*Table1[[#This Row],[Eignir]]/SUMIFS(Table1[Eignir],Table1[Year],Table1[[#This Row],[Year]])</f>
        <v>6.5259067961071842E-3</v>
      </c>
      <c r="F854" s="23">
        <f>IF(B854=1997, 100, IF(COUNTIF(A$1:A853,A854)=0, "NEW", F853*(1+Table1[[#This Row],[Ávöxtun]])))</f>
        <v>100</v>
      </c>
      <c r="G854" s="18" cm="1">
        <f t="array" ref="G854">IFERROR(_xlfn.IFS(ISNUMBER(Table1[[#This Row],[Column3]]),Table1[[#This Row],[Column3]],Table1[[#This Row],[Column3]]="NEW",Table1[[#This Row],[Column3]]),"")</f>
        <v>100</v>
      </c>
      <c r="H854" s="15" cm="1">
        <f t="array" ref="H854">_xlfn.IFS(Table1[[#This Row],[Column4]]="NEW",AVERAGEIFS(Table1[Column4],Table1[Year],Table1[[#This Row],[Year]]),ISNUMBER(Table1[[#This Row],[Column4]]),Table1[[#This Row],[Column4]],Table1[[#This Row],[Column4]]="",H853*(1+Table1[[#This Row],[Ávöxtun]]))</f>
        <v>100</v>
      </c>
      <c r="I854" cm="1">
        <f t="array" ref="I854">_xlfn.IFS(Table1[[#This Row],[Column4]]="NEW",_xlfn.XLOOKUP(Table1[[#This Row],[Year]],$N$2:$N$27,$P$2:$P$27),ISNUMBER(Table1[[#This Row],[Column4]]),Table1[[#This Row],[Column4]],Table1[[#This Row],[Column4]]="",I853*(1+Table1[[#This Row],[Ávöxtun]]))</f>
        <v>100</v>
      </c>
      <c r="L854" s="33">
        <v>100</v>
      </c>
      <c r="M854" s="33">
        <v>100</v>
      </c>
    </row>
    <row r="855" spans="1:13">
      <c r="A855" t="s">
        <v>128</v>
      </c>
      <c r="B855">
        <v>1998</v>
      </c>
      <c r="C855" s="16">
        <v>7.0000000000000007E-2</v>
      </c>
      <c r="D855" s="1">
        <v>30852400.739999998</v>
      </c>
      <c r="E855" s="29">
        <f>Table1[[#This Row],[Ávöxtun]]*Table1[[#This Row],[Eignir]]/SUMIFS(Table1[Eignir],Table1[Year],Table1[[#This Row],[Year]])</f>
        <v>5.5144931979585667E-3</v>
      </c>
      <c r="F855" s="23">
        <f>IF(B855=1997, 100, IF(COUNTIF(A$1:A854,A855)=0, "NEW", F854*(1+Table1[[#This Row],[Ávöxtun]])))</f>
        <v>107</v>
      </c>
      <c r="G855" s="18" cm="1">
        <f t="array" ref="G855">IFERROR(_xlfn.IFS(ISNUMBER(Table1[[#This Row],[Column3]]),Table1[[#This Row],[Column3]],Table1[[#This Row],[Column3]]="NEW",Table1[[#This Row],[Column3]]),"")</f>
        <v>107</v>
      </c>
      <c r="H855" s="15" cm="1">
        <f t="array" ref="H855">_xlfn.IFS(Table1[[#This Row],[Column4]]="NEW",AVERAGEIFS(Table1[Column4],Table1[Year],Table1[[#This Row],[Year]]),ISNUMBER(Table1[[#This Row],[Column4]]),Table1[[#This Row],[Column4]],Table1[[#This Row],[Column4]]="",H854*(1+Table1[[#This Row],[Ávöxtun]]))</f>
        <v>107</v>
      </c>
      <c r="I855" cm="1">
        <f t="array" ref="I855">_xlfn.IFS(Table1[[#This Row],[Column4]]="NEW",_xlfn.XLOOKUP(Table1[[#This Row],[Year]],$N$2:$N$27,$P$2:$P$27),ISNUMBER(Table1[[#This Row],[Column4]]),Table1[[#This Row],[Column4]],Table1[[#This Row],[Column4]]="",I854*(1+Table1[[#This Row],[Ávöxtun]]))</f>
        <v>107</v>
      </c>
      <c r="L855" s="33">
        <v>107</v>
      </c>
      <c r="M855" s="33">
        <v>107</v>
      </c>
    </row>
    <row r="856" spans="1:13">
      <c r="A856" t="s">
        <v>128</v>
      </c>
      <c r="B856">
        <v>1999</v>
      </c>
      <c r="C856" s="16">
        <v>0.18</v>
      </c>
      <c r="D856" s="1">
        <v>39575584.240000002</v>
      </c>
      <c r="E856" s="29">
        <f>Table1[[#This Row],[Ávöxtun]]*Table1[[#This Row],[Eignir]]/SUMIFS(Table1[Eignir],Table1[Year],Table1[[#This Row],[Year]])</f>
        <v>1.3680385803017402E-2</v>
      </c>
      <c r="F856" s="23">
        <f>IF(B856=1997, 100, IF(COUNTIF(A$1:A855,A856)=0, "NEW", F855*(1+Table1[[#This Row],[Ávöxtun]])))</f>
        <v>126.25999999999999</v>
      </c>
      <c r="G856" s="18" cm="1">
        <f t="array" ref="G856">IFERROR(_xlfn.IFS(ISNUMBER(Table1[[#This Row],[Column3]]),Table1[[#This Row],[Column3]],Table1[[#This Row],[Column3]]="NEW",Table1[[#This Row],[Column3]]),"")</f>
        <v>126.25999999999999</v>
      </c>
      <c r="H856" s="15" cm="1">
        <f t="array" ref="H856">_xlfn.IFS(Table1[[#This Row],[Column4]]="NEW",AVERAGEIFS(Table1[Column4],Table1[Year],Table1[[#This Row],[Year]]),ISNUMBER(Table1[[#This Row],[Column4]]),Table1[[#This Row],[Column4]],Table1[[#This Row],[Column4]]="",H855*(1+Table1[[#This Row],[Ávöxtun]]))</f>
        <v>126.25999999999999</v>
      </c>
      <c r="I856" cm="1">
        <f t="array" ref="I856">_xlfn.IFS(Table1[[#This Row],[Column4]]="NEW",_xlfn.XLOOKUP(Table1[[#This Row],[Year]],$N$2:$N$27,$P$2:$P$27),ISNUMBER(Table1[[#This Row],[Column4]]),Table1[[#This Row],[Column4]],Table1[[#This Row],[Column4]]="",I855*(1+Table1[[#This Row],[Ávöxtun]]))</f>
        <v>126.25999999999999</v>
      </c>
      <c r="L856" s="33">
        <v>126.25999999999999</v>
      </c>
      <c r="M856" s="33">
        <v>126.25999999999999</v>
      </c>
    </row>
    <row r="857" spans="1:13">
      <c r="A857" t="s">
        <v>128</v>
      </c>
      <c r="B857">
        <v>2000</v>
      </c>
      <c r="C857" s="16">
        <v>0</v>
      </c>
      <c r="D857" s="1">
        <v>84304757</v>
      </c>
      <c r="E857" s="29">
        <f>Table1[[#This Row],[Ávöxtun]]*Table1[[#This Row],[Eignir]]/SUMIFS(Table1[Eignir],Table1[Year],Table1[[#This Row],[Year]])</f>
        <v>0</v>
      </c>
      <c r="F857" s="23">
        <f>IF(B857=1997, 100, IF(COUNTIF(A$1:A856,A857)=0, "NEW", F856*(1+Table1[[#This Row],[Ávöxtun]])))</f>
        <v>126.25999999999999</v>
      </c>
      <c r="G857" s="18" cm="1">
        <f t="array" ref="G857">IFERROR(_xlfn.IFS(ISNUMBER(Table1[[#This Row],[Column3]]),Table1[[#This Row],[Column3]],Table1[[#This Row],[Column3]]="NEW",Table1[[#This Row],[Column3]]),"")</f>
        <v>126.25999999999999</v>
      </c>
      <c r="H857" s="15" cm="1">
        <f t="array" ref="H857">_xlfn.IFS(Table1[[#This Row],[Column4]]="NEW",AVERAGEIFS(Table1[Column4],Table1[Year],Table1[[#This Row],[Year]]),ISNUMBER(Table1[[#This Row],[Column4]]),Table1[[#This Row],[Column4]],Table1[[#This Row],[Column4]]="",H856*(1+Table1[[#This Row],[Ávöxtun]]))</f>
        <v>126.25999999999999</v>
      </c>
      <c r="I857" cm="1">
        <f t="array" ref="I857">_xlfn.IFS(Table1[[#This Row],[Column4]]="NEW",_xlfn.XLOOKUP(Table1[[#This Row],[Year]],$N$2:$N$27,$P$2:$P$27),ISNUMBER(Table1[[#This Row],[Column4]]),Table1[[#This Row],[Column4]],Table1[[#This Row],[Column4]]="",I856*(1+Table1[[#This Row],[Ávöxtun]]))</f>
        <v>126.25999999999999</v>
      </c>
      <c r="L857" s="33">
        <v>126.25999999999999</v>
      </c>
      <c r="M857" s="33">
        <v>126.25999999999999</v>
      </c>
    </row>
    <row r="858" spans="1:13">
      <c r="A858" t="s">
        <v>128</v>
      </c>
      <c r="B858">
        <v>2001</v>
      </c>
      <c r="C858" s="16">
        <v>-0.06</v>
      </c>
      <c r="D858" s="1">
        <v>91947107</v>
      </c>
      <c r="E858" s="29">
        <f>Table1[[#This Row],[Ávöxtun]]*Table1[[#This Row],[Eignir]]/SUMIFS(Table1[Eignir],Table1[Year],Table1[[#This Row],[Year]])</f>
        <v>-4.7644455529526767E-3</v>
      </c>
      <c r="F858" s="23">
        <f>IF(B858=1997, 100, IF(COUNTIF(A$1:A857,A858)=0, "NEW", F857*(1+Table1[[#This Row],[Ávöxtun]])))</f>
        <v>118.68439999999998</v>
      </c>
      <c r="G858" s="18" cm="1">
        <f t="array" ref="G858">IFERROR(_xlfn.IFS(ISNUMBER(Table1[[#This Row],[Column3]]),Table1[[#This Row],[Column3]],Table1[[#This Row],[Column3]]="NEW",Table1[[#This Row],[Column3]]),"")</f>
        <v>118.68439999999998</v>
      </c>
      <c r="H858" s="15" cm="1">
        <f t="array" ref="H858">_xlfn.IFS(Table1[[#This Row],[Column4]]="NEW",AVERAGEIFS(Table1[Column4],Table1[Year],Table1[[#This Row],[Year]]),ISNUMBER(Table1[[#This Row],[Column4]]),Table1[[#This Row],[Column4]],Table1[[#This Row],[Column4]]="",H857*(1+Table1[[#This Row],[Ávöxtun]]))</f>
        <v>118.68439999999998</v>
      </c>
      <c r="I858" cm="1">
        <f t="array" ref="I858">_xlfn.IFS(Table1[[#This Row],[Column4]]="NEW",_xlfn.XLOOKUP(Table1[[#This Row],[Year]],$N$2:$N$27,$P$2:$P$27),ISNUMBER(Table1[[#This Row],[Column4]]),Table1[[#This Row],[Column4]],Table1[[#This Row],[Column4]]="",I857*(1+Table1[[#This Row],[Ávöxtun]]))</f>
        <v>118.68439999999998</v>
      </c>
      <c r="L858" s="33">
        <v>118.68439999999998</v>
      </c>
      <c r="M858" s="33">
        <v>118.68439999999998</v>
      </c>
    </row>
    <row r="859" spans="1:13">
      <c r="A859" t="s">
        <v>128</v>
      </c>
      <c r="B859">
        <v>2002</v>
      </c>
      <c r="C859" s="16">
        <v>-0.19</v>
      </c>
      <c r="D859" s="1">
        <v>49481358</v>
      </c>
      <c r="E859" s="29">
        <f>Table1[[#This Row],[Ávöxtun]]*Table1[[#This Row],[Eignir]]/SUMIFS(Table1[Eignir],Table1[Year],Table1[[#This Row],[Year]])</f>
        <v>-1.480161929945094E-2</v>
      </c>
      <c r="F859" s="23">
        <f>IF(B859=1997, 100, IF(COUNTIF(A$1:A858,A859)=0, "NEW", F858*(1+Table1[[#This Row],[Ávöxtun]])))</f>
        <v>96.134363999999991</v>
      </c>
      <c r="G859" s="18" cm="1">
        <f t="array" ref="G859">IFERROR(_xlfn.IFS(ISNUMBER(Table1[[#This Row],[Column3]]),Table1[[#This Row],[Column3]],Table1[[#This Row],[Column3]]="NEW",Table1[[#This Row],[Column3]]),"")</f>
        <v>96.134363999999991</v>
      </c>
      <c r="H859" s="15" cm="1">
        <f t="array" ref="H859">_xlfn.IFS(Table1[[#This Row],[Column4]]="NEW",AVERAGEIFS(Table1[Column4],Table1[Year],Table1[[#This Row],[Year]]),ISNUMBER(Table1[[#This Row],[Column4]]),Table1[[#This Row],[Column4]],Table1[[#This Row],[Column4]]="",H858*(1+Table1[[#This Row],[Ávöxtun]]))</f>
        <v>96.134363999999991</v>
      </c>
      <c r="I859" cm="1">
        <f t="array" ref="I859">_xlfn.IFS(Table1[[#This Row],[Column4]]="NEW",_xlfn.XLOOKUP(Table1[[#This Row],[Year]],$N$2:$N$27,$P$2:$P$27),ISNUMBER(Table1[[#This Row],[Column4]]),Table1[[#This Row],[Column4]],Table1[[#This Row],[Column4]]="",I858*(1+Table1[[#This Row],[Ávöxtun]]))</f>
        <v>96.134363999999991</v>
      </c>
      <c r="L859" s="33">
        <v>96.134363999999991</v>
      </c>
      <c r="M859" s="33">
        <v>96.134363999999991</v>
      </c>
    </row>
    <row r="860" spans="1:13">
      <c r="A860" t="s">
        <v>128</v>
      </c>
      <c r="B860">
        <v>2003</v>
      </c>
      <c r="C860" s="16">
        <v>0.14000000000000001</v>
      </c>
      <c r="D860" s="1">
        <v>52130044</v>
      </c>
      <c r="E860" s="29">
        <f>Table1[[#This Row],[Ávöxtun]]*Table1[[#This Row],[Eignir]]/SUMIFS(Table1[Eignir],Table1[Year],Table1[[#This Row],[Year]])</f>
        <v>9.604275307326722E-3</v>
      </c>
      <c r="F860" s="23">
        <f>IF(B860=1997, 100, IF(COUNTIF(A$1:A859,A860)=0, "NEW", F859*(1+Table1[[#This Row],[Ávöxtun]])))</f>
        <v>109.59317496</v>
      </c>
      <c r="G860" s="18" cm="1">
        <f t="array" ref="G860">IFERROR(_xlfn.IFS(ISNUMBER(Table1[[#This Row],[Column3]]),Table1[[#This Row],[Column3]],Table1[[#This Row],[Column3]]="NEW",Table1[[#This Row],[Column3]]),"")</f>
        <v>109.59317496</v>
      </c>
      <c r="H860" s="15" cm="1">
        <f t="array" ref="H860">_xlfn.IFS(Table1[[#This Row],[Column4]]="NEW",AVERAGEIFS(Table1[Column4],Table1[Year],Table1[[#This Row],[Year]]),ISNUMBER(Table1[[#This Row],[Column4]]),Table1[[#This Row],[Column4]],Table1[[#This Row],[Column4]]="",H859*(1+Table1[[#This Row],[Ávöxtun]]))</f>
        <v>109.59317496</v>
      </c>
      <c r="I860" cm="1">
        <f t="array" ref="I860">_xlfn.IFS(Table1[[#This Row],[Column4]]="NEW",_xlfn.XLOOKUP(Table1[[#This Row],[Year]],$N$2:$N$27,$P$2:$P$27),ISNUMBER(Table1[[#This Row],[Column4]]),Table1[[#This Row],[Column4]],Table1[[#This Row],[Column4]]="",I859*(1+Table1[[#This Row],[Ávöxtun]]))</f>
        <v>109.59317496</v>
      </c>
      <c r="L860" s="33">
        <v>109.59317496</v>
      </c>
      <c r="M860" s="33">
        <v>109.59317496</v>
      </c>
    </row>
    <row r="861" spans="1:13">
      <c r="A861" t="s">
        <v>128</v>
      </c>
      <c r="B861">
        <v>2004</v>
      </c>
      <c r="C861" s="16">
        <v>0.13</v>
      </c>
      <c r="D861" s="1">
        <v>59645759</v>
      </c>
      <c r="E861" s="29">
        <f>Table1[[#This Row],[Ávöxtun]]*Table1[[#This Row],[Eignir]]/SUMIFS(Table1[Eignir],Table1[Year],Table1[[#This Row],[Year]])</f>
        <v>8.5426917698701171E-3</v>
      </c>
      <c r="F861" s="23">
        <f>IF(B861=1997, 100, IF(COUNTIF(A$1:A860,A861)=0, "NEW", F860*(1+Table1[[#This Row],[Ávöxtun]])))</f>
        <v>123.84028770479999</v>
      </c>
      <c r="G861" s="18" cm="1">
        <f t="array" ref="G861">IFERROR(_xlfn.IFS(ISNUMBER(Table1[[#This Row],[Column3]]),Table1[[#This Row],[Column3]],Table1[[#This Row],[Column3]]="NEW",Table1[[#This Row],[Column3]]),"")</f>
        <v>123.84028770479999</v>
      </c>
      <c r="H861" s="15" cm="1">
        <f t="array" ref="H861">_xlfn.IFS(Table1[[#This Row],[Column4]]="NEW",AVERAGEIFS(Table1[Column4],Table1[Year],Table1[[#This Row],[Year]]),ISNUMBER(Table1[[#This Row],[Column4]]),Table1[[#This Row],[Column4]],Table1[[#This Row],[Column4]]="",H860*(1+Table1[[#This Row],[Ávöxtun]]))</f>
        <v>123.84028770479999</v>
      </c>
      <c r="I861" cm="1">
        <f t="array" ref="I861">_xlfn.IFS(Table1[[#This Row],[Column4]]="NEW",_xlfn.XLOOKUP(Table1[[#This Row],[Year]],$N$2:$N$27,$P$2:$P$27),ISNUMBER(Table1[[#This Row],[Column4]]),Table1[[#This Row],[Column4]],Table1[[#This Row],[Column4]]="",I860*(1+Table1[[#This Row],[Ávöxtun]]))</f>
        <v>123.84028770479999</v>
      </c>
      <c r="L861" s="33">
        <v>123.84028770479999</v>
      </c>
      <c r="M861" s="33">
        <v>123.84028770479999</v>
      </c>
    </row>
    <row r="862" spans="1:13">
      <c r="A862" t="s">
        <v>128</v>
      </c>
      <c r="B862">
        <v>2005</v>
      </c>
      <c r="C862" s="16">
        <v>0.24</v>
      </c>
      <c r="D862" s="1">
        <v>73356549</v>
      </c>
      <c r="E862" s="29">
        <f>Table1[[#This Row],[Ávöxtun]]*Table1[[#This Row],[Eignir]]/SUMIFS(Table1[Eignir],Table1[Year],Table1[[#This Row],[Year]])</f>
        <v>1.5700507631446963E-2</v>
      </c>
      <c r="F862" s="23">
        <f>IF(B862=1997, 100, IF(COUNTIF(A$1:A861,A862)=0, "NEW", F861*(1+Table1[[#This Row],[Ávöxtun]])))</f>
        <v>153.56195675395199</v>
      </c>
      <c r="G862" s="18" cm="1">
        <f t="array" ref="G862">IFERROR(_xlfn.IFS(ISNUMBER(Table1[[#This Row],[Column3]]),Table1[[#This Row],[Column3]],Table1[[#This Row],[Column3]]="NEW",Table1[[#This Row],[Column3]]),"")</f>
        <v>153.56195675395199</v>
      </c>
      <c r="H862" s="15" cm="1">
        <f t="array" ref="H862">_xlfn.IFS(Table1[[#This Row],[Column4]]="NEW",AVERAGEIFS(Table1[Column4],Table1[Year],Table1[[#This Row],[Year]]),ISNUMBER(Table1[[#This Row],[Column4]]),Table1[[#This Row],[Column4]],Table1[[#This Row],[Column4]]="",H861*(1+Table1[[#This Row],[Ávöxtun]]))</f>
        <v>153.56195675395199</v>
      </c>
      <c r="I862" cm="1">
        <f t="array" ref="I862">_xlfn.IFS(Table1[[#This Row],[Column4]]="NEW",_xlfn.XLOOKUP(Table1[[#This Row],[Year]],$N$2:$N$27,$P$2:$P$27),ISNUMBER(Table1[[#This Row],[Column4]]),Table1[[#This Row],[Column4]],Table1[[#This Row],[Column4]]="",I861*(1+Table1[[#This Row],[Ávöxtun]]))</f>
        <v>153.56195675395199</v>
      </c>
      <c r="L862" s="33">
        <v>153.56195675395199</v>
      </c>
      <c r="M862" s="33">
        <v>153.56195675395199</v>
      </c>
    </row>
    <row r="863" spans="1:13">
      <c r="A863" t="s">
        <v>128</v>
      </c>
      <c r="B863">
        <v>2006</v>
      </c>
      <c r="C863" s="16">
        <v>0.23570000000000002</v>
      </c>
      <c r="D863" s="1">
        <v>92240401</v>
      </c>
      <c r="E863" s="29">
        <f>Table1[[#This Row],[Ávöxtun]]*Table1[[#This Row],[Eignir]]/SUMIFS(Table1[Eignir],Table1[Year],Table1[[#This Row],[Year]])</f>
        <v>1.5838455846495535E-2</v>
      </c>
      <c r="F863" s="23">
        <f>IF(B863=1997, 100, IF(COUNTIF(A$1:A862,A863)=0, "NEW", F862*(1+Table1[[#This Row],[Ávöxtun]])))</f>
        <v>189.75650996085847</v>
      </c>
      <c r="G863" s="18" cm="1">
        <f t="array" ref="G863">IFERROR(_xlfn.IFS(ISNUMBER(Table1[[#This Row],[Column3]]),Table1[[#This Row],[Column3]],Table1[[#This Row],[Column3]]="NEW",Table1[[#This Row],[Column3]]),"")</f>
        <v>189.75650996085847</v>
      </c>
      <c r="H863" s="15" cm="1">
        <f t="array" ref="H863">_xlfn.IFS(Table1[[#This Row],[Column4]]="NEW",AVERAGEIFS(Table1[Column4],Table1[Year],Table1[[#This Row],[Year]]),ISNUMBER(Table1[[#This Row],[Column4]]),Table1[[#This Row],[Column4]],Table1[[#This Row],[Column4]]="",H862*(1+Table1[[#This Row],[Ávöxtun]]))</f>
        <v>189.75650996085847</v>
      </c>
      <c r="I863" cm="1">
        <f t="array" ref="I863">_xlfn.IFS(Table1[[#This Row],[Column4]]="NEW",_xlfn.XLOOKUP(Table1[[#This Row],[Year]],$N$2:$N$27,$P$2:$P$27),ISNUMBER(Table1[[#This Row],[Column4]]),Table1[[#This Row],[Column4]],Table1[[#This Row],[Column4]]="",I862*(1+Table1[[#This Row],[Ávöxtun]]))</f>
        <v>189.75650996085847</v>
      </c>
      <c r="L863" s="33">
        <v>189.75650996085847</v>
      </c>
      <c r="M863" s="33">
        <v>189.75650996085847</v>
      </c>
    </row>
    <row r="864" spans="1:13">
      <c r="A864" t="s">
        <v>128</v>
      </c>
      <c r="B864">
        <v>2007</v>
      </c>
      <c r="C864" s="16">
        <v>0</v>
      </c>
      <c r="D864" s="1">
        <v>103083102</v>
      </c>
      <c r="E864" s="29">
        <f>Table1[[#This Row],[Ávöxtun]]*Table1[[#This Row],[Eignir]]/SUMIFS(Table1[Eignir],Table1[Year],Table1[[#This Row],[Year]])</f>
        <v>0</v>
      </c>
      <c r="F864" s="23">
        <f>IF(B864=1997, 100, IF(COUNTIF(A$1:A863,A864)=0, "NEW", F863*(1+Table1[[#This Row],[Ávöxtun]])))</f>
        <v>189.75650996085847</v>
      </c>
      <c r="G864" s="18" cm="1">
        <f t="array" ref="G864">IFERROR(_xlfn.IFS(ISNUMBER(Table1[[#This Row],[Column3]]),Table1[[#This Row],[Column3]],Table1[[#This Row],[Column3]]="NEW",Table1[[#This Row],[Column3]]),"")</f>
        <v>189.75650996085847</v>
      </c>
      <c r="H864" s="15" cm="1">
        <f t="array" ref="H864">_xlfn.IFS(Table1[[#This Row],[Column4]]="NEW",AVERAGEIFS(Table1[Column4],Table1[Year],Table1[[#This Row],[Year]]),ISNUMBER(Table1[[#This Row],[Column4]]),Table1[[#This Row],[Column4]],Table1[[#This Row],[Column4]]="",H863*(1+Table1[[#This Row],[Ávöxtun]]))</f>
        <v>189.75650996085847</v>
      </c>
      <c r="I864" cm="1">
        <f t="array" ref="I864">_xlfn.IFS(Table1[[#This Row],[Column4]]="NEW",_xlfn.XLOOKUP(Table1[[#This Row],[Year]],$N$2:$N$27,$P$2:$P$27),ISNUMBER(Table1[[#This Row],[Column4]]),Table1[[#This Row],[Column4]],Table1[[#This Row],[Column4]]="",I863*(1+Table1[[#This Row],[Ávöxtun]]))</f>
        <v>189.75650996085847</v>
      </c>
      <c r="L864" s="33">
        <v>189.75650996085847</v>
      </c>
      <c r="M864" s="33">
        <v>189.75650996085847</v>
      </c>
    </row>
    <row r="865" spans="1:13">
      <c r="A865" t="s">
        <v>128</v>
      </c>
      <c r="B865">
        <v>2008</v>
      </c>
      <c r="C865" s="16">
        <v>-0.22500000000000001</v>
      </c>
      <c r="D865" s="1">
        <v>89813906</v>
      </c>
      <c r="E865" s="29">
        <f>Table1[[#This Row],[Ávöxtun]]*Table1[[#This Row],[Eignir]]/SUMIFS(Table1[Eignir],Table1[Year],Table1[[#This Row],[Year]])</f>
        <v>-1.3496218019571906E-2</v>
      </c>
      <c r="F865" s="23">
        <f>IF(B865=1997, 100, IF(COUNTIF(A$1:A864,A865)=0, "NEW", F864*(1+Table1[[#This Row],[Ávöxtun]])))</f>
        <v>147.06129521966531</v>
      </c>
      <c r="G865" s="18" cm="1">
        <f t="array" ref="G865">IFERROR(_xlfn.IFS(ISNUMBER(Table1[[#This Row],[Column3]]),Table1[[#This Row],[Column3]],Table1[[#This Row],[Column3]]="NEW",Table1[[#This Row],[Column3]]),"")</f>
        <v>147.06129521966531</v>
      </c>
      <c r="H865" s="15" cm="1">
        <f t="array" ref="H865">_xlfn.IFS(Table1[[#This Row],[Column4]]="NEW",AVERAGEIFS(Table1[Column4],Table1[Year],Table1[[#This Row],[Year]]),ISNUMBER(Table1[[#This Row],[Column4]]),Table1[[#This Row],[Column4]],Table1[[#This Row],[Column4]]="",H864*(1+Table1[[#This Row],[Ávöxtun]]))</f>
        <v>147.06129521966531</v>
      </c>
      <c r="I865" cm="1">
        <f t="array" ref="I865">_xlfn.IFS(Table1[[#This Row],[Column4]]="NEW",_xlfn.XLOOKUP(Table1[[#This Row],[Year]],$N$2:$N$27,$P$2:$P$27),ISNUMBER(Table1[[#This Row],[Column4]]),Table1[[#This Row],[Column4]],Table1[[#This Row],[Column4]]="",I864*(1+Table1[[#This Row],[Ávöxtun]]))</f>
        <v>147.06129521966531</v>
      </c>
      <c r="L865" s="33">
        <v>147.06129521966531</v>
      </c>
      <c r="M865" s="33">
        <v>147.06129521966531</v>
      </c>
    </row>
    <row r="866" spans="1:13">
      <c r="A866" t="s">
        <v>128</v>
      </c>
      <c r="B866">
        <v>2009</v>
      </c>
      <c r="C866" s="16">
        <v>-1.3999999999999999E-2</v>
      </c>
      <c r="D866" s="1">
        <v>97926232</v>
      </c>
      <c r="E866" s="29">
        <f>Table1[[#This Row],[Ávöxtun]]*Table1[[#This Row],[Eignir]]/SUMIFS(Table1[Eignir],Table1[Year],Table1[[#This Row],[Year]])</f>
        <v>-8.2179552240660523E-4</v>
      </c>
      <c r="F866" s="23">
        <f>IF(B866=1997, 100, IF(COUNTIF(A$1:A865,A866)=0, "NEW", F865*(1+Table1[[#This Row],[Ávöxtun]])))</f>
        <v>145.00243708658999</v>
      </c>
      <c r="G866" s="18" cm="1">
        <f t="array" ref="G866">IFERROR(_xlfn.IFS(ISNUMBER(Table1[[#This Row],[Column3]]),Table1[[#This Row],[Column3]],Table1[[#This Row],[Column3]]="NEW",Table1[[#This Row],[Column3]]),"")</f>
        <v>145.00243708658999</v>
      </c>
      <c r="H866" s="15" cm="1">
        <f t="array" ref="H866">_xlfn.IFS(Table1[[#This Row],[Column4]]="NEW",AVERAGEIFS(Table1[Column4],Table1[Year],Table1[[#This Row],[Year]]),ISNUMBER(Table1[[#This Row],[Column4]]),Table1[[#This Row],[Column4]],Table1[[#This Row],[Column4]]="",H865*(1+Table1[[#This Row],[Ávöxtun]]))</f>
        <v>145.00243708658999</v>
      </c>
      <c r="I866" cm="1">
        <f t="array" ref="I866">_xlfn.IFS(Table1[[#This Row],[Column4]]="NEW",_xlfn.XLOOKUP(Table1[[#This Row],[Year]],$N$2:$N$27,$P$2:$P$27),ISNUMBER(Table1[[#This Row],[Column4]]),Table1[[#This Row],[Column4]],Table1[[#This Row],[Column4]]="",I865*(1+Table1[[#This Row],[Ávöxtun]]))</f>
        <v>145.00243708658999</v>
      </c>
      <c r="L866" s="33">
        <v>145.00243708658999</v>
      </c>
      <c r="M866" s="33">
        <v>145.00243708658999</v>
      </c>
    </row>
    <row r="867" spans="1:13">
      <c r="A867" t="s">
        <v>128</v>
      </c>
      <c r="B867">
        <v>2010</v>
      </c>
      <c r="C867" s="16">
        <v>1.9599999999999999E-2</v>
      </c>
      <c r="D867" s="1">
        <v>104023968</v>
      </c>
      <c r="E867" s="29">
        <f>Table1[[#This Row],[Ávöxtun]]*Table1[[#This Row],[Eignir]]/SUMIFS(Table1[Eignir],Table1[Year],Table1[[#This Row],[Year]])</f>
        <v>1.1404436186948645E-3</v>
      </c>
      <c r="F867" s="23">
        <f>IF(B867=1997, 100, IF(COUNTIF(A$1:A866,A867)=0, "NEW", F866*(1+Table1[[#This Row],[Ávöxtun]])))</f>
        <v>147.84448485348716</v>
      </c>
      <c r="G867" s="18" cm="1">
        <f t="array" ref="G867">IFERROR(_xlfn.IFS(ISNUMBER(Table1[[#This Row],[Column3]]),Table1[[#This Row],[Column3]],Table1[[#This Row],[Column3]]="NEW",Table1[[#This Row],[Column3]]),"")</f>
        <v>147.84448485348716</v>
      </c>
      <c r="H867" s="15" cm="1">
        <f t="array" ref="H867">_xlfn.IFS(Table1[[#This Row],[Column4]]="NEW",AVERAGEIFS(Table1[Column4],Table1[Year],Table1[[#This Row],[Year]]),ISNUMBER(Table1[[#This Row],[Column4]]),Table1[[#This Row],[Column4]],Table1[[#This Row],[Column4]]="",H866*(1+Table1[[#This Row],[Ávöxtun]]))</f>
        <v>147.84448485348716</v>
      </c>
      <c r="I867" cm="1">
        <f t="array" ref="I867">_xlfn.IFS(Table1[[#This Row],[Column4]]="NEW",_xlfn.XLOOKUP(Table1[[#This Row],[Year]],$N$2:$N$27,$P$2:$P$27),ISNUMBER(Table1[[#This Row],[Column4]]),Table1[[#This Row],[Column4]],Table1[[#This Row],[Column4]]="",I866*(1+Table1[[#This Row],[Ávöxtun]]))</f>
        <v>147.84448485348716</v>
      </c>
      <c r="L867" s="33">
        <v>147.84448485348716</v>
      </c>
      <c r="M867" s="33">
        <v>147.84448485348716</v>
      </c>
    </row>
    <row r="868" spans="1:13">
      <c r="A868" t="s">
        <v>128</v>
      </c>
      <c r="B868">
        <v>2011</v>
      </c>
      <c r="C868" s="16">
        <v>1.9E-2</v>
      </c>
      <c r="D868" s="1">
        <v>113017939</v>
      </c>
      <c r="E868" s="29">
        <f>Table1[[#This Row],[Ávöxtun]]*Table1[[#This Row],[Eignir]]/SUMIFS(Table1[Eignir],Table1[Year],Table1[[#This Row],[Year]])</f>
        <v>1.1008849357252765E-3</v>
      </c>
      <c r="F868" s="23">
        <f>IF(B868=1997, 100, IF(COUNTIF(A$1:A867,A868)=0, "NEW", F867*(1+Table1[[#This Row],[Ávöxtun]])))</f>
        <v>150.65353006570339</v>
      </c>
      <c r="G868" s="18" cm="1">
        <f t="array" ref="G868">IFERROR(_xlfn.IFS(ISNUMBER(Table1[[#This Row],[Column3]]),Table1[[#This Row],[Column3]],Table1[[#This Row],[Column3]]="NEW",Table1[[#This Row],[Column3]]),"")</f>
        <v>150.65353006570339</v>
      </c>
      <c r="H868" s="15" cm="1">
        <f t="array" ref="H868">_xlfn.IFS(Table1[[#This Row],[Column4]]="NEW",AVERAGEIFS(Table1[Column4],Table1[Year],Table1[[#This Row],[Year]]),ISNUMBER(Table1[[#This Row],[Column4]]),Table1[[#This Row],[Column4]],Table1[[#This Row],[Column4]]="",H867*(1+Table1[[#This Row],[Ávöxtun]]))</f>
        <v>150.65353006570339</v>
      </c>
      <c r="I868" cm="1">
        <f t="array" ref="I868">_xlfn.IFS(Table1[[#This Row],[Column4]]="NEW",_xlfn.XLOOKUP(Table1[[#This Row],[Year]],$N$2:$N$27,$P$2:$P$27),ISNUMBER(Table1[[#This Row],[Column4]]),Table1[[#This Row],[Column4]],Table1[[#This Row],[Column4]]="",I867*(1+Table1[[#This Row],[Ávöxtun]]))</f>
        <v>150.65353006570339</v>
      </c>
      <c r="L868" s="33">
        <v>150.65353006570339</v>
      </c>
      <c r="M868" s="33">
        <v>150.65353006570339</v>
      </c>
    </row>
    <row r="869" spans="1:13">
      <c r="A869" t="s">
        <v>128</v>
      </c>
      <c r="B869">
        <v>2012</v>
      </c>
      <c r="C869" s="16">
        <v>8.5999999999999993E-2</v>
      </c>
      <c r="D869" s="1">
        <v>131306266</v>
      </c>
      <c r="E869" s="29">
        <f>Table1[[#This Row],[Ávöxtun]]*Table1[[#This Row],[Eignir]]/SUMIFS(Table1[Eignir],Table1[Year],Table1[[#This Row],[Year]])</f>
        <v>5.1262567738003632E-3</v>
      </c>
      <c r="F869" s="23">
        <f>IF(B869=1997, 100, IF(COUNTIF(A$1:A868,A869)=0, "NEW", F868*(1+Table1[[#This Row],[Ávöxtun]])))</f>
        <v>163.60973365135391</v>
      </c>
      <c r="G869" s="18" cm="1">
        <f t="array" ref="G869">IFERROR(_xlfn.IFS(ISNUMBER(Table1[[#This Row],[Column3]]),Table1[[#This Row],[Column3]],Table1[[#This Row],[Column3]]="NEW",Table1[[#This Row],[Column3]]),"")</f>
        <v>163.60973365135391</v>
      </c>
      <c r="H869" s="15" cm="1">
        <f t="array" ref="H869">_xlfn.IFS(Table1[[#This Row],[Column4]]="NEW",AVERAGEIFS(Table1[Column4],Table1[Year],Table1[[#This Row],[Year]]),ISNUMBER(Table1[[#This Row],[Column4]]),Table1[[#This Row],[Column4]],Table1[[#This Row],[Column4]]="",H868*(1+Table1[[#This Row],[Ávöxtun]]))</f>
        <v>163.60973365135391</v>
      </c>
      <c r="I869" cm="1">
        <f t="array" ref="I869">_xlfn.IFS(Table1[[#This Row],[Column4]]="NEW",_xlfn.XLOOKUP(Table1[[#This Row],[Year]],$N$2:$N$27,$P$2:$P$27),ISNUMBER(Table1[[#This Row],[Column4]]),Table1[[#This Row],[Column4]],Table1[[#This Row],[Column4]]="",I868*(1+Table1[[#This Row],[Ávöxtun]]))</f>
        <v>163.60973365135391</v>
      </c>
      <c r="L869" s="33">
        <v>163.60973365135391</v>
      </c>
      <c r="M869" s="33">
        <v>163.60973365135391</v>
      </c>
    </row>
    <row r="870" spans="1:13">
      <c r="A870" t="s">
        <v>128</v>
      </c>
      <c r="B870">
        <v>2013</v>
      </c>
      <c r="C870" s="16">
        <v>6.0999999999999999E-2</v>
      </c>
      <c r="D870" s="1">
        <v>143173472</v>
      </c>
      <c r="E870" s="29">
        <f>Table1[[#This Row],[Ávöxtun]]*Table1[[#This Row],[Eignir]]/SUMIFS(Table1[Eignir],Table1[Year],Table1[[#This Row],[Year]])</f>
        <v>3.5887800982704844E-3</v>
      </c>
      <c r="F870" s="23">
        <f>IF(B870=1997, 100, IF(COUNTIF(A$1:A869,A870)=0, "NEW", F869*(1+Table1[[#This Row],[Ávöxtun]])))</f>
        <v>173.5899274040865</v>
      </c>
      <c r="G870" s="18" cm="1">
        <f t="array" ref="G870">IFERROR(_xlfn.IFS(ISNUMBER(Table1[[#This Row],[Column3]]),Table1[[#This Row],[Column3]],Table1[[#This Row],[Column3]]="NEW",Table1[[#This Row],[Column3]]),"")</f>
        <v>173.5899274040865</v>
      </c>
      <c r="H870" s="15" cm="1">
        <f t="array" ref="H870">_xlfn.IFS(Table1[[#This Row],[Column4]]="NEW",AVERAGEIFS(Table1[Column4],Table1[Year],Table1[[#This Row],[Year]]),ISNUMBER(Table1[[#This Row],[Column4]]),Table1[[#This Row],[Column4]],Table1[[#This Row],[Column4]]="",H869*(1+Table1[[#This Row],[Ávöxtun]]))</f>
        <v>173.5899274040865</v>
      </c>
      <c r="I870" cm="1">
        <f t="array" ref="I870">_xlfn.IFS(Table1[[#This Row],[Column4]]="NEW",_xlfn.XLOOKUP(Table1[[#This Row],[Year]],$N$2:$N$27,$P$2:$P$27),ISNUMBER(Table1[[#This Row],[Column4]]),Table1[[#This Row],[Column4]],Table1[[#This Row],[Column4]]="",I869*(1+Table1[[#This Row],[Ávöxtun]]))</f>
        <v>173.5899274040865</v>
      </c>
      <c r="L870" s="33">
        <v>173.5899274040865</v>
      </c>
      <c r="M870" s="33">
        <v>173.5899274040865</v>
      </c>
    </row>
    <row r="871" spans="1:13">
      <c r="A871" t="s">
        <v>128</v>
      </c>
      <c r="B871">
        <v>2014</v>
      </c>
      <c r="C871" s="16">
        <v>6.3E-2</v>
      </c>
      <c r="D871" s="1">
        <v>152140551</v>
      </c>
      <c r="E871" s="29">
        <f>Table1[[#This Row],[Ávöxtun]]*Table1[[#This Row],[Eignir]]/SUMIFS(Table1[Eignir],Table1[Year],Table1[[#This Row],[Year]])</f>
        <v>3.6128111540156831E-3</v>
      </c>
      <c r="F871" s="23">
        <f>IF(B871=1997, 100, IF(COUNTIF(A$1:A870,A871)=0, "NEW", F870*(1+Table1[[#This Row],[Ávöxtun]])))</f>
        <v>184.52609283054394</v>
      </c>
      <c r="G871" s="18" cm="1">
        <f t="array" ref="G871">IFERROR(_xlfn.IFS(ISNUMBER(Table1[[#This Row],[Column3]]),Table1[[#This Row],[Column3]],Table1[[#This Row],[Column3]]="NEW",Table1[[#This Row],[Column3]]),"")</f>
        <v>184.52609283054394</v>
      </c>
      <c r="H871" s="15" cm="1">
        <f t="array" ref="H871">_xlfn.IFS(Table1[[#This Row],[Column4]]="NEW",AVERAGEIFS(Table1[Column4],Table1[Year],Table1[[#This Row],[Year]]),ISNUMBER(Table1[[#This Row],[Column4]]),Table1[[#This Row],[Column4]],Table1[[#This Row],[Column4]]="",H870*(1+Table1[[#This Row],[Ávöxtun]]))</f>
        <v>184.52609283054394</v>
      </c>
      <c r="I871" cm="1">
        <f t="array" ref="I871">_xlfn.IFS(Table1[[#This Row],[Column4]]="NEW",_xlfn.XLOOKUP(Table1[[#This Row],[Year]],$N$2:$N$27,$P$2:$P$27),ISNUMBER(Table1[[#This Row],[Column4]]),Table1[[#This Row],[Column4]],Table1[[#This Row],[Column4]]="",I870*(1+Table1[[#This Row],[Ávöxtun]]))</f>
        <v>184.52609283054394</v>
      </c>
      <c r="L871" s="33">
        <v>184.52609283054394</v>
      </c>
      <c r="M871" s="33">
        <v>184.52609283054394</v>
      </c>
    </row>
    <row r="872" spans="1:13">
      <c r="A872" t="s">
        <v>128</v>
      </c>
      <c r="B872">
        <v>2015</v>
      </c>
      <c r="C872" s="16">
        <v>7.0999999999999994E-2</v>
      </c>
      <c r="D872" s="1">
        <v>167057358</v>
      </c>
      <c r="E872" s="29">
        <f>Table1[[#This Row],[Ávöxtun]]*Table1[[#This Row],[Eignir]]/SUMIFS(Table1[Eignir],Table1[Year],Table1[[#This Row],[Year]])</f>
        <v>4.0052541411711804E-3</v>
      </c>
      <c r="F872" s="23">
        <f>IF(B872=1997, 100, IF(COUNTIF(A$1:A871,A872)=0, "NEW", F871*(1+Table1[[#This Row],[Ávöxtun]])))</f>
        <v>197.62744542151256</v>
      </c>
      <c r="G872" s="18" cm="1">
        <f t="array" ref="G872">IFERROR(_xlfn.IFS(ISNUMBER(Table1[[#This Row],[Column3]]),Table1[[#This Row],[Column3]],Table1[[#This Row],[Column3]]="NEW",Table1[[#This Row],[Column3]]),"")</f>
        <v>197.62744542151256</v>
      </c>
      <c r="H872" s="15" cm="1">
        <f t="array" ref="H872">_xlfn.IFS(Table1[[#This Row],[Column4]]="NEW",AVERAGEIFS(Table1[Column4],Table1[Year],Table1[[#This Row],[Year]]),ISNUMBER(Table1[[#This Row],[Column4]]),Table1[[#This Row],[Column4]],Table1[[#This Row],[Column4]]="",H871*(1+Table1[[#This Row],[Ávöxtun]]))</f>
        <v>197.62744542151256</v>
      </c>
      <c r="I872" cm="1">
        <f t="array" ref="I872">_xlfn.IFS(Table1[[#This Row],[Column4]]="NEW",_xlfn.XLOOKUP(Table1[[#This Row],[Year]],$N$2:$N$27,$P$2:$P$27),ISNUMBER(Table1[[#This Row],[Column4]]),Table1[[#This Row],[Column4]],Table1[[#This Row],[Column4]]="",I871*(1+Table1[[#This Row],[Ávöxtun]]))</f>
        <v>197.62744542151256</v>
      </c>
      <c r="L872" s="33">
        <v>197.62744542151256</v>
      </c>
      <c r="M872" s="33">
        <v>197.62744542151256</v>
      </c>
    </row>
    <row r="873" spans="1:13">
      <c r="A873" t="s">
        <v>129</v>
      </c>
      <c r="B873">
        <v>1997</v>
      </c>
      <c r="C873" s="16">
        <v>0.13</v>
      </c>
      <c r="D873" s="1">
        <v>11111288.91</v>
      </c>
      <c r="E873" s="29">
        <f>Table1[[#This Row],[Ávöxtun]]*Table1[[#This Row],[Eignir]]/SUMIFS(Table1[Eignir],Table1[Year],Table1[[#This Row],[Year]])</f>
        <v>4.2606477482861997E-3</v>
      </c>
      <c r="F873" s="23">
        <f>IF(B873=1997, 100, IF(COUNTIF(A$1:A872,A873)=0, "NEW", F872*(1+Table1[[#This Row],[Ávöxtun]])))</f>
        <v>100</v>
      </c>
      <c r="G873" s="18" cm="1">
        <f t="array" ref="G873">IFERROR(_xlfn.IFS(ISNUMBER(Table1[[#This Row],[Column3]]),Table1[[#This Row],[Column3]],Table1[[#This Row],[Column3]]="NEW",Table1[[#This Row],[Column3]]),"")</f>
        <v>100</v>
      </c>
      <c r="H873" s="15" cm="1">
        <f t="array" ref="H873">_xlfn.IFS(Table1[[#This Row],[Column4]]="NEW",AVERAGEIFS(Table1[Column4],Table1[Year],Table1[[#This Row],[Year]]),ISNUMBER(Table1[[#This Row],[Column4]]),Table1[[#This Row],[Column4]],Table1[[#This Row],[Column4]]="",H872*(1+Table1[[#This Row],[Ávöxtun]]))</f>
        <v>100</v>
      </c>
      <c r="I873" cm="1">
        <f t="array" ref="I873">_xlfn.IFS(Table1[[#This Row],[Column4]]="NEW",_xlfn.XLOOKUP(Table1[[#This Row],[Year]],$N$2:$N$27,$P$2:$P$27),ISNUMBER(Table1[[#This Row],[Column4]]),Table1[[#This Row],[Column4]],Table1[[#This Row],[Column4]]="",I872*(1+Table1[[#This Row],[Ávöxtun]]))</f>
        <v>100</v>
      </c>
      <c r="L873" s="33">
        <v>100</v>
      </c>
      <c r="M873" s="33">
        <v>100</v>
      </c>
    </row>
    <row r="874" spans="1:13">
      <c r="A874" t="s">
        <v>129</v>
      </c>
      <c r="B874">
        <v>1998</v>
      </c>
      <c r="C874" s="16">
        <v>7.0000000000000007E-2</v>
      </c>
      <c r="D874" s="1">
        <v>12076141.869999999</v>
      </c>
      <c r="E874" s="29">
        <f>Table1[[#This Row],[Ávöxtun]]*Table1[[#This Row],[Eignir]]/SUMIFS(Table1[Eignir],Table1[Year],Table1[[#This Row],[Year]])</f>
        <v>2.1584641908711849E-3</v>
      </c>
      <c r="F874" s="23">
        <f>IF(B874=1997, 100, IF(COUNTIF(A$1:A873,A874)=0, "NEW", F873*(1+Table1[[#This Row],[Ávöxtun]])))</f>
        <v>107</v>
      </c>
      <c r="G874" s="18" cm="1">
        <f t="array" ref="G874">IFERROR(_xlfn.IFS(ISNUMBER(Table1[[#This Row],[Column3]]),Table1[[#This Row],[Column3]],Table1[[#This Row],[Column3]]="NEW",Table1[[#This Row],[Column3]]),"")</f>
        <v>107</v>
      </c>
      <c r="H874" s="15" cm="1">
        <f t="array" ref="H874">_xlfn.IFS(Table1[[#This Row],[Column4]]="NEW",AVERAGEIFS(Table1[Column4],Table1[Year],Table1[[#This Row],[Year]]),ISNUMBER(Table1[[#This Row],[Column4]]),Table1[[#This Row],[Column4]],Table1[[#This Row],[Column4]]="",H873*(1+Table1[[#This Row],[Ávöxtun]]))</f>
        <v>107</v>
      </c>
      <c r="I874" cm="1">
        <f t="array" ref="I874">_xlfn.IFS(Table1[[#This Row],[Column4]]="NEW",_xlfn.XLOOKUP(Table1[[#This Row],[Year]],$N$2:$N$27,$P$2:$P$27),ISNUMBER(Table1[[#This Row],[Column4]]),Table1[[#This Row],[Column4]],Table1[[#This Row],[Column4]]="",I873*(1+Table1[[#This Row],[Ávöxtun]]))</f>
        <v>107</v>
      </c>
      <c r="L874" s="33">
        <v>107</v>
      </c>
      <c r="M874" s="33">
        <v>107</v>
      </c>
    </row>
    <row r="875" spans="1:13">
      <c r="A875" t="s">
        <v>129</v>
      </c>
      <c r="B875">
        <v>1999</v>
      </c>
      <c r="C875" s="16">
        <v>0.13</v>
      </c>
      <c r="D875" s="1">
        <v>14586564.939999999</v>
      </c>
      <c r="E875" s="29">
        <f>Table1[[#This Row],[Ávöxtun]]*Table1[[#This Row],[Eignir]]/SUMIFS(Table1[Eignir],Table1[Year],Table1[[#This Row],[Year]])</f>
        <v>3.641622194841378E-3</v>
      </c>
      <c r="F875" s="23">
        <f>IF(B875=1997, 100, IF(COUNTIF(A$1:A874,A875)=0, "NEW", F874*(1+Table1[[#This Row],[Ávöxtun]])))</f>
        <v>120.90999999999998</v>
      </c>
      <c r="G875" s="18" cm="1">
        <f t="array" ref="G875">IFERROR(_xlfn.IFS(ISNUMBER(Table1[[#This Row],[Column3]]),Table1[[#This Row],[Column3]],Table1[[#This Row],[Column3]]="NEW",Table1[[#This Row],[Column3]]),"")</f>
        <v>120.90999999999998</v>
      </c>
      <c r="H875" s="15" cm="1">
        <f t="array" ref="H875">_xlfn.IFS(Table1[[#This Row],[Column4]]="NEW",AVERAGEIFS(Table1[Column4],Table1[Year],Table1[[#This Row],[Year]]),ISNUMBER(Table1[[#This Row],[Column4]]),Table1[[#This Row],[Column4]],Table1[[#This Row],[Column4]]="",H874*(1+Table1[[#This Row],[Ávöxtun]]))</f>
        <v>120.90999999999998</v>
      </c>
      <c r="I875" cm="1">
        <f t="array" ref="I875">_xlfn.IFS(Table1[[#This Row],[Column4]]="NEW",_xlfn.XLOOKUP(Table1[[#This Row],[Year]],$N$2:$N$27,$P$2:$P$27),ISNUMBER(Table1[[#This Row],[Column4]]),Table1[[#This Row],[Column4]],Table1[[#This Row],[Column4]]="",I874*(1+Table1[[#This Row],[Ávöxtun]]))</f>
        <v>120.90999999999998</v>
      </c>
      <c r="L875" s="33">
        <v>120.90999999999998</v>
      </c>
      <c r="M875" s="33">
        <v>120.90999999999998</v>
      </c>
    </row>
    <row r="876" spans="1:13">
      <c r="A876" t="s">
        <v>129</v>
      </c>
      <c r="B876">
        <v>2000</v>
      </c>
      <c r="C876" s="16">
        <v>0.02</v>
      </c>
      <c r="D876" s="1">
        <v>15623822.550000001</v>
      </c>
      <c r="E876" s="29">
        <f>Table1[[#This Row],[Ávöxtun]]*Table1[[#This Row],[Eignir]]/SUMIFS(Table1[Eignir],Table1[Year],Table1[[#This Row],[Year]])</f>
        <v>4.395568626621093E-4</v>
      </c>
      <c r="F876" s="23">
        <f>IF(B876=1997, 100, IF(COUNTIF(A$1:A875,A876)=0, "NEW", F875*(1+Table1[[#This Row],[Ávöxtun]])))</f>
        <v>123.32819999999998</v>
      </c>
      <c r="G876" s="18" cm="1">
        <f t="array" ref="G876">IFERROR(_xlfn.IFS(ISNUMBER(Table1[[#This Row],[Column3]]),Table1[[#This Row],[Column3]],Table1[[#This Row],[Column3]]="NEW",Table1[[#This Row],[Column3]]),"")</f>
        <v>123.32819999999998</v>
      </c>
      <c r="H876" s="15" cm="1">
        <f t="array" ref="H876">_xlfn.IFS(Table1[[#This Row],[Column4]]="NEW",AVERAGEIFS(Table1[Column4],Table1[Year],Table1[[#This Row],[Year]]),ISNUMBER(Table1[[#This Row],[Column4]]),Table1[[#This Row],[Column4]],Table1[[#This Row],[Column4]]="",H875*(1+Table1[[#This Row],[Ávöxtun]]))</f>
        <v>123.32819999999998</v>
      </c>
      <c r="I876" cm="1">
        <f t="array" ref="I876">_xlfn.IFS(Table1[[#This Row],[Column4]]="NEW",_xlfn.XLOOKUP(Table1[[#This Row],[Year]],$N$2:$N$27,$P$2:$P$27),ISNUMBER(Table1[[#This Row],[Column4]]),Table1[[#This Row],[Column4]],Table1[[#This Row],[Column4]]="",I875*(1+Table1[[#This Row],[Ávöxtun]]))</f>
        <v>123.32819999999998</v>
      </c>
      <c r="L876" s="33">
        <v>123.32819999999998</v>
      </c>
      <c r="M876" s="33">
        <v>123.32819999999998</v>
      </c>
    </row>
    <row r="877" spans="1:13">
      <c r="A877" t="s">
        <v>129</v>
      </c>
      <c r="B877">
        <v>2001</v>
      </c>
      <c r="C877" s="16">
        <v>0</v>
      </c>
      <c r="D877" s="1">
        <v>34887900</v>
      </c>
      <c r="E877" s="29">
        <f>Table1[[#This Row],[Ávöxtun]]*Table1[[#This Row],[Eignir]]/SUMIFS(Table1[Eignir],Table1[Year],Table1[[#This Row],[Year]])</f>
        <v>0</v>
      </c>
      <c r="F877" s="23">
        <f>IF(B877=1997, 100, IF(COUNTIF(A$1:A876,A877)=0, "NEW", F876*(1+Table1[[#This Row],[Ávöxtun]])))</f>
        <v>123.32819999999998</v>
      </c>
      <c r="G877" s="18" cm="1">
        <f t="array" ref="G877">IFERROR(_xlfn.IFS(ISNUMBER(Table1[[#This Row],[Column3]]),Table1[[#This Row],[Column3]],Table1[[#This Row],[Column3]]="NEW",Table1[[#This Row],[Column3]]),"")</f>
        <v>123.32819999999998</v>
      </c>
      <c r="H877" s="15" cm="1">
        <f t="array" ref="H877">_xlfn.IFS(Table1[[#This Row],[Column4]]="NEW",AVERAGEIFS(Table1[Column4],Table1[Year],Table1[[#This Row],[Year]]),ISNUMBER(Table1[[#This Row],[Column4]]),Table1[[#This Row],[Column4]],Table1[[#This Row],[Column4]]="",H876*(1+Table1[[#This Row],[Ávöxtun]]))</f>
        <v>123.32819999999998</v>
      </c>
      <c r="I877" cm="1">
        <f t="array" ref="I877">_xlfn.IFS(Table1[[#This Row],[Column4]]="NEW",_xlfn.XLOOKUP(Table1[[#This Row],[Year]],$N$2:$N$27,$P$2:$P$27),ISNUMBER(Table1[[#This Row],[Column4]]),Table1[[#This Row],[Column4]],Table1[[#This Row],[Column4]]="",I876*(1+Table1[[#This Row],[Ávöxtun]]))</f>
        <v>123.32819999999998</v>
      </c>
      <c r="L877" s="33">
        <v>123.32819999999998</v>
      </c>
      <c r="M877" s="33">
        <v>123.32819999999998</v>
      </c>
    </row>
    <row r="878" spans="1:13">
      <c r="A878" t="s">
        <v>129</v>
      </c>
      <c r="B878">
        <v>2002</v>
      </c>
      <c r="C878" s="16">
        <v>0.02</v>
      </c>
      <c r="D878" s="1">
        <v>16852138</v>
      </c>
      <c r="E878" s="29">
        <f>Table1[[#This Row],[Ávöxtun]]*Table1[[#This Row],[Eignir]]/SUMIFS(Table1[Eignir],Table1[Year],Table1[[#This Row],[Year]])</f>
        <v>5.3063882331266441E-4</v>
      </c>
      <c r="F878" s="23">
        <f>IF(B878=1997, 100, IF(COUNTIF(A$1:A877,A878)=0, "NEW", F877*(1+Table1[[#This Row],[Ávöxtun]])))</f>
        <v>125.79476399999999</v>
      </c>
      <c r="G878" s="18" cm="1">
        <f t="array" ref="G878">IFERROR(_xlfn.IFS(ISNUMBER(Table1[[#This Row],[Column3]]),Table1[[#This Row],[Column3]],Table1[[#This Row],[Column3]]="NEW",Table1[[#This Row],[Column3]]),"")</f>
        <v>125.79476399999999</v>
      </c>
      <c r="H878" s="15" cm="1">
        <f t="array" ref="H878">_xlfn.IFS(Table1[[#This Row],[Column4]]="NEW",AVERAGEIFS(Table1[Column4],Table1[Year],Table1[[#This Row],[Year]]),ISNUMBER(Table1[[#This Row],[Column4]]),Table1[[#This Row],[Column4]],Table1[[#This Row],[Column4]]="",H877*(1+Table1[[#This Row],[Ávöxtun]]))</f>
        <v>125.79476399999999</v>
      </c>
      <c r="I878" cm="1">
        <f t="array" ref="I878">_xlfn.IFS(Table1[[#This Row],[Column4]]="NEW",_xlfn.XLOOKUP(Table1[[#This Row],[Year]],$N$2:$N$27,$P$2:$P$27),ISNUMBER(Table1[[#This Row],[Column4]]),Table1[[#This Row],[Column4]],Table1[[#This Row],[Column4]]="",I877*(1+Table1[[#This Row],[Ávöxtun]]))</f>
        <v>125.79476399999999</v>
      </c>
      <c r="L878" s="33">
        <v>125.79476399999999</v>
      </c>
      <c r="M878" s="33">
        <v>125.79476399999999</v>
      </c>
    </row>
    <row r="879" spans="1:13">
      <c r="A879" t="s">
        <v>129</v>
      </c>
      <c r="B879">
        <v>2003</v>
      </c>
      <c r="C879" s="16">
        <v>0.24</v>
      </c>
      <c r="D879" s="1">
        <v>19299843</v>
      </c>
      <c r="E879" s="29">
        <f>Table1[[#This Row],[Ávöxtun]]*Table1[[#This Row],[Eignir]]/SUMIFS(Table1[Eignir],Table1[Year],Table1[[#This Row],[Year]])</f>
        <v>6.0955583275060276E-3</v>
      </c>
      <c r="F879" s="23">
        <f>IF(B879=1997, 100, IF(COUNTIF(A$1:A878,A879)=0, "NEW", F878*(1+Table1[[#This Row],[Ávöxtun]])))</f>
        <v>155.98550735999999</v>
      </c>
      <c r="G879" s="18" cm="1">
        <f t="array" ref="G879">IFERROR(_xlfn.IFS(ISNUMBER(Table1[[#This Row],[Column3]]),Table1[[#This Row],[Column3]],Table1[[#This Row],[Column3]]="NEW",Table1[[#This Row],[Column3]]),"")</f>
        <v>155.98550735999999</v>
      </c>
      <c r="H879" s="15" cm="1">
        <f t="array" ref="H879">_xlfn.IFS(Table1[[#This Row],[Column4]]="NEW",AVERAGEIFS(Table1[Column4],Table1[Year],Table1[[#This Row],[Year]]),ISNUMBER(Table1[[#This Row],[Column4]]),Table1[[#This Row],[Column4]],Table1[[#This Row],[Column4]]="",H878*(1+Table1[[#This Row],[Ávöxtun]]))</f>
        <v>155.98550735999999</v>
      </c>
      <c r="I879" cm="1">
        <f t="array" ref="I879">_xlfn.IFS(Table1[[#This Row],[Column4]]="NEW",_xlfn.XLOOKUP(Table1[[#This Row],[Year]],$N$2:$N$27,$P$2:$P$27),ISNUMBER(Table1[[#This Row],[Column4]]),Table1[[#This Row],[Column4]],Table1[[#This Row],[Column4]]="",I878*(1+Table1[[#This Row],[Ávöxtun]]))</f>
        <v>155.98550735999999</v>
      </c>
      <c r="L879" s="33">
        <v>155.98550735999999</v>
      </c>
      <c r="M879" s="33">
        <v>155.98550735999999</v>
      </c>
    </row>
    <row r="880" spans="1:13">
      <c r="A880" t="s">
        <v>129</v>
      </c>
      <c r="B880">
        <v>2004</v>
      </c>
      <c r="C880" s="16">
        <v>0.3</v>
      </c>
      <c r="D880" s="1">
        <v>22971218</v>
      </c>
      <c r="E880" s="29">
        <f>Table1[[#This Row],[Ávöxtun]]*Table1[[#This Row],[Eignir]]/SUMIFS(Table1[Eignir],Table1[Year],Table1[[#This Row],[Year]])</f>
        <v>7.5923652568811355E-3</v>
      </c>
      <c r="F880" s="23">
        <f>IF(B880=1997, 100, IF(COUNTIF(A$1:A879,A880)=0, "NEW", F879*(1+Table1[[#This Row],[Ávöxtun]])))</f>
        <v>202.78115956799999</v>
      </c>
      <c r="G880" s="18" cm="1">
        <f t="array" ref="G880">IFERROR(_xlfn.IFS(ISNUMBER(Table1[[#This Row],[Column3]]),Table1[[#This Row],[Column3]],Table1[[#This Row],[Column3]]="NEW",Table1[[#This Row],[Column3]]),"")</f>
        <v>202.78115956799999</v>
      </c>
      <c r="H880" s="15" cm="1">
        <f t="array" ref="H880">_xlfn.IFS(Table1[[#This Row],[Column4]]="NEW",AVERAGEIFS(Table1[Column4],Table1[Year],Table1[[#This Row],[Year]]),ISNUMBER(Table1[[#This Row],[Column4]]),Table1[[#This Row],[Column4]],Table1[[#This Row],[Column4]]="",H879*(1+Table1[[#This Row],[Ávöxtun]]))</f>
        <v>202.78115956799999</v>
      </c>
      <c r="I880" cm="1">
        <f t="array" ref="I880">_xlfn.IFS(Table1[[#This Row],[Column4]]="NEW",_xlfn.XLOOKUP(Table1[[#This Row],[Year]],$N$2:$N$27,$P$2:$P$27),ISNUMBER(Table1[[#This Row],[Column4]]),Table1[[#This Row],[Column4]],Table1[[#This Row],[Column4]]="",I879*(1+Table1[[#This Row],[Ávöxtun]]))</f>
        <v>202.78115956799999</v>
      </c>
      <c r="L880" s="33">
        <v>202.78115956799999</v>
      </c>
      <c r="M880" s="33">
        <v>202.78115956799999</v>
      </c>
    </row>
    <row r="881" spans="1:13">
      <c r="A881" t="s">
        <v>129</v>
      </c>
      <c r="B881">
        <v>2005</v>
      </c>
      <c r="C881" s="16">
        <v>0.28000000000000003</v>
      </c>
      <c r="D881" s="1">
        <v>27233265</v>
      </c>
      <c r="E881" s="29">
        <f>Table1[[#This Row],[Ávöxtun]]*Table1[[#This Row],[Eignir]]/SUMIFS(Table1[Eignir],Table1[Year],Table1[[#This Row],[Year]])</f>
        <v>6.8001940193324869E-3</v>
      </c>
      <c r="F881" s="23">
        <f>IF(B881=1997, 100, IF(COUNTIF(A$1:A880,A881)=0, "NEW", F880*(1+Table1[[#This Row],[Ávöxtun]])))</f>
        <v>259.55988424703997</v>
      </c>
      <c r="G881" s="18" cm="1">
        <f t="array" ref="G881">IFERROR(_xlfn.IFS(ISNUMBER(Table1[[#This Row],[Column3]]),Table1[[#This Row],[Column3]],Table1[[#This Row],[Column3]]="NEW",Table1[[#This Row],[Column3]]),"")</f>
        <v>259.55988424703997</v>
      </c>
      <c r="H881" s="15" cm="1">
        <f t="array" ref="H881">_xlfn.IFS(Table1[[#This Row],[Column4]]="NEW",AVERAGEIFS(Table1[Column4],Table1[Year],Table1[[#This Row],[Year]]),ISNUMBER(Table1[[#This Row],[Column4]]),Table1[[#This Row],[Column4]],Table1[[#This Row],[Column4]]="",H880*(1+Table1[[#This Row],[Ávöxtun]]))</f>
        <v>259.55988424703997</v>
      </c>
      <c r="I881" cm="1">
        <f t="array" ref="I881">_xlfn.IFS(Table1[[#This Row],[Column4]]="NEW",_xlfn.XLOOKUP(Table1[[#This Row],[Year]],$N$2:$N$27,$P$2:$P$27),ISNUMBER(Table1[[#This Row],[Column4]]),Table1[[#This Row],[Column4]],Table1[[#This Row],[Column4]]="",I880*(1+Table1[[#This Row],[Ávöxtun]]))</f>
        <v>259.55988424703997</v>
      </c>
      <c r="L881" s="33">
        <v>259.55988424703997</v>
      </c>
      <c r="M881" s="33">
        <v>259.55988424703997</v>
      </c>
    </row>
    <row r="882" spans="1:13">
      <c r="A882" t="s">
        <v>132</v>
      </c>
      <c r="B882">
        <v>1999</v>
      </c>
      <c r="C882" s="16">
        <v>0.22</v>
      </c>
      <c r="D882" s="1">
        <v>1053801.1100000001</v>
      </c>
      <c r="E882" s="29">
        <f>Table1[[#This Row],[Ávöxtun]]*Table1[[#This Row],[Eignir]]/SUMIFS(Table1[Eignir],Table1[Year],Table1[[#This Row],[Year]])</f>
        <v>4.4522530251435704E-4</v>
      </c>
      <c r="F882" s="23" t="str">
        <f>IF(B882=1997, 100, IF(COUNTIF(A$1:A881,A882)=0, "NEW", F881*(1+Table1[[#This Row],[Ávöxtun]])))</f>
        <v>NEW</v>
      </c>
      <c r="G882" s="18" t="str" cm="1">
        <f t="array" ref="G882">IFERROR(_xlfn.IFS(ISNUMBER(Table1[[#This Row],[Column3]]),Table1[[#This Row],[Column3]],Table1[[#This Row],[Column3]]="NEW",Table1[[#This Row],[Column3]]),"")</f>
        <v>NEW</v>
      </c>
      <c r="H882" s="15" cm="1">
        <f t="array" ref="H882">_xlfn.IFS(Table1[[#This Row],[Column4]]="NEW",AVERAGEIFS(Table1[Column4],Table1[Year],Table1[[#This Row],[Year]]),ISNUMBER(Table1[[#This Row],[Column4]]),Table1[[#This Row],[Column4]],Table1[[#This Row],[Column4]]="",H881*(1+Table1[[#This Row],[Ávöxtun]]))</f>
        <v>117.05306122448981</v>
      </c>
      <c r="I882" cm="1">
        <f t="array" ref="I882">_xlfn.IFS(Table1[[#This Row],[Column4]]="NEW",_xlfn.XLOOKUP(Table1[[#This Row],[Year]],$N$2:$N$27,$P$2:$P$27),ISNUMBER(Table1[[#This Row],[Column4]]),Table1[[#This Row],[Column4]],Table1[[#This Row],[Column4]]="",I881*(1+Table1[[#This Row],[Ávöxtun]]))</f>
        <v>120.02032965757705</v>
      </c>
      <c r="L882" s="33">
        <v>117.05306122448981</v>
      </c>
      <c r="M882" s="33">
        <v>129.26988390123572</v>
      </c>
    </row>
    <row r="883" spans="1:13">
      <c r="A883" t="s">
        <v>132</v>
      </c>
      <c r="B883">
        <v>2000</v>
      </c>
      <c r="C883" s="16">
        <v>-0.09</v>
      </c>
      <c r="D883" s="1">
        <v>1320671.98</v>
      </c>
      <c r="E883" s="29">
        <f>Table1[[#This Row],[Ávöxtun]]*Table1[[#This Row],[Eignir]]/SUMIFS(Table1[Eignir],Table1[Year],Table1[[#This Row],[Year]])</f>
        <v>-1.6719960408187698E-4</v>
      </c>
      <c r="F883" s="23" t="e">
        <f>IF(B883=1997, 100, IF(COUNTIF(A$1:A882,A883)=0, "NEW", F882*(1+Table1[[#This Row],[Ávöxtun]])))</f>
        <v>#VALUE!</v>
      </c>
      <c r="G883" s="18" t="str" cm="1">
        <f t="array" ref="G883">IFERROR(_xlfn.IFS(ISNUMBER(Table1[[#This Row],[Column3]]),Table1[[#This Row],[Column3]],Table1[[#This Row],[Column3]]="NEW",Table1[[#This Row],[Column3]]),"")</f>
        <v/>
      </c>
      <c r="H883" s="15" cm="1">
        <f t="array" ref="H883">_xlfn.IFS(Table1[[#This Row],[Column4]]="NEW",AVERAGEIFS(Table1[Column4],Table1[Year],Table1[[#This Row],[Year]]),ISNUMBER(Table1[[#This Row],[Column4]]),Table1[[#This Row],[Column4]],Table1[[#This Row],[Column4]]="",H882*(1+Table1[[#This Row],[Ávöxtun]]))</f>
        <v>106.51828571428572</v>
      </c>
      <c r="I883" cm="1">
        <f t="array" ref="I883">_xlfn.IFS(Table1[[#This Row],[Column4]]="NEW",_xlfn.XLOOKUP(Table1[[#This Row],[Year]],$N$2:$N$27,$P$2:$P$27),ISNUMBER(Table1[[#This Row],[Column4]]),Table1[[#This Row],[Column4]],Table1[[#This Row],[Column4]]="",I882*(1+Table1[[#This Row],[Ávöxtun]]))</f>
        <v>109.21849998839512</v>
      </c>
      <c r="L883" s="33">
        <v>106.51828571428572</v>
      </c>
      <c r="M883" s="33">
        <v>117.63559435012451</v>
      </c>
    </row>
    <row r="884" spans="1:13">
      <c r="A884" t="s">
        <v>132</v>
      </c>
      <c r="B884">
        <v>2001</v>
      </c>
      <c r="C884" s="16">
        <v>0</v>
      </c>
      <c r="D884" s="1">
        <v>1921124</v>
      </c>
      <c r="E884" s="29">
        <f>Table1[[#This Row],[Ávöxtun]]*Table1[[#This Row],[Eignir]]/SUMIFS(Table1[Eignir],Table1[Year],Table1[[#This Row],[Year]])</f>
        <v>0</v>
      </c>
      <c r="F884" s="23" t="e">
        <f>IF(B884=1997, 100, IF(COUNTIF(A$1:A883,A884)=0, "NEW", F883*(1+Table1[[#This Row],[Ávöxtun]])))</f>
        <v>#VALUE!</v>
      </c>
      <c r="G884" s="18" t="str" cm="1">
        <f t="array" ref="G884">IFERROR(_xlfn.IFS(ISNUMBER(Table1[[#This Row],[Column3]]),Table1[[#This Row],[Column3]],Table1[[#This Row],[Column3]]="NEW",Table1[[#This Row],[Column3]]),"")</f>
        <v/>
      </c>
      <c r="H884" s="15" cm="1">
        <f t="array" ref="H884">_xlfn.IFS(Table1[[#This Row],[Column4]]="NEW",AVERAGEIFS(Table1[Column4],Table1[Year],Table1[[#This Row],[Year]]),ISNUMBER(Table1[[#This Row],[Column4]]),Table1[[#This Row],[Column4]],Table1[[#This Row],[Column4]]="",H883*(1+Table1[[#This Row],[Ávöxtun]]))</f>
        <v>106.51828571428572</v>
      </c>
      <c r="I884" cm="1">
        <f t="array" ref="I884">_xlfn.IFS(Table1[[#This Row],[Column4]]="NEW",_xlfn.XLOOKUP(Table1[[#This Row],[Year]],$N$2:$N$27,$P$2:$P$27),ISNUMBER(Table1[[#This Row],[Column4]]),Table1[[#This Row],[Column4]],Table1[[#This Row],[Column4]]="",I883*(1+Table1[[#This Row],[Ávöxtun]]))</f>
        <v>109.21849998839512</v>
      </c>
      <c r="L884" s="33">
        <v>106.51828571428572</v>
      </c>
      <c r="M884" s="33">
        <v>117.63559435012451</v>
      </c>
    </row>
    <row r="885" spans="1:13">
      <c r="A885" t="s">
        <v>132</v>
      </c>
      <c r="B885">
        <v>2002</v>
      </c>
      <c r="C885" s="16">
        <v>-0.04</v>
      </c>
      <c r="D885" s="1">
        <v>298748</v>
      </c>
      <c r="E885" s="29">
        <f>Table1[[#This Row],[Ávöxtun]]*Table1[[#This Row],[Eignir]]/SUMIFS(Table1[Eignir],Table1[Year],Table1[[#This Row],[Year]])</f>
        <v>-1.8813908026033474E-5</v>
      </c>
      <c r="F885" s="23" t="e">
        <f>IF(B885=1997, 100, IF(COUNTIF(A$1:A884,A885)=0, "NEW", F884*(1+Table1[[#This Row],[Ávöxtun]])))</f>
        <v>#VALUE!</v>
      </c>
      <c r="G885" s="18" t="str" cm="1">
        <f t="array" ref="G885">IFERROR(_xlfn.IFS(ISNUMBER(Table1[[#This Row],[Column3]]),Table1[[#This Row],[Column3]],Table1[[#This Row],[Column3]]="NEW",Table1[[#This Row],[Column3]]),"")</f>
        <v/>
      </c>
      <c r="H885" s="15" cm="1">
        <f t="array" ref="H885">_xlfn.IFS(Table1[[#This Row],[Column4]]="NEW",AVERAGEIFS(Table1[Column4],Table1[Year],Table1[[#This Row],[Year]]),ISNUMBER(Table1[[#This Row],[Column4]]),Table1[[#This Row],[Column4]],Table1[[#This Row],[Column4]]="",H884*(1+Table1[[#This Row],[Ávöxtun]]))</f>
        <v>102.25755428571429</v>
      </c>
      <c r="I885" cm="1">
        <f t="array" ref="I885">_xlfn.IFS(Table1[[#This Row],[Column4]]="NEW",_xlfn.XLOOKUP(Table1[[#This Row],[Year]],$N$2:$N$27,$P$2:$P$27),ISNUMBER(Table1[[#This Row],[Column4]]),Table1[[#This Row],[Column4]],Table1[[#This Row],[Column4]]="",I884*(1+Table1[[#This Row],[Ávöxtun]]))</f>
        <v>104.84975998885932</v>
      </c>
      <c r="L885" s="33">
        <v>102.25755428571429</v>
      </c>
      <c r="M885" s="33">
        <v>112.93017057611952</v>
      </c>
    </row>
    <row r="886" spans="1:13">
      <c r="A886" t="s">
        <v>132</v>
      </c>
      <c r="B886">
        <v>2003</v>
      </c>
      <c r="C886" s="16">
        <v>0.12</v>
      </c>
      <c r="D886" s="1">
        <v>471251.72</v>
      </c>
      <c r="E886" s="29">
        <f>Table1[[#This Row],[Ávöxtun]]*Table1[[#This Row],[Eignir]]/SUMIFS(Table1[Eignir],Table1[Year],Table1[[#This Row],[Year]])</f>
        <v>7.4418800873083242E-5</v>
      </c>
      <c r="F886" s="23" t="e">
        <f>IF(B886=1997, 100, IF(COUNTIF(A$1:A885,A886)=0, "NEW", F885*(1+Table1[[#This Row],[Ávöxtun]])))</f>
        <v>#VALUE!</v>
      </c>
      <c r="G886" s="18" t="str" cm="1">
        <f t="array" ref="G886">IFERROR(_xlfn.IFS(ISNUMBER(Table1[[#This Row],[Column3]]),Table1[[#This Row],[Column3]],Table1[[#This Row],[Column3]]="NEW",Table1[[#This Row],[Column3]]),"")</f>
        <v/>
      </c>
      <c r="H886" s="15" cm="1">
        <f t="array" ref="H886">_xlfn.IFS(Table1[[#This Row],[Column4]]="NEW",AVERAGEIFS(Table1[Column4],Table1[Year],Table1[[#This Row],[Year]]),ISNUMBER(Table1[[#This Row],[Column4]]),Table1[[#This Row],[Column4]],Table1[[#This Row],[Column4]]="",H885*(1+Table1[[#This Row],[Ávöxtun]]))</f>
        <v>114.52846080000002</v>
      </c>
      <c r="I886" cm="1">
        <f t="array" ref="I886">_xlfn.IFS(Table1[[#This Row],[Column4]]="NEW",_xlfn.XLOOKUP(Table1[[#This Row],[Year]],$N$2:$N$27,$P$2:$P$27),ISNUMBER(Table1[[#This Row],[Column4]]),Table1[[#This Row],[Column4]],Table1[[#This Row],[Column4]]="",I885*(1+Table1[[#This Row],[Ávöxtun]]))</f>
        <v>117.43173118752244</v>
      </c>
      <c r="L886" s="33">
        <v>114.52846080000002</v>
      </c>
      <c r="M886" s="33">
        <v>126.48179104525387</v>
      </c>
    </row>
    <row r="887" spans="1:13">
      <c r="A887" t="s">
        <v>133</v>
      </c>
      <c r="B887">
        <v>1997</v>
      </c>
      <c r="C887" s="16">
        <v>0.09</v>
      </c>
      <c r="D887" s="1">
        <v>13210404.98</v>
      </c>
      <c r="E887" s="29">
        <f>Table1[[#This Row],[Ávöxtun]]*Table1[[#This Row],[Eignir]]/SUMIFS(Table1[Eignir],Table1[Year],Table1[[#This Row],[Year]])</f>
        <v>3.5069250062220118E-3</v>
      </c>
      <c r="F887" s="23">
        <f>IF(B887=1997, 100, IF(COUNTIF(A$1:A886,A887)=0, "NEW", F886*(1+Table1[[#This Row],[Ávöxtun]])))</f>
        <v>100</v>
      </c>
      <c r="G887" s="18" cm="1">
        <f t="array" ref="G887">IFERROR(_xlfn.IFS(ISNUMBER(Table1[[#This Row],[Column3]]),Table1[[#This Row],[Column3]],Table1[[#This Row],[Column3]]="NEW",Table1[[#This Row],[Column3]]),"")</f>
        <v>100</v>
      </c>
      <c r="H887" s="15" cm="1">
        <f t="array" ref="H887">_xlfn.IFS(Table1[[#This Row],[Column4]]="NEW",AVERAGEIFS(Table1[Column4],Table1[Year],Table1[[#This Row],[Year]]),ISNUMBER(Table1[[#This Row],[Column4]]),Table1[[#This Row],[Column4]],Table1[[#This Row],[Column4]]="",H886*(1+Table1[[#This Row],[Ávöxtun]]))</f>
        <v>100</v>
      </c>
      <c r="I887" cm="1">
        <f t="array" ref="I887">_xlfn.IFS(Table1[[#This Row],[Column4]]="NEW",_xlfn.XLOOKUP(Table1[[#This Row],[Year]],$N$2:$N$27,$P$2:$P$27),ISNUMBER(Table1[[#This Row],[Column4]]),Table1[[#This Row],[Column4]],Table1[[#This Row],[Column4]]="",I886*(1+Table1[[#This Row],[Ávöxtun]]))</f>
        <v>100</v>
      </c>
      <c r="L887" s="33">
        <v>100</v>
      </c>
      <c r="M887" s="33">
        <v>100</v>
      </c>
    </row>
    <row r="888" spans="1:13">
      <c r="A888" t="s">
        <v>133</v>
      </c>
      <c r="B888">
        <v>1998</v>
      </c>
      <c r="C888" s="16">
        <v>0.06</v>
      </c>
      <c r="D888" s="1">
        <v>14660015.68</v>
      </c>
      <c r="E888" s="29">
        <f>Table1[[#This Row],[Ávöxtun]]*Table1[[#This Row],[Eignir]]/SUMIFS(Table1[Eignir],Table1[Year],Table1[[#This Row],[Year]])</f>
        <v>2.2459717366827771E-3</v>
      </c>
      <c r="F888" s="23">
        <f>IF(B888=1997, 100, IF(COUNTIF(A$1:A887,A888)=0, "NEW", F887*(1+Table1[[#This Row],[Ávöxtun]])))</f>
        <v>106</v>
      </c>
      <c r="G888" s="18" cm="1">
        <f t="array" ref="G888">IFERROR(_xlfn.IFS(ISNUMBER(Table1[[#This Row],[Column3]]),Table1[[#This Row],[Column3]],Table1[[#This Row],[Column3]]="NEW",Table1[[#This Row],[Column3]]),"")</f>
        <v>106</v>
      </c>
      <c r="H888" s="15" cm="1">
        <f t="array" ref="H888">_xlfn.IFS(Table1[[#This Row],[Column4]]="NEW",AVERAGEIFS(Table1[Column4],Table1[Year],Table1[[#This Row],[Year]]),ISNUMBER(Table1[[#This Row],[Column4]]),Table1[[#This Row],[Column4]],Table1[[#This Row],[Column4]]="",H887*(1+Table1[[#This Row],[Ávöxtun]]))</f>
        <v>106</v>
      </c>
      <c r="I888" cm="1">
        <f t="array" ref="I888">_xlfn.IFS(Table1[[#This Row],[Column4]]="NEW",_xlfn.XLOOKUP(Table1[[#This Row],[Year]],$N$2:$N$27,$P$2:$P$27),ISNUMBER(Table1[[#This Row],[Column4]]),Table1[[#This Row],[Column4]],Table1[[#This Row],[Column4]]="",I887*(1+Table1[[#This Row],[Ávöxtun]]))</f>
        <v>106</v>
      </c>
      <c r="L888" s="33">
        <v>106</v>
      </c>
      <c r="M888" s="33">
        <v>106</v>
      </c>
    </row>
    <row r="889" spans="1:13">
      <c r="A889" t="s">
        <v>133</v>
      </c>
      <c r="B889">
        <v>1999</v>
      </c>
      <c r="C889" s="16">
        <v>0.1</v>
      </c>
      <c r="D889" s="1">
        <v>17707325.149999999</v>
      </c>
      <c r="E889" s="29">
        <f>Table1[[#This Row],[Ávöxtun]]*Table1[[#This Row],[Eignir]]/SUMIFS(Table1[Eignir],Table1[Year],Table1[[#This Row],[Year]])</f>
        <v>3.4005680275892044E-3</v>
      </c>
      <c r="F889" s="23">
        <f>IF(B889=1997, 100, IF(COUNTIF(A$1:A888,A889)=0, "NEW", F888*(1+Table1[[#This Row],[Ávöxtun]])))</f>
        <v>116.60000000000001</v>
      </c>
      <c r="G889" s="18" cm="1">
        <f t="array" ref="G889">IFERROR(_xlfn.IFS(ISNUMBER(Table1[[#This Row],[Column3]]),Table1[[#This Row],[Column3]],Table1[[#This Row],[Column3]]="NEW",Table1[[#This Row],[Column3]]),"")</f>
        <v>116.60000000000001</v>
      </c>
      <c r="H889" s="15" cm="1">
        <f t="array" ref="H889">_xlfn.IFS(Table1[[#This Row],[Column4]]="NEW",AVERAGEIFS(Table1[Column4],Table1[Year],Table1[[#This Row],[Year]]),ISNUMBER(Table1[[#This Row],[Column4]]),Table1[[#This Row],[Column4]],Table1[[#This Row],[Column4]]="",H888*(1+Table1[[#This Row],[Ávöxtun]]))</f>
        <v>116.60000000000001</v>
      </c>
      <c r="I889" cm="1">
        <f t="array" ref="I889">_xlfn.IFS(Table1[[#This Row],[Column4]]="NEW",_xlfn.XLOOKUP(Table1[[#This Row],[Year]],$N$2:$N$27,$P$2:$P$27),ISNUMBER(Table1[[#This Row],[Column4]]),Table1[[#This Row],[Column4]],Table1[[#This Row],[Column4]]="",I888*(1+Table1[[#This Row],[Ávöxtun]]))</f>
        <v>116.60000000000001</v>
      </c>
      <c r="L889" s="33">
        <v>116.60000000000001</v>
      </c>
      <c r="M889" s="33">
        <v>116.60000000000001</v>
      </c>
    </row>
    <row r="890" spans="1:13">
      <c r="A890" t="s">
        <v>133</v>
      </c>
      <c r="B890">
        <v>2000</v>
      </c>
      <c r="C890" s="16">
        <v>0.02</v>
      </c>
      <c r="D890" s="1">
        <v>19243795.02</v>
      </c>
      <c r="E890" s="29">
        <f>Table1[[#This Row],[Ávöxtun]]*Table1[[#This Row],[Eignir]]/SUMIFS(Table1[Eignir],Table1[Year],Table1[[#This Row],[Year]])</f>
        <v>5.4140029673493202E-4</v>
      </c>
      <c r="F890" s="23">
        <f>IF(B890=1997, 100, IF(COUNTIF(A$1:A889,A890)=0, "NEW", F889*(1+Table1[[#This Row],[Ávöxtun]])))</f>
        <v>118.93200000000002</v>
      </c>
      <c r="G890" s="18" cm="1">
        <f t="array" ref="G890">IFERROR(_xlfn.IFS(ISNUMBER(Table1[[#This Row],[Column3]]),Table1[[#This Row],[Column3]],Table1[[#This Row],[Column3]]="NEW",Table1[[#This Row],[Column3]]),"")</f>
        <v>118.93200000000002</v>
      </c>
      <c r="H890" s="15" cm="1">
        <f t="array" ref="H890">_xlfn.IFS(Table1[[#This Row],[Column4]]="NEW",AVERAGEIFS(Table1[Column4],Table1[Year],Table1[[#This Row],[Year]]),ISNUMBER(Table1[[#This Row],[Column4]]),Table1[[#This Row],[Column4]],Table1[[#This Row],[Column4]]="",H889*(1+Table1[[#This Row],[Ávöxtun]]))</f>
        <v>118.93200000000002</v>
      </c>
      <c r="I890" cm="1">
        <f t="array" ref="I890">_xlfn.IFS(Table1[[#This Row],[Column4]]="NEW",_xlfn.XLOOKUP(Table1[[#This Row],[Year]],$N$2:$N$27,$P$2:$P$27),ISNUMBER(Table1[[#This Row],[Column4]]),Table1[[#This Row],[Column4]],Table1[[#This Row],[Column4]]="",I889*(1+Table1[[#This Row],[Ávöxtun]]))</f>
        <v>118.93200000000002</v>
      </c>
      <c r="L890" s="33">
        <v>118.93200000000002</v>
      </c>
      <c r="M890" s="33">
        <v>118.93200000000002</v>
      </c>
    </row>
    <row r="891" spans="1:13">
      <c r="A891" t="s">
        <v>133</v>
      </c>
      <c r="B891">
        <v>2001</v>
      </c>
      <c r="C891" s="16">
        <v>0.02</v>
      </c>
      <c r="D891" s="1">
        <v>44444546.789999999</v>
      </c>
      <c r="E891" s="29">
        <f>Table1[[#This Row],[Ávöxtun]]*Table1[[#This Row],[Eignir]]/SUMIFS(Table1[Eignir],Table1[Year],Table1[[#This Row],[Year]])</f>
        <v>7.6766462159820015E-4</v>
      </c>
      <c r="F891" s="23">
        <f>IF(B891=1997, 100, IF(COUNTIF(A$1:A890,A891)=0, "NEW", F890*(1+Table1[[#This Row],[Ávöxtun]])))</f>
        <v>121.31064000000002</v>
      </c>
      <c r="G891" s="18" cm="1">
        <f t="array" ref="G891">IFERROR(_xlfn.IFS(ISNUMBER(Table1[[#This Row],[Column3]]),Table1[[#This Row],[Column3]],Table1[[#This Row],[Column3]]="NEW",Table1[[#This Row],[Column3]]),"")</f>
        <v>121.31064000000002</v>
      </c>
      <c r="H891" s="15" cm="1">
        <f t="array" ref="H891">_xlfn.IFS(Table1[[#This Row],[Column4]]="NEW",AVERAGEIFS(Table1[Column4],Table1[Year],Table1[[#This Row],[Year]]),ISNUMBER(Table1[[#This Row],[Column4]]),Table1[[#This Row],[Column4]],Table1[[#This Row],[Column4]]="",H890*(1+Table1[[#This Row],[Ávöxtun]]))</f>
        <v>121.31064000000002</v>
      </c>
      <c r="I891" cm="1">
        <f t="array" ref="I891">_xlfn.IFS(Table1[[#This Row],[Column4]]="NEW",_xlfn.XLOOKUP(Table1[[#This Row],[Year]],$N$2:$N$27,$P$2:$P$27),ISNUMBER(Table1[[#This Row],[Column4]]),Table1[[#This Row],[Column4]],Table1[[#This Row],[Column4]]="",I890*(1+Table1[[#This Row],[Ávöxtun]]))</f>
        <v>121.31064000000002</v>
      </c>
      <c r="L891" s="33">
        <v>121.31064000000002</v>
      </c>
      <c r="M891" s="33">
        <v>121.31064000000002</v>
      </c>
    </row>
    <row r="892" spans="1:13">
      <c r="A892" t="s">
        <v>133</v>
      </c>
      <c r="B892">
        <v>2002</v>
      </c>
      <c r="C892" s="16">
        <v>0</v>
      </c>
      <c r="D892" s="1">
        <v>23870648.16</v>
      </c>
      <c r="E892" s="29">
        <f>Table1[[#This Row],[Ávöxtun]]*Table1[[#This Row],[Eignir]]/SUMIFS(Table1[Eignir],Table1[Year],Table1[[#This Row],[Year]])</f>
        <v>0</v>
      </c>
      <c r="F892" s="23">
        <f>IF(B892=1997, 100, IF(COUNTIF(A$1:A891,A892)=0, "NEW", F891*(1+Table1[[#This Row],[Ávöxtun]])))</f>
        <v>121.31064000000002</v>
      </c>
      <c r="G892" s="18" cm="1">
        <f t="array" ref="G892">IFERROR(_xlfn.IFS(ISNUMBER(Table1[[#This Row],[Column3]]),Table1[[#This Row],[Column3]],Table1[[#This Row],[Column3]]="NEW",Table1[[#This Row],[Column3]]),"")</f>
        <v>121.31064000000002</v>
      </c>
      <c r="H892" s="15" cm="1">
        <f t="array" ref="H892">_xlfn.IFS(Table1[[#This Row],[Column4]]="NEW",AVERAGEIFS(Table1[Column4],Table1[Year],Table1[[#This Row],[Year]]),ISNUMBER(Table1[[#This Row],[Column4]]),Table1[[#This Row],[Column4]],Table1[[#This Row],[Column4]]="",H891*(1+Table1[[#This Row],[Ávöxtun]]))</f>
        <v>121.31064000000002</v>
      </c>
      <c r="I892" cm="1">
        <f t="array" ref="I892">_xlfn.IFS(Table1[[#This Row],[Column4]]="NEW",_xlfn.XLOOKUP(Table1[[#This Row],[Year]],$N$2:$N$27,$P$2:$P$27),ISNUMBER(Table1[[#This Row],[Column4]]),Table1[[#This Row],[Column4]],Table1[[#This Row],[Column4]]="",I891*(1+Table1[[#This Row],[Ávöxtun]]))</f>
        <v>121.31064000000002</v>
      </c>
      <c r="L892" s="33">
        <v>121.31064000000002</v>
      </c>
      <c r="M892" s="33">
        <v>121.31064000000002</v>
      </c>
    </row>
    <row r="893" spans="1:13">
      <c r="A893" t="s">
        <v>133</v>
      </c>
      <c r="B893">
        <v>2003</v>
      </c>
      <c r="C893" s="16">
        <v>0.1</v>
      </c>
      <c r="D893" s="1">
        <v>28202335</v>
      </c>
      <c r="E893" s="29">
        <f>Table1[[#This Row],[Ávöxtun]]*Table1[[#This Row],[Eignir]]/SUMIFS(Table1[Eignir],Table1[Year],Table1[[#This Row],[Year]])</f>
        <v>3.7113639120528235E-3</v>
      </c>
      <c r="F893" s="23">
        <f>IF(B893=1997, 100, IF(COUNTIF(A$1:A892,A893)=0, "NEW", F892*(1+Table1[[#This Row],[Ávöxtun]])))</f>
        <v>133.44170400000004</v>
      </c>
      <c r="G893" s="18" cm="1">
        <f t="array" ref="G893">IFERROR(_xlfn.IFS(ISNUMBER(Table1[[#This Row],[Column3]]),Table1[[#This Row],[Column3]],Table1[[#This Row],[Column3]]="NEW",Table1[[#This Row],[Column3]]),"")</f>
        <v>133.44170400000004</v>
      </c>
      <c r="H893" s="15" cm="1">
        <f t="array" ref="H893">_xlfn.IFS(Table1[[#This Row],[Column4]]="NEW",AVERAGEIFS(Table1[Column4],Table1[Year],Table1[[#This Row],[Year]]),ISNUMBER(Table1[[#This Row],[Column4]]),Table1[[#This Row],[Column4]],Table1[[#This Row],[Column4]]="",H892*(1+Table1[[#This Row],[Ávöxtun]]))</f>
        <v>133.44170400000004</v>
      </c>
      <c r="I893" cm="1">
        <f t="array" ref="I893">_xlfn.IFS(Table1[[#This Row],[Column4]]="NEW",_xlfn.XLOOKUP(Table1[[#This Row],[Year]],$N$2:$N$27,$P$2:$P$27),ISNUMBER(Table1[[#This Row],[Column4]]),Table1[[#This Row],[Column4]],Table1[[#This Row],[Column4]]="",I892*(1+Table1[[#This Row],[Ávöxtun]]))</f>
        <v>133.44170400000004</v>
      </c>
      <c r="L893" s="33">
        <v>133.44170400000004</v>
      </c>
      <c r="M893" s="33">
        <v>133.44170400000004</v>
      </c>
    </row>
    <row r="894" spans="1:13">
      <c r="A894" t="s">
        <v>133</v>
      </c>
      <c r="B894">
        <v>2004</v>
      </c>
      <c r="C894" s="16">
        <v>0.1</v>
      </c>
      <c r="D894" s="1">
        <v>33619873</v>
      </c>
      <c r="E894" s="29">
        <f>Table1[[#This Row],[Ávöxtun]]*Table1[[#This Row],[Eignir]]/SUMIFS(Table1[Eignir],Table1[Year],Table1[[#This Row],[Year]])</f>
        <v>3.7039736088577773E-3</v>
      </c>
      <c r="F894" s="23">
        <f>IF(B894=1997, 100, IF(COUNTIF(A$1:A893,A894)=0, "NEW", F893*(1+Table1[[#This Row],[Ávöxtun]])))</f>
        <v>146.78587440000007</v>
      </c>
      <c r="G894" s="18" cm="1">
        <f t="array" ref="G894">IFERROR(_xlfn.IFS(ISNUMBER(Table1[[#This Row],[Column3]]),Table1[[#This Row],[Column3]],Table1[[#This Row],[Column3]]="NEW",Table1[[#This Row],[Column3]]),"")</f>
        <v>146.78587440000007</v>
      </c>
      <c r="H894" s="15" cm="1">
        <f t="array" ref="H894">_xlfn.IFS(Table1[[#This Row],[Column4]]="NEW",AVERAGEIFS(Table1[Column4],Table1[Year],Table1[[#This Row],[Year]]),ISNUMBER(Table1[[#This Row],[Column4]]),Table1[[#This Row],[Column4]],Table1[[#This Row],[Column4]]="",H893*(1+Table1[[#This Row],[Ávöxtun]]))</f>
        <v>146.78587440000007</v>
      </c>
      <c r="I894" cm="1">
        <f t="array" ref="I894">_xlfn.IFS(Table1[[#This Row],[Column4]]="NEW",_xlfn.XLOOKUP(Table1[[#This Row],[Year]],$N$2:$N$27,$P$2:$P$27),ISNUMBER(Table1[[#This Row],[Column4]]),Table1[[#This Row],[Column4]],Table1[[#This Row],[Column4]]="",I893*(1+Table1[[#This Row],[Ávöxtun]]))</f>
        <v>146.78587440000007</v>
      </c>
      <c r="L894" s="33">
        <v>146.78587440000007</v>
      </c>
      <c r="M894" s="33">
        <v>146.78587440000007</v>
      </c>
    </row>
    <row r="895" spans="1:13">
      <c r="A895" t="s">
        <v>133</v>
      </c>
      <c r="B895">
        <v>2005</v>
      </c>
      <c r="C895" s="16">
        <v>0.13</v>
      </c>
      <c r="D895" s="1">
        <v>41382819</v>
      </c>
      <c r="E895" s="29">
        <f>Table1[[#This Row],[Ávöxtun]]*Table1[[#This Row],[Eignir]]/SUMIFS(Table1[Eignir],Table1[Year],Table1[[#This Row],[Year]])</f>
        <v>4.7976325716125165E-3</v>
      </c>
      <c r="F895" s="23">
        <f>IF(B895=1997, 100, IF(COUNTIF(A$1:A894,A895)=0, "NEW", F894*(1+Table1[[#This Row],[Ávöxtun]])))</f>
        <v>165.86803807200008</v>
      </c>
      <c r="G895" s="18" cm="1">
        <f t="array" ref="G895">IFERROR(_xlfn.IFS(ISNUMBER(Table1[[#This Row],[Column3]]),Table1[[#This Row],[Column3]],Table1[[#This Row],[Column3]]="NEW",Table1[[#This Row],[Column3]]),"")</f>
        <v>165.86803807200008</v>
      </c>
      <c r="H895" s="15" cm="1">
        <f t="array" ref="H895">_xlfn.IFS(Table1[[#This Row],[Column4]]="NEW",AVERAGEIFS(Table1[Column4],Table1[Year],Table1[[#This Row],[Year]]),ISNUMBER(Table1[[#This Row],[Column4]]),Table1[[#This Row],[Column4]],Table1[[#This Row],[Column4]]="",H894*(1+Table1[[#This Row],[Ávöxtun]]))</f>
        <v>165.86803807200008</v>
      </c>
      <c r="I895" cm="1">
        <f t="array" ref="I895">_xlfn.IFS(Table1[[#This Row],[Column4]]="NEW",_xlfn.XLOOKUP(Table1[[#This Row],[Year]],$N$2:$N$27,$P$2:$P$27),ISNUMBER(Table1[[#This Row],[Column4]]),Table1[[#This Row],[Column4]],Table1[[#This Row],[Column4]]="",I894*(1+Table1[[#This Row],[Ávöxtun]]))</f>
        <v>165.86803807200008</v>
      </c>
      <c r="L895" s="33">
        <v>165.86803807200008</v>
      </c>
      <c r="M895" s="33">
        <v>165.86803807200008</v>
      </c>
    </row>
    <row r="896" spans="1:13">
      <c r="A896" t="s">
        <v>133</v>
      </c>
      <c r="B896">
        <v>2006</v>
      </c>
      <c r="C896" s="16">
        <v>0.105</v>
      </c>
      <c r="D896" s="1">
        <v>50614033</v>
      </c>
      <c r="E896" s="29">
        <f>Table1[[#This Row],[Ávöxtun]]*Table1[[#This Row],[Eignir]]/SUMIFS(Table1[Eignir],Table1[Year],Table1[[#This Row],[Year]])</f>
        <v>3.8716163601475438E-3</v>
      </c>
      <c r="F896" s="23">
        <f>IF(B896=1997, 100, IF(COUNTIF(A$1:A895,A896)=0, "NEW", F895*(1+Table1[[#This Row],[Ávöxtun]])))</f>
        <v>183.28418206956007</v>
      </c>
      <c r="G896" s="18" cm="1">
        <f t="array" ref="G896">IFERROR(_xlfn.IFS(ISNUMBER(Table1[[#This Row],[Column3]]),Table1[[#This Row],[Column3]],Table1[[#This Row],[Column3]]="NEW",Table1[[#This Row],[Column3]]),"")</f>
        <v>183.28418206956007</v>
      </c>
      <c r="H896" s="15" cm="1">
        <f t="array" ref="H896">_xlfn.IFS(Table1[[#This Row],[Column4]]="NEW",AVERAGEIFS(Table1[Column4],Table1[Year],Table1[[#This Row],[Year]]),ISNUMBER(Table1[[#This Row],[Column4]]),Table1[[#This Row],[Column4]],Table1[[#This Row],[Column4]]="",H895*(1+Table1[[#This Row],[Ávöxtun]]))</f>
        <v>183.28418206956007</v>
      </c>
      <c r="I896" cm="1">
        <f t="array" ref="I896">_xlfn.IFS(Table1[[#This Row],[Column4]]="NEW",_xlfn.XLOOKUP(Table1[[#This Row],[Year]],$N$2:$N$27,$P$2:$P$27),ISNUMBER(Table1[[#This Row],[Column4]]),Table1[[#This Row],[Column4]],Table1[[#This Row],[Column4]]="",I895*(1+Table1[[#This Row],[Ávöxtun]]))</f>
        <v>183.28418206956007</v>
      </c>
      <c r="L896" s="33">
        <v>183.28418206956007</v>
      </c>
      <c r="M896" s="33">
        <v>183.28418206956007</v>
      </c>
    </row>
    <row r="897" spans="1:13">
      <c r="A897" t="s">
        <v>133</v>
      </c>
      <c r="B897">
        <v>2007</v>
      </c>
      <c r="C897" s="16">
        <v>2.0999999999999999E-3</v>
      </c>
      <c r="D897" s="1">
        <v>55643381</v>
      </c>
      <c r="E897" s="29">
        <f>Table1[[#This Row],[Ávöxtun]]*Table1[[#This Row],[Eignir]]/SUMIFS(Table1[Eignir],Table1[Year],Table1[[#This Row],[Year]])</f>
        <v>7.5562917337023121E-5</v>
      </c>
      <c r="F897" s="23">
        <f>IF(B897=1997, 100, IF(COUNTIF(A$1:A896,A897)=0, "NEW", F896*(1+Table1[[#This Row],[Ávöxtun]])))</f>
        <v>183.66907885190614</v>
      </c>
      <c r="G897" s="18" cm="1">
        <f t="array" ref="G897">IFERROR(_xlfn.IFS(ISNUMBER(Table1[[#This Row],[Column3]]),Table1[[#This Row],[Column3]],Table1[[#This Row],[Column3]]="NEW",Table1[[#This Row],[Column3]]),"")</f>
        <v>183.66907885190614</v>
      </c>
      <c r="H897" s="15" cm="1">
        <f t="array" ref="H897">_xlfn.IFS(Table1[[#This Row],[Column4]]="NEW",AVERAGEIFS(Table1[Column4],Table1[Year],Table1[[#This Row],[Year]]),ISNUMBER(Table1[[#This Row],[Column4]]),Table1[[#This Row],[Column4]],Table1[[#This Row],[Column4]]="",H896*(1+Table1[[#This Row],[Ávöxtun]]))</f>
        <v>183.66907885190614</v>
      </c>
      <c r="I897" cm="1">
        <f t="array" ref="I897">_xlfn.IFS(Table1[[#This Row],[Column4]]="NEW",_xlfn.XLOOKUP(Table1[[#This Row],[Year]],$N$2:$N$27,$P$2:$P$27),ISNUMBER(Table1[[#This Row],[Column4]]),Table1[[#This Row],[Column4]],Table1[[#This Row],[Column4]]="",I896*(1+Table1[[#This Row],[Ávöxtun]]))</f>
        <v>183.66907885190614</v>
      </c>
      <c r="L897" s="33">
        <v>183.66907885190614</v>
      </c>
      <c r="M897" s="33">
        <v>183.66907885190614</v>
      </c>
    </row>
    <row r="898" spans="1:13">
      <c r="A898" t="s">
        <v>133</v>
      </c>
      <c r="B898">
        <v>2008</v>
      </c>
      <c r="C898" s="16">
        <v>-0.1384</v>
      </c>
      <c r="D898" s="1">
        <v>57926567</v>
      </c>
      <c r="E898" s="29">
        <f>Table1[[#This Row],[Ávöxtun]]*Table1[[#This Row],[Eignir]]/SUMIFS(Table1[Eignir],Table1[Year],Table1[[#This Row],[Year]])</f>
        <v>-5.3542650242085999E-3</v>
      </c>
      <c r="F898" s="23">
        <f>IF(B898=1997, 100, IF(COUNTIF(A$1:A897,A898)=0, "NEW", F897*(1+Table1[[#This Row],[Ávöxtun]])))</f>
        <v>158.24927833880233</v>
      </c>
      <c r="G898" s="18" cm="1">
        <f t="array" ref="G898">IFERROR(_xlfn.IFS(ISNUMBER(Table1[[#This Row],[Column3]]),Table1[[#This Row],[Column3]],Table1[[#This Row],[Column3]]="NEW",Table1[[#This Row],[Column3]]),"")</f>
        <v>158.24927833880233</v>
      </c>
      <c r="H898" s="15" cm="1">
        <f t="array" ref="H898">_xlfn.IFS(Table1[[#This Row],[Column4]]="NEW",AVERAGEIFS(Table1[Column4],Table1[Year],Table1[[#This Row],[Year]]),ISNUMBER(Table1[[#This Row],[Column4]]),Table1[[#This Row],[Column4]],Table1[[#This Row],[Column4]]="",H897*(1+Table1[[#This Row],[Ávöxtun]]))</f>
        <v>158.24927833880233</v>
      </c>
      <c r="I898" cm="1">
        <f t="array" ref="I898">_xlfn.IFS(Table1[[#This Row],[Column4]]="NEW",_xlfn.XLOOKUP(Table1[[#This Row],[Year]],$N$2:$N$27,$P$2:$P$27),ISNUMBER(Table1[[#This Row],[Column4]]),Table1[[#This Row],[Column4]],Table1[[#This Row],[Column4]]="",I897*(1+Table1[[#This Row],[Ávöxtun]]))</f>
        <v>158.24927833880233</v>
      </c>
      <c r="L898" s="33">
        <v>158.24927833880233</v>
      </c>
      <c r="M898" s="33">
        <v>158.24927833880233</v>
      </c>
    </row>
    <row r="899" spans="1:13">
      <c r="A899" t="s">
        <v>133</v>
      </c>
      <c r="B899">
        <v>2009</v>
      </c>
      <c r="C899" s="16">
        <v>3.7999999999999999E-2</v>
      </c>
      <c r="D899" s="1">
        <v>67367934</v>
      </c>
      <c r="E899" s="29">
        <f>Table1[[#This Row],[Ávöxtun]]*Table1[[#This Row],[Eignir]]/SUMIFS(Table1[Eignir],Table1[Year],Table1[[#This Row],[Year]])</f>
        <v>1.5345234035593685E-3</v>
      </c>
      <c r="F899" s="23">
        <f>IF(B899=1997, 100, IF(COUNTIF(A$1:A898,A899)=0, "NEW", F898*(1+Table1[[#This Row],[Ávöxtun]])))</f>
        <v>164.26275091567683</v>
      </c>
      <c r="G899" s="18" cm="1">
        <f t="array" ref="G899">IFERROR(_xlfn.IFS(ISNUMBER(Table1[[#This Row],[Column3]]),Table1[[#This Row],[Column3]],Table1[[#This Row],[Column3]]="NEW",Table1[[#This Row],[Column3]]),"")</f>
        <v>164.26275091567683</v>
      </c>
      <c r="H899" s="15" cm="1">
        <f t="array" ref="H899">_xlfn.IFS(Table1[[#This Row],[Column4]]="NEW",AVERAGEIFS(Table1[Column4],Table1[Year],Table1[[#This Row],[Year]]),ISNUMBER(Table1[[#This Row],[Column4]]),Table1[[#This Row],[Column4]],Table1[[#This Row],[Column4]]="",H898*(1+Table1[[#This Row],[Ávöxtun]]))</f>
        <v>164.26275091567683</v>
      </c>
      <c r="I899" cm="1">
        <f t="array" ref="I899">_xlfn.IFS(Table1[[#This Row],[Column4]]="NEW",_xlfn.XLOOKUP(Table1[[#This Row],[Year]],$N$2:$N$27,$P$2:$P$27),ISNUMBER(Table1[[#This Row],[Column4]]),Table1[[#This Row],[Column4]],Table1[[#This Row],[Column4]]="",I898*(1+Table1[[#This Row],[Ávöxtun]]))</f>
        <v>164.26275091567683</v>
      </c>
      <c r="L899" s="33">
        <v>164.26275091567683</v>
      </c>
      <c r="M899" s="33">
        <v>164.26275091567683</v>
      </c>
    </row>
    <row r="900" spans="1:13">
      <c r="A900" t="s">
        <v>133</v>
      </c>
      <c r="B900">
        <v>2010</v>
      </c>
      <c r="C900" s="16">
        <v>3.6600000000000001E-2</v>
      </c>
      <c r="D900" s="1">
        <v>79051184</v>
      </c>
      <c r="E900" s="29">
        <f>Table1[[#This Row],[Ávöxtun]]*Table1[[#This Row],[Eignir]]/SUMIFS(Table1[Eignir],Table1[Year],Table1[[#This Row],[Year]])</f>
        <v>1.6183550099058554E-3</v>
      </c>
      <c r="F900" s="23">
        <f>IF(B900=1997, 100, IF(COUNTIF(A$1:A899,A900)=0, "NEW", F899*(1+Table1[[#This Row],[Ávöxtun]])))</f>
        <v>170.2747675991906</v>
      </c>
      <c r="G900" s="18" cm="1">
        <f t="array" ref="G900">IFERROR(_xlfn.IFS(ISNUMBER(Table1[[#This Row],[Column3]]),Table1[[#This Row],[Column3]],Table1[[#This Row],[Column3]]="NEW",Table1[[#This Row],[Column3]]),"")</f>
        <v>170.2747675991906</v>
      </c>
      <c r="H900" s="15" cm="1">
        <f t="array" ref="H900">_xlfn.IFS(Table1[[#This Row],[Column4]]="NEW",AVERAGEIFS(Table1[Column4],Table1[Year],Table1[[#This Row],[Year]]),ISNUMBER(Table1[[#This Row],[Column4]]),Table1[[#This Row],[Column4]],Table1[[#This Row],[Column4]]="",H899*(1+Table1[[#This Row],[Ávöxtun]]))</f>
        <v>170.2747675991906</v>
      </c>
      <c r="I900" cm="1">
        <f t="array" ref="I900">_xlfn.IFS(Table1[[#This Row],[Column4]]="NEW",_xlfn.XLOOKUP(Table1[[#This Row],[Year]],$N$2:$N$27,$P$2:$P$27),ISNUMBER(Table1[[#This Row],[Column4]]),Table1[[#This Row],[Column4]],Table1[[#This Row],[Column4]]="",I899*(1+Table1[[#This Row],[Ávöxtun]]))</f>
        <v>170.2747675991906</v>
      </c>
      <c r="L900" s="33">
        <v>170.2747675991906</v>
      </c>
      <c r="M900" s="33">
        <v>170.2747675991906</v>
      </c>
    </row>
    <row r="901" spans="1:13">
      <c r="A901" t="s">
        <v>133</v>
      </c>
      <c r="B901">
        <v>2011</v>
      </c>
      <c r="C901" s="16">
        <v>0.03</v>
      </c>
      <c r="D901" s="1">
        <v>86463951</v>
      </c>
      <c r="E901" s="29">
        <f>Table1[[#This Row],[Ávöxtun]]*Table1[[#This Row],[Eignir]]/SUMIFS(Table1[Eignir],Table1[Year],Table1[[#This Row],[Year]])</f>
        <v>1.3298335223046473E-3</v>
      </c>
      <c r="F901" s="23">
        <f>IF(B901=1997, 100, IF(COUNTIF(A$1:A900,A901)=0, "NEW", F900*(1+Table1[[#This Row],[Ávöxtun]])))</f>
        <v>175.38301062716633</v>
      </c>
      <c r="G901" s="18" cm="1">
        <f t="array" ref="G901">IFERROR(_xlfn.IFS(ISNUMBER(Table1[[#This Row],[Column3]]),Table1[[#This Row],[Column3]],Table1[[#This Row],[Column3]]="NEW",Table1[[#This Row],[Column3]]),"")</f>
        <v>175.38301062716633</v>
      </c>
      <c r="H901" s="15" cm="1">
        <f t="array" ref="H901">_xlfn.IFS(Table1[[#This Row],[Column4]]="NEW",AVERAGEIFS(Table1[Column4],Table1[Year],Table1[[#This Row],[Year]]),ISNUMBER(Table1[[#This Row],[Column4]]),Table1[[#This Row],[Column4]],Table1[[#This Row],[Column4]]="",H900*(1+Table1[[#This Row],[Ávöxtun]]))</f>
        <v>175.38301062716633</v>
      </c>
      <c r="I901" cm="1">
        <f t="array" ref="I901">_xlfn.IFS(Table1[[#This Row],[Column4]]="NEW",_xlfn.XLOOKUP(Table1[[#This Row],[Year]],$N$2:$N$27,$P$2:$P$27),ISNUMBER(Table1[[#This Row],[Column4]]),Table1[[#This Row],[Column4]],Table1[[#This Row],[Column4]]="",I900*(1+Table1[[#This Row],[Ávöxtun]]))</f>
        <v>175.38301062716633</v>
      </c>
      <c r="L901" s="33">
        <v>175.38301062716633</v>
      </c>
      <c r="M901" s="33">
        <v>175.38301062716633</v>
      </c>
    </row>
    <row r="902" spans="1:13">
      <c r="A902" t="s">
        <v>133</v>
      </c>
      <c r="B902">
        <v>2012</v>
      </c>
      <c r="C902" s="16">
        <v>7.2999999999999995E-2</v>
      </c>
      <c r="D902" s="1">
        <v>106641295</v>
      </c>
      <c r="E902" s="29">
        <f>Table1[[#This Row],[Ávöxtun]]*Table1[[#This Row],[Eignir]]/SUMIFS(Table1[Eignir],Table1[Year],Table1[[#This Row],[Year]])</f>
        <v>3.5339851806642929E-3</v>
      </c>
      <c r="F902" s="23">
        <f>IF(B902=1997, 100, IF(COUNTIF(A$1:A901,A902)=0, "NEW", F901*(1+Table1[[#This Row],[Ávöxtun]])))</f>
        <v>188.18597040294947</v>
      </c>
      <c r="G902" s="18" cm="1">
        <f t="array" ref="G902">IFERROR(_xlfn.IFS(ISNUMBER(Table1[[#This Row],[Column3]]),Table1[[#This Row],[Column3]],Table1[[#This Row],[Column3]]="NEW",Table1[[#This Row],[Column3]]),"")</f>
        <v>188.18597040294947</v>
      </c>
      <c r="H902" s="15" cm="1">
        <f t="array" ref="H902">_xlfn.IFS(Table1[[#This Row],[Column4]]="NEW",AVERAGEIFS(Table1[Column4],Table1[Year],Table1[[#This Row],[Year]]),ISNUMBER(Table1[[#This Row],[Column4]]),Table1[[#This Row],[Column4]],Table1[[#This Row],[Column4]]="",H901*(1+Table1[[#This Row],[Ávöxtun]]))</f>
        <v>188.18597040294947</v>
      </c>
      <c r="I902" cm="1">
        <f t="array" ref="I902">_xlfn.IFS(Table1[[#This Row],[Column4]]="NEW",_xlfn.XLOOKUP(Table1[[#This Row],[Year]],$N$2:$N$27,$P$2:$P$27),ISNUMBER(Table1[[#This Row],[Column4]]),Table1[[#This Row],[Column4]],Table1[[#This Row],[Column4]]="",I901*(1+Table1[[#This Row],[Ávöxtun]]))</f>
        <v>188.18597040294947</v>
      </c>
      <c r="L902" s="33">
        <v>188.18597040294947</v>
      </c>
      <c r="M902" s="33">
        <v>188.18597040294947</v>
      </c>
    </row>
    <row r="903" spans="1:13">
      <c r="A903" t="s">
        <v>133</v>
      </c>
      <c r="B903">
        <v>2013</v>
      </c>
      <c r="C903" s="16">
        <v>6.2000000000000006E-2</v>
      </c>
      <c r="D903" s="1">
        <v>117739653</v>
      </c>
      <c r="E903" s="29">
        <f>Table1[[#This Row],[Ávöxtun]]*Table1[[#This Row],[Eignir]]/SUMIFS(Table1[Eignir],Table1[Year],Table1[[#This Row],[Year]])</f>
        <v>2.9996383475500077E-3</v>
      </c>
      <c r="F903" s="23">
        <f>IF(B903=1997, 100, IF(COUNTIF(A$1:A902,A903)=0, "NEW", F902*(1+Table1[[#This Row],[Ávöxtun]])))</f>
        <v>199.85350056793234</v>
      </c>
      <c r="G903" s="18" cm="1">
        <f t="array" ref="G903">IFERROR(_xlfn.IFS(ISNUMBER(Table1[[#This Row],[Column3]]),Table1[[#This Row],[Column3]],Table1[[#This Row],[Column3]]="NEW",Table1[[#This Row],[Column3]]),"")</f>
        <v>199.85350056793234</v>
      </c>
      <c r="H903" s="15" cm="1">
        <f t="array" ref="H903">_xlfn.IFS(Table1[[#This Row],[Column4]]="NEW",AVERAGEIFS(Table1[Column4],Table1[Year],Table1[[#This Row],[Year]]),ISNUMBER(Table1[[#This Row],[Column4]]),Table1[[#This Row],[Column4]],Table1[[#This Row],[Column4]]="",H902*(1+Table1[[#This Row],[Ávöxtun]]))</f>
        <v>199.85350056793234</v>
      </c>
      <c r="I903" cm="1">
        <f t="array" ref="I903">_xlfn.IFS(Table1[[#This Row],[Column4]]="NEW",_xlfn.XLOOKUP(Table1[[#This Row],[Year]],$N$2:$N$27,$P$2:$P$27),ISNUMBER(Table1[[#This Row],[Column4]]),Table1[[#This Row],[Column4]],Table1[[#This Row],[Column4]]="",I902*(1+Table1[[#This Row],[Ávöxtun]]))</f>
        <v>199.85350056793234</v>
      </c>
      <c r="L903" s="33">
        <v>199.85350056793234</v>
      </c>
      <c r="M903" s="33">
        <v>199.85350056793234</v>
      </c>
    </row>
    <row r="904" spans="1:13">
      <c r="A904" t="s">
        <v>133</v>
      </c>
      <c r="B904">
        <v>2014</v>
      </c>
      <c r="C904" s="16">
        <v>6.7000000000000004E-2</v>
      </c>
      <c r="D904" s="1">
        <v>126928532</v>
      </c>
      <c r="E904" s="29">
        <f>Table1[[#This Row],[Ávöxtun]]*Table1[[#This Row],[Eignir]]/SUMIFS(Table1[Eignir],Table1[Year],Table1[[#This Row],[Year]])</f>
        <v>3.2054852789664039E-3</v>
      </c>
      <c r="F904" s="23">
        <f>IF(B904=1997, 100, IF(COUNTIF(A$1:A903,A904)=0, "NEW", F903*(1+Table1[[#This Row],[Ávöxtun]])))</f>
        <v>213.24368510598379</v>
      </c>
      <c r="G904" s="18" cm="1">
        <f t="array" ref="G904">IFERROR(_xlfn.IFS(ISNUMBER(Table1[[#This Row],[Column3]]),Table1[[#This Row],[Column3]],Table1[[#This Row],[Column3]]="NEW",Table1[[#This Row],[Column3]]),"")</f>
        <v>213.24368510598379</v>
      </c>
      <c r="H904" s="15" cm="1">
        <f t="array" ref="H904">_xlfn.IFS(Table1[[#This Row],[Column4]]="NEW",AVERAGEIFS(Table1[Column4],Table1[Year],Table1[[#This Row],[Year]]),ISNUMBER(Table1[[#This Row],[Column4]]),Table1[[#This Row],[Column4]],Table1[[#This Row],[Column4]]="",H903*(1+Table1[[#This Row],[Ávöxtun]]))</f>
        <v>213.24368510598379</v>
      </c>
      <c r="I904" cm="1">
        <f t="array" ref="I904">_xlfn.IFS(Table1[[#This Row],[Column4]]="NEW",_xlfn.XLOOKUP(Table1[[#This Row],[Year]],$N$2:$N$27,$P$2:$P$27),ISNUMBER(Table1[[#This Row],[Column4]]),Table1[[#This Row],[Column4]],Table1[[#This Row],[Column4]]="",I903*(1+Table1[[#This Row],[Ávöxtun]]))</f>
        <v>213.24368510598379</v>
      </c>
      <c r="L904" s="33">
        <v>213.24368510598379</v>
      </c>
      <c r="M904" s="33">
        <v>213.24368510598379</v>
      </c>
    </row>
    <row r="905" spans="1:13">
      <c r="A905" t="s">
        <v>133</v>
      </c>
      <c r="B905">
        <v>2015</v>
      </c>
      <c r="C905" s="16">
        <v>6.3E-2</v>
      </c>
      <c r="D905" s="1">
        <v>137550117</v>
      </c>
      <c r="E905" s="29">
        <f>Table1[[#This Row],[Ávöxtun]]*Table1[[#This Row],[Eignir]]/SUMIFS(Table1[Eignir],Table1[Year],Table1[[#This Row],[Year]])</f>
        <v>2.9262244464923993E-3</v>
      </c>
      <c r="F905" s="23">
        <f>IF(B905=1997, 100, IF(COUNTIF(A$1:A904,A905)=0, "NEW", F904*(1+Table1[[#This Row],[Ávöxtun]])))</f>
        <v>226.67803726766076</v>
      </c>
      <c r="G905" s="18" cm="1">
        <f t="array" ref="G905">IFERROR(_xlfn.IFS(ISNUMBER(Table1[[#This Row],[Column3]]),Table1[[#This Row],[Column3]],Table1[[#This Row],[Column3]]="NEW",Table1[[#This Row],[Column3]]),"")</f>
        <v>226.67803726766076</v>
      </c>
      <c r="H905" s="15" cm="1">
        <f t="array" ref="H905">_xlfn.IFS(Table1[[#This Row],[Column4]]="NEW",AVERAGEIFS(Table1[Column4],Table1[Year],Table1[[#This Row],[Year]]),ISNUMBER(Table1[[#This Row],[Column4]]),Table1[[#This Row],[Column4]],Table1[[#This Row],[Column4]]="",H904*(1+Table1[[#This Row],[Ávöxtun]]))</f>
        <v>226.67803726766076</v>
      </c>
      <c r="I905" cm="1">
        <f t="array" ref="I905">_xlfn.IFS(Table1[[#This Row],[Column4]]="NEW",_xlfn.XLOOKUP(Table1[[#This Row],[Year]],$N$2:$N$27,$P$2:$P$27),ISNUMBER(Table1[[#This Row],[Column4]]),Table1[[#This Row],[Column4]],Table1[[#This Row],[Column4]]="",I904*(1+Table1[[#This Row],[Ávöxtun]]))</f>
        <v>226.67803726766076</v>
      </c>
      <c r="L905" s="33">
        <v>226.67803726766076</v>
      </c>
      <c r="M905" s="33">
        <v>226.67803726766076</v>
      </c>
    </row>
    <row r="906" spans="1:13">
      <c r="A906" t="s">
        <v>133</v>
      </c>
      <c r="B906">
        <v>2016</v>
      </c>
      <c r="C906" s="16">
        <v>-2E-3</v>
      </c>
      <c r="D906" s="1">
        <v>140617353.77000001</v>
      </c>
      <c r="E906" s="29">
        <f>Table1[[#This Row],[Ávöxtun]]*Table1[[#This Row],[Eignir]]/SUMIFS(Table1[Eignir],Table1[Year],Table1[[#This Row],[Year]])</f>
        <v>-8.7884564700136262E-5</v>
      </c>
      <c r="F906" s="23">
        <f>IF(B906=1997, 100, IF(COUNTIF(A$1:A905,A906)=0, "NEW", F905*(1+Table1[[#This Row],[Ávöxtun]])))</f>
        <v>226.22468119312543</v>
      </c>
      <c r="G906" s="18" cm="1">
        <f t="array" ref="G906">IFERROR(_xlfn.IFS(ISNUMBER(Table1[[#This Row],[Column3]]),Table1[[#This Row],[Column3]],Table1[[#This Row],[Column3]]="NEW",Table1[[#This Row],[Column3]]),"")</f>
        <v>226.22468119312543</v>
      </c>
      <c r="H906" s="15" cm="1">
        <f t="array" ref="H906">_xlfn.IFS(Table1[[#This Row],[Column4]]="NEW",AVERAGEIFS(Table1[Column4],Table1[Year],Table1[[#This Row],[Year]]),ISNUMBER(Table1[[#This Row],[Column4]]),Table1[[#This Row],[Column4]],Table1[[#This Row],[Column4]]="",H905*(1+Table1[[#This Row],[Ávöxtun]]))</f>
        <v>226.22468119312543</v>
      </c>
      <c r="I906" cm="1">
        <f t="array" ref="I906">_xlfn.IFS(Table1[[#This Row],[Column4]]="NEW",_xlfn.XLOOKUP(Table1[[#This Row],[Year]],$N$2:$N$27,$P$2:$P$27),ISNUMBER(Table1[[#This Row],[Column4]]),Table1[[#This Row],[Column4]],Table1[[#This Row],[Column4]]="",I905*(1+Table1[[#This Row],[Ávöxtun]]))</f>
        <v>226.22468119312543</v>
      </c>
      <c r="L906" s="33">
        <v>226.22468119312543</v>
      </c>
      <c r="M906" s="33">
        <v>226.22468119312543</v>
      </c>
    </row>
    <row r="907" spans="1:13">
      <c r="A907" t="s">
        <v>133</v>
      </c>
      <c r="B907">
        <v>2017</v>
      </c>
      <c r="C907" s="16">
        <v>5.2999999999999999E-2</v>
      </c>
      <c r="D907" s="1">
        <v>150849042</v>
      </c>
      <c r="E907" s="29">
        <f>Table1[[#This Row],[Ávöxtun]]*Table1[[#This Row],[Eignir]]/SUMIFS(Table1[Eignir],Table1[Year],Table1[[#This Row],[Year]])</f>
        <v>2.2463218219295608E-3</v>
      </c>
      <c r="F907" s="23">
        <f>IF(B907=1997, 100, IF(COUNTIF(A$1:A906,A907)=0, "NEW", F906*(1+Table1[[#This Row],[Ávöxtun]])))</f>
        <v>238.21458929636105</v>
      </c>
      <c r="G907" s="18" cm="1">
        <f t="array" ref="G907">IFERROR(_xlfn.IFS(ISNUMBER(Table1[[#This Row],[Column3]]),Table1[[#This Row],[Column3]],Table1[[#This Row],[Column3]]="NEW",Table1[[#This Row],[Column3]]),"")</f>
        <v>238.21458929636105</v>
      </c>
      <c r="H907" s="15" cm="1">
        <f t="array" ref="H907">_xlfn.IFS(Table1[[#This Row],[Column4]]="NEW",AVERAGEIFS(Table1[Column4],Table1[Year],Table1[[#This Row],[Year]]),ISNUMBER(Table1[[#This Row],[Column4]]),Table1[[#This Row],[Column4]],Table1[[#This Row],[Column4]]="",H906*(1+Table1[[#This Row],[Ávöxtun]]))</f>
        <v>238.21458929636105</v>
      </c>
      <c r="I907" cm="1">
        <f t="array" ref="I907">_xlfn.IFS(Table1[[#This Row],[Column4]]="NEW",_xlfn.XLOOKUP(Table1[[#This Row],[Year]],$N$2:$N$27,$P$2:$P$27),ISNUMBER(Table1[[#This Row],[Column4]]),Table1[[#This Row],[Column4]],Table1[[#This Row],[Column4]]="",I906*(1+Table1[[#This Row],[Ávöxtun]]))</f>
        <v>238.21458929636105</v>
      </c>
      <c r="L907" s="33">
        <v>238.21458929636105</v>
      </c>
      <c r="M907" s="33">
        <v>238.21458929636105</v>
      </c>
    </row>
    <row r="908" spans="1:13">
      <c r="A908" t="s">
        <v>133</v>
      </c>
      <c r="B908">
        <v>2018</v>
      </c>
      <c r="C908" s="16">
        <v>2.2000000000000002E-2</v>
      </c>
      <c r="D908" s="1">
        <v>159444084</v>
      </c>
      <c r="E908" s="29">
        <f>Table1[[#This Row],[Ávöxtun]]*Table1[[#This Row],[Eignir]]/SUMIFS(Table1[Eignir],Table1[Year],Table1[[#This Row],[Year]])</f>
        <v>9.1866876235709226E-4</v>
      </c>
      <c r="F908" s="23">
        <f>IF(B908=1997, 100, IF(COUNTIF(A$1:A907,A908)=0, "NEW", F907*(1+Table1[[#This Row],[Ávöxtun]])))</f>
        <v>243.45531026088099</v>
      </c>
      <c r="G908" s="18" cm="1">
        <f t="array" ref="G908">IFERROR(_xlfn.IFS(ISNUMBER(Table1[[#This Row],[Column3]]),Table1[[#This Row],[Column3]],Table1[[#This Row],[Column3]]="NEW",Table1[[#This Row],[Column3]]),"")</f>
        <v>243.45531026088099</v>
      </c>
      <c r="H908" s="15" cm="1">
        <f t="array" ref="H908">_xlfn.IFS(Table1[[#This Row],[Column4]]="NEW",AVERAGEIFS(Table1[Column4],Table1[Year],Table1[[#This Row],[Year]]),ISNUMBER(Table1[[#This Row],[Column4]]),Table1[[#This Row],[Column4]],Table1[[#This Row],[Column4]]="",H907*(1+Table1[[#This Row],[Ávöxtun]]))</f>
        <v>243.45531026088099</v>
      </c>
      <c r="I908" cm="1">
        <f t="array" ref="I908">_xlfn.IFS(Table1[[#This Row],[Column4]]="NEW",_xlfn.XLOOKUP(Table1[[#This Row],[Year]],$N$2:$N$27,$P$2:$P$27),ISNUMBER(Table1[[#This Row],[Column4]]),Table1[[#This Row],[Column4]],Table1[[#This Row],[Column4]]="",I907*(1+Table1[[#This Row],[Ávöxtun]]))</f>
        <v>243.45531026088099</v>
      </c>
      <c r="L908" s="33">
        <v>243.45531026088099</v>
      </c>
      <c r="M908" s="33">
        <v>243.45531026088099</v>
      </c>
    </row>
    <row r="909" spans="1:13">
      <c r="A909" t="s">
        <v>133</v>
      </c>
      <c r="B909">
        <v>2019</v>
      </c>
      <c r="C909" s="16">
        <v>0.107</v>
      </c>
      <c r="D909" s="1">
        <v>181285248.5</v>
      </c>
      <c r="E909" s="29">
        <f>Table1[[#This Row],[Ávöxtun]]*Table1[[#This Row],[Eignir]]/SUMIFS(Table1[Eignir],Table1[Year],Table1[[#This Row],[Year]])</f>
        <v>4.3817599772743117E-3</v>
      </c>
      <c r="F909" s="23">
        <f>IF(B909=1997, 100, IF(COUNTIF(A$1:A908,A909)=0, "NEW", F908*(1+Table1[[#This Row],[Ávöxtun]])))</f>
        <v>269.50502845879527</v>
      </c>
      <c r="G909" s="18" cm="1">
        <f t="array" ref="G909">IFERROR(_xlfn.IFS(ISNUMBER(Table1[[#This Row],[Column3]]),Table1[[#This Row],[Column3]],Table1[[#This Row],[Column3]]="NEW",Table1[[#This Row],[Column3]]),"")</f>
        <v>269.50502845879527</v>
      </c>
      <c r="H909" s="15" cm="1">
        <f t="array" ref="H909">_xlfn.IFS(Table1[[#This Row],[Column4]]="NEW",AVERAGEIFS(Table1[Column4],Table1[Year],Table1[[#This Row],[Year]]),ISNUMBER(Table1[[#This Row],[Column4]]),Table1[[#This Row],[Column4]],Table1[[#This Row],[Column4]]="",H908*(1+Table1[[#This Row],[Ávöxtun]]))</f>
        <v>269.50502845879527</v>
      </c>
      <c r="I909" cm="1">
        <f t="array" ref="I909">_xlfn.IFS(Table1[[#This Row],[Column4]]="NEW",_xlfn.XLOOKUP(Table1[[#This Row],[Year]],$N$2:$N$27,$P$2:$P$27),ISNUMBER(Table1[[#This Row],[Column4]]),Table1[[#This Row],[Column4]],Table1[[#This Row],[Column4]]="",I908*(1+Table1[[#This Row],[Ávöxtun]]))</f>
        <v>269.50502845879527</v>
      </c>
      <c r="L909" s="33">
        <v>269.50502845879527</v>
      </c>
      <c r="M909" s="33">
        <v>269.50502845879527</v>
      </c>
    </row>
    <row r="910" spans="1:13">
      <c r="A910" t="s">
        <v>133</v>
      </c>
      <c r="B910">
        <v>2020</v>
      </c>
      <c r="C910" s="16">
        <v>9.6999999999999989E-2</v>
      </c>
      <c r="D910" s="1">
        <v>205138515.94999999</v>
      </c>
      <c r="E910" s="29">
        <f>Table1[[#This Row],[Ávöxtun]]*Table1[[#This Row],[Eignir]]/SUMIFS(Table1[Eignir],Table1[Year],Table1[[#This Row],[Year]])</f>
        <v>3.8738432630154116E-3</v>
      </c>
      <c r="F910" s="23">
        <f>IF(B910=1997, 100, IF(COUNTIF(A$1:A909,A910)=0, "NEW", F909*(1+Table1[[#This Row],[Ávöxtun]])))</f>
        <v>295.64701621929839</v>
      </c>
      <c r="G910" s="18" cm="1">
        <f t="array" ref="G910">IFERROR(_xlfn.IFS(ISNUMBER(Table1[[#This Row],[Column3]]),Table1[[#This Row],[Column3]],Table1[[#This Row],[Column3]]="NEW",Table1[[#This Row],[Column3]]),"")</f>
        <v>295.64701621929839</v>
      </c>
      <c r="H910" s="15" cm="1">
        <f t="array" ref="H910">_xlfn.IFS(Table1[[#This Row],[Column4]]="NEW",AVERAGEIFS(Table1[Column4],Table1[Year],Table1[[#This Row],[Year]]),ISNUMBER(Table1[[#This Row],[Column4]]),Table1[[#This Row],[Column4]],Table1[[#This Row],[Column4]]="",H909*(1+Table1[[#This Row],[Ávöxtun]]))</f>
        <v>295.64701621929839</v>
      </c>
      <c r="I910" cm="1">
        <f t="array" ref="I910">_xlfn.IFS(Table1[[#This Row],[Column4]]="NEW",_xlfn.XLOOKUP(Table1[[#This Row],[Year]],$N$2:$N$27,$P$2:$P$27),ISNUMBER(Table1[[#This Row],[Column4]]),Table1[[#This Row],[Column4]],Table1[[#This Row],[Column4]]="",I909*(1+Table1[[#This Row],[Ávöxtun]]))</f>
        <v>295.64701621929839</v>
      </c>
      <c r="L910" s="33">
        <v>295.64701621929839</v>
      </c>
      <c r="M910" s="33">
        <v>295.64701621929839</v>
      </c>
    </row>
    <row r="911" spans="1:13">
      <c r="A911" t="s">
        <v>133</v>
      </c>
      <c r="B911">
        <v>2021</v>
      </c>
      <c r="C911" s="16">
        <v>0.11699999999999999</v>
      </c>
      <c r="D911" s="1">
        <v>239022427.03</v>
      </c>
      <c r="E911" s="29">
        <f>Table1[[#This Row],[Ávöxtun]]*Table1[[#This Row],[Eignir]]/SUMIFS(Table1[Eignir],Table1[Year],Table1[[#This Row],[Year]])</f>
        <v>4.630454879165029E-3</v>
      </c>
      <c r="F911" s="23">
        <f>IF(B911=1997, 100, IF(COUNTIF(A$1:A910,A911)=0, "NEW", F910*(1+Table1[[#This Row],[Ávöxtun]])))</f>
        <v>330.23771711695628</v>
      </c>
      <c r="G911" s="18" cm="1">
        <f t="array" ref="G911">IFERROR(_xlfn.IFS(ISNUMBER(Table1[[#This Row],[Column3]]),Table1[[#This Row],[Column3]],Table1[[#This Row],[Column3]]="NEW",Table1[[#This Row],[Column3]]),"")</f>
        <v>330.23771711695628</v>
      </c>
      <c r="H911" s="15" cm="1">
        <f t="array" ref="H911">_xlfn.IFS(Table1[[#This Row],[Column4]]="NEW",AVERAGEIFS(Table1[Column4],Table1[Year],Table1[[#This Row],[Year]]),ISNUMBER(Table1[[#This Row],[Column4]]),Table1[[#This Row],[Column4]],Table1[[#This Row],[Column4]]="",H910*(1+Table1[[#This Row],[Ávöxtun]]))</f>
        <v>330.23771711695628</v>
      </c>
      <c r="I911" cm="1">
        <f t="array" ref="I911">_xlfn.IFS(Table1[[#This Row],[Column4]]="NEW",_xlfn.XLOOKUP(Table1[[#This Row],[Year]],$N$2:$N$27,$P$2:$P$27),ISNUMBER(Table1[[#This Row],[Column4]]),Table1[[#This Row],[Column4]],Table1[[#This Row],[Column4]]="",I910*(1+Table1[[#This Row],[Ávöxtun]]))</f>
        <v>330.23771711695628</v>
      </c>
      <c r="L911" s="33">
        <v>330.23771711695628</v>
      </c>
      <c r="M911" s="33">
        <v>330.23771711695628</v>
      </c>
    </row>
    <row r="912" spans="1:13">
      <c r="A912" t="s">
        <v>130</v>
      </c>
      <c r="B912">
        <v>2006</v>
      </c>
      <c r="C912" s="16">
        <v>8.9900000000000008E-2</v>
      </c>
      <c r="D912" s="1">
        <v>71929667</v>
      </c>
      <c r="E912" s="29">
        <f>Table1[[#This Row],[Ávöxtun]]*Table1[[#This Row],[Eignir]]/SUMIFS(Table1[Eignir],Table1[Year],Table1[[#This Row],[Year]])</f>
        <v>4.7108558459593563E-3</v>
      </c>
      <c r="F912" s="23" t="str">
        <f>IF(B912=1997, 100, IF(COUNTIF(A$1:A911,A912)=0, "NEW", F911*(1+Table1[[#This Row],[Ávöxtun]])))</f>
        <v>NEW</v>
      </c>
      <c r="G912" s="18" t="str" cm="1">
        <f t="array" ref="G912">IFERROR(_xlfn.IFS(ISNUMBER(Table1[[#This Row],[Column3]]),Table1[[#This Row],[Column3]],Table1[[#This Row],[Column3]]="NEW",Table1[[#This Row],[Column3]]),"")</f>
        <v>NEW</v>
      </c>
      <c r="H912" s="15" cm="1">
        <f t="array" ref="H912">_xlfn.IFS(Table1[[#This Row],[Column4]]="NEW",AVERAGEIFS(Table1[Column4],Table1[Year],Table1[[#This Row],[Year]]),ISNUMBER(Table1[[#This Row],[Column4]]),Table1[[#This Row],[Column4]],Table1[[#This Row],[Column4]]="",H911*(1+Table1[[#This Row],[Ávöxtun]]))</f>
        <v>173.57107422928632</v>
      </c>
      <c r="I912" cm="1">
        <f t="array" ref="I912">_xlfn.IFS(Table1[[#This Row],[Column4]]="NEW",_xlfn.XLOOKUP(Table1[[#This Row],[Year]],$N$2:$N$27,$P$2:$P$27),ISNUMBER(Table1[[#This Row],[Column4]]),Table1[[#This Row],[Column4]],Table1[[#This Row],[Column4]]="",I911*(1+Table1[[#This Row],[Ávöxtun]]))</f>
        <v>203.57786186085158</v>
      </c>
      <c r="L912" s="33">
        <v>173.57107422928632</v>
      </c>
      <c r="M912" s="33">
        <v>219.26690788715638</v>
      </c>
    </row>
    <row r="913" spans="1:13">
      <c r="A913" t="s">
        <v>130</v>
      </c>
      <c r="B913">
        <v>2007</v>
      </c>
      <c r="C913" s="16">
        <v>8.8000000000000005E-3</v>
      </c>
      <c r="D913" s="1">
        <v>79226222</v>
      </c>
      <c r="E913" s="29">
        <f>Table1[[#This Row],[Ávöxtun]]*Table1[[#This Row],[Eignir]]/SUMIFS(Table1[Eignir],Table1[Year],Table1[[#This Row],[Year]])</f>
        <v>4.508452829055878E-4</v>
      </c>
      <c r="F913" s="23" t="e">
        <f>IF(B913=1997, 100, IF(COUNTIF(A$1:A912,A913)=0, "NEW", F912*(1+Table1[[#This Row],[Ávöxtun]])))</f>
        <v>#VALUE!</v>
      </c>
      <c r="G913" s="18" t="str" cm="1">
        <f t="array" ref="G913">IFERROR(_xlfn.IFS(ISNUMBER(Table1[[#This Row],[Column3]]),Table1[[#This Row],[Column3]],Table1[[#This Row],[Column3]]="NEW",Table1[[#This Row],[Column3]]),"")</f>
        <v/>
      </c>
      <c r="H913" s="15" cm="1">
        <f t="array" ref="H913">_xlfn.IFS(Table1[[#This Row],[Column4]]="NEW",AVERAGEIFS(Table1[Column4],Table1[Year],Table1[[#This Row],[Year]]),ISNUMBER(Table1[[#This Row],[Column4]]),Table1[[#This Row],[Column4]],Table1[[#This Row],[Column4]]="",H912*(1+Table1[[#This Row],[Ávöxtun]]))</f>
        <v>175.09849968250404</v>
      </c>
      <c r="I913" cm="1">
        <f t="array" ref="I913">_xlfn.IFS(Table1[[#This Row],[Column4]]="NEW",_xlfn.XLOOKUP(Table1[[#This Row],[Year]],$N$2:$N$27,$P$2:$P$27),ISNUMBER(Table1[[#This Row],[Column4]]),Table1[[#This Row],[Column4]],Table1[[#This Row],[Column4]]="",I912*(1+Table1[[#This Row],[Ávöxtun]]))</f>
        <v>205.36934704522707</v>
      </c>
      <c r="L913" s="33">
        <v>175.09849968250404</v>
      </c>
      <c r="M913" s="33">
        <v>221.19645667656334</v>
      </c>
    </row>
    <row r="914" spans="1:13">
      <c r="A914" t="s">
        <v>130</v>
      </c>
      <c r="B914">
        <v>2008</v>
      </c>
      <c r="C914" s="16">
        <v>-0.23300000000000001</v>
      </c>
      <c r="D914" s="1">
        <v>74164112</v>
      </c>
      <c r="E914" s="29">
        <f>Table1[[#This Row],[Ávöxtun]]*Table1[[#This Row],[Eignir]]/SUMIFS(Table1[Eignir],Table1[Year],Table1[[#This Row],[Year]])</f>
        <v>-1.154079442509731E-2</v>
      </c>
      <c r="F914" s="23" t="e">
        <f>IF(B914=1997, 100, IF(COUNTIF(A$1:A913,A914)=0, "NEW", F913*(1+Table1[[#This Row],[Ávöxtun]])))</f>
        <v>#VALUE!</v>
      </c>
      <c r="G914" s="18" t="str" cm="1">
        <f t="array" ref="G914">IFERROR(_xlfn.IFS(ISNUMBER(Table1[[#This Row],[Column3]]),Table1[[#This Row],[Column3]],Table1[[#This Row],[Column3]]="NEW",Table1[[#This Row],[Column3]]),"")</f>
        <v/>
      </c>
      <c r="H914" s="15" cm="1">
        <f t="array" ref="H914">_xlfn.IFS(Table1[[#This Row],[Column4]]="NEW",AVERAGEIFS(Table1[Column4],Table1[Year],Table1[[#This Row],[Year]]),ISNUMBER(Table1[[#This Row],[Column4]]),Table1[[#This Row],[Column4]],Table1[[#This Row],[Column4]]="",H913*(1+Table1[[#This Row],[Ávöxtun]]))</f>
        <v>134.30054925648059</v>
      </c>
      <c r="I914" cm="1">
        <f t="array" ref="I914">_xlfn.IFS(Table1[[#This Row],[Column4]]="NEW",_xlfn.XLOOKUP(Table1[[#This Row],[Year]],$N$2:$N$27,$P$2:$P$27),ISNUMBER(Table1[[#This Row],[Column4]]),Table1[[#This Row],[Column4]],Table1[[#This Row],[Column4]]="",I913*(1+Table1[[#This Row],[Ávöxtun]]))</f>
        <v>157.51828918368918</v>
      </c>
      <c r="L914" s="33">
        <v>134.30054925648059</v>
      </c>
      <c r="M914" s="33">
        <v>169.65768227092408</v>
      </c>
    </row>
    <row r="915" spans="1:13">
      <c r="A915" t="s">
        <v>130</v>
      </c>
      <c r="B915">
        <v>2009</v>
      </c>
      <c r="C915" s="16">
        <v>-4.9000000000000002E-2</v>
      </c>
      <c r="D915" s="1">
        <v>77244833</v>
      </c>
      <c r="E915" s="29">
        <f>Table1[[#This Row],[Ávöxtun]]*Table1[[#This Row],[Eignir]]/SUMIFS(Table1[Eignir],Table1[Year],Table1[[#This Row],[Year]])</f>
        <v>-2.2688313240681103E-3</v>
      </c>
      <c r="F915" s="23" t="e">
        <f>IF(B915=1997, 100, IF(COUNTIF(A$1:A914,A915)=0, "NEW", F914*(1+Table1[[#This Row],[Ávöxtun]])))</f>
        <v>#VALUE!</v>
      </c>
      <c r="G915" s="18" t="str" cm="1">
        <f t="array" ref="G915">IFERROR(_xlfn.IFS(ISNUMBER(Table1[[#This Row],[Column3]]),Table1[[#This Row],[Column3]],Table1[[#This Row],[Column3]]="NEW",Table1[[#This Row],[Column3]]),"")</f>
        <v/>
      </c>
      <c r="H915" s="15" cm="1">
        <f t="array" ref="H915">_xlfn.IFS(Table1[[#This Row],[Column4]]="NEW",AVERAGEIFS(Table1[Column4],Table1[Year],Table1[[#This Row],[Year]]),ISNUMBER(Table1[[#This Row],[Column4]]),Table1[[#This Row],[Column4]],Table1[[#This Row],[Column4]]="",H914*(1+Table1[[#This Row],[Ávöxtun]]))</f>
        <v>127.71982234291303</v>
      </c>
      <c r="I915" cm="1">
        <f t="array" ref="I915">_xlfn.IFS(Table1[[#This Row],[Column4]]="NEW",_xlfn.XLOOKUP(Table1[[#This Row],[Year]],$N$2:$N$27,$P$2:$P$27),ISNUMBER(Table1[[#This Row],[Column4]]),Table1[[#This Row],[Column4]],Table1[[#This Row],[Column4]]="",I914*(1+Table1[[#This Row],[Ávöxtun]]))</f>
        <v>149.7998930136884</v>
      </c>
      <c r="L915" s="33">
        <v>127.71982234291303</v>
      </c>
      <c r="M915" s="33">
        <v>161.34445583964879</v>
      </c>
    </row>
    <row r="916" spans="1:13">
      <c r="A916" t="s">
        <v>130</v>
      </c>
      <c r="B916">
        <v>2010</v>
      </c>
      <c r="C916" s="16">
        <v>8.0000000000000004E-4</v>
      </c>
      <c r="D916" s="1">
        <v>81970653</v>
      </c>
      <c r="E916" s="29">
        <f>Table1[[#This Row],[Ávöxtun]]*Table1[[#This Row],[Eignir]]/SUMIFS(Table1[Eignir],Table1[Year],Table1[[#This Row],[Year]])</f>
        <v>3.6680286060926806E-5</v>
      </c>
      <c r="F916" s="23" t="e">
        <f>IF(B916=1997, 100, IF(COUNTIF(A$1:A915,A916)=0, "NEW", F915*(1+Table1[[#This Row],[Ávöxtun]])))</f>
        <v>#VALUE!</v>
      </c>
      <c r="G916" s="18" t="str" cm="1">
        <f t="array" ref="G916">IFERROR(_xlfn.IFS(ISNUMBER(Table1[[#This Row],[Column3]]),Table1[[#This Row],[Column3]],Table1[[#This Row],[Column3]]="NEW",Table1[[#This Row],[Column3]]),"")</f>
        <v/>
      </c>
      <c r="H916" s="15" cm="1">
        <f t="array" ref="H916">_xlfn.IFS(Table1[[#This Row],[Column4]]="NEW",AVERAGEIFS(Table1[Column4],Table1[Year],Table1[[#This Row],[Year]]),ISNUMBER(Table1[[#This Row],[Column4]]),Table1[[#This Row],[Column4]],Table1[[#This Row],[Column4]]="",H915*(1+Table1[[#This Row],[Ávöxtun]]))</f>
        <v>127.82199820078735</v>
      </c>
      <c r="I916" cm="1">
        <f t="array" ref="I916">_xlfn.IFS(Table1[[#This Row],[Column4]]="NEW",_xlfn.XLOOKUP(Table1[[#This Row],[Year]],$N$2:$N$27,$P$2:$P$27),ISNUMBER(Table1[[#This Row],[Column4]]),Table1[[#This Row],[Column4]],Table1[[#This Row],[Column4]]="",I915*(1+Table1[[#This Row],[Ávöxtun]]))</f>
        <v>149.91973292809934</v>
      </c>
      <c r="L916" s="33">
        <v>127.82199820078735</v>
      </c>
      <c r="M916" s="33">
        <v>161.47353140432048</v>
      </c>
    </row>
    <row r="917" spans="1:13">
      <c r="A917" t="s">
        <v>130</v>
      </c>
      <c r="B917">
        <v>2011</v>
      </c>
      <c r="C917" s="16">
        <v>2.2000000000000002E-2</v>
      </c>
      <c r="D917" s="1">
        <v>89691783</v>
      </c>
      <c r="E917" s="29">
        <f>Table1[[#This Row],[Ávöxtun]]*Table1[[#This Row],[Eignir]]/SUMIFS(Table1[Eignir],Table1[Year],Table1[[#This Row],[Year]])</f>
        <v>1.0116173824437078E-3</v>
      </c>
      <c r="F917" s="23" t="e">
        <f>IF(B917=1997, 100, IF(COUNTIF(A$1:A916,A917)=0, "NEW", F916*(1+Table1[[#This Row],[Ávöxtun]])))</f>
        <v>#VALUE!</v>
      </c>
      <c r="G917" s="18" t="str" cm="1">
        <f t="array" ref="G917">IFERROR(_xlfn.IFS(ISNUMBER(Table1[[#This Row],[Column3]]),Table1[[#This Row],[Column3]],Table1[[#This Row],[Column3]]="NEW",Table1[[#This Row],[Column3]]),"")</f>
        <v/>
      </c>
      <c r="H917" s="15" cm="1">
        <f t="array" ref="H917">_xlfn.IFS(Table1[[#This Row],[Column4]]="NEW",AVERAGEIFS(Table1[Column4],Table1[Year],Table1[[#This Row],[Year]]),ISNUMBER(Table1[[#This Row],[Column4]]),Table1[[#This Row],[Column4]],Table1[[#This Row],[Column4]]="",H916*(1+Table1[[#This Row],[Ávöxtun]]))</f>
        <v>130.63408216120467</v>
      </c>
      <c r="I917" cm="1">
        <f t="array" ref="I917">_xlfn.IFS(Table1[[#This Row],[Column4]]="NEW",_xlfn.XLOOKUP(Table1[[#This Row],[Year]],$N$2:$N$27,$P$2:$P$27),ISNUMBER(Table1[[#This Row],[Column4]]),Table1[[#This Row],[Column4]],Table1[[#This Row],[Column4]]="",I916*(1+Table1[[#This Row],[Ávöxtun]]))</f>
        <v>153.21796705251754</v>
      </c>
      <c r="L917" s="33">
        <v>130.63408216120467</v>
      </c>
      <c r="M917" s="33">
        <v>165.02594909521554</v>
      </c>
    </row>
    <row r="918" spans="1:13">
      <c r="A918" t="s">
        <v>130</v>
      </c>
      <c r="B918">
        <v>2012</v>
      </c>
      <c r="C918" s="16">
        <v>0.06</v>
      </c>
      <c r="D918" s="1">
        <v>99280705</v>
      </c>
      <c r="E918" s="29">
        <f>Table1[[#This Row],[Ávöxtun]]*Table1[[#This Row],[Eignir]]/SUMIFS(Table1[Eignir],Table1[Year],Table1[[#This Row],[Year]])</f>
        <v>2.7041610711608564E-3</v>
      </c>
      <c r="F918" s="23" t="e">
        <f>IF(B918=1997, 100, IF(COUNTIF(A$1:A917,A918)=0, "NEW", F917*(1+Table1[[#This Row],[Ávöxtun]])))</f>
        <v>#VALUE!</v>
      </c>
      <c r="G918" s="18" t="str" cm="1">
        <f t="array" ref="G918">IFERROR(_xlfn.IFS(ISNUMBER(Table1[[#This Row],[Column3]]),Table1[[#This Row],[Column3]],Table1[[#This Row],[Column3]]="NEW",Table1[[#This Row],[Column3]]),"")</f>
        <v/>
      </c>
      <c r="H918" s="15" cm="1">
        <f t="array" ref="H918">_xlfn.IFS(Table1[[#This Row],[Column4]]="NEW",AVERAGEIFS(Table1[Column4],Table1[Year],Table1[[#This Row],[Year]]),ISNUMBER(Table1[[#This Row],[Column4]]),Table1[[#This Row],[Column4]],Table1[[#This Row],[Column4]]="",H917*(1+Table1[[#This Row],[Ávöxtun]]))</f>
        <v>138.47212709087697</v>
      </c>
      <c r="I918" cm="1">
        <f t="array" ref="I918">_xlfn.IFS(Table1[[#This Row],[Column4]]="NEW",_xlfn.XLOOKUP(Table1[[#This Row],[Year]],$N$2:$N$27,$P$2:$P$27),ISNUMBER(Table1[[#This Row],[Column4]]),Table1[[#This Row],[Column4]],Table1[[#This Row],[Column4]]="",I917*(1+Table1[[#This Row],[Ávöxtun]]))</f>
        <v>162.4110450756686</v>
      </c>
      <c r="L918" s="33">
        <v>138.47212709087697</v>
      </c>
      <c r="M918" s="33">
        <v>174.92750604092848</v>
      </c>
    </row>
    <row r="919" spans="1:13">
      <c r="A919" t="s">
        <v>130</v>
      </c>
      <c r="B919">
        <v>2013</v>
      </c>
      <c r="C919" s="16">
        <v>4.9000000000000002E-2</v>
      </c>
      <c r="D919" s="1">
        <v>109519758</v>
      </c>
      <c r="E919" s="29">
        <f>Table1[[#This Row],[Ávöxtun]]*Table1[[#This Row],[Eignir]]/SUMIFS(Table1[Eignir],Table1[Year],Table1[[#This Row],[Year]])</f>
        <v>2.2051747524313085E-3</v>
      </c>
      <c r="F919" s="23" t="e">
        <f>IF(B919=1997, 100, IF(COUNTIF(A$1:A918,A919)=0, "NEW", F918*(1+Table1[[#This Row],[Ávöxtun]])))</f>
        <v>#VALUE!</v>
      </c>
      <c r="G919" s="18" t="str" cm="1">
        <f t="array" ref="G919">IFERROR(_xlfn.IFS(ISNUMBER(Table1[[#This Row],[Column3]]),Table1[[#This Row],[Column3]],Table1[[#This Row],[Column3]]="NEW",Table1[[#This Row],[Column3]]),"")</f>
        <v/>
      </c>
      <c r="H919" s="15" cm="1">
        <f t="array" ref="H919">_xlfn.IFS(Table1[[#This Row],[Column4]]="NEW",AVERAGEIFS(Table1[Column4],Table1[Year],Table1[[#This Row],[Year]]),ISNUMBER(Table1[[#This Row],[Column4]]),Table1[[#This Row],[Column4]],Table1[[#This Row],[Column4]]="",H918*(1+Table1[[#This Row],[Ávöxtun]]))</f>
        <v>145.25726131832994</v>
      </c>
      <c r="I919" cm="1">
        <f t="array" ref="I919">_xlfn.IFS(Table1[[#This Row],[Column4]]="NEW",_xlfn.XLOOKUP(Table1[[#This Row],[Year]],$N$2:$N$27,$P$2:$P$27),ISNUMBER(Table1[[#This Row],[Column4]]),Table1[[#This Row],[Column4]],Table1[[#This Row],[Column4]]="",I918*(1+Table1[[#This Row],[Ávöxtun]]))</f>
        <v>170.36918628437635</v>
      </c>
      <c r="L919" s="33">
        <v>145.25726131832994</v>
      </c>
      <c r="M919" s="33">
        <v>183.49895383693396</v>
      </c>
    </row>
    <row r="920" spans="1:13">
      <c r="A920" t="s">
        <v>130</v>
      </c>
      <c r="B920">
        <v>2014</v>
      </c>
      <c r="C920" s="16">
        <v>7.400000000000001E-2</v>
      </c>
      <c r="D920" s="1">
        <v>119847017</v>
      </c>
      <c r="E920" s="29">
        <f>Table1[[#This Row],[Ávöxtun]]*Table1[[#This Row],[Eignir]]/SUMIFS(Table1[Eignir],Table1[Year],Table1[[#This Row],[Year]])</f>
        <v>3.3428637474528134E-3</v>
      </c>
      <c r="F920" s="23" t="e">
        <f>IF(B920=1997, 100, IF(COUNTIF(A$1:A919,A920)=0, "NEW", F919*(1+Table1[[#This Row],[Ávöxtun]])))</f>
        <v>#VALUE!</v>
      </c>
      <c r="G920" s="18" t="str" cm="1">
        <f t="array" ref="G920">IFERROR(_xlfn.IFS(ISNUMBER(Table1[[#This Row],[Column3]]),Table1[[#This Row],[Column3]],Table1[[#This Row],[Column3]]="NEW",Table1[[#This Row],[Column3]]),"")</f>
        <v/>
      </c>
      <c r="H920" s="15" cm="1">
        <f t="array" ref="H920">_xlfn.IFS(Table1[[#This Row],[Column4]]="NEW",AVERAGEIFS(Table1[Column4],Table1[Year],Table1[[#This Row],[Year]]),ISNUMBER(Table1[[#This Row],[Column4]]),Table1[[#This Row],[Column4]],Table1[[#This Row],[Column4]]="",H919*(1+Table1[[#This Row],[Ávöxtun]]))</f>
        <v>156.00629865588635</v>
      </c>
      <c r="I920" cm="1">
        <f t="array" ref="I920">_xlfn.IFS(Table1[[#This Row],[Column4]]="NEW",_xlfn.XLOOKUP(Table1[[#This Row],[Year]],$N$2:$N$27,$P$2:$P$27),ISNUMBER(Table1[[#This Row],[Column4]]),Table1[[#This Row],[Column4]],Table1[[#This Row],[Column4]]="",I919*(1+Table1[[#This Row],[Ávöxtun]]))</f>
        <v>182.97650606942022</v>
      </c>
      <c r="L920" s="33">
        <v>156.00629865588635</v>
      </c>
      <c r="M920" s="33">
        <v>197.07787642086709</v>
      </c>
    </row>
    <row r="921" spans="1:13">
      <c r="A921" t="s">
        <v>130</v>
      </c>
      <c r="B921">
        <v>2015</v>
      </c>
      <c r="C921" s="16">
        <v>9.6999999999999989E-2</v>
      </c>
      <c r="D921" s="1">
        <v>135157003</v>
      </c>
      <c r="E921" s="29">
        <f>Table1[[#This Row],[Ávöxtun]]*Table1[[#This Row],[Eignir]]/SUMIFS(Table1[Eignir],Table1[Year],Table1[[#This Row],[Year]])</f>
        <v>4.4270701930623239E-3</v>
      </c>
      <c r="F921" s="23" t="e">
        <f>IF(B921=1997, 100, IF(COUNTIF(A$1:A920,A921)=0, "NEW", F920*(1+Table1[[#This Row],[Ávöxtun]])))</f>
        <v>#VALUE!</v>
      </c>
      <c r="G921" s="18" t="str" cm="1">
        <f t="array" ref="G921">IFERROR(_xlfn.IFS(ISNUMBER(Table1[[#This Row],[Column3]]),Table1[[#This Row],[Column3]],Table1[[#This Row],[Column3]]="NEW",Table1[[#This Row],[Column3]]),"")</f>
        <v/>
      </c>
      <c r="H921" s="15" cm="1">
        <f t="array" ref="H921">_xlfn.IFS(Table1[[#This Row],[Column4]]="NEW",AVERAGEIFS(Table1[Column4],Table1[Year],Table1[[#This Row],[Year]]),ISNUMBER(Table1[[#This Row],[Column4]]),Table1[[#This Row],[Column4]],Table1[[#This Row],[Column4]]="",H920*(1+Table1[[#This Row],[Ávöxtun]]))</f>
        <v>171.13890962550732</v>
      </c>
      <c r="I921" cm="1">
        <f t="array" ref="I921">_xlfn.IFS(Table1[[#This Row],[Column4]]="NEW",_xlfn.XLOOKUP(Table1[[#This Row],[Year]],$N$2:$N$27,$P$2:$P$27),ISNUMBER(Table1[[#This Row],[Column4]]),Table1[[#This Row],[Column4]],Table1[[#This Row],[Column4]]="",I920*(1+Table1[[#This Row],[Ávöxtun]]))</f>
        <v>200.72522715815398</v>
      </c>
      <c r="L921" s="33">
        <v>171.13890962550732</v>
      </c>
      <c r="M921" s="33">
        <v>216.1944304336912</v>
      </c>
    </row>
    <row r="922" spans="1:13">
      <c r="A922" t="s">
        <v>131</v>
      </c>
      <c r="B922">
        <v>2007</v>
      </c>
      <c r="C922" s="16">
        <v>-5.6999999999999993E-3</v>
      </c>
      <c r="D922" s="1">
        <v>89507279</v>
      </c>
      <c r="E922" s="29">
        <f>Table1[[#This Row],[Ávöxtun]]*Table1[[#This Row],[Eignir]]/SUMIFS(Table1[Eignir],Table1[Year],Table1[[#This Row],[Year]])</f>
        <v>-3.2992036339066975E-4</v>
      </c>
      <c r="F922" s="23" t="str">
        <f>IF(B922=1997, 100, IF(COUNTIF(A$1:A921,A922)=0, "NEW", F921*(1+Table1[[#This Row],[Ávöxtun]])))</f>
        <v>NEW</v>
      </c>
      <c r="G922" s="18" t="str" cm="1">
        <f t="array" ref="G922">IFERROR(_xlfn.IFS(ISNUMBER(Table1[[#This Row],[Column3]]),Table1[[#This Row],[Column3]],Table1[[#This Row],[Column3]]="NEW",Table1[[#This Row],[Column3]]),"")</f>
        <v>NEW</v>
      </c>
      <c r="H922" s="15" cm="1">
        <f t="array" ref="H922">_xlfn.IFS(Table1[[#This Row],[Column4]]="NEW",AVERAGEIFS(Table1[Column4],Table1[Year],Table1[[#This Row],[Year]]),ISNUMBER(Table1[[#This Row],[Column4]]),Table1[[#This Row],[Column4]],Table1[[#This Row],[Column4]]="",H921*(1+Table1[[#This Row],[Ávöxtun]]))</f>
        <v>178.53851178563048</v>
      </c>
      <c r="I922" cm="1">
        <f t="array" ref="I922">_xlfn.IFS(Table1[[#This Row],[Column4]]="NEW",_xlfn.XLOOKUP(Table1[[#This Row],[Year]],$N$2:$N$27,$P$2:$P$27),ISNUMBER(Table1[[#This Row],[Column4]]),Table1[[#This Row],[Column4]],Table1[[#This Row],[Column4]]="",I921*(1+Table1[[#This Row],[Ávöxtun]]))</f>
        <v>205.00759198272704</v>
      </c>
      <c r="L922" s="33">
        <v>178.53851178563048</v>
      </c>
      <c r="M922" s="33">
        <v>220.80682239490886</v>
      </c>
    </row>
    <row r="923" spans="1:13">
      <c r="A923" t="s">
        <v>131</v>
      </c>
      <c r="B923">
        <v>2008</v>
      </c>
      <c r="C923" s="16">
        <v>-0.13880000000000001</v>
      </c>
      <c r="D923" s="1">
        <v>97960752</v>
      </c>
      <c r="E923" s="29">
        <f>Table1[[#This Row],[Ávöxtun]]*Table1[[#This Row],[Eignir]]/SUMIFS(Table1[Eignir],Table1[Year],Table1[[#This Row],[Year]])</f>
        <v>-9.0808721110181463E-3</v>
      </c>
      <c r="F923" s="23" t="e">
        <f>IF(B923=1997, 100, IF(COUNTIF(A$1:A922,A923)=0, "NEW", F922*(1+Table1[[#This Row],[Ávöxtun]])))</f>
        <v>#VALUE!</v>
      </c>
      <c r="G923" s="18" t="str" cm="1">
        <f t="array" ref="G923">IFERROR(_xlfn.IFS(ISNUMBER(Table1[[#This Row],[Column3]]),Table1[[#This Row],[Column3]],Table1[[#This Row],[Column3]]="NEW",Table1[[#This Row],[Column3]]),"")</f>
        <v/>
      </c>
      <c r="H923" s="15" cm="1">
        <f t="array" ref="H923">_xlfn.IFS(Table1[[#This Row],[Column4]]="NEW",AVERAGEIFS(Table1[Column4],Table1[Year],Table1[[#This Row],[Year]]),ISNUMBER(Table1[[#This Row],[Column4]]),Table1[[#This Row],[Column4]],Table1[[#This Row],[Column4]]="",H922*(1+Table1[[#This Row],[Ávöxtun]]))</f>
        <v>153.75736634978497</v>
      </c>
      <c r="I923" cm="1">
        <f t="array" ref="I923">_xlfn.IFS(Table1[[#This Row],[Column4]]="NEW",_xlfn.XLOOKUP(Table1[[#This Row],[Year]],$N$2:$N$27,$P$2:$P$27),ISNUMBER(Table1[[#This Row],[Column4]]),Table1[[#This Row],[Column4]],Table1[[#This Row],[Column4]]="",I922*(1+Table1[[#This Row],[Ávöxtun]]))</f>
        <v>176.55253821552452</v>
      </c>
      <c r="L923" s="33">
        <v>153.75736634978497</v>
      </c>
      <c r="M923" s="33">
        <v>190.15883544649552</v>
      </c>
    </row>
    <row r="924" spans="1:13">
      <c r="A924" t="s">
        <v>131</v>
      </c>
      <c r="B924">
        <v>2009</v>
      </c>
      <c r="C924" s="16">
        <v>-6.1699999999999998E-2</v>
      </c>
      <c r="D924" s="1">
        <v>101919842</v>
      </c>
      <c r="E924" s="29">
        <f>Table1[[#This Row],[Ávöxtun]]*Table1[[#This Row],[Eignir]]/SUMIFS(Table1[Eignir],Table1[Year],Table1[[#This Row],[Year]])</f>
        <v>-3.7694726509318482E-3</v>
      </c>
      <c r="F924" s="23" t="e">
        <f>IF(B924=1997, 100, IF(COUNTIF(A$1:A923,A924)=0, "NEW", F923*(1+Table1[[#This Row],[Ávöxtun]])))</f>
        <v>#VALUE!</v>
      </c>
      <c r="G924" s="18" t="str" cm="1">
        <f t="array" ref="G924">IFERROR(_xlfn.IFS(ISNUMBER(Table1[[#This Row],[Column3]]),Table1[[#This Row],[Column3]],Table1[[#This Row],[Column3]]="NEW",Table1[[#This Row],[Column3]]),"")</f>
        <v/>
      </c>
      <c r="H924" s="15" cm="1">
        <f t="array" ref="H924">_xlfn.IFS(Table1[[#This Row],[Column4]]="NEW",AVERAGEIFS(Table1[Column4],Table1[Year],Table1[[#This Row],[Year]]),ISNUMBER(Table1[[#This Row],[Column4]]),Table1[[#This Row],[Column4]],Table1[[#This Row],[Column4]]="",H923*(1+Table1[[#This Row],[Ávöxtun]]))</f>
        <v>144.27053684600324</v>
      </c>
      <c r="I924" cm="1">
        <f t="array" ref="I924">_xlfn.IFS(Table1[[#This Row],[Column4]]="NEW",_xlfn.XLOOKUP(Table1[[#This Row],[Year]],$N$2:$N$27,$P$2:$P$27),ISNUMBER(Table1[[#This Row],[Column4]]),Table1[[#This Row],[Column4]],Table1[[#This Row],[Column4]]="",I923*(1+Table1[[#This Row],[Ávöxtun]]))</f>
        <v>165.65924660762667</v>
      </c>
      <c r="L924" s="33">
        <v>144.27053684600324</v>
      </c>
      <c r="M924" s="33">
        <v>178.42603529944674</v>
      </c>
    </row>
    <row r="925" spans="1:13">
      <c r="A925" t="s">
        <v>131</v>
      </c>
      <c r="B925">
        <v>2010</v>
      </c>
      <c r="C925" s="16">
        <v>3.4700000000000002E-2</v>
      </c>
      <c r="D925" s="1">
        <v>111264997</v>
      </c>
      <c r="E925" s="29">
        <f>Table1[[#This Row],[Ávöxtun]]*Table1[[#This Row],[Eignir]]/SUMIFS(Table1[Eignir],Table1[Year],Table1[[#This Row],[Year]])</f>
        <v>2.1595952696162987E-3</v>
      </c>
      <c r="F925" s="23" t="e">
        <f>IF(B925=1997, 100, IF(COUNTIF(A$1:A924,A925)=0, "NEW", F924*(1+Table1[[#This Row],[Ávöxtun]])))</f>
        <v>#VALUE!</v>
      </c>
      <c r="G925" s="18" t="str" cm="1">
        <f t="array" ref="G925">IFERROR(_xlfn.IFS(ISNUMBER(Table1[[#This Row],[Column3]]),Table1[[#This Row],[Column3]],Table1[[#This Row],[Column3]]="NEW",Table1[[#This Row],[Column3]]),"")</f>
        <v/>
      </c>
      <c r="H925" s="15" cm="1">
        <f t="array" ref="H925">_xlfn.IFS(Table1[[#This Row],[Column4]]="NEW",AVERAGEIFS(Table1[Column4],Table1[Year],Table1[[#This Row],[Year]]),ISNUMBER(Table1[[#This Row],[Column4]]),Table1[[#This Row],[Column4]],Table1[[#This Row],[Column4]]="",H924*(1+Table1[[#This Row],[Ávöxtun]]))</f>
        <v>149.27672447455956</v>
      </c>
      <c r="I925" cm="1">
        <f t="array" ref="I925">_xlfn.IFS(Table1[[#This Row],[Column4]]="NEW",_xlfn.XLOOKUP(Table1[[#This Row],[Year]],$N$2:$N$27,$P$2:$P$27),ISNUMBER(Table1[[#This Row],[Column4]]),Table1[[#This Row],[Column4]],Table1[[#This Row],[Column4]]="",I924*(1+Table1[[#This Row],[Ávöxtun]]))</f>
        <v>171.4076224649113</v>
      </c>
      <c r="L925" s="33">
        <v>149.27672447455956</v>
      </c>
      <c r="M925" s="33">
        <v>184.61741872433754</v>
      </c>
    </row>
    <row r="926" spans="1:13">
      <c r="A926" t="s">
        <v>131</v>
      </c>
      <c r="B926">
        <v>2011</v>
      </c>
      <c r="C926" s="16">
        <v>0</v>
      </c>
      <c r="D926" s="1">
        <v>114699867</v>
      </c>
      <c r="E926" s="29">
        <f>Table1[[#This Row],[Ávöxtun]]*Table1[[#This Row],[Eignir]]/SUMIFS(Table1[Eignir],Table1[Year],Table1[[#This Row],[Year]])</f>
        <v>0</v>
      </c>
      <c r="F926" s="23" t="e">
        <f>IF(B926=1997, 100, IF(COUNTIF(A$1:A925,A926)=0, "NEW", F925*(1+Table1[[#This Row],[Ávöxtun]])))</f>
        <v>#VALUE!</v>
      </c>
      <c r="G926" s="18" t="str" cm="1">
        <f t="array" ref="G926">IFERROR(_xlfn.IFS(ISNUMBER(Table1[[#This Row],[Column3]]),Table1[[#This Row],[Column3]],Table1[[#This Row],[Column3]]="NEW",Table1[[#This Row],[Column3]]),"")</f>
        <v/>
      </c>
      <c r="H926" s="15" cm="1">
        <f t="array" ref="H926">_xlfn.IFS(Table1[[#This Row],[Column4]]="NEW",AVERAGEIFS(Table1[Column4],Table1[Year],Table1[[#This Row],[Year]]),ISNUMBER(Table1[[#This Row],[Column4]]),Table1[[#This Row],[Column4]],Table1[[#This Row],[Column4]]="",H925*(1+Table1[[#This Row],[Ávöxtun]]))</f>
        <v>149.27672447455956</v>
      </c>
      <c r="I926" cm="1">
        <f t="array" ref="I926">_xlfn.IFS(Table1[[#This Row],[Column4]]="NEW",_xlfn.XLOOKUP(Table1[[#This Row],[Year]],$N$2:$N$27,$P$2:$P$27),ISNUMBER(Table1[[#This Row],[Column4]]),Table1[[#This Row],[Column4]],Table1[[#This Row],[Column4]]="",I925*(1+Table1[[#This Row],[Ávöxtun]]))</f>
        <v>171.4076224649113</v>
      </c>
      <c r="L926" s="33">
        <v>149.27672447455956</v>
      </c>
      <c r="M926" s="33">
        <v>184.61741872433754</v>
      </c>
    </row>
    <row r="927" spans="1:13">
      <c r="A927" t="s">
        <v>131</v>
      </c>
      <c r="B927">
        <v>2012</v>
      </c>
      <c r="C927" s="16">
        <v>5.2999999999999999E-2</v>
      </c>
      <c r="D927" s="1">
        <v>128997144</v>
      </c>
      <c r="E927" s="29">
        <f>Table1[[#This Row],[Ávöxtun]]*Table1[[#This Row],[Eignir]]/SUMIFS(Table1[Eignir],Table1[Year],Table1[[#This Row],[Year]])</f>
        <v>3.1036477027558303E-3</v>
      </c>
      <c r="F927" s="23" t="e">
        <f>IF(B927=1997, 100, IF(COUNTIF(A$1:A926,A927)=0, "NEW", F926*(1+Table1[[#This Row],[Ávöxtun]])))</f>
        <v>#VALUE!</v>
      </c>
      <c r="G927" s="18" t="str" cm="1">
        <f t="array" ref="G927">IFERROR(_xlfn.IFS(ISNUMBER(Table1[[#This Row],[Column3]]),Table1[[#This Row],[Column3]],Table1[[#This Row],[Column3]]="NEW",Table1[[#This Row],[Column3]]),"")</f>
        <v/>
      </c>
      <c r="H927" s="15" cm="1">
        <f t="array" ref="H927">_xlfn.IFS(Table1[[#This Row],[Column4]]="NEW",AVERAGEIFS(Table1[Column4],Table1[Year],Table1[[#This Row],[Year]]),ISNUMBER(Table1[[#This Row],[Column4]]),Table1[[#This Row],[Column4]],Table1[[#This Row],[Column4]]="",H926*(1+Table1[[#This Row],[Ávöxtun]]))</f>
        <v>157.18839087171119</v>
      </c>
      <c r="I927" cm="1">
        <f t="array" ref="I927">_xlfn.IFS(Table1[[#This Row],[Column4]]="NEW",_xlfn.XLOOKUP(Table1[[#This Row],[Year]],$N$2:$N$27,$P$2:$P$27),ISNUMBER(Table1[[#This Row],[Column4]]),Table1[[#This Row],[Column4]],Table1[[#This Row],[Column4]]="",I926*(1+Table1[[#This Row],[Ávöxtun]]))</f>
        <v>180.49222645555159</v>
      </c>
      <c r="L927" s="33">
        <v>157.18839087171119</v>
      </c>
      <c r="M927" s="33">
        <v>194.40214191672743</v>
      </c>
    </row>
    <row r="928" spans="1:13">
      <c r="A928" t="s">
        <v>131</v>
      </c>
      <c r="B928">
        <v>2013</v>
      </c>
      <c r="C928" s="16">
        <v>0.03</v>
      </c>
      <c r="D928" s="1">
        <v>140207162</v>
      </c>
      <c r="E928" s="29">
        <f>Table1[[#This Row],[Ávöxtun]]*Table1[[#This Row],[Eignir]]/SUMIFS(Table1[Eignir],Table1[Year],Table1[[#This Row],[Year]])</f>
        <v>1.728406573399796E-3</v>
      </c>
      <c r="F928" s="23" t="e">
        <f>IF(B928=1997, 100, IF(COUNTIF(A$1:A927,A928)=0, "NEW", F927*(1+Table1[[#This Row],[Ávöxtun]])))</f>
        <v>#VALUE!</v>
      </c>
      <c r="G928" s="18" t="str" cm="1">
        <f t="array" ref="G928">IFERROR(_xlfn.IFS(ISNUMBER(Table1[[#This Row],[Column3]]),Table1[[#This Row],[Column3]],Table1[[#This Row],[Column3]]="NEW",Table1[[#This Row],[Column3]]),"")</f>
        <v/>
      </c>
      <c r="H928" s="15" cm="1">
        <f t="array" ref="H928">_xlfn.IFS(Table1[[#This Row],[Column4]]="NEW",AVERAGEIFS(Table1[Column4],Table1[Year],Table1[[#This Row],[Year]]),ISNUMBER(Table1[[#This Row],[Column4]]),Table1[[#This Row],[Column4]],Table1[[#This Row],[Column4]]="",H927*(1+Table1[[#This Row],[Ávöxtun]]))</f>
        <v>161.90404259786254</v>
      </c>
      <c r="I928" cm="1">
        <f t="array" ref="I928">_xlfn.IFS(Table1[[#This Row],[Column4]]="NEW",_xlfn.XLOOKUP(Table1[[#This Row],[Year]],$N$2:$N$27,$P$2:$P$27),ISNUMBER(Table1[[#This Row],[Column4]]),Table1[[#This Row],[Column4]],Table1[[#This Row],[Column4]]="",I927*(1+Table1[[#This Row],[Ávöxtun]]))</f>
        <v>185.90699324921815</v>
      </c>
      <c r="L928" s="33">
        <v>161.90404259786254</v>
      </c>
      <c r="M928" s="33">
        <v>200.23420617422926</v>
      </c>
    </row>
    <row r="929" spans="1:13">
      <c r="A929" t="s">
        <v>131</v>
      </c>
      <c r="B929">
        <v>2014</v>
      </c>
      <c r="C929" s="16">
        <v>6.2000000000000006E-2</v>
      </c>
      <c r="D929" s="1">
        <v>153236792</v>
      </c>
      <c r="E929" s="29">
        <f>Table1[[#This Row],[Ávöxtun]]*Table1[[#This Row],[Eignir]]/SUMIFS(Table1[Eignir],Table1[Year],Table1[[#This Row],[Year]])</f>
        <v>3.5810836669984314E-3</v>
      </c>
      <c r="F929" s="23" t="e">
        <f>IF(B929=1997, 100, IF(COUNTIF(A$1:A928,A929)=0, "NEW", F928*(1+Table1[[#This Row],[Ávöxtun]])))</f>
        <v>#VALUE!</v>
      </c>
      <c r="G929" s="18" t="str" cm="1">
        <f t="array" ref="G929">IFERROR(_xlfn.IFS(ISNUMBER(Table1[[#This Row],[Column3]]),Table1[[#This Row],[Column3]],Table1[[#This Row],[Column3]]="NEW",Table1[[#This Row],[Column3]]),"")</f>
        <v/>
      </c>
      <c r="H929" s="15" cm="1">
        <f t="array" ref="H929">_xlfn.IFS(Table1[[#This Row],[Column4]]="NEW",AVERAGEIFS(Table1[Column4],Table1[Year],Table1[[#This Row],[Year]]),ISNUMBER(Table1[[#This Row],[Column4]]),Table1[[#This Row],[Column4]],Table1[[#This Row],[Column4]]="",H928*(1+Table1[[#This Row],[Ávöxtun]]))</f>
        <v>171.94209323893003</v>
      </c>
      <c r="I929" cm="1">
        <f t="array" ref="I929">_xlfn.IFS(Table1[[#This Row],[Column4]]="NEW",_xlfn.XLOOKUP(Table1[[#This Row],[Year]],$N$2:$N$27,$P$2:$P$27),ISNUMBER(Table1[[#This Row],[Column4]]),Table1[[#This Row],[Column4]],Table1[[#This Row],[Column4]]="",I928*(1+Table1[[#This Row],[Ávöxtun]]))</f>
        <v>197.4332268306697</v>
      </c>
      <c r="L929" s="33">
        <v>171.94209323893003</v>
      </c>
      <c r="M929" s="33">
        <v>212.64872695703147</v>
      </c>
    </row>
    <row r="930" spans="1:13">
      <c r="A930" t="s">
        <v>131</v>
      </c>
      <c r="B930">
        <v>2015</v>
      </c>
      <c r="C930" s="16">
        <v>9.1799999999999993E-2</v>
      </c>
      <c r="D930" s="1">
        <v>174550785</v>
      </c>
      <c r="E930" s="29">
        <f>Table1[[#This Row],[Ávöxtun]]*Table1[[#This Row],[Eignir]]/SUMIFS(Table1[Eignir],Table1[Year],Table1[[#This Row],[Year]])</f>
        <v>5.4109137098409385E-3</v>
      </c>
      <c r="F930" s="23" t="e">
        <f>IF(B930=1997, 100, IF(COUNTIF(A$1:A929,A930)=0, "NEW", F929*(1+Table1[[#This Row],[Ávöxtun]])))</f>
        <v>#VALUE!</v>
      </c>
      <c r="G930" s="18" t="str" cm="1">
        <f t="array" ref="G930">IFERROR(_xlfn.IFS(ISNUMBER(Table1[[#This Row],[Column3]]),Table1[[#This Row],[Column3]],Table1[[#This Row],[Column3]]="NEW",Table1[[#This Row],[Column3]]),"")</f>
        <v/>
      </c>
      <c r="H930" s="15" cm="1">
        <f t="array" ref="H930">_xlfn.IFS(Table1[[#This Row],[Column4]]="NEW",AVERAGEIFS(Table1[Column4],Table1[Year],Table1[[#This Row],[Year]]),ISNUMBER(Table1[[#This Row],[Column4]]),Table1[[#This Row],[Column4]],Table1[[#This Row],[Column4]]="",H929*(1+Table1[[#This Row],[Ávöxtun]]))</f>
        <v>187.72637739826382</v>
      </c>
      <c r="I930" cm="1">
        <f t="array" ref="I930">_xlfn.IFS(Table1[[#This Row],[Column4]]="NEW",_xlfn.XLOOKUP(Table1[[#This Row],[Year]],$N$2:$N$27,$P$2:$P$27),ISNUMBER(Table1[[#This Row],[Column4]]),Table1[[#This Row],[Column4]],Table1[[#This Row],[Column4]]="",I929*(1+Table1[[#This Row],[Ávöxtun]]))</f>
        <v>215.5575970537252</v>
      </c>
      <c r="L930" s="33">
        <v>187.72637739826382</v>
      </c>
      <c r="M930" s="33">
        <v>232.16988009168699</v>
      </c>
    </row>
    <row r="931" spans="1:13">
      <c r="A931" t="s">
        <v>131</v>
      </c>
      <c r="B931">
        <v>2016</v>
      </c>
      <c r="C931" s="16">
        <v>-1.3000000000000002E-3</v>
      </c>
      <c r="D931" s="1">
        <v>182176040.52000001</v>
      </c>
      <c r="E931" s="29">
        <f>Table1[[#This Row],[Ávöxtun]]*Table1[[#This Row],[Eignir]]/SUMIFS(Table1[Eignir],Table1[Year],Table1[[#This Row],[Year]])</f>
        <v>-7.4007937384124774E-5</v>
      </c>
      <c r="F931" s="23" t="e">
        <f>IF(B931=1997, 100, IF(COUNTIF(A$1:A930,A931)=0, "NEW", F930*(1+Table1[[#This Row],[Ávöxtun]])))</f>
        <v>#VALUE!</v>
      </c>
      <c r="G931" s="18" t="str" cm="1">
        <f t="array" ref="G931">IFERROR(_xlfn.IFS(ISNUMBER(Table1[[#This Row],[Column3]]),Table1[[#This Row],[Column3]],Table1[[#This Row],[Column3]]="NEW",Table1[[#This Row],[Column3]]),"")</f>
        <v/>
      </c>
      <c r="H931" s="15" cm="1">
        <f t="array" ref="H931">_xlfn.IFS(Table1[[#This Row],[Column4]]="NEW",AVERAGEIFS(Table1[Column4],Table1[Year],Table1[[#This Row],[Year]]),ISNUMBER(Table1[[#This Row],[Column4]]),Table1[[#This Row],[Column4]],Table1[[#This Row],[Column4]]="",H930*(1+Table1[[#This Row],[Ávöxtun]]))</f>
        <v>187.48233310764607</v>
      </c>
      <c r="I931" cm="1">
        <f t="array" ref="I931">_xlfn.IFS(Table1[[#This Row],[Column4]]="NEW",_xlfn.XLOOKUP(Table1[[#This Row],[Year]],$N$2:$N$27,$P$2:$P$27),ISNUMBER(Table1[[#This Row],[Column4]]),Table1[[#This Row],[Column4]],Table1[[#This Row],[Column4]]="",I930*(1+Table1[[#This Row],[Ávöxtun]]))</f>
        <v>215.27737217755538</v>
      </c>
      <c r="L931" s="33">
        <v>187.48233310764607</v>
      </c>
      <c r="M931" s="33">
        <v>231.8680592475678</v>
      </c>
    </row>
    <row r="932" spans="1:13">
      <c r="A932" t="s">
        <v>131</v>
      </c>
      <c r="B932">
        <v>2017</v>
      </c>
      <c r="C932" s="16">
        <v>5.2000000000000005E-2</v>
      </c>
      <c r="D932" s="1">
        <v>199479231</v>
      </c>
      <c r="E932" s="29">
        <f>Table1[[#This Row],[Ávöxtun]]*Table1[[#This Row],[Eignir]]/SUMIFS(Table1[Eignir],Table1[Year],Table1[[#This Row],[Year]])</f>
        <v>2.9144363772181615E-3</v>
      </c>
      <c r="F932" s="23" t="e">
        <f>IF(B932=1997, 100, IF(COUNTIF(A$1:A931,A932)=0, "NEW", F931*(1+Table1[[#This Row],[Ávöxtun]])))</f>
        <v>#VALUE!</v>
      </c>
      <c r="G932" s="18" t="str" cm="1">
        <f t="array" ref="G932">IFERROR(_xlfn.IFS(ISNUMBER(Table1[[#This Row],[Column3]]),Table1[[#This Row],[Column3]],Table1[[#This Row],[Column3]]="NEW",Table1[[#This Row],[Column3]]),"")</f>
        <v/>
      </c>
      <c r="H932" s="15" cm="1">
        <f t="array" ref="H932">_xlfn.IFS(Table1[[#This Row],[Column4]]="NEW",AVERAGEIFS(Table1[Column4],Table1[Year],Table1[[#This Row],[Year]]),ISNUMBER(Table1[[#This Row],[Column4]]),Table1[[#This Row],[Column4]],Table1[[#This Row],[Column4]]="",H931*(1+Table1[[#This Row],[Ávöxtun]]))</f>
        <v>197.23141442924367</v>
      </c>
      <c r="I932" cm="1">
        <f t="array" ref="I932">_xlfn.IFS(Table1[[#This Row],[Column4]]="NEW",_xlfn.XLOOKUP(Table1[[#This Row],[Year]],$N$2:$N$27,$P$2:$P$27),ISNUMBER(Table1[[#This Row],[Column4]]),Table1[[#This Row],[Column4]],Table1[[#This Row],[Column4]]="",I931*(1+Table1[[#This Row],[Ávöxtun]]))</f>
        <v>226.47179553078826</v>
      </c>
      <c r="L932" s="33">
        <v>197.23141442924367</v>
      </c>
      <c r="M932" s="33">
        <v>243.92519832844133</v>
      </c>
    </row>
    <row r="933" spans="1:13">
      <c r="A933" t="s">
        <v>131</v>
      </c>
      <c r="B933">
        <v>2018</v>
      </c>
      <c r="C933" s="16">
        <v>1.4999999999999999E-2</v>
      </c>
      <c r="D933" s="1">
        <v>215276198</v>
      </c>
      <c r="E933" s="29">
        <f>Table1[[#This Row],[Ávöxtun]]*Table1[[#This Row],[Eignir]]/SUMIFS(Table1[Eignir],Table1[Year],Table1[[#This Row],[Year]])</f>
        <v>8.4569766668568633E-4</v>
      </c>
      <c r="F933" s="23" t="e">
        <f>IF(B933=1997, 100, IF(COUNTIF(A$1:A932,A933)=0, "NEW", F932*(1+Table1[[#This Row],[Ávöxtun]])))</f>
        <v>#VALUE!</v>
      </c>
      <c r="G933" s="18" t="str" cm="1">
        <f t="array" ref="G933">IFERROR(_xlfn.IFS(ISNUMBER(Table1[[#This Row],[Column3]]),Table1[[#This Row],[Column3]],Table1[[#This Row],[Column3]]="NEW",Table1[[#This Row],[Column3]]),"")</f>
        <v/>
      </c>
      <c r="H933" s="15" cm="1">
        <f t="array" ref="H933">_xlfn.IFS(Table1[[#This Row],[Column4]]="NEW",AVERAGEIFS(Table1[Column4],Table1[Year],Table1[[#This Row],[Year]]),ISNUMBER(Table1[[#This Row],[Column4]]),Table1[[#This Row],[Column4]],Table1[[#This Row],[Column4]]="",H932*(1+Table1[[#This Row],[Ávöxtun]]))</f>
        <v>200.1898856456823</v>
      </c>
      <c r="I933" cm="1">
        <f t="array" ref="I933">_xlfn.IFS(Table1[[#This Row],[Column4]]="NEW",_xlfn.XLOOKUP(Table1[[#This Row],[Year]],$N$2:$N$27,$P$2:$P$27),ISNUMBER(Table1[[#This Row],[Column4]]),Table1[[#This Row],[Column4]],Table1[[#This Row],[Column4]]="",I932*(1+Table1[[#This Row],[Ávöxtun]]))</f>
        <v>229.86887246375005</v>
      </c>
      <c r="L933" s="33">
        <v>200.1898856456823</v>
      </c>
      <c r="M933" s="33">
        <v>247.58407630336791</v>
      </c>
    </row>
    <row r="934" spans="1:13">
      <c r="A934" t="s">
        <v>131</v>
      </c>
      <c r="B934">
        <v>2019</v>
      </c>
      <c r="C934" s="16">
        <v>9.98E-2</v>
      </c>
      <c r="D934" s="1">
        <v>249839841.91</v>
      </c>
      <c r="E934" s="29">
        <f>Table1[[#This Row],[Ávöxtun]]*Table1[[#This Row],[Eignir]]/SUMIFS(Table1[Eignir],Table1[Year],Table1[[#This Row],[Year]])</f>
        <v>5.6324141129512296E-3</v>
      </c>
      <c r="F934" s="23" t="e">
        <f>IF(B934=1997, 100, IF(COUNTIF(A$1:A933,A934)=0, "NEW", F933*(1+Table1[[#This Row],[Ávöxtun]])))</f>
        <v>#VALUE!</v>
      </c>
      <c r="G934" s="18" t="str" cm="1">
        <f t="array" ref="G934">IFERROR(_xlfn.IFS(ISNUMBER(Table1[[#This Row],[Column3]]),Table1[[#This Row],[Column3]],Table1[[#This Row],[Column3]]="NEW",Table1[[#This Row],[Column3]]),"")</f>
        <v/>
      </c>
      <c r="H934" s="15" cm="1">
        <f t="array" ref="H934">_xlfn.IFS(Table1[[#This Row],[Column4]]="NEW",AVERAGEIFS(Table1[Column4],Table1[Year],Table1[[#This Row],[Year]]),ISNUMBER(Table1[[#This Row],[Column4]]),Table1[[#This Row],[Column4]],Table1[[#This Row],[Column4]]="",H933*(1+Table1[[#This Row],[Ávöxtun]]))</f>
        <v>220.1688362331214</v>
      </c>
      <c r="I934" cm="1">
        <f t="array" ref="I934">_xlfn.IFS(Table1[[#This Row],[Column4]]="NEW",_xlfn.XLOOKUP(Table1[[#This Row],[Year]],$N$2:$N$27,$P$2:$P$27),ISNUMBER(Table1[[#This Row],[Column4]]),Table1[[#This Row],[Column4]],Table1[[#This Row],[Column4]]="",I933*(1+Table1[[#This Row],[Ávöxtun]]))</f>
        <v>252.80978593563233</v>
      </c>
      <c r="L934" s="33">
        <v>220.1688362331214</v>
      </c>
      <c r="M934" s="33">
        <v>272.29296711844404</v>
      </c>
    </row>
    <row r="935" spans="1:13">
      <c r="A935" t="s">
        <v>131</v>
      </c>
      <c r="B935">
        <v>2020</v>
      </c>
      <c r="C935" s="16">
        <v>9.1500000000000012E-2</v>
      </c>
      <c r="D935" s="1">
        <v>288411567.56999999</v>
      </c>
      <c r="E935" s="29">
        <f>Table1[[#This Row],[Ávöxtun]]*Table1[[#This Row],[Eignir]]/SUMIFS(Table1[Eignir],Table1[Year],Table1[[#This Row],[Year]])</f>
        <v>5.1375595695250876E-3</v>
      </c>
      <c r="F935" s="23" t="e">
        <f>IF(B935=1997, 100, IF(COUNTIF(A$1:A934,A935)=0, "NEW", F934*(1+Table1[[#This Row],[Ávöxtun]])))</f>
        <v>#VALUE!</v>
      </c>
      <c r="G935" s="18" t="str" cm="1">
        <f t="array" ref="G935">IFERROR(_xlfn.IFS(ISNUMBER(Table1[[#This Row],[Column3]]),Table1[[#This Row],[Column3]],Table1[[#This Row],[Column3]]="NEW",Table1[[#This Row],[Column3]]),"")</f>
        <v/>
      </c>
      <c r="H935" s="15" cm="1">
        <f t="array" ref="H935">_xlfn.IFS(Table1[[#This Row],[Column4]]="NEW",AVERAGEIFS(Table1[Column4],Table1[Year],Table1[[#This Row],[Year]]),ISNUMBER(Table1[[#This Row],[Column4]]),Table1[[#This Row],[Column4]],Table1[[#This Row],[Column4]]="",H934*(1+Table1[[#This Row],[Ávöxtun]]))</f>
        <v>240.314284748452</v>
      </c>
      <c r="I935" cm="1">
        <f t="array" ref="I935">_xlfn.IFS(Table1[[#This Row],[Column4]]="NEW",_xlfn.XLOOKUP(Table1[[#This Row],[Year]],$N$2:$N$27,$P$2:$P$27),ISNUMBER(Table1[[#This Row],[Column4]]),Table1[[#This Row],[Column4]],Table1[[#This Row],[Column4]]="",I934*(1+Table1[[#This Row],[Ávöxtun]]))</f>
        <v>275.9418813487427</v>
      </c>
      <c r="L935" s="33">
        <v>240.314284748452</v>
      </c>
      <c r="M935" s="33">
        <v>297.20777360978167</v>
      </c>
    </row>
    <row r="936" spans="1:13">
      <c r="A936" t="s">
        <v>131</v>
      </c>
      <c r="B936">
        <v>2021</v>
      </c>
      <c r="C936" s="16">
        <v>0.12770000000000001</v>
      </c>
      <c r="D936" s="1">
        <v>348755833.67000002</v>
      </c>
      <c r="E936" s="29">
        <f>Table1[[#This Row],[Ávöxtun]]*Table1[[#This Row],[Eignir]]/SUMIFS(Table1[Eignir],Table1[Year],Table1[[#This Row],[Year]])</f>
        <v>7.3741424200918487E-3</v>
      </c>
      <c r="F936" s="23" t="e">
        <f>IF(B936=1997, 100, IF(COUNTIF(A$1:A935,A936)=0, "NEW", F935*(1+Table1[[#This Row],[Ávöxtun]])))</f>
        <v>#VALUE!</v>
      </c>
      <c r="G936" s="18" t="str" cm="1">
        <f t="array" ref="G936">IFERROR(_xlfn.IFS(ISNUMBER(Table1[[#This Row],[Column3]]),Table1[[#This Row],[Column3]],Table1[[#This Row],[Column3]]="NEW",Table1[[#This Row],[Column3]]),"")</f>
        <v/>
      </c>
      <c r="H936" s="15" cm="1">
        <f t="array" ref="H936">_xlfn.IFS(Table1[[#This Row],[Column4]]="NEW",AVERAGEIFS(Table1[Column4],Table1[Year],Table1[[#This Row],[Year]]),ISNUMBER(Table1[[#This Row],[Column4]]),Table1[[#This Row],[Column4]],Table1[[#This Row],[Column4]]="",H935*(1+Table1[[#This Row],[Ávöxtun]]))</f>
        <v>271.00241891082931</v>
      </c>
      <c r="I936" cm="1">
        <f t="array" ref="I936">_xlfn.IFS(Table1[[#This Row],[Column4]]="NEW",_xlfn.XLOOKUP(Table1[[#This Row],[Year]],$N$2:$N$27,$P$2:$P$27),ISNUMBER(Table1[[#This Row],[Column4]]),Table1[[#This Row],[Column4]],Table1[[#This Row],[Column4]]="",I935*(1+Table1[[#This Row],[Ávöxtun]]))</f>
        <v>311.1796595969771</v>
      </c>
      <c r="L936" s="33">
        <v>271.00241891082931</v>
      </c>
      <c r="M936" s="33">
        <v>335.16120629975075</v>
      </c>
    </row>
    <row r="937" spans="1:13">
      <c r="A937" t="s">
        <v>134</v>
      </c>
      <c r="B937">
        <v>1999</v>
      </c>
      <c r="C937" s="16">
        <v>0.05</v>
      </c>
      <c r="D937" s="1">
        <v>106690.08</v>
      </c>
      <c r="E937" s="29">
        <f>Table1[[#This Row],[Ávöxtun]]*Table1[[#This Row],[Eignir]]/SUMIFS(Table1[Eignir],Table1[Year],Table1[[#This Row],[Year]])</f>
        <v>1.0244542070458747E-5</v>
      </c>
      <c r="F937" s="23" t="str">
        <f>IF(B937=1997, 100, IF(COUNTIF(A$1:A936,A937)=0, "NEW", F936*(1+Table1[[#This Row],[Ávöxtun]])))</f>
        <v>NEW</v>
      </c>
      <c r="G937" s="18" t="str" cm="1">
        <f t="array" ref="G937">IFERROR(_xlfn.IFS(ISNUMBER(Table1[[#This Row],[Column3]]),Table1[[#This Row],[Column3]],Table1[[#This Row],[Column3]]="NEW",Table1[[#This Row],[Column3]]),"")</f>
        <v>NEW</v>
      </c>
      <c r="H937" s="15" cm="1">
        <f t="array" ref="H937">_xlfn.IFS(Table1[[#This Row],[Column4]]="NEW",AVERAGEIFS(Table1[Column4],Table1[Year],Table1[[#This Row],[Year]]),ISNUMBER(Table1[[#This Row],[Column4]]),Table1[[#This Row],[Column4]],Table1[[#This Row],[Column4]]="",H936*(1+Table1[[#This Row],[Ávöxtun]]))</f>
        <v>117.05306122448981</v>
      </c>
      <c r="I937" cm="1">
        <f t="array" ref="I937">_xlfn.IFS(Table1[[#This Row],[Column4]]="NEW",_xlfn.XLOOKUP(Table1[[#This Row],[Year]],$N$2:$N$27,$P$2:$P$27),ISNUMBER(Table1[[#This Row],[Column4]]),Table1[[#This Row],[Column4]],Table1[[#This Row],[Column4]]="",I936*(1+Table1[[#This Row],[Ávöxtun]]))</f>
        <v>120.02032965757705</v>
      </c>
      <c r="L937" s="33">
        <v>117.05306122448981</v>
      </c>
      <c r="M937" s="33">
        <v>129.26988390123572</v>
      </c>
    </row>
    <row r="938" spans="1:13">
      <c r="A938" t="s">
        <v>134</v>
      </c>
      <c r="B938">
        <v>2000</v>
      </c>
      <c r="C938" s="16">
        <v>0.05</v>
      </c>
      <c r="D938" s="1">
        <v>84365.35</v>
      </c>
      <c r="E938" s="29">
        <f>Table1[[#This Row],[Ávöxtun]]*Table1[[#This Row],[Eignir]]/SUMIFS(Table1[Eignir],Table1[Year],Table1[[#This Row],[Year]])</f>
        <v>5.9337861212765103E-6</v>
      </c>
      <c r="F938" s="23" t="e">
        <f>IF(B938=1997, 100, IF(COUNTIF(A$1:A937,A938)=0, "NEW", F937*(1+Table1[[#This Row],[Ávöxtun]])))</f>
        <v>#VALUE!</v>
      </c>
      <c r="G938" s="18" t="str" cm="1">
        <f t="array" ref="G938">IFERROR(_xlfn.IFS(ISNUMBER(Table1[[#This Row],[Column3]]),Table1[[#This Row],[Column3]],Table1[[#This Row],[Column3]]="NEW",Table1[[#This Row],[Column3]]),"")</f>
        <v/>
      </c>
      <c r="H938" s="15" cm="1">
        <f t="array" ref="H938">_xlfn.IFS(Table1[[#This Row],[Column4]]="NEW",AVERAGEIFS(Table1[Column4],Table1[Year],Table1[[#This Row],[Year]]),ISNUMBER(Table1[[#This Row],[Column4]]),Table1[[#This Row],[Column4]],Table1[[#This Row],[Column4]]="",H937*(1+Table1[[#This Row],[Ávöxtun]]))</f>
        <v>122.90571428571431</v>
      </c>
      <c r="I938" cm="1">
        <f t="array" ref="I938">_xlfn.IFS(Table1[[#This Row],[Column4]]="NEW",_xlfn.XLOOKUP(Table1[[#This Row],[Year]],$N$2:$N$27,$P$2:$P$27),ISNUMBER(Table1[[#This Row],[Column4]]),Table1[[#This Row],[Column4]],Table1[[#This Row],[Column4]]="",I937*(1+Table1[[#This Row],[Ávöxtun]]))</f>
        <v>126.0213461404559</v>
      </c>
      <c r="L938" s="33">
        <v>122.90571428571431</v>
      </c>
      <c r="M938" s="33">
        <v>135.73337809629751</v>
      </c>
    </row>
    <row r="939" spans="1:13">
      <c r="A939" t="s">
        <v>134</v>
      </c>
      <c r="B939">
        <v>2001</v>
      </c>
      <c r="C939" s="16">
        <v>0</v>
      </c>
      <c r="D939" s="1">
        <v>0</v>
      </c>
      <c r="E939" s="29">
        <f>Table1[[#This Row],[Ávöxtun]]*Table1[[#This Row],[Eignir]]/SUMIFS(Table1[Eignir],Table1[Year],Table1[[#This Row],[Year]])</f>
        <v>0</v>
      </c>
      <c r="F939" s="23" t="e">
        <f>IF(B939=1997, 100, IF(COUNTIF(A$1:A938,A939)=0, "NEW", F938*(1+Table1[[#This Row],[Ávöxtun]])))</f>
        <v>#VALUE!</v>
      </c>
      <c r="G939" s="18" t="str" cm="1">
        <f t="array" ref="G939">IFERROR(_xlfn.IFS(ISNUMBER(Table1[[#This Row],[Column3]]),Table1[[#This Row],[Column3]],Table1[[#This Row],[Column3]]="NEW",Table1[[#This Row],[Column3]]),"")</f>
        <v/>
      </c>
      <c r="H939" s="15" cm="1">
        <f t="array" ref="H939">_xlfn.IFS(Table1[[#This Row],[Column4]]="NEW",AVERAGEIFS(Table1[Column4],Table1[Year],Table1[[#This Row],[Year]]),ISNUMBER(Table1[[#This Row],[Column4]]),Table1[[#This Row],[Column4]],Table1[[#This Row],[Column4]]="",H938*(1+Table1[[#This Row],[Ávöxtun]]))</f>
        <v>122.90571428571431</v>
      </c>
      <c r="I939" cm="1">
        <f t="array" ref="I939">_xlfn.IFS(Table1[[#This Row],[Column4]]="NEW",_xlfn.XLOOKUP(Table1[[#This Row],[Year]],$N$2:$N$27,$P$2:$P$27),ISNUMBER(Table1[[#This Row],[Column4]]),Table1[[#This Row],[Column4]],Table1[[#This Row],[Column4]]="",I938*(1+Table1[[#This Row],[Ávöxtun]]))</f>
        <v>126.0213461404559</v>
      </c>
      <c r="L939" s="33">
        <v>122.90571428571431</v>
      </c>
      <c r="M939" s="33">
        <v>135.73337809629751</v>
      </c>
    </row>
    <row r="940" spans="1:13">
      <c r="A940" t="s">
        <v>146</v>
      </c>
      <c r="C940" s="19"/>
      <c r="D940" s="21">
        <f>SUBTOTAL(109,Table1[Eignir])</f>
        <v>52798577897.604027</v>
      </c>
      <c r="E940" s="31"/>
      <c r="F940" s="21"/>
      <c r="G940" s="21"/>
      <c r="H940" s="20">
        <f>SUBTOTAL(109,Table1[Vísitalan án Eignavigtun])</f>
        <v>142548.44174317029</v>
      </c>
      <c r="I940" s="24"/>
      <c r="L940" s="34"/>
    </row>
  </sheetData>
  <phoneticPr fontId="8" type="noConversion"/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AB89E-DD05-BE44-BC33-C6E50CBB8E79}">
  <dimension ref="A1:E55"/>
  <sheetViews>
    <sheetView workbookViewId="0">
      <selection activeCell="E4" sqref="E4"/>
    </sheetView>
  </sheetViews>
  <sheetFormatPr baseColWidth="10" defaultColWidth="8.83203125" defaultRowHeight="15"/>
  <cols>
    <col min="1" max="1" width="40.6640625" style="2" customWidth="1"/>
    <col min="2" max="2" width="36.33203125" style="2" customWidth="1"/>
    <col min="3" max="16384" width="8.83203125" style="2"/>
  </cols>
  <sheetData>
    <row r="1" spans="1:5" ht="19">
      <c r="A1" s="6" t="s">
        <v>42</v>
      </c>
    </row>
    <row r="3" spans="1:5">
      <c r="B3" s="5" t="s">
        <v>41</v>
      </c>
    </row>
    <row r="4" spans="1:5">
      <c r="A4" s="5" t="s">
        <v>40</v>
      </c>
      <c r="B4" s="4">
        <v>177.8</v>
      </c>
      <c r="C4" s="2">
        <f t="shared" ref="C4:C29" si="0">$B$29/B4</f>
        <v>2.8852643419572552</v>
      </c>
      <c r="D4" s="2">
        <v>1000</v>
      </c>
      <c r="E4" s="2">
        <f>D4*C4</f>
        <v>2885.2643419572551</v>
      </c>
    </row>
    <row r="5" spans="1:5">
      <c r="A5" s="5" t="s">
        <v>39</v>
      </c>
      <c r="B5" s="4">
        <v>181.4</v>
      </c>
      <c r="C5" s="2">
        <f t="shared" si="0"/>
        <v>2.8280044101433295</v>
      </c>
      <c r="D5" s="7">
        <f t="shared" ref="D5:D18" si="1">B5/B4-1</f>
        <v>2.0247469066366763E-2</v>
      </c>
    </row>
    <row r="6" spans="1:5">
      <c r="A6" s="5" t="s">
        <v>38</v>
      </c>
      <c r="B6" s="4">
        <v>183.7</v>
      </c>
      <c r="C6" s="2">
        <f t="shared" si="0"/>
        <v>2.7925966249319543</v>
      </c>
      <c r="D6" s="7">
        <f t="shared" si="1"/>
        <v>1.2679162072767314E-2</v>
      </c>
    </row>
    <row r="7" spans="1:5">
      <c r="A7" s="5" t="s">
        <v>37</v>
      </c>
      <c r="B7" s="4">
        <v>194</v>
      </c>
      <c r="C7" s="2">
        <f t="shared" si="0"/>
        <v>2.6443298969072164</v>
      </c>
      <c r="D7" s="7">
        <f t="shared" si="1"/>
        <v>5.6069678824169911E-2</v>
      </c>
    </row>
    <row r="8" spans="1:5">
      <c r="A8" s="5" t="s">
        <v>36</v>
      </c>
      <c r="B8" s="4">
        <v>202.1</v>
      </c>
      <c r="C8" s="2">
        <f t="shared" si="0"/>
        <v>2.5383473527956459</v>
      </c>
      <c r="D8" s="7">
        <f t="shared" si="1"/>
        <v>4.1752577319587703E-2</v>
      </c>
    </row>
    <row r="9" spans="1:5">
      <c r="A9" s="5" t="s">
        <v>35</v>
      </c>
      <c r="B9" s="4">
        <v>219.5</v>
      </c>
      <c r="C9" s="2">
        <f t="shared" si="0"/>
        <v>2.3371298405466971</v>
      </c>
      <c r="D9" s="7">
        <f t="shared" si="1"/>
        <v>8.6095992083127237E-2</v>
      </c>
    </row>
    <row r="10" spans="1:5">
      <c r="A10" s="5" t="s">
        <v>34</v>
      </c>
      <c r="B10" s="4">
        <v>223.9</v>
      </c>
      <c r="C10" s="2">
        <f t="shared" si="0"/>
        <v>2.2912014292094685</v>
      </c>
      <c r="D10" s="7">
        <f t="shared" si="1"/>
        <v>2.0045558086560389E-2</v>
      </c>
    </row>
    <row r="11" spans="1:5">
      <c r="A11" s="5" t="s">
        <v>33</v>
      </c>
      <c r="B11" s="4">
        <v>230</v>
      </c>
      <c r="C11" s="2">
        <f t="shared" si="0"/>
        <v>2.2304347826086954</v>
      </c>
      <c r="D11" s="7">
        <f t="shared" si="1"/>
        <v>2.7244305493523857E-2</v>
      </c>
    </row>
    <row r="12" spans="1:5">
      <c r="A12" s="5" t="s">
        <v>32</v>
      </c>
      <c r="B12" s="4">
        <v>239</v>
      </c>
      <c r="C12" s="2">
        <f t="shared" si="0"/>
        <v>2.1464435146443517</v>
      </c>
      <c r="D12" s="7">
        <f t="shared" si="1"/>
        <v>3.9130434782608692E-2</v>
      </c>
    </row>
    <row r="13" spans="1:5">
      <c r="A13" s="5" t="s">
        <v>31</v>
      </c>
      <c r="B13" s="4">
        <v>248.9</v>
      </c>
      <c r="C13" s="2">
        <f t="shared" si="0"/>
        <v>2.0610687022900764</v>
      </c>
      <c r="D13" s="7">
        <f t="shared" si="1"/>
        <v>4.1422594142259461E-2</v>
      </c>
    </row>
    <row r="14" spans="1:5">
      <c r="A14" s="5" t="s">
        <v>30</v>
      </c>
      <c r="B14" s="4">
        <v>266.2</v>
      </c>
      <c r="C14" s="2">
        <f t="shared" si="0"/>
        <v>1.9271224643125471</v>
      </c>
      <c r="D14" s="7">
        <f t="shared" si="1"/>
        <v>6.950582563278429E-2</v>
      </c>
    </row>
    <row r="15" spans="1:5">
      <c r="A15" s="5" t="s">
        <v>29</v>
      </c>
      <c r="B15" s="4">
        <v>281.8</v>
      </c>
      <c r="C15" s="2">
        <f t="shared" si="0"/>
        <v>1.8204400283889282</v>
      </c>
      <c r="D15" s="7">
        <f t="shared" si="1"/>
        <v>5.8602554470323254E-2</v>
      </c>
    </row>
    <row r="16" spans="1:5">
      <c r="A16" s="5" t="s">
        <v>28</v>
      </c>
      <c r="B16" s="4">
        <v>327.9</v>
      </c>
      <c r="C16" s="2">
        <f t="shared" si="0"/>
        <v>1.5645013723696251</v>
      </c>
      <c r="D16" s="7">
        <f t="shared" si="1"/>
        <v>0.16359119943222122</v>
      </c>
    </row>
    <row r="17" spans="1:4">
      <c r="A17" s="5" t="s">
        <v>27</v>
      </c>
      <c r="B17" s="4">
        <v>356.2</v>
      </c>
      <c r="C17" s="2">
        <f t="shared" si="0"/>
        <v>1.4402021336327906</v>
      </c>
      <c r="D17" s="7">
        <f t="shared" si="1"/>
        <v>8.6306800853918952E-2</v>
      </c>
    </row>
    <row r="18" spans="1:4">
      <c r="A18" s="5" t="s">
        <v>26</v>
      </c>
      <c r="B18" s="4">
        <v>365.5</v>
      </c>
      <c r="C18" s="2">
        <f t="shared" si="0"/>
        <v>1.4035567715458277</v>
      </c>
      <c r="D18" s="7">
        <f t="shared" si="1"/>
        <v>2.6108927568781581E-2</v>
      </c>
    </row>
    <row r="19" spans="1:4">
      <c r="A19" s="5" t="s">
        <v>25</v>
      </c>
      <c r="B19" s="4">
        <v>384.6</v>
      </c>
      <c r="C19" s="2">
        <f t="shared" si="0"/>
        <v>1.3338533541341653</v>
      </c>
      <c r="D19" s="7">
        <f>B19/B18-1</f>
        <v>5.2257181942544584E-2</v>
      </c>
    </row>
    <row r="20" spans="1:4">
      <c r="A20" s="5" t="s">
        <v>24</v>
      </c>
      <c r="B20" s="4">
        <v>402</v>
      </c>
      <c r="C20" s="2">
        <f t="shared" si="0"/>
        <v>1.2761194029850746</v>
      </c>
      <c r="D20" s="7">
        <f t="shared" ref="D20:D29" si="2">B20/B19-1</f>
        <v>4.5241809672386779E-2</v>
      </c>
    </row>
    <row r="21" spans="1:4">
      <c r="A21" s="5" t="s">
        <v>23</v>
      </c>
      <c r="B21" s="4">
        <v>416.7</v>
      </c>
      <c r="C21" s="2">
        <f t="shared" si="0"/>
        <v>1.2311015118790498</v>
      </c>
      <c r="D21" s="7">
        <f t="shared" si="2"/>
        <v>3.656716417910455E-2</v>
      </c>
    </row>
    <row r="22" spans="1:4">
      <c r="A22" s="5" t="s">
        <v>22</v>
      </c>
      <c r="B22" s="4">
        <v>421</v>
      </c>
      <c r="C22" s="2">
        <f t="shared" si="0"/>
        <v>1.2185273159144894</v>
      </c>
      <c r="D22" s="7">
        <f t="shared" si="2"/>
        <v>1.0319174466042691E-2</v>
      </c>
    </row>
    <row r="23" spans="1:4">
      <c r="A23" s="5" t="s">
        <v>21</v>
      </c>
      <c r="B23" s="4">
        <v>429.4</v>
      </c>
      <c r="C23" s="2">
        <f t="shared" si="0"/>
        <v>1.1946902654867257</v>
      </c>
      <c r="D23" s="7">
        <f t="shared" si="2"/>
        <v>1.9952494061757697E-2</v>
      </c>
    </row>
    <row r="24" spans="1:4">
      <c r="A24" s="5" t="s">
        <v>20</v>
      </c>
      <c r="B24" s="4">
        <v>438.4</v>
      </c>
      <c r="C24" s="2">
        <f t="shared" si="0"/>
        <v>1.1701642335766425</v>
      </c>
      <c r="D24" s="7">
        <f t="shared" si="2"/>
        <v>2.0959478341872284E-2</v>
      </c>
    </row>
    <row r="25" spans="1:4">
      <c r="A25" s="5" t="s">
        <v>19</v>
      </c>
      <c r="B25" s="4">
        <v>446</v>
      </c>
      <c r="C25" s="2">
        <f t="shared" si="0"/>
        <v>1.1502242152466369</v>
      </c>
      <c r="D25" s="7">
        <f t="shared" si="2"/>
        <v>1.7335766423357768E-2</v>
      </c>
    </row>
    <row r="26" spans="1:4">
      <c r="A26" s="5" t="s">
        <v>18</v>
      </c>
      <c r="B26" s="4">
        <v>460.5</v>
      </c>
      <c r="C26" s="2">
        <f t="shared" si="0"/>
        <v>1.1140065146579805</v>
      </c>
      <c r="D26" s="7">
        <f t="shared" si="2"/>
        <v>3.2511210762331766E-2</v>
      </c>
    </row>
    <row r="27" spans="1:4">
      <c r="A27" s="5" t="s">
        <v>17</v>
      </c>
      <c r="B27" s="4">
        <v>472.8</v>
      </c>
      <c r="C27" s="2">
        <f t="shared" si="0"/>
        <v>1.0850253807106598</v>
      </c>
      <c r="D27" s="7">
        <f t="shared" si="2"/>
        <v>2.6710097719869763E-2</v>
      </c>
    </row>
    <row r="28" spans="1:4">
      <c r="A28" s="5" t="s">
        <v>16</v>
      </c>
      <c r="B28" s="4">
        <v>489.3</v>
      </c>
      <c r="C28" s="2">
        <f t="shared" si="0"/>
        <v>1.0484365419987738</v>
      </c>
      <c r="D28" s="7">
        <f t="shared" si="2"/>
        <v>3.4898477157360386E-2</v>
      </c>
    </row>
    <row r="29" spans="1:4">
      <c r="A29" s="5" t="s">
        <v>15</v>
      </c>
      <c r="B29" s="4">
        <v>513</v>
      </c>
      <c r="C29" s="2">
        <f t="shared" si="0"/>
        <v>1</v>
      </c>
      <c r="D29" s="7">
        <f t="shared" si="2"/>
        <v>4.8436541998773786E-2</v>
      </c>
    </row>
    <row r="30" spans="1:4">
      <c r="A30" s="5"/>
      <c r="B30" s="4"/>
    </row>
    <row r="32" spans="1:4" ht="224">
      <c r="A32" s="3" t="s">
        <v>14</v>
      </c>
    </row>
    <row r="34" spans="1:1">
      <c r="A34" s="2" t="s">
        <v>13</v>
      </c>
    </row>
    <row r="35" spans="1:1">
      <c r="A35" s="2" t="s">
        <v>12</v>
      </c>
    </row>
    <row r="39" spans="1:1">
      <c r="A39" s="2" t="s">
        <v>11</v>
      </c>
    </row>
    <row r="41" spans="1:1">
      <c r="A41" s="2" t="s">
        <v>10</v>
      </c>
    </row>
    <row r="42" spans="1:1">
      <c r="A42" s="2" t="s">
        <v>9</v>
      </c>
    </row>
    <row r="45" spans="1:1">
      <c r="A45" s="2" t="s">
        <v>8</v>
      </c>
    </row>
    <row r="46" spans="1:1">
      <c r="A46" s="2" t="s">
        <v>7</v>
      </c>
    </row>
    <row r="54" spans="1:1">
      <c r="A54" s="2" t="s">
        <v>6</v>
      </c>
    </row>
    <row r="55" spans="1:1">
      <c r="A55" s="2" t="s">
        <v>5</v>
      </c>
    </row>
  </sheetData>
  <pageMargins left="0.75" right="0.75" top="0.75" bottom="0.5" header="0.5" footer="0.7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E6A95-A40F-354F-A279-5BCEA5049DCA}">
  <dimension ref="A1:S894"/>
  <sheetViews>
    <sheetView topLeftCell="L1" zoomScale="75" workbookViewId="0">
      <selection activeCell="P31" sqref="P31"/>
    </sheetView>
  </sheetViews>
  <sheetFormatPr baseColWidth="10" defaultRowHeight="16"/>
  <cols>
    <col min="1" max="1" width="47.33203125" bestFit="1" customWidth="1"/>
    <col min="3" max="3" width="11" customWidth="1"/>
    <col min="4" max="4" width="16.83203125" style="1" customWidth="1"/>
    <col min="5" max="5" width="15" style="29" customWidth="1"/>
    <col min="6" max="7" width="15" style="1" customWidth="1"/>
    <col min="8" max="8" width="26.6640625" style="15" bestFit="1" customWidth="1"/>
    <col min="12" max="12" width="15" style="33" bestFit="1" customWidth="1"/>
    <col min="13" max="13" width="10.83203125" style="33"/>
  </cols>
  <sheetData>
    <row r="1" spans="1:19">
      <c r="A1" t="s">
        <v>144</v>
      </c>
      <c r="B1" t="s">
        <v>142</v>
      </c>
      <c r="C1" t="s">
        <v>143</v>
      </c>
      <c r="D1" s="1" t="s">
        <v>137</v>
      </c>
      <c r="E1" s="29" t="s">
        <v>145</v>
      </c>
      <c r="F1" s="1" t="s">
        <v>147</v>
      </c>
      <c r="G1" s="1" t="s">
        <v>148</v>
      </c>
      <c r="H1" s="15" t="s">
        <v>149</v>
      </c>
      <c r="I1" t="s">
        <v>150</v>
      </c>
      <c r="L1" s="32" t="s">
        <v>149</v>
      </c>
      <c r="M1" s="33" t="s">
        <v>150</v>
      </c>
      <c r="O1" t="s">
        <v>154</v>
      </c>
    </row>
    <row r="2" spans="1:19">
      <c r="A2" t="s">
        <v>54</v>
      </c>
      <c r="B2">
        <v>2003</v>
      </c>
      <c r="C2" s="16">
        <v>0.13</v>
      </c>
      <c r="D2" s="1">
        <v>4920402</v>
      </c>
      <c r="E2" s="29">
        <f>Table13[[#This Row],[Ávöxtun]]*Table13[[#This Row],[Eignir]]/SUMIFS(Table13[Eignir],Table13[Year],Table13[[#This Row],[Year]])</f>
        <v>1.0029172679314035E-3</v>
      </c>
      <c r="F2" s="23" t="str">
        <f>IFERROR(IF(B2=1997, 100, IF(COUNTIF(A$1:A1,A2)=0, "NEW", "")),"")</f>
        <v>NEW</v>
      </c>
      <c r="G2" s="18" t="str" cm="1">
        <f t="array" ref="G2">IFERROR(_xlfn.IFS(ISNUMBER(Table13[[#This Row],[Column3]]),Table13[[#This Row],[Column3]],Table13[[#This Row],[Column3]]="NEW",Table13[[#This Row],[Column3]]),"")</f>
        <v>NEW</v>
      </c>
      <c r="H2" s="30" cm="1">
        <f t="array" ref="H2">_xlfn.IFS(Table13[[#This Row],[Column4]]="NEW",AVERAGEIFS(Table13[Column4],Table13[Year],Table13[[#This Row],[Year]]),ISNUMBER(Table13[[#This Row],[Column4]]),Table13[[#This Row],[Column4]],Table13[[#This Row],[Column4]]="",H1*(1+Table13[[#This Row],[Ávöxtun]]))</f>
        <v>126.44516546401</v>
      </c>
      <c r="I2" s="30" cm="1">
        <f t="array" ref="I2">_xlfn.IFS(Table13[[#This Row],[Column4]]="NEW",_xlfn.XLOOKUP(Table13[[#This Row],[Year]],$N$2:$N$27,$P$2:$P$27),ISNUMBER(Table13[[#This Row],[Column4]]),Table13[[#This Row],[Column4]],Table13[[#This Row],[Column4]]="",I1*(1+Table13[[#This Row],[Ávöxtun]]))</f>
        <v>133.83281067322866</v>
      </c>
      <c r="L2" s="33">
        <v>126.12287587932381</v>
      </c>
      <c r="M2" s="33">
        <v>143.45657513984816</v>
      </c>
      <c r="N2" t="s">
        <v>4</v>
      </c>
      <c r="P2" t="s">
        <v>155</v>
      </c>
      <c r="Q2" t="s">
        <v>151</v>
      </c>
      <c r="R2" t="s">
        <v>152</v>
      </c>
      <c r="S2" t="s">
        <v>153</v>
      </c>
    </row>
    <row r="3" spans="1:19">
      <c r="A3" t="s">
        <v>54</v>
      </c>
      <c r="B3">
        <v>2004</v>
      </c>
      <c r="C3" s="16">
        <v>0.08</v>
      </c>
      <c r="D3" s="1">
        <v>6646067</v>
      </c>
      <c r="E3" s="29">
        <f>Table13[[#This Row],[Ávöxtun]]*Table13[[#This Row],[Eignir]]/SUMIFS(Table13[Eignir],Table13[Year],Table13[[#This Row],[Year]])</f>
        <v>6.9992452027166938E-4</v>
      </c>
      <c r="F3" s="23" t="e">
        <f>IF(B3=1997, 100, IF(COUNTIF(A$1:A2,A3)=0, "NEW", F2*(1+Table13[[#This Row],[Ávöxtun]])))</f>
        <v>#VALUE!</v>
      </c>
      <c r="G3" s="18" t="str" cm="1">
        <f t="array" ref="G3">IFERROR(_xlfn.IFS(ISNUMBER(Table13[[#This Row],[Column3]]),Table13[[#This Row],[Column3]],Table13[[#This Row],[Column3]]="NEW",Table13[[#This Row],[Column3]]),"")</f>
        <v/>
      </c>
      <c r="H3" s="15" cm="1">
        <f t="array" ref="H3">_xlfn.IFS(Table13[[#This Row],[Column4]]="NEW",AVERAGEIFS(Table13[Column4],Table13[Year],Table13[[#This Row],[Year]]),ISNUMBER(Table13[[#This Row],[Column4]]),Table13[[#This Row],[Column4]],Table13[[#This Row],[Column4]]="",H2*(1+Table13[[#This Row],[Ávöxtun]]))</f>
        <v>136.5607787011308</v>
      </c>
      <c r="I3" cm="1">
        <f t="array" ref="I3">_xlfn.IFS(Table13[[#This Row],[Column4]]="NEW",_xlfn.XLOOKUP(Table13[[#This Row],[Year]],$N$2:$N$27,$P$2:$P$27),ISNUMBER(Table13[[#This Row],[Column4]]),Table13[[#This Row],[Column4]],Table13[[#This Row],[Column4]]="",I2*(1+Table13[[#This Row],[Ávöxtun]]))</f>
        <v>144.53943552708697</v>
      </c>
      <c r="L3" s="33">
        <v>136.21270594966973</v>
      </c>
      <c r="M3" s="33">
        <v>154.93310115103603</v>
      </c>
      <c r="N3">
        <v>1997</v>
      </c>
      <c r="O3" s="27">
        <f>SUMIFS(Table13[Column2],Table13[Year],N3)</f>
        <v>7.2797892023790348E-2</v>
      </c>
      <c r="P3">
        <v>100</v>
      </c>
      <c r="Q3" s="26" cm="1">
        <f t="array" ref="Q3">_xlfn.QUARTILE.EXC(IF($B$2:$B$893 = N3, $I$2:$I$893), 3)</f>
        <v>100</v>
      </c>
      <c r="R3" s="26" cm="1">
        <f t="array" ref="R3">_xlfn.QUARTILE.EXC(IF($B$2:$B$893 = N3, $I$2:$I$893), 1)</f>
        <v>100</v>
      </c>
      <c r="S3" s="26" cm="1">
        <f t="array" ref="S3">_xlfn.QUARTILE.EXC(IF($B$2:$B$893 = N3, $I$2:$I$893), 2)</f>
        <v>100</v>
      </c>
    </row>
    <row r="4" spans="1:19">
      <c r="A4" t="s">
        <v>54</v>
      </c>
      <c r="B4">
        <v>2005</v>
      </c>
      <c r="C4" s="16">
        <v>0.1</v>
      </c>
      <c r="D4" s="1">
        <v>8442599</v>
      </c>
      <c r="E4" s="29">
        <f>Table13[[#This Row],[Ávöxtun]]*Table13[[#This Row],[Eignir]]/SUMIFS(Table13[Eignir],Table13[Year],Table13[[#This Row],[Year]])</f>
        <v>9.0449061861064349E-4</v>
      </c>
      <c r="F4" s="23" t="e">
        <f>IF(B4=1997, 100, IF(COUNTIF(A$1:A3,A4)=0, "NEW", F3*(1+Table13[[#This Row],[Ávöxtun]])))</f>
        <v>#VALUE!</v>
      </c>
      <c r="G4" s="18" t="str" cm="1">
        <f t="array" ref="G4">IFERROR(_xlfn.IFS(ISNUMBER(Table13[[#This Row],[Column3]]),Table13[[#This Row],[Column3]],Table13[[#This Row],[Column3]]="NEW",Table13[[#This Row],[Column3]]),"")</f>
        <v/>
      </c>
      <c r="H4" s="15" cm="1">
        <f t="array" ref="H4">_xlfn.IFS(Table13[[#This Row],[Column4]]="NEW",AVERAGEIFS(Table13[Column4],Table13[Year],Table13[[#This Row],[Year]]),ISNUMBER(Table13[[#This Row],[Column4]]),Table13[[#This Row],[Column4]],Table13[[#This Row],[Column4]]="",H3*(1+Table13[[#This Row],[Ávöxtun]]))</f>
        <v>150.21685657124388</v>
      </c>
      <c r="I4" cm="1">
        <f t="array" ref="I4">_xlfn.IFS(Table13[[#This Row],[Column4]]="NEW",_xlfn.XLOOKUP(Table13[[#This Row],[Year]],$N$2:$N$27,$P$2:$P$27),ISNUMBER(Table13[[#This Row],[Column4]]),Table13[[#This Row],[Column4]],Table13[[#This Row],[Column4]]="",I3*(1+Table13[[#This Row],[Ávöxtun]]))</f>
        <v>158.99337907979569</v>
      </c>
      <c r="L4" s="33">
        <v>149.8339765446367</v>
      </c>
      <c r="M4" s="33">
        <v>170.42641126613964</v>
      </c>
      <c r="N4">
        <v>1998</v>
      </c>
      <c r="O4" s="27">
        <f>SUMIFS(Table13[Column2],Table13[Year],N4)</f>
        <v>6.950019278238119E-2</v>
      </c>
      <c r="P4">
        <f t="shared" ref="P4:P27" si="0">P3*(1+O4)</f>
        <v>106.95001927823813</v>
      </c>
      <c r="Q4" s="26" cm="1">
        <f t="array" ref="Q4">_xlfn.QUARTILE.EXC(IF($B$2:$B$893 = N4, $I$2:$I$893), 3)</f>
        <v>108</v>
      </c>
      <c r="R4" s="26" cm="1">
        <f t="array" ref="R4">_xlfn.QUARTILE.EXC(IF($B$2:$B$893 = N4, $I$2:$I$893), 1)</f>
        <v>106</v>
      </c>
      <c r="S4" s="26" cm="1">
        <f t="array" ref="S4">_xlfn.QUARTILE.EXC(IF($B$2:$B$893 = N4, $I$2:$I$893), 2)</f>
        <v>107</v>
      </c>
    </row>
    <row r="5" spans="1:19">
      <c r="A5" t="s">
        <v>54</v>
      </c>
      <c r="B5">
        <v>2006</v>
      </c>
      <c r="C5" s="16">
        <v>0.26400000000000001</v>
      </c>
      <c r="D5" s="1">
        <v>36287972</v>
      </c>
      <c r="E5" s="29">
        <f>Table13[[#This Row],[Ávöxtun]]*Table13[[#This Row],[Eignir]]/SUMIFS(Table13[Eignir],Table13[Year],Table13[[#This Row],[Year]])</f>
        <v>8.4211692429601651E-3</v>
      </c>
      <c r="F5" s="23" t="e">
        <f>IF(B5=1997, 100, IF(COUNTIF(A$1:A4,A5)=0, "NEW", F4*(1+Table13[[#This Row],[Ávöxtun]])))</f>
        <v>#VALUE!</v>
      </c>
      <c r="G5" s="18" t="str" cm="1">
        <f t="array" ref="G5">IFERROR(_xlfn.IFS(ISNUMBER(Table13[[#This Row],[Column3]]),Table13[[#This Row],[Column3]],Table13[[#This Row],[Column3]]="NEW",Table13[[#This Row],[Column3]]),"")</f>
        <v/>
      </c>
      <c r="H5" s="15" cm="1">
        <f t="array" ref="H5">_xlfn.IFS(Table13[[#This Row],[Column4]]="NEW",AVERAGEIFS(Table13[Column4],Table13[Year],Table13[[#This Row],[Year]]),ISNUMBER(Table13[[#This Row],[Column4]]),Table13[[#This Row],[Column4]],Table13[[#This Row],[Column4]]="",H4*(1+Table13[[#This Row],[Ávöxtun]]))</f>
        <v>189.87410670605226</v>
      </c>
      <c r="I5" cm="1">
        <f t="array" ref="I5">_xlfn.IFS(Table13[[#This Row],[Column4]]="NEW",_xlfn.XLOOKUP(Table13[[#This Row],[Year]],$N$2:$N$27,$P$2:$P$27),ISNUMBER(Table13[[#This Row],[Column4]]),Table13[[#This Row],[Column4]],Table13[[#This Row],[Column4]]="",I4*(1+Table13[[#This Row],[Ávöxtun]]))</f>
        <v>200.96763115686176</v>
      </c>
      <c r="L5" s="33">
        <v>189.3901463524208</v>
      </c>
      <c r="M5" s="33">
        <v>215.4189838404005</v>
      </c>
      <c r="N5">
        <v>1999</v>
      </c>
      <c r="O5" s="27">
        <f>SUMIFS(Table13[Column2],Table13[Year],N5)</f>
        <v>0.12063913661373703</v>
      </c>
      <c r="P5">
        <f t="shared" si="0"/>
        <v>119.85237726478729</v>
      </c>
      <c r="Q5" s="26" cm="1">
        <f t="array" ref="Q5">_xlfn.QUARTILE.EXC(IF($B$2:$B$893 = N5, $I$2:$I$893), 3)</f>
        <v>120.1525</v>
      </c>
      <c r="R5" s="26" cm="1">
        <f t="array" ref="R5">_xlfn.QUARTILE.EXC(IF($B$2:$B$893 = N5, $I$2:$I$893), 1)</f>
        <v>113.42</v>
      </c>
      <c r="S5" s="26" cm="1">
        <f t="array" ref="S5">_xlfn.QUARTILE.EXC(IF($B$2:$B$893 = N5, $I$2:$I$893), 2)</f>
        <v>116.63500000000002</v>
      </c>
    </row>
    <row r="6" spans="1:19">
      <c r="A6" t="s">
        <v>54</v>
      </c>
      <c r="B6">
        <v>2007</v>
      </c>
      <c r="C6" s="16">
        <v>2.2000000000000002E-2</v>
      </c>
      <c r="D6" s="1">
        <v>39961749</v>
      </c>
      <c r="E6" s="29">
        <f>Table13[[#This Row],[Ávöxtun]]*Table13[[#This Row],[Eignir]]/SUMIFS(Table13[Eignir],Table13[Year],Table13[[#This Row],[Year]])</f>
        <v>6.8499090903153138E-4</v>
      </c>
      <c r="F6" s="23" t="e">
        <f>IF(B6=1997, 100, IF(COUNTIF(A$1:A5,A6)=0, "NEW", F5*(1+Table13[[#This Row],[Ávöxtun]])))</f>
        <v>#VALUE!</v>
      </c>
      <c r="G6" s="18" t="str" cm="1">
        <f t="array" ref="G6">IFERROR(_xlfn.IFS(ISNUMBER(Table13[[#This Row],[Column3]]),Table13[[#This Row],[Column3]],Table13[[#This Row],[Column3]]="NEW",Table13[[#This Row],[Column3]]),"")</f>
        <v/>
      </c>
      <c r="H6" s="15" cm="1">
        <f t="array" ref="H6">_xlfn.IFS(Table13[[#This Row],[Column4]]="NEW",AVERAGEIFS(Table13[Column4],Table13[Year],Table13[[#This Row],[Year]]),ISNUMBER(Table13[[#This Row],[Column4]]),Table13[[#This Row],[Column4]],Table13[[#This Row],[Column4]]="",H5*(1+Table13[[#This Row],[Ávöxtun]]))</f>
        <v>194.0513370535854</v>
      </c>
      <c r="I6" cm="1">
        <f t="array" ref="I6">_xlfn.IFS(Table13[[#This Row],[Column4]]="NEW",_xlfn.XLOOKUP(Table13[[#This Row],[Year]],$N$2:$N$27,$P$2:$P$27),ISNUMBER(Table13[[#This Row],[Column4]]),Table13[[#This Row],[Column4]],Table13[[#This Row],[Column4]]="",I5*(1+Table13[[#This Row],[Ávöxtun]]))</f>
        <v>205.38891904231272</v>
      </c>
      <c r="L6" s="33">
        <v>193.55672957217405</v>
      </c>
      <c r="M6" s="33">
        <v>220.1582014848893</v>
      </c>
      <c r="N6">
        <v>2000</v>
      </c>
      <c r="O6" s="27">
        <f>SUMIFS(Table13[Column2],Table13[Year],N6)</f>
        <v>1.3378952014236967E-3</v>
      </c>
      <c r="P6">
        <f t="shared" si="0"/>
        <v>120.01272718520909</v>
      </c>
      <c r="Q6" s="26" cm="1">
        <f t="array" ref="Q6">_xlfn.QUARTILE.EXC(IF($B$2:$B$893 = N6, $I$2:$I$893), 3)</f>
        <v>120.163875</v>
      </c>
      <c r="R6" s="26" cm="1">
        <f t="array" ref="R6">_xlfn.QUARTILE.EXC(IF($B$2:$B$893 = N6, $I$2:$I$893), 1)</f>
        <v>111.80005284362433</v>
      </c>
      <c r="S6" s="26" cm="1">
        <f t="array" ref="S6">_xlfn.QUARTILE.EXC(IF($B$2:$B$893 = N6, $I$2:$I$893), 2)</f>
        <v>117.64915000000002</v>
      </c>
    </row>
    <row r="7" spans="1:19">
      <c r="A7" t="s">
        <v>54</v>
      </c>
      <c r="B7">
        <v>2008</v>
      </c>
      <c r="C7" s="16">
        <v>-0.45900000000000002</v>
      </c>
      <c r="D7" s="1">
        <v>38610698</v>
      </c>
      <c r="E7" s="29">
        <f>Table13[[#This Row],[Ávöxtun]]*Table13[[#This Row],[Eignir]]/SUMIFS(Table13[Eignir],Table13[Year],Table13[[#This Row],[Year]])</f>
        <v>-1.4303771096729381E-2</v>
      </c>
      <c r="F7" s="23" t="e">
        <f>IF(B7=1997, 100, IF(COUNTIF(A$1:A6,A7)=0, "NEW", F6*(1+Table13[[#This Row],[Ávöxtun]])))</f>
        <v>#VALUE!</v>
      </c>
      <c r="G7" s="18" t="str" cm="1">
        <f t="array" ref="G7">IFERROR(_xlfn.IFS(ISNUMBER(Table13[[#This Row],[Column3]]),Table13[[#This Row],[Column3]],Table13[[#This Row],[Column3]]="NEW",Table13[[#This Row],[Column3]]),"")</f>
        <v/>
      </c>
      <c r="H7" s="15" cm="1">
        <f t="array" ref="H7">_xlfn.IFS(Table13[[#This Row],[Column4]]="NEW",AVERAGEIFS(Table13[Column4],Table13[Year],Table13[[#This Row],[Year]]),ISNUMBER(Table13[[#This Row],[Column4]]),Table13[[#This Row],[Column4]],Table13[[#This Row],[Column4]]="",H6*(1+Table13[[#This Row],[Ávöxtun]]))</f>
        <v>104.98177334598968</v>
      </c>
      <c r="I7" cm="1">
        <f t="array" ref="I7">_xlfn.IFS(Table13[[#This Row],[Column4]]="NEW",_xlfn.XLOOKUP(Table13[[#This Row],[Year]],$N$2:$N$27,$P$2:$P$27),ISNUMBER(Table13[[#This Row],[Column4]]),Table13[[#This Row],[Column4]],Table13[[#This Row],[Column4]]="",I6*(1+Table13[[#This Row],[Ávöxtun]]))</f>
        <v>111.11540520189116</v>
      </c>
      <c r="L7" s="33">
        <v>104.71419069854615</v>
      </c>
      <c r="M7" s="33">
        <v>119.1055870033251</v>
      </c>
      <c r="N7">
        <v>2001</v>
      </c>
      <c r="O7" s="27">
        <f>SUMIFS(Table13[Column2],Table13[Year],N7)</f>
        <v>-2.8737603030954729E-2</v>
      </c>
      <c r="P7">
        <f t="shared" si="0"/>
        <v>116.56384907269828</v>
      </c>
      <c r="Q7" s="26" cm="1">
        <f t="array" ref="Q7">_xlfn.QUARTILE.EXC(IF($B$2:$B$893 = N7, $I$2:$I$893), 3)</f>
        <v>119.90281500000002</v>
      </c>
      <c r="R7" s="26" cm="1">
        <f t="array" ref="R7">_xlfn.QUARTILE.EXC(IF($B$2:$B$893 = N7, $I$2:$I$893), 1)</f>
        <v>107.82923200000002</v>
      </c>
      <c r="S7" s="26" cm="1">
        <f t="array" ref="S7">_xlfn.QUARTILE.EXC(IF($B$2:$B$893 = N7, $I$2:$I$893), 2)</f>
        <v>113.34905040876623</v>
      </c>
    </row>
    <row r="8" spans="1:19">
      <c r="A8" t="s">
        <v>54</v>
      </c>
      <c r="B8">
        <v>2009</v>
      </c>
      <c r="C8" s="16">
        <v>0</v>
      </c>
      <c r="D8" s="1">
        <v>42395259</v>
      </c>
      <c r="E8" s="29">
        <f>Table13[[#This Row],[Ávöxtun]]*Table13[[#This Row],[Eignir]]/SUMIFS(Table13[Eignir],Table13[Year],Table13[[#This Row],[Year]])</f>
        <v>0</v>
      </c>
      <c r="F8" s="23" t="e">
        <f>IF(B8=1997, 100, IF(COUNTIF(A$1:A7,A8)=0, "NEW", F7*(1+Table13[[#This Row],[Ávöxtun]])))</f>
        <v>#VALUE!</v>
      </c>
      <c r="G8" s="18" t="str" cm="1">
        <f t="array" ref="G8">IFERROR(_xlfn.IFS(ISNUMBER(Table13[[#This Row],[Column3]]),Table13[[#This Row],[Column3]],Table13[[#This Row],[Column3]]="NEW",Table13[[#This Row],[Column3]]),"")</f>
        <v/>
      </c>
      <c r="H8" s="15" cm="1">
        <f t="array" ref="H8">_xlfn.IFS(Table13[[#This Row],[Column4]]="NEW",AVERAGEIFS(Table13[Column4],Table13[Year],Table13[[#This Row],[Year]]),ISNUMBER(Table13[[#This Row],[Column4]]),Table13[[#This Row],[Column4]],Table13[[#This Row],[Column4]]="",H7*(1+Table13[[#This Row],[Ávöxtun]]))</f>
        <v>104.98177334598968</v>
      </c>
      <c r="I8" cm="1">
        <f t="array" ref="I8">_xlfn.IFS(Table13[[#This Row],[Column4]]="NEW",_xlfn.XLOOKUP(Table13[[#This Row],[Year]],$N$2:$N$27,$P$2:$P$27),ISNUMBER(Table13[[#This Row],[Column4]]),Table13[[#This Row],[Column4]],Table13[[#This Row],[Column4]]="",I7*(1+Table13[[#This Row],[Ávöxtun]]))</f>
        <v>111.11540520189116</v>
      </c>
      <c r="L8" s="33">
        <v>104.71419069854615</v>
      </c>
      <c r="M8" s="33">
        <v>119.1055870033251</v>
      </c>
      <c r="N8">
        <v>2002</v>
      </c>
      <c r="O8" s="27">
        <f>SUMIFS(Table13[Column2],Table13[Year],N8)</f>
        <v>-1.0596599120742548E-2</v>
      </c>
      <c r="P8">
        <f t="shared" si="0"/>
        <v>115.32866869210416</v>
      </c>
      <c r="Q8" s="26" cm="1">
        <f t="array" ref="Q8">_xlfn.QUARTILE.EXC(IF($B$2:$B$893 = N8, $I$2:$I$893), 3)</f>
        <v>121.21959024</v>
      </c>
      <c r="R8" s="26" cm="1">
        <f t="array" ref="R8">_xlfn.QUARTILE.EXC(IF($B$2:$B$893 = N8, $I$2:$I$893), 1)</f>
        <v>104.8185231892591</v>
      </c>
      <c r="S8" s="26" cm="1">
        <f t="array" ref="S8">_xlfn.QUARTILE.EXC(IF($B$2:$B$893 = N8, $I$2:$I$893), 2)</f>
        <v>111.99430655999998</v>
      </c>
    </row>
    <row r="9" spans="1:19">
      <c r="A9" t="s">
        <v>54</v>
      </c>
      <c r="B9">
        <v>2010</v>
      </c>
      <c r="C9" s="16">
        <v>1.4999999999999999E-2</v>
      </c>
      <c r="D9" s="1">
        <v>46597920</v>
      </c>
      <c r="E9" s="29">
        <f>Table13[[#This Row],[Ávöxtun]]*Table13[[#This Row],[Eignir]]/SUMIFS(Table13[Eignir],Table13[Year],Table13[[#This Row],[Year]])</f>
        <v>4.7719373179980201E-4</v>
      </c>
      <c r="F9" s="23" t="e">
        <f>IF(B9=1997, 100, IF(COUNTIF(A$1:A8,A9)=0, "NEW", F8*(1+Table13[[#This Row],[Ávöxtun]])))</f>
        <v>#VALUE!</v>
      </c>
      <c r="G9" s="18" t="str" cm="1">
        <f t="array" ref="G9">IFERROR(_xlfn.IFS(ISNUMBER(Table13[[#This Row],[Column3]]),Table13[[#This Row],[Column3]],Table13[[#This Row],[Column3]]="NEW",Table13[[#This Row],[Column3]]),"")</f>
        <v/>
      </c>
      <c r="H9" s="15" cm="1">
        <f t="array" ref="H9">_xlfn.IFS(Table13[[#This Row],[Column4]]="NEW",AVERAGEIFS(Table13[Column4],Table13[Year],Table13[[#This Row],[Year]]),ISNUMBER(Table13[[#This Row],[Column4]]),Table13[[#This Row],[Column4]],Table13[[#This Row],[Column4]]="",H8*(1+Table13[[#This Row],[Ávöxtun]]))</f>
        <v>106.55649994617951</v>
      </c>
      <c r="I9" cm="1">
        <f t="array" ref="I9">_xlfn.IFS(Table13[[#This Row],[Column4]]="NEW",_xlfn.XLOOKUP(Table13[[#This Row],[Year]],$N$2:$N$27,$P$2:$P$27),ISNUMBER(Table13[[#This Row],[Column4]]),Table13[[#This Row],[Column4]],Table13[[#This Row],[Column4]]="",I8*(1+Table13[[#This Row],[Ávöxtun]]))</f>
        <v>112.78213627991953</v>
      </c>
      <c r="L9" s="33">
        <v>106.28490355902433</v>
      </c>
      <c r="M9" s="33">
        <v>120.89217080837496</v>
      </c>
      <c r="N9">
        <v>2003</v>
      </c>
      <c r="O9" s="27">
        <f>SUMIFS(Table13[Column2],Table13[Year],N9)</f>
        <v>0.16044702666711155</v>
      </c>
      <c r="P9">
        <f t="shared" si="0"/>
        <v>133.83281067322866</v>
      </c>
      <c r="Q9" s="26" cm="1">
        <f t="array" ref="Q9">_xlfn.QUARTILE.EXC(IF($B$2:$B$893 = N9, $I$2:$I$893), 3)</f>
        <v>133.54660440000004</v>
      </c>
      <c r="R9" s="26" cm="1">
        <f t="array" ref="R9">_xlfn.QUARTILE.EXC(IF($B$2:$B$893 = N9, $I$2:$I$893), 1)</f>
        <v>115.27088135595633</v>
      </c>
      <c r="S9" s="26" cm="1">
        <f t="array" ref="S9">_xlfn.QUARTILE.EXC(IF($B$2:$B$893 = N9, $I$2:$I$893), 2)</f>
        <v>125.36712871200002</v>
      </c>
    </row>
    <row r="10" spans="1:19">
      <c r="A10" t="s">
        <v>54</v>
      </c>
      <c r="B10">
        <v>2011</v>
      </c>
      <c r="C10" s="16">
        <v>4.2000000000000003E-2</v>
      </c>
      <c r="D10" s="1">
        <v>53278550</v>
      </c>
      <c r="E10" s="29">
        <f>Table13[[#This Row],[Ávöxtun]]*Table13[[#This Row],[Eignir]]/SUMIFS(Table13[Eignir],Table13[Year],Table13[[#This Row],[Year]])</f>
        <v>1.4092383341658321E-3</v>
      </c>
      <c r="F10" s="23" t="e">
        <f>IF(B10=1997, 100, IF(COUNTIF(A$1:A9,A10)=0, "NEW", F9*(1+Table13[[#This Row],[Ávöxtun]])))</f>
        <v>#VALUE!</v>
      </c>
      <c r="G10" s="18" t="str" cm="1">
        <f t="array" ref="G10">IFERROR(_xlfn.IFS(ISNUMBER(Table13[[#This Row],[Column3]]),Table13[[#This Row],[Column3]],Table13[[#This Row],[Column3]]="NEW",Table13[[#This Row],[Column3]]),"")</f>
        <v/>
      </c>
      <c r="H10" s="15" cm="1">
        <f t="array" ref="H10">_xlfn.IFS(Table13[[#This Row],[Column4]]="NEW",AVERAGEIFS(Table13[Column4],Table13[Year],Table13[[#This Row],[Year]]),ISNUMBER(Table13[[#This Row],[Column4]]),Table13[[#This Row],[Column4]],Table13[[#This Row],[Column4]]="",H9*(1+Table13[[#This Row],[Ávöxtun]]))</f>
        <v>111.03187294391905</v>
      </c>
      <c r="I10" cm="1">
        <f t="array" ref="I10">_xlfn.IFS(Table13[[#This Row],[Column4]]="NEW",_xlfn.XLOOKUP(Table13[[#This Row],[Year]],$N$2:$N$27,$P$2:$P$27),ISNUMBER(Table13[[#This Row],[Column4]]),Table13[[#This Row],[Column4]],Table13[[#This Row],[Column4]]="",I9*(1+Table13[[#This Row],[Ávöxtun]]))</f>
        <v>117.51898600367615</v>
      </c>
      <c r="L10" s="33">
        <v>110.74886950850336</v>
      </c>
      <c r="M10" s="33">
        <v>125.96964198232671</v>
      </c>
      <c r="N10">
        <v>2004</v>
      </c>
      <c r="O10" s="27">
        <f>SUMIFS(Table13[Column2],Table13[Year],N10)</f>
        <v>0.14014186787344149</v>
      </c>
      <c r="P10">
        <f t="shared" si="0"/>
        <v>152.58839074372759</v>
      </c>
      <c r="Q10" s="26" cm="1">
        <f t="array" ref="Q10">_xlfn.QUARTILE.EXC(IF($B$2:$B$893 = N10, $I$2:$I$893), 3)</f>
        <v>147.83938784208001</v>
      </c>
      <c r="R10" s="26" cm="1">
        <f t="array" ref="R10">_xlfn.QUARTILE.EXC(IF($B$2:$B$893 = N10, $I$2:$I$893), 1)</f>
        <v>124.59035160187202</v>
      </c>
      <c r="S10" s="26" cm="1">
        <f t="array" ref="S10">_xlfn.QUARTILE.EXC(IF($B$2:$B$893 = N10, $I$2:$I$893), 2)</f>
        <v>139.87841510250001</v>
      </c>
    </row>
    <row r="11" spans="1:19">
      <c r="A11" t="s">
        <v>54</v>
      </c>
      <c r="B11">
        <v>2012</v>
      </c>
      <c r="C11" s="16">
        <v>9.8000000000000004E-2</v>
      </c>
      <c r="D11" s="1">
        <v>60677032</v>
      </c>
      <c r="E11" s="29">
        <f>Table13[[#This Row],[Ávöxtun]]*Table13[[#This Row],[Eignir]]/SUMIFS(Table13[Eignir],Table13[Year],Table13[[#This Row],[Year]])</f>
        <v>3.3129694927399511E-3</v>
      </c>
      <c r="F11" s="23" t="e">
        <f>IF(B11=1997, 100, IF(COUNTIF(A$1:A10,A11)=0, "NEW", F10*(1+Table13[[#This Row],[Ávöxtun]])))</f>
        <v>#VALUE!</v>
      </c>
      <c r="G11" s="18" t="str" cm="1">
        <f t="array" ref="G11">IFERROR(_xlfn.IFS(ISNUMBER(Table13[[#This Row],[Column3]]),Table13[[#This Row],[Column3]],Table13[[#This Row],[Column3]]="NEW",Table13[[#This Row],[Column3]]),"")</f>
        <v/>
      </c>
      <c r="H11" s="15" cm="1">
        <f t="array" ref="H11">_xlfn.IFS(Table13[[#This Row],[Column4]]="NEW",AVERAGEIFS(Table13[Column4],Table13[Year],Table13[[#This Row],[Year]]),ISNUMBER(Table13[[#This Row],[Column4]]),Table13[[#This Row],[Column4]],Table13[[#This Row],[Column4]]="",H10*(1+Table13[[#This Row],[Ávöxtun]]))</f>
        <v>121.91299649242313</v>
      </c>
      <c r="I11" cm="1">
        <f t="array" ref="I11">_xlfn.IFS(Table13[[#This Row],[Column4]]="NEW",_xlfn.XLOOKUP(Table13[[#This Row],[Year]],$N$2:$N$27,$P$2:$P$27),ISNUMBER(Table13[[#This Row],[Column4]]),Table13[[#This Row],[Column4]],Table13[[#This Row],[Column4]]="",I10*(1+Table13[[#This Row],[Ávöxtun]]))</f>
        <v>129.03584663203642</v>
      </c>
      <c r="L11" s="33">
        <v>121.60225872033671</v>
      </c>
      <c r="M11" s="33">
        <v>138.31466689659473</v>
      </c>
      <c r="N11">
        <v>2005</v>
      </c>
      <c r="O11" s="27">
        <f>SUMIFS(Table13[Column2],Table13[Year],N11)</f>
        <v>0.18206810337775109</v>
      </c>
      <c r="P11">
        <f t="shared" si="0"/>
        <v>180.36986964390127</v>
      </c>
      <c r="Q11" s="26" cm="1">
        <f t="array" ref="Q11">_xlfn.QUARTILE.EXC(IF($B$2:$B$893 = N11, $I$2:$I$893), 3)</f>
        <v>165.27713475366727</v>
      </c>
      <c r="R11" s="26" cm="1">
        <f t="array" ref="R11">_xlfn.QUARTILE.EXC(IF($B$2:$B$893 = N11, $I$2:$I$893), 1)</f>
        <v>133.91482719352152</v>
      </c>
      <c r="S11" s="26" cm="1">
        <f t="array" ref="S11">_xlfn.QUARTILE.EXC(IF($B$2:$B$893 = N11, $I$2:$I$893), 2)</f>
        <v>153.05068942551361</v>
      </c>
    </row>
    <row r="12" spans="1:19">
      <c r="A12" t="s">
        <v>54</v>
      </c>
      <c r="B12">
        <v>2013</v>
      </c>
      <c r="C12" s="16">
        <v>3.7000000000000005E-2</v>
      </c>
      <c r="D12" s="1">
        <v>67548582</v>
      </c>
      <c r="E12" s="29">
        <f>Table13[[#This Row],[Ávöxtun]]*Table13[[#This Row],[Eignir]]/SUMIFS(Table13[Eignir],Table13[Year],Table13[[#This Row],[Year]])</f>
        <v>1.2661636009429647E-3</v>
      </c>
      <c r="F12" s="23" t="e">
        <f>IF(B12=1997, 100, IF(COUNTIF(A$1:A11,A12)=0, "NEW", F11*(1+Table13[[#This Row],[Ávöxtun]])))</f>
        <v>#VALUE!</v>
      </c>
      <c r="G12" s="18" t="str" cm="1">
        <f t="array" ref="G12">IFERROR(_xlfn.IFS(ISNUMBER(Table13[[#This Row],[Column3]]),Table13[[#This Row],[Column3]],Table13[[#This Row],[Column3]]="NEW",Table13[[#This Row],[Column3]]),"")</f>
        <v/>
      </c>
      <c r="H12" s="15" cm="1">
        <f t="array" ref="H12">_xlfn.IFS(Table13[[#This Row],[Column4]]="NEW",AVERAGEIFS(Table13[Column4],Table13[Year],Table13[[#This Row],[Year]]),ISNUMBER(Table13[[#This Row],[Column4]]),Table13[[#This Row],[Column4]],Table13[[#This Row],[Column4]]="",H11*(1+Table13[[#This Row],[Ávöxtun]]))</f>
        <v>126.42377736264278</v>
      </c>
      <c r="I12" cm="1">
        <f t="array" ref="I12">_xlfn.IFS(Table13[[#This Row],[Column4]]="NEW",_xlfn.XLOOKUP(Table13[[#This Row],[Year]],$N$2:$N$27,$P$2:$P$27),ISNUMBER(Table13[[#This Row],[Column4]]),Table13[[#This Row],[Column4]],Table13[[#This Row],[Column4]]="",I11*(1+Table13[[#This Row],[Ávöxtun]]))</f>
        <v>133.81017295742177</v>
      </c>
      <c r="L12" s="33">
        <v>126.10154229298915</v>
      </c>
      <c r="M12" s="33">
        <v>143.43230957176871</v>
      </c>
      <c r="N12">
        <v>2006</v>
      </c>
      <c r="O12" s="27">
        <f>SUMIFS(Table13[Column2],Table13[Year],N12)</f>
        <v>0.1440254211085184</v>
      </c>
      <c r="P12">
        <f t="shared" si="0"/>
        <v>206.34771607465271</v>
      </c>
      <c r="Q12" s="26" cm="1">
        <f t="array" ref="Q12">_xlfn.QUARTILE.EXC(IF($B$2:$B$893 = N12, $I$2:$I$893), 3)</f>
        <v>196.5768222122783</v>
      </c>
      <c r="R12" s="26" cm="1">
        <f t="array" ref="R12">_xlfn.QUARTILE.EXC(IF($B$2:$B$893 = N12, $I$2:$I$893), 1)</f>
        <v>147.80393190230856</v>
      </c>
      <c r="S12" s="26" cm="1">
        <f t="array" ref="S12">_xlfn.QUARTILE.EXC(IF($B$2:$B$893 = N12, $I$2:$I$893), 2)</f>
        <v>171.28070015881707</v>
      </c>
    </row>
    <row r="13" spans="1:19">
      <c r="A13" t="s">
        <v>54</v>
      </c>
      <c r="B13">
        <v>2014</v>
      </c>
      <c r="C13" s="16">
        <v>6.2000000000000006E-2</v>
      </c>
      <c r="D13" s="1">
        <v>74000497</v>
      </c>
      <c r="E13" s="29">
        <f>Table13[[#This Row],[Ávöxtun]]*Table13[[#This Row],[Eignir]]/SUMIFS(Table13[Eignir],Table13[Year],Table13[[#This Row],[Year]])</f>
        <v>2.1314856815955697E-3</v>
      </c>
      <c r="F13" s="23" t="e">
        <f>IF(B13=1997, 100, IF(COUNTIF(A$1:A12,A13)=0, "NEW", F12*(1+Table13[[#This Row],[Ávöxtun]])))</f>
        <v>#VALUE!</v>
      </c>
      <c r="G13" s="18" t="str" cm="1">
        <f t="array" ref="G13">IFERROR(_xlfn.IFS(ISNUMBER(Table13[[#This Row],[Column3]]),Table13[[#This Row],[Column3]],Table13[[#This Row],[Column3]]="NEW",Table13[[#This Row],[Column3]]),"")</f>
        <v/>
      </c>
      <c r="H13" s="15" cm="1">
        <f t="array" ref="H13">_xlfn.IFS(Table13[[#This Row],[Column4]]="NEW",AVERAGEIFS(Table13[Column4],Table13[Year],Table13[[#This Row],[Year]]),ISNUMBER(Table13[[#This Row],[Column4]]),Table13[[#This Row],[Column4]],Table13[[#This Row],[Column4]]="",H12*(1+Table13[[#This Row],[Ávöxtun]]))</f>
        <v>134.26205155912663</v>
      </c>
      <c r="I13" cm="1">
        <f t="array" ref="I13">_xlfn.IFS(Table13[[#This Row],[Column4]]="NEW",_xlfn.XLOOKUP(Table13[[#This Row],[Year]],$N$2:$N$27,$P$2:$P$27),ISNUMBER(Table13[[#This Row],[Column4]]),Table13[[#This Row],[Column4]],Table13[[#This Row],[Column4]]="",I12*(1+Table13[[#This Row],[Ávöxtun]]))</f>
        <v>142.10640368078194</v>
      </c>
      <c r="L13" s="33">
        <v>133.91983791515449</v>
      </c>
      <c r="M13" s="33">
        <v>152.32511276521839</v>
      </c>
      <c r="N13">
        <v>2007</v>
      </c>
      <c r="O13" s="27">
        <f>SUMIFS(Table13[Column2],Table13[Year],N13)</f>
        <v>6.3120396738451847E-3</v>
      </c>
      <c r="P13">
        <f t="shared" si="0"/>
        <v>207.65019104512325</v>
      </c>
      <c r="Q13" s="26" cm="1">
        <f t="array" ref="Q13">_xlfn.QUARTILE.EXC(IF($B$2:$B$893 = N13, $I$2:$I$893), 3)</f>
        <v>205.38891904231272</v>
      </c>
      <c r="R13" s="26" cm="1">
        <f t="array" ref="R13">_xlfn.QUARTILE.EXC(IF($B$2:$B$893 = N13, $I$2:$I$893), 1)</f>
        <v>151.86175840697268</v>
      </c>
      <c r="S13" s="26" cm="1">
        <f t="array" ref="S13">_xlfn.QUARTILE.EXC(IF($B$2:$B$893 = N13, $I$2:$I$893), 2)</f>
        <v>174.93423311804446</v>
      </c>
    </row>
    <row r="14" spans="1:19">
      <c r="A14" t="s">
        <v>54</v>
      </c>
      <c r="B14">
        <v>2015</v>
      </c>
      <c r="C14" s="16">
        <v>6.5000000000000002E-2</v>
      </c>
      <c r="D14" s="1">
        <v>82937052.870000005</v>
      </c>
      <c r="E14" s="29">
        <f>Table13[[#This Row],[Ávöxtun]]*Table13[[#This Row],[Eignir]]/SUMIFS(Table13[Eignir],Table13[Year],Table13[[#This Row],[Year]])</f>
        <v>2.2577234225706526E-3</v>
      </c>
      <c r="F14" s="23" t="e">
        <f>IF(B14=1997, 100, IF(COUNTIF(A$1:A13,A14)=0, "NEW", F13*(1+Table13[[#This Row],[Ávöxtun]])))</f>
        <v>#VALUE!</v>
      </c>
      <c r="G14" s="18" t="str" cm="1">
        <f t="array" ref="G14">IFERROR(_xlfn.IFS(ISNUMBER(Table13[[#This Row],[Column3]]),Table13[[#This Row],[Column3]],Table13[[#This Row],[Column3]]="NEW",Table13[[#This Row],[Column3]]),"")</f>
        <v/>
      </c>
      <c r="H14" s="15" cm="1">
        <f t="array" ref="H14">_xlfn.IFS(Table13[[#This Row],[Column4]]="NEW",AVERAGEIFS(Table13[Column4],Table13[Year],Table13[[#This Row],[Year]]),ISNUMBER(Table13[[#This Row],[Column4]]),Table13[[#This Row],[Column4]],Table13[[#This Row],[Column4]]="",H13*(1+Table13[[#This Row],[Ávöxtun]]))</f>
        <v>142.98908491046987</v>
      </c>
      <c r="I14" cm="1">
        <f t="array" ref="I14">_xlfn.IFS(Table13[[#This Row],[Column4]]="NEW",_xlfn.XLOOKUP(Table13[[#This Row],[Year]],$N$2:$N$27,$P$2:$P$27),ISNUMBER(Table13[[#This Row],[Column4]]),Table13[[#This Row],[Column4]],Table13[[#This Row],[Column4]]="",I13*(1+Table13[[#This Row],[Ávöxtun]]))</f>
        <v>151.34331992003277</v>
      </c>
      <c r="L14" s="33">
        <v>142.62462737963952</v>
      </c>
      <c r="M14" s="33">
        <v>162.22624509495759</v>
      </c>
      <c r="N14">
        <v>2008</v>
      </c>
      <c r="O14" s="27">
        <f>SUMIFS(Table13[Column2],Table13[Year],N14)</f>
        <v>-0.27798906668119788</v>
      </c>
      <c r="P14">
        <f t="shared" si="0"/>
        <v>149.92570824031699</v>
      </c>
      <c r="Q14" s="26" cm="1">
        <f t="array" ref="Q14">_xlfn.QUARTILE.EXC(IF($B$2:$B$893 = N14, $I$2:$I$893), 3)</f>
        <v>158.79891212672376</v>
      </c>
      <c r="R14" s="26" cm="1">
        <f t="array" ref="R14">_xlfn.QUARTILE.EXC(IF($B$2:$B$893 = N14, $I$2:$I$893), 1)</f>
        <v>125.34037802907883</v>
      </c>
      <c r="S14" s="26" cm="1">
        <f t="array" ref="S14">_xlfn.QUARTILE.EXC(IF($B$2:$B$893 = N14, $I$2:$I$893), 2)</f>
        <v>145.17043265813277</v>
      </c>
    </row>
    <row r="15" spans="1:19">
      <c r="A15" t="s">
        <v>54</v>
      </c>
      <c r="B15">
        <v>2016</v>
      </c>
      <c r="C15" s="16">
        <v>6.0000000000000001E-3</v>
      </c>
      <c r="D15" s="1">
        <v>88362854.120000005</v>
      </c>
      <c r="E15" s="29">
        <f>Table13[[#This Row],[Ávöxtun]]*Table13[[#This Row],[Eignir]]/SUMIFS(Table13[Eignir],Table13[Year],Table13[[#This Row],[Year]])</f>
        <v>2.032927051078049E-4</v>
      </c>
      <c r="F15" s="23" t="e">
        <f>IF(B15=1997, 100, IF(COUNTIF(A$1:A14,A15)=0, "NEW", F14*(1+Table13[[#This Row],[Ávöxtun]])))</f>
        <v>#VALUE!</v>
      </c>
      <c r="G15" s="18" t="str" cm="1">
        <f t="array" ref="G15">IFERROR(_xlfn.IFS(ISNUMBER(Table13[[#This Row],[Column3]]),Table13[[#This Row],[Column3]],Table13[[#This Row],[Column3]]="NEW",Table13[[#This Row],[Column3]]),"")</f>
        <v/>
      </c>
      <c r="H15" s="15" cm="1">
        <f t="array" ref="H15">_xlfn.IFS(Table13[[#This Row],[Column4]]="NEW",AVERAGEIFS(Table13[Column4],Table13[Year],Table13[[#This Row],[Year]]),ISNUMBER(Table13[[#This Row],[Column4]]),Table13[[#This Row],[Column4]],Table13[[#This Row],[Column4]]="",H14*(1+Table13[[#This Row],[Ávöxtun]]))</f>
        <v>143.84701941993268</v>
      </c>
      <c r="I15" cm="1">
        <f t="array" ref="I15">_xlfn.IFS(Table13[[#This Row],[Column4]]="NEW",_xlfn.XLOOKUP(Table13[[#This Row],[Year]],$N$2:$N$27,$P$2:$P$27),ISNUMBER(Table13[[#This Row],[Column4]]),Table13[[#This Row],[Column4]],Table13[[#This Row],[Column4]]="",I14*(1+Table13[[#This Row],[Ávöxtun]]))</f>
        <v>152.25137983955295</v>
      </c>
      <c r="L15" s="33">
        <v>143.48037514391737</v>
      </c>
      <c r="M15" s="33">
        <v>163.19960256552733</v>
      </c>
      <c r="N15">
        <v>2009</v>
      </c>
      <c r="O15" s="27">
        <f>SUMIFS(Table13[Column2],Table13[Year],N15)</f>
        <v>7.431631534383607E-3</v>
      </c>
      <c r="P15">
        <f t="shared" si="0"/>
        <v>151.03990086149054</v>
      </c>
      <c r="Q15" s="26" cm="1">
        <f t="array" ref="Q15">_xlfn.QUARTILE.EXC(IF($B$2:$B$893 = N15, $I$2:$I$893), 3)</f>
        <v>163.16101508159991</v>
      </c>
      <c r="R15" s="26" cm="1">
        <f t="array" ref="R15">_xlfn.QUARTILE.EXC(IF($B$2:$B$893 = N15, $I$2:$I$893), 1)</f>
        <v>126.17360227714411</v>
      </c>
      <c r="S15" s="26" cm="1">
        <f t="array" ref="S15">_xlfn.QUARTILE.EXC(IF($B$2:$B$893 = N15, $I$2:$I$893), 2)</f>
        <v>145.00243708658999</v>
      </c>
    </row>
    <row r="16" spans="1:19">
      <c r="A16" t="s">
        <v>54</v>
      </c>
      <c r="B16">
        <v>2017</v>
      </c>
      <c r="C16" s="16">
        <v>7.0000000000000007E-2</v>
      </c>
      <c r="D16" s="1">
        <v>100102385</v>
      </c>
      <c r="E16" s="29">
        <f>Table13[[#This Row],[Ávöxtun]]*Table13[[#This Row],[Eignir]]/SUMIFS(Table13[Eignir],Table13[Year],Table13[[#This Row],[Year]])</f>
        <v>2.4111756261461087E-3</v>
      </c>
      <c r="F16" s="23" t="e">
        <f>IF(B16=1997, 100, IF(COUNTIF(A$1:A15,A16)=0, "NEW", F15*(1+Table13[[#This Row],[Ávöxtun]])))</f>
        <v>#VALUE!</v>
      </c>
      <c r="G16" s="18" t="str" cm="1">
        <f t="array" ref="G16">IFERROR(_xlfn.IFS(ISNUMBER(Table13[[#This Row],[Column3]]),Table13[[#This Row],[Column3]],Table13[[#This Row],[Column3]]="NEW",Table13[[#This Row],[Column3]]),"")</f>
        <v/>
      </c>
      <c r="H16" s="15" cm="1">
        <f t="array" ref="H16">_xlfn.IFS(Table13[[#This Row],[Column4]]="NEW",AVERAGEIFS(Table13[Column4],Table13[Year],Table13[[#This Row],[Year]]),ISNUMBER(Table13[[#This Row],[Column4]]),Table13[[#This Row],[Column4]],Table13[[#This Row],[Column4]]="",H15*(1+Table13[[#This Row],[Ávöxtun]]))</f>
        <v>153.91631077932797</v>
      </c>
      <c r="I16" cm="1">
        <f t="array" ref="I16">_xlfn.IFS(Table13[[#This Row],[Column4]]="NEW",_xlfn.XLOOKUP(Table13[[#This Row],[Year]],$N$2:$N$27,$P$2:$P$27),ISNUMBER(Table13[[#This Row],[Column4]]),Table13[[#This Row],[Column4]],Table13[[#This Row],[Column4]]="",I15*(1+Table13[[#This Row],[Ávöxtun]]))</f>
        <v>162.90897642832167</v>
      </c>
      <c r="L16" s="33">
        <v>153.5240014039916</v>
      </c>
      <c r="M16" s="33">
        <v>174.62357474511424</v>
      </c>
      <c r="N16">
        <v>2010</v>
      </c>
      <c r="O16" s="27">
        <f>SUMIFS(Table13[Column2],Table13[Year],N16)</f>
        <v>2.8063933981692834E-2</v>
      </c>
      <c r="P16">
        <f t="shared" si="0"/>
        <v>155.27867466786884</v>
      </c>
      <c r="Q16" s="26" cm="1">
        <f t="array" ref="Q16">_xlfn.QUARTILE.EXC(IF($B$2:$B$893 = N16, $I$2:$I$893), 3)</f>
        <v>166.5873963983135</v>
      </c>
      <c r="R16" s="26" cm="1">
        <f t="array" ref="R16">_xlfn.QUARTILE.EXC(IF($B$2:$B$893 = N16, $I$2:$I$893), 1)</f>
        <v>131.76014392175551</v>
      </c>
      <c r="S16" s="26" cm="1">
        <f t="array" ref="S16">_xlfn.QUARTILE.EXC(IF($B$2:$B$893 = N16, $I$2:$I$893), 2)</f>
        <v>148.64519973231953</v>
      </c>
    </row>
    <row r="17" spans="1:19">
      <c r="A17" t="s">
        <v>54</v>
      </c>
      <c r="B17">
        <v>2018</v>
      </c>
      <c r="C17" s="16">
        <v>2.3E-2</v>
      </c>
      <c r="D17" s="1">
        <v>109493968</v>
      </c>
      <c r="E17" s="29">
        <f>Table13[[#This Row],[Ávöxtun]]*Table13[[#This Row],[Eignir]]/SUMIFS(Table13[Eignir],Table13[Year],Table13[[#This Row],[Year]])</f>
        <v>8.0744653732294218E-4</v>
      </c>
      <c r="F17" s="23" t="e">
        <f>IF(B17=1997, 100, IF(COUNTIF(A$1:A16,A17)=0, "NEW", F16*(1+Table13[[#This Row],[Ávöxtun]])))</f>
        <v>#VALUE!</v>
      </c>
      <c r="G17" s="18" t="str" cm="1">
        <f t="array" ref="G17">IFERROR(_xlfn.IFS(ISNUMBER(Table13[[#This Row],[Column3]]),Table13[[#This Row],[Column3]],Table13[[#This Row],[Column3]]="NEW",Table13[[#This Row],[Column3]]),"")</f>
        <v/>
      </c>
      <c r="H17" s="15" cm="1">
        <f t="array" ref="H17">_xlfn.IFS(Table13[[#This Row],[Column4]]="NEW",AVERAGEIFS(Table13[Column4],Table13[Year],Table13[[#This Row],[Year]]),ISNUMBER(Table13[[#This Row],[Column4]]),Table13[[#This Row],[Column4]],Table13[[#This Row],[Column4]]="",H16*(1+Table13[[#This Row],[Ávöxtun]]))</f>
        <v>157.45638592725251</v>
      </c>
      <c r="I17" cm="1">
        <f t="array" ref="I17">_xlfn.IFS(Table13[[#This Row],[Column4]]="NEW",_xlfn.XLOOKUP(Table13[[#This Row],[Year]],$N$2:$N$27,$P$2:$P$27),ISNUMBER(Table13[[#This Row],[Column4]]),Table13[[#This Row],[Column4]],Table13[[#This Row],[Column4]]="",I16*(1+Table13[[#This Row],[Ávöxtun]]))</f>
        <v>166.65588288617306</v>
      </c>
      <c r="L17" s="33">
        <v>157.0550534362834</v>
      </c>
      <c r="M17" s="33">
        <v>178.63991696425185</v>
      </c>
      <c r="N17">
        <v>2011</v>
      </c>
      <c r="O17" s="27">
        <f>SUMIFS(Table13[Column2],Table13[Year],N17)</f>
        <v>2.8651213904798814E-2</v>
      </c>
      <c r="P17">
        <f t="shared" si="0"/>
        <v>159.7275971906316</v>
      </c>
      <c r="Q17" s="26" cm="1">
        <f t="array" ref="Q17">_xlfn.QUARTILE.EXC(IF($B$2:$B$893 = N17, $I$2:$I$893), 3)</f>
        <v>169.58596953348314</v>
      </c>
      <c r="R17" s="26" cm="1">
        <f t="array" ref="R17">_xlfn.QUARTILE.EXC(IF($B$2:$B$893 = N17, $I$2:$I$893), 1)</f>
        <v>133.93004057472103</v>
      </c>
      <c r="S17" s="26" cm="1">
        <f t="array" ref="S17">_xlfn.QUARTILE.EXC(IF($B$2:$B$893 = N17, $I$2:$I$893), 2)</f>
        <v>151.47112929071335</v>
      </c>
    </row>
    <row r="18" spans="1:19">
      <c r="A18" t="s">
        <v>54</v>
      </c>
      <c r="B18">
        <v>2019</v>
      </c>
      <c r="C18" s="16">
        <v>0.10400000000000001</v>
      </c>
      <c r="D18" s="1">
        <v>127971866.76000001</v>
      </c>
      <c r="E18" s="29">
        <f>Table13[[#This Row],[Ávöxtun]]*Table13[[#This Row],[Eignir]]/SUMIFS(Table13[Eignir],Table13[Year],Table13[[#This Row],[Year]])</f>
        <v>3.7213335781557354E-3</v>
      </c>
      <c r="F18" s="23" t="e">
        <f>IF(B18=1997, 100, IF(COUNTIF(A$1:A17,A18)=0, "NEW", F17*(1+Table13[[#This Row],[Ávöxtun]])))</f>
        <v>#VALUE!</v>
      </c>
      <c r="G18" s="18" t="str" cm="1">
        <f t="array" ref="G18">IFERROR(_xlfn.IFS(ISNUMBER(Table13[[#This Row],[Column3]]),Table13[[#This Row],[Column3]],Table13[[#This Row],[Column3]]="NEW",Table13[[#This Row],[Column3]]),"")</f>
        <v/>
      </c>
      <c r="H18" s="15" cm="1">
        <f t="array" ref="H18">_xlfn.IFS(Table13[[#This Row],[Column4]]="NEW",AVERAGEIFS(Table13[Column4],Table13[Year],Table13[[#This Row],[Year]]),ISNUMBER(Table13[[#This Row],[Column4]]),Table13[[#This Row],[Column4]],Table13[[#This Row],[Column4]]="",H17*(1+Table13[[#This Row],[Ávöxtun]]))</f>
        <v>173.8318500636868</v>
      </c>
      <c r="I18" cm="1">
        <f t="array" ref="I18">_xlfn.IFS(Table13[[#This Row],[Column4]]="NEW",_xlfn.XLOOKUP(Table13[[#This Row],[Year]],$N$2:$N$27,$P$2:$P$27),ISNUMBER(Table13[[#This Row],[Column4]]),Table13[[#This Row],[Column4]],Table13[[#This Row],[Column4]]="",I17*(1+Table13[[#This Row],[Ávöxtun]]))</f>
        <v>183.98809470633506</v>
      </c>
      <c r="L18" s="33">
        <v>173.3887789936569</v>
      </c>
      <c r="M18" s="33">
        <v>197.21846832853407</v>
      </c>
      <c r="N18">
        <v>2012</v>
      </c>
      <c r="O18" s="27">
        <f>SUMIFS(Table13[Column2],Table13[Year],N18)</f>
        <v>9.7933930480578094E-2</v>
      </c>
      <c r="P18">
        <f t="shared" si="0"/>
        <v>175.37034858972871</v>
      </c>
      <c r="Q18" s="26" cm="1">
        <f t="array" ref="Q18">_xlfn.QUARTILE.EXC(IF($B$2:$B$893 = N18, $I$2:$I$893), 3)</f>
        <v>180.52554986248393</v>
      </c>
      <c r="R18" s="26" cm="1">
        <f t="array" ref="R18">_xlfn.QUARTILE.EXC(IF($B$2:$B$893 = N18, $I$2:$I$893), 1)</f>
        <v>138.35444280646971</v>
      </c>
      <c r="S18" s="26" cm="1">
        <f t="array" ref="S18">_xlfn.QUARTILE.EXC(IF($B$2:$B$893 = N18, $I$2:$I$893), 2)</f>
        <v>161.06051393006487</v>
      </c>
    </row>
    <row r="19" spans="1:19">
      <c r="A19" t="s">
        <v>54</v>
      </c>
      <c r="B19">
        <v>2020</v>
      </c>
      <c r="C19" s="16">
        <v>8.199999999999999E-2</v>
      </c>
      <c r="D19" s="1">
        <v>147342690.66999999</v>
      </c>
      <c r="E19" s="29">
        <f>Table13[[#This Row],[Ávöxtun]]*Table13[[#This Row],[Eignir]]/SUMIFS(Table13[Eignir],Table13[Year],Table13[[#This Row],[Year]])</f>
        <v>2.9154603440866697E-3</v>
      </c>
      <c r="F19" s="23" t="e">
        <f>IF(B19=1997, 100, IF(COUNTIF(A$1:A18,A19)=0, "NEW", F18*(1+Table13[[#This Row],[Ávöxtun]])))</f>
        <v>#VALUE!</v>
      </c>
      <c r="G19" s="18" t="str" cm="1">
        <f t="array" ref="G19">IFERROR(_xlfn.IFS(ISNUMBER(Table13[[#This Row],[Column3]]),Table13[[#This Row],[Column3]],Table13[[#This Row],[Column3]]="NEW",Table13[[#This Row],[Column3]]),"")</f>
        <v/>
      </c>
      <c r="H19" s="15" cm="1">
        <f t="array" ref="H19">_xlfn.IFS(Table13[[#This Row],[Column4]]="NEW",AVERAGEIFS(Table13[Column4],Table13[Year],Table13[[#This Row],[Year]]),ISNUMBER(Table13[[#This Row],[Column4]]),Table13[[#This Row],[Column4]],Table13[[#This Row],[Column4]]="",H18*(1+Table13[[#This Row],[Ávöxtun]]))</f>
        <v>188.08606176890913</v>
      </c>
      <c r="I19" cm="1">
        <f t="array" ref="I19">_xlfn.IFS(Table13[[#This Row],[Column4]]="NEW",_xlfn.XLOOKUP(Table13[[#This Row],[Year]],$N$2:$N$27,$P$2:$P$27),ISNUMBER(Table13[[#This Row],[Column4]]),Table13[[#This Row],[Column4]],Table13[[#This Row],[Column4]]="",I18*(1+Table13[[#This Row],[Ávöxtun]]))</f>
        <v>199.07511847225456</v>
      </c>
      <c r="L19" s="33">
        <v>187.60665887113677</v>
      </c>
      <c r="M19" s="33">
        <v>213.39038273147389</v>
      </c>
      <c r="N19">
        <v>2013</v>
      </c>
      <c r="O19" s="27">
        <f>SUMIFS(Table13[Column2],Table13[Year],N19)</f>
        <v>7.5205948905455289E-2</v>
      </c>
      <c r="P19">
        <f t="shared" si="0"/>
        <v>188.55924206529971</v>
      </c>
      <c r="Q19" s="26" cm="1">
        <f t="array" ref="Q19">_xlfn.QUARTILE.EXC(IF($B$2:$B$893 = N19, $I$2:$I$893), 3)</f>
        <v>188.97568527637861</v>
      </c>
      <c r="R19" s="26" cm="1">
        <f t="array" ref="R19">_xlfn.QUARTILE.EXC(IF($B$2:$B$893 = N19, $I$2:$I$893), 1)</f>
        <v>149.9287500077252</v>
      </c>
      <c r="S19" s="26" cm="1">
        <f t="array" ref="S19">_xlfn.QUARTILE.EXC(IF($B$2:$B$893 = N19, $I$2:$I$893), 2)</f>
        <v>171.14253338056901</v>
      </c>
    </row>
    <row r="20" spans="1:19">
      <c r="A20" t="s">
        <v>54</v>
      </c>
      <c r="B20">
        <v>2021</v>
      </c>
      <c r="C20" s="16">
        <v>0.10199999999999999</v>
      </c>
      <c r="D20" s="1">
        <v>175142574.49000001</v>
      </c>
      <c r="E20" s="29">
        <f>Table13[[#This Row],[Ávöxtun]]*Table13[[#This Row],[Eignir]]/SUMIFS(Table13[Eignir],Table13[Year],Table13[[#This Row],[Year]])</f>
        <v>3.6729635175604338E-3</v>
      </c>
      <c r="F20" s="23" t="e">
        <f>IF(B20=1997, 100, IF(COUNTIF(A$1:A19,A20)=0, "NEW", F19*(1+Table13[[#This Row],[Ávöxtun]])))</f>
        <v>#VALUE!</v>
      </c>
      <c r="G20" s="18" t="str" cm="1">
        <f t="array" ref="G20">IFERROR(_xlfn.IFS(ISNUMBER(Table13[[#This Row],[Column3]]),Table13[[#This Row],[Column3]],Table13[[#This Row],[Column3]]="NEW",Table13[[#This Row],[Column3]]),"")</f>
        <v/>
      </c>
      <c r="H20" s="15" cm="1">
        <f t="array" ref="H20">_xlfn.IFS(Table13[[#This Row],[Column4]]="NEW",AVERAGEIFS(Table13[Column4],Table13[Year],Table13[[#This Row],[Year]]),ISNUMBER(Table13[[#This Row],[Column4]]),Table13[[#This Row],[Column4]],Table13[[#This Row],[Column4]]="",H19*(1+Table13[[#This Row],[Ávöxtun]]))</f>
        <v>207.27084006933788</v>
      </c>
      <c r="I20" cm="1">
        <f t="array" ref="I20">_xlfn.IFS(Table13[[#This Row],[Column4]]="NEW",_xlfn.XLOOKUP(Table13[[#This Row],[Year]],$N$2:$N$27,$P$2:$P$27),ISNUMBER(Table13[[#This Row],[Column4]]),Table13[[#This Row],[Column4]],Table13[[#This Row],[Column4]]="",I19*(1+Table13[[#This Row],[Ávöxtun]]))</f>
        <v>219.38078055642455</v>
      </c>
      <c r="L20" s="33">
        <v>206.74253807599274</v>
      </c>
      <c r="M20" s="33">
        <v>235.15620177008424</v>
      </c>
      <c r="N20">
        <v>2014</v>
      </c>
      <c r="O20" s="27">
        <f>SUMIFS(Table13[Column2],Table13[Year],N20)</f>
        <v>0.10168733172616025</v>
      </c>
      <c r="P20">
        <f t="shared" si="0"/>
        <v>207.73332826322718</v>
      </c>
      <c r="Q20" s="26" cm="1">
        <f t="array" ref="Q20">_xlfn.QUARTILE.EXC(IF($B$2:$B$893 = N20, $I$2:$I$893), 3)</f>
        <v>205.04386665219204</v>
      </c>
      <c r="R20" s="26" cm="1">
        <f t="array" ref="R20">_xlfn.QUARTILE.EXC(IF($B$2:$B$893 = N20, $I$2:$I$893), 1)</f>
        <v>161.89476057240353</v>
      </c>
      <c r="S20" s="26" cm="1">
        <f t="array" ref="S20">_xlfn.QUARTILE.EXC(IF($B$2:$B$893 = N20, $I$2:$I$893), 2)</f>
        <v>185.46606088510737</v>
      </c>
    </row>
    <row r="21" spans="1:19">
      <c r="A21" t="s">
        <v>55</v>
      </c>
      <c r="B21">
        <v>1999</v>
      </c>
      <c r="C21" s="16">
        <v>0.08</v>
      </c>
      <c r="D21" s="1">
        <v>6618608.3600000003</v>
      </c>
      <c r="E21" s="29">
        <f>Table13[[#This Row],[Ávöxtun]]*Table13[[#This Row],[Eignir]]/SUMIFS(Table13[Eignir],Table13[Year],Table13[[#This Row],[Year]])</f>
        <v>1.192746161497464E-3</v>
      </c>
      <c r="F21" s="23" t="str">
        <f>IF(B21=1997, 100, IF(COUNTIF(A$1:A20,A21)=0, "NEW", F20*(1+Table13[[#This Row],[Ávöxtun]])))</f>
        <v>NEW</v>
      </c>
      <c r="G21" s="18" t="str" cm="1">
        <f t="array" ref="G21">IFERROR(_xlfn.IFS(ISNUMBER(Table13[[#This Row],[Column3]]),Table13[[#This Row],[Column3]],Table13[[#This Row],[Column3]]="NEW",Table13[[#This Row],[Column3]]),"")</f>
        <v>NEW</v>
      </c>
      <c r="H21" s="15" cm="1">
        <f t="array" ref="H21">_xlfn.IFS(Table13[[#This Row],[Column4]]="NEW",AVERAGEIFS(Table13[Column4],Table13[Year],Table13[[#This Row],[Year]]),ISNUMBER(Table13[[#This Row],[Column4]]),Table13[[#This Row],[Column4]],Table13[[#This Row],[Column4]]="",H20*(1+Table13[[#This Row],[Ávöxtun]]))</f>
        <v>117.24765957446809</v>
      </c>
      <c r="I21" cm="1">
        <f t="array" ref="I21">_xlfn.IFS(Table13[[#This Row],[Column4]]="NEW",_xlfn.XLOOKUP(Table13[[#This Row],[Year]],$N$2:$N$27,$P$2:$P$27),ISNUMBER(Table13[[#This Row],[Column4]]),Table13[[#This Row],[Column4]],Table13[[#This Row],[Column4]]="",I20*(1+Table13[[#This Row],[Ávöxtun]]))</f>
        <v>119.85237726478729</v>
      </c>
      <c r="L21" s="33">
        <v>117.05306122448981</v>
      </c>
      <c r="M21" s="33">
        <v>129.26988390123572</v>
      </c>
      <c r="N21">
        <v>2015</v>
      </c>
      <c r="O21" s="27">
        <f>SUMIFS(Table13[Column2],Table13[Year],N21)</f>
        <v>9.9836923691500074E-2</v>
      </c>
      <c r="P21">
        <f t="shared" si="0"/>
        <v>228.47278470522431</v>
      </c>
      <c r="Q21" s="26" cm="1">
        <f t="array" ref="Q21">_xlfn.QUARTILE.EXC(IF($B$2:$B$893 = N21, $I$2:$I$893), 3)</f>
        <v>223.00086245684696</v>
      </c>
      <c r="R21" s="26" cm="1">
        <f t="array" ref="R21">_xlfn.QUARTILE.EXC(IF($B$2:$B$893 = N21, $I$2:$I$893), 1)</f>
        <v>175.06432948465076</v>
      </c>
      <c r="S21" s="26" cm="1">
        <f t="array" ref="S21">_xlfn.QUARTILE.EXC(IF($B$2:$B$893 = N21, $I$2:$I$893), 2)</f>
        <v>200.82361467659973</v>
      </c>
    </row>
    <row r="22" spans="1:19">
      <c r="A22" t="s">
        <v>55</v>
      </c>
      <c r="B22">
        <v>2000</v>
      </c>
      <c r="C22" s="16">
        <v>-0.03</v>
      </c>
      <c r="D22" s="1">
        <v>8504168.3599999994</v>
      </c>
      <c r="E22" s="29">
        <f>Table13[[#This Row],[Ávöxtun]]*Table13[[#This Row],[Eignir]]/SUMIFS(Table13[Eignir],Table13[Year],Table13[[#This Row],[Year]])</f>
        <v>-4.0853892701545291E-4</v>
      </c>
      <c r="F22" s="23" t="e">
        <f>IF(B22=1997, 100, IF(COUNTIF(A$1:A21,A22)=0, "NEW", F21*(1+Table13[[#This Row],[Ávöxtun]])))</f>
        <v>#VALUE!</v>
      </c>
      <c r="G22" s="18" t="str" cm="1">
        <f t="array" ref="G22">IFERROR(_xlfn.IFS(ISNUMBER(Table13[[#This Row],[Column3]]),Table13[[#This Row],[Column3]],Table13[[#This Row],[Column3]]="NEW",Table13[[#This Row],[Column3]]),"")</f>
        <v/>
      </c>
      <c r="H22" s="15" cm="1">
        <f t="array" ref="H22">_xlfn.IFS(Table13[[#This Row],[Column4]]="NEW",AVERAGEIFS(Table13[Column4],Table13[Year],Table13[[#This Row],[Year]]),ISNUMBER(Table13[[#This Row],[Column4]]),Table13[[#This Row],[Column4]],Table13[[#This Row],[Column4]]="",H21*(1+Table13[[#This Row],[Ávöxtun]]))</f>
        <v>113.73022978723404</v>
      </c>
      <c r="I22" cm="1">
        <f t="array" ref="I22">_xlfn.IFS(Table13[[#This Row],[Column4]]="NEW",_xlfn.XLOOKUP(Table13[[#This Row],[Year]],$N$2:$N$27,$P$2:$P$27),ISNUMBER(Table13[[#This Row],[Column4]]),Table13[[#This Row],[Column4]],Table13[[#This Row],[Column4]]="",I21*(1+Table13[[#This Row],[Ávöxtun]]))</f>
        <v>116.25680594684367</v>
      </c>
      <c r="L22" s="33">
        <v>113.54146938775511</v>
      </c>
      <c r="M22" s="33">
        <v>125.39178738419864</v>
      </c>
      <c r="N22">
        <v>2016</v>
      </c>
      <c r="O22" s="27">
        <f>SUMIFS(Table13[Column2],Table13[Year],N22)</f>
        <v>-1.1961873883227342E-3</v>
      </c>
      <c r="P22">
        <f t="shared" si="0"/>
        <v>228.19948844158495</v>
      </c>
      <c r="Q22" s="26" cm="1">
        <f t="array" ref="Q22">_xlfn.QUARTILE.EXC(IF($B$2:$B$893 = N22, $I$2:$I$893), 3)</f>
        <v>228.19948844158495</v>
      </c>
      <c r="R22" s="26" cm="1">
        <f t="array" ref="R22">_xlfn.QUARTILE.EXC(IF($B$2:$B$893 = N22, $I$2:$I$893), 1)</f>
        <v>174.49555851225074</v>
      </c>
      <c r="S22" s="26" cm="1">
        <f t="array" ref="S22">_xlfn.QUARTILE.EXC(IF($B$2:$B$893 = N22, $I$2:$I$893), 2)</f>
        <v>207.20871647622775</v>
      </c>
    </row>
    <row r="23" spans="1:19">
      <c r="A23" t="s">
        <v>55</v>
      </c>
      <c r="B23">
        <v>2001</v>
      </c>
      <c r="C23" s="16">
        <v>0</v>
      </c>
      <c r="D23" s="1">
        <v>12565186.439999999</v>
      </c>
      <c r="E23" s="29">
        <f>Table13[[#This Row],[Ávöxtun]]*Table13[[#This Row],[Eignir]]/SUMIFS(Table13[Eignir],Table13[Year],Table13[[#This Row],[Year]])</f>
        <v>0</v>
      </c>
      <c r="F23" s="23" t="e">
        <f>IF(B23=1997, 100, IF(COUNTIF(A$1:A22,A23)=0, "NEW", F22*(1+Table13[[#This Row],[Ávöxtun]])))</f>
        <v>#VALUE!</v>
      </c>
      <c r="G23" s="18" t="str" cm="1">
        <f t="array" ref="G23">IFERROR(_xlfn.IFS(ISNUMBER(Table13[[#This Row],[Column3]]),Table13[[#This Row],[Column3]],Table13[[#This Row],[Column3]]="NEW",Table13[[#This Row],[Column3]]),"")</f>
        <v/>
      </c>
      <c r="H23" s="15" cm="1">
        <f t="array" ref="H23">_xlfn.IFS(Table13[[#This Row],[Column4]]="NEW",AVERAGEIFS(Table13[Column4],Table13[Year],Table13[[#This Row],[Year]]),ISNUMBER(Table13[[#This Row],[Column4]]),Table13[[#This Row],[Column4]],Table13[[#This Row],[Column4]]="",H22*(1+Table13[[#This Row],[Ávöxtun]]))</f>
        <v>113.73022978723404</v>
      </c>
      <c r="I23" cm="1">
        <f t="array" ref="I23">_xlfn.IFS(Table13[[#This Row],[Column4]]="NEW",_xlfn.XLOOKUP(Table13[[#This Row],[Year]],$N$2:$N$27,$P$2:$P$27),ISNUMBER(Table13[[#This Row],[Column4]]),Table13[[#This Row],[Column4]],Table13[[#This Row],[Column4]]="",I22*(1+Table13[[#This Row],[Ávöxtun]]))</f>
        <v>116.25680594684367</v>
      </c>
      <c r="L23" s="33">
        <v>113.54146938775511</v>
      </c>
      <c r="M23" s="33">
        <v>125.39178738419864</v>
      </c>
      <c r="N23">
        <v>2017</v>
      </c>
      <c r="O23" s="27">
        <f>SUMIFS(Table13[Column2],Table13[Year],N23)</f>
        <v>7.9091198442983776E-2</v>
      </c>
      <c r="P23">
        <f t="shared" si="0"/>
        <v>246.24805946650574</v>
      </c>
      <c r="Q23" s="26" cm="1">
        <f t="array" ref="Q23">_xlfn.QUARTILE.EXC(IF($B$2:$B$893 = N23, $I$2:$I$893), 3)</f>
        <v>243.02932637209756</v>
      </c>
      <c r="R23" s="26" cm="1">
        <f t="array" ref="R23">_xlfn.QUARTILE.EXC(IF($B$2:$B$893 = N23, $I$2:$I$893), 1)</f>
        <v>186.14728210918099</v>
      </c>
      <c r="S23" s="26" cm="1">
        <f t="array" ref="S23">_xlfn.QUARTILE.EXC(IF($B$2:$B$893 = N23, $I$2:$I$893), 2)</f>
        <v>218.51653498584605</v>
      </c>
    </row>
    <row r="24" spans="1:19">
      <c r="A24" t="s">
        <v>55</v>
      </c>
      <c r="B24">
        <v>2002</v>
      </c>
      <c r="C24" s="16">
        <v>-7.0000000000000007E-2</v>
      </c>
      <c r="D24" s="1">
        <v>1762963.72</v>
      </c>
      <c r="E24" s="29">
        <f>Table13[[#This Row],[Ávöxtun]]*Table13[[#This Row],[Eignir]]/SUMIFS(Table13[Eignir],Table13[Year],Table13[[#This Row],[Year]])</f>
        <v>-2.3158490012764642E-4</v>
      </c>
      <c r="F24" s="23" t="e">
        <f>IF(B24=1997, 100, IF(COUNTIF(A$1:A23,A24)=0, "NEW", F23*(1+Table13[[#This Row],[Ávöxtun]])))</f>
        <v>#VALUE!</v>
      </c>
      <c r="G24" s="18" t="str" cm="1">
        <f t="array" ref="G24">IFERROR(_xlfn.IFS(ISNUMBER(Table13[[#This Row],[Column3]]),Table13[[#This Row],[Column3]],Table13[[#This Row],[Column3]]="NEW",Table13[[#This Row],[Column3]]),"")</f>
        <v/>
      </c>
      <c r="H24" s="15" cm="1">
        <f t="array" ref="H24">_xlfn.IFS(Table13[[#This Row],[Column4]]="NEW",AVERAGEIFS(Table13[Column4],Table13[Year],Table13[[#This Row],[Year]]),ISNUMBER(Table13[[#This Row],[Column4]]),Table13[[#This Row],[Column4]],Table13[[#This Row],[Column4]]="",H23*(1+Table13[[#This Row],[Ávöxtun]]))</f>
        <v>105.76911370212765</v>
      </c>
      <c r="I24" cm="1">
        <f t="array" ref="I24">_xlfn.IFS(Table13[[#This Row],[Column4]]="NEW",_xlfn.XLOOKUP(Table13[[#This Row],[Year]],$N$2:$N$27,$P$2:$P$27),ISNUMBER(Table13[[#This Row],[Column4]]),Table13[[#This Row],[Column4]],Table13[[#This Row],[Column4]]="",I23*(1+Table13[[#This Row],[Ávöxtun]]))</f>
        <v>108.11882953056461</v>
      </c>
      <c r="L24" s="33">
        <v>105.59356653061225</v>
      </c>
      <c r="M24" s="33">
        <v>116.61436226730473</v>
      </c>
      <c r="N24">
        <v>2018</v>
      </c>
      <c r="O24" s="27">
        <f>SUMIFS(Table13[Column2],Table13[Year],N24)</f>
        <v>3.3036334371531986E-2</v>
      </c>
      <c r="P24">
        <f t="shared" si="0"/>
        <v>254.38319269738213</v>
      </c>
      <c r="Q24" s="26" cm="1">
        <f t="array" ref="Q24">_xlfn.QUARTILE.EXC(IF($B$2:$B$893 = N24, $I$2:$I$893), 3)</f>
        <v>251.29911387784568</v>
      </c>
      <c r="R24" s="26" cm="1">
        <f t="array" ref="R24">_xlfn.QUARTILE.EXC(IF($B$2:$B$893 = N24, $I$2:$I$893), 1)</f>
        <v>183.98596248890141</v>
      </c>
      <c r="S24" s="26" cm="1">
        <f t="array" ref="S24">_xlfn.QUARTILE.EXC(IF($B$2:$B$893 = N24, $I$2:$I$893), 2)</f>
        <v>234.30585926234522</v>
      </c>
    </row>
    <row r="25" spans="1:19">
      <c r="A25" t="s">
        <v>58</v>
      </c>
      <c r="B25">
        <v>2016</v>
      </c>
      <c r="C25" s="16">
        <v>-1.49E-2</v>
      </c>
      <c r="D25" s="1">
        <v>308270082.58999997</v>
      </c>
      <c r="E25" s="29">
        <f>Table13[[#This Row],[Ávöxtun]]*Table13[[#This Row],[Eignir]]/SUMIFS(Table13[Eignir],Table13[Year],Table13[[#This Row],[Year]])</f>
        <v>-1.7612396602299791E-3</v>
      </c>
      <c r="F25" s="23" t="str">
        <f>IF(B25=1997, 100, IF(COUNTIF(A$1:A24,A25)=0, "NEW", F24*(1+Table13[[#This Row],[Ávöxtun]])))</f>
        <v>NEW</v>
      </c>
      <c r="G25" s="18" t="str" cm="1">
        <f t="array" ref="G25">IFERROR(_xlfn.IFS(ISNUMBER(Table13[[#This Row],[Column3]]),Table13[[#This Row],[Column3]],Table13[[#This Row],[Column3]]="NEW",Table13[[#This Row],[Column3]]),"")</f>
        <v>NEW</v>
      </c>
      <c r="H25" s="15" cm="1">
        <f t="array" ref="H25">_xlfn.IFS(Table13[[#This Row],[Column4]]="NEW",AVERAGEIFS(Table13[Column4],Table13[Year],Table13[[#This Row],[Year]]),ISNUMBER(Table13[[#This Row],[Column4]]),Table13[[#This Row],[Column4]],Table13[[#This Row],[Column4]]="",H24*(1+Table13[[#This Row],[Ávöxtun]]))</f>
        <v>219.68462582578425</v>
      </c>
      <c r="I25" cm="1">
        <f t="array" ref="I25">_xlfn.IFS(Table13[[#This Row],[Column4]]="NEW",_xlfn.XLOOKUP(Table13[[#This Row],[Year]],$N$2:$N$27,$P$2:$P$27),ISNUMBER(Table13[[#This Row],[Column4]]),Table13[[#This Row],[Column4]],Table13[[#This Row],[Column4]]="",I24*(1+Table13[[#This Row],[Ávöxtun]]))</f>
        <v>228.19948844158495</v>
      </c>
      <c r="L25" s="33">
        <v>203.54245352961544</v>
      </c>
      <c r="M25" s="33">
        <v>243.10691464488829</v>
      </c>
      <c r="N25">
        <v>2019</v>
      </c>
      <c r="O25" s="27">
        <f>SUMIFS(Table13[Column2],Table13[Year],N25)</f>
        <v>0.16138789940875975</v>
      </c>
      <c r="P25">
        <f t="shared" si="0"/>
        <v>295.43756181170642</v>
      </c>
      <c r="Q25" s="26" cm="1">
        <f t="array" ref="Q25">_xlfn.QUARTILE.EXC(IF($B$2:$B$893 = N25, $I$2:$I$893), 3)</f>
        <v>271.30687598604163</v>
      </c>
      <c r="R25" s="26" cm="1">
        <f t="array" ref="R25">_xlfn.QUARTILE.EXC(IF($B$2:$B$893 = N25, $I$2:$I$893), 1)</f>
        <v>200.89997585694681</v>
      </c>
      <c r="S25" s="26" cm="1">
        <f t="array" ref="S25">_xlfn.QUARTILE.EXC(IF($B$2:$B$893 = N25, $I$2:$I$893), 2)</f>
        <v>259.22534110725985</v>
      </c>
    </row>
    <row r="26" spans="1:19">
      <c r="A26" t="s">
        <v>58</v>
      </c>
      <c r="B26">
        <v>2017</v>
      </c>
      <c r="C26" s="16">
        <v>5.2000000000000005E-2</v>
      </c>
      <c r="D26" s="1">
        <v>334817869</v>
      </c>
      <c r="E26" s="29">
        <f>Table13[[#This Row],[Ávöxtun]]*Table13[[#This Row],[Eignir]]/SUMIFS(Table13[Eignir],Table13[Year],Table13[[#This Row],[Year]])</f>
        <v>5.9909866449537061E-3</v>
      </c>
      <c r="F26" s="23" t="e">
        <f>IF(B26=1997, 100, IF(COUNTIF(A$1:A25,A26)=0, "NEW", F25*(1+Table13[[#This Row],[Ávöxtun]])))</f>
        <v>#VALUE!</v>
      </c>
      <c r="G26" s="18" t="str" cm="1">
        <f t="array" ref="G26">IFERROR(_xlfn.IFS(ISNUMBER(Table13[[#This Row],[Column3]]),Table13[[#This Row],[Column3]],Table13[[#This Row],[Column3]]="NEW",Table13[[#This Row],[Column3]]),"")</f>
        <v/>
      </c>
      <c r="H26" s="15" cm="1">
        <f t="array" ref="H26">_xlfn.IFS(Table13[[#This Row],[Column4]]="NEW",AVERAGEIFS(Table13[Column4],Table13[Year],Table13[[#This Row],[Year]]),ISNUMBER(Table13[[#This Row],[Column4]]),Table13[[#This Row],[Column4]],Table13[[#This Row],[Column4]]="",H25*(1+Table13[[#This Row],[Ávöxtun]]))</f>
        <v>231.10822636872504</v>
      </c>
      <c r="I26" cm="1">
        <f t="array" ref="I26">_xlfn.IFS(Table13[[#This Row],[Column4]]="NEW",_xlfn.XLOOKUP(Table13[[#This Row],[Year]],$N$2:$N$27,$P$2:$P$27),ISNUMBER(Table13[[#This Row],[Column4]]),Table13[[#This Row],[Column4]],Table13[[#This Row],[Column4]]="",I25*(1+Table13[[#This Row],[Ávöxtun]]))</f>
        <v>240.06586184054737</v>
      </c>
      <c r="L26" s="33">
        <v>214.12666111315545</v>
      </c>
      <c r="M26" s="33">
        <v>255.74847420642249</v>
      </c>
      <c r="N26">
        <v>2020</v>
      </c>
      <c r="O26" s="27">
        <f>SUMIFS(Table13[Column2],Table13[Year],N26)</f>
        <v>0.13656406845186284</v>
      </c>
      <c r="P26">
        <f t="shared" si="0"/>
        <v>335.78371722621171</v>
      </c>
      <c r="Q26" s="26" cm="1">
        <f t="array" ref="Q26">_xlfn.QUARTILE.EXC(IF($B$2:$B$893 = N26, $I$2:$I$893), 3)</f>
        <v>295.65196748258404</v>
      </c>
      <c r="R26" s="26" cm="1">
        <f t="array" ref="R26">_xlfn.QUARTILE.EXC(IF($B$2:$B$893 = N26, $I$2:$I$893), 1)</f>
        <v>216.91721443964892</v>
      </c>
      <c r="S26" s="26" cm="1">
        <f t="array" ref="S26">_xlfn.QUARTILE.EXC(IF($B$2:$B$893 = N26, $I$2:$I$893), 2)</f>
        <v>282.90510250132445</v>
      </c>
    </row>
    <row r="27" spans="1:19">
      <c r="A27" t="s">
        <v>58</v>
      </c>
      <c r="B27">
        <v>2018</v>
      </c>
      <c r="C27" s="16">
        <v>1.7000000000000001E-2</v>
      </c>
      <c r="D27" s="1">
        <v>357802547</v>
      </c>
      <c r="E27" s="29">
        <f>Table13[[#This Row],[Ávöxtun]]*Table13[[#This Row],[Eignir]]/SUMIFS(Table13[Eignir],Table13[Year],Table13[[#This Row],[Year]])</f>
        <v>1.9502401580570644E-3</v>
      </c>
      <c r="F27" s="23" t="e">
        <f>IF(B27=1997, 100, IF(COUNTIF(A$1:A26,A27)=0, "NEW", F26*(1+Table13[[#This Row],[Ávöxtun]])))</f>
        <v>#VALUE!</v>
      </c>
      <c r="G27" s="18" t="str" cm="1">
        <f t="array" ref="G27">IFERROR(_xlfn.IFS(ISNUMBER(Table13[[#This Row],[Column3]]),Table13[[#This Row],[Column3]],Table13[[#This Row],[Column3]]="NEW",Table13[[#This Row],[Column3]]),"")</f>
        <v/>
      </c>
      <c r="H27" s="15" cm="1">
        <f t="array" ref="H27">_xlfn.IFS(Table13[[#This Row],[Column4]]="NEW",AVERAGEIFS(Table13[Column4],Table13[Year],Table13[[#This Row],[Year]]),ISNUMBER(Table13[[#This Row],[Column4]]),Table13[[#This Row],[Column4]],Table13[[#This Row],[Column4]]="",H26*(1+Table13[[#This Row],[Ávöxtun]]))</f>
        <v>235.03706621699334</v>
      </c>
      <c r="I27" cm="1">
        <f t="array" ref="I27">_xlfn.IFS(Table13[[#This Row],[Column4]]="NEW",_xlfn.XLOOKUP(Table13[[#This Row],[Year]],$N$2:$N$27,$P$2:$P$27),ISNUMBER(Table13[[#This Row],[Column4]]),Table13[[#This Row],[Column4]],Table13[[#This Row],[Column4]]="",I26*(1+Table13[[#This Row],[Ávöxtun]]))</f>
        <v>244.14698149183664</v>
      </c>
      <c r="L27" s="33">
        <v>217.76681435207908</v>
      </c>
      <c r="M27" s="33">
        <v>260.09619826793164</v>
      </c>
      <c r="N27">
        <v>2021</v>
      </c>
      <c r="O27" s="27">
        <f>SUMIFS(Table13[Column2],Table13[Year],N27)</f>
        <v>0.1460155166690906</v>
      </c>
      <c r="P27">
        <f t="shared" si="0"/>
        <v>384.81335018606484</v>
      </c>
      <c r="Q27" s="26" cm="1">
        <f t="array" ref="Q27">_xlfn.QUARTILE.EXC(IF($B$2:$B$893 = N27, $I$2:$I$893), 3)</f>
        <v>340.55291925175374</v>
      </c>
      <c r="R27" s="26" cm="1">
        <f t="array" ref="R27">_xlfn.QUARTILE.EXC(IF($B$2:$B$893 = N27, $I$2:$I$893), 1)</f>
        <v>236.76009014095874</v>
      </c>
      <c r="S27" s="26" cm="1">
        <f t="array" ref="S27">_xlfn.QUARTILE.EXC(IF($B$2:$B$893 = N27, $I$2:$I$893), 2)</f>
        <v>314.6081869631048</v>
      </c>
    </row>
    <row r="28" spans="1:19">
      <c r="A28" t="s">
        <v>58</v>
      </c>
      <c r="B28">
        <v>2019</v>
      </c>
      <c r="C28" s="16">
        <v>0.11210000000000001</v>
      </c>
      <c r="D28" s="1">
        <v>415234049.41000003</v>
      </c>
      <c r="E28" s="29">
        <f>Table13[[#This Row],[Ávöxtun]]*Table13[[#This Row],[Eignir]]/SUMIFS(Table13[Eignir],Table13[Year],Table13[[#This Row],[Year]])</f>
        <v>1.3015154517591217E-2</v>
      </c>
      <c r="F28" s="23" t="e">
        <f>IF(B28=1997, 100, IF(COUNTIF(A$1:A27,A28)=0, "NEW", F27*(1+Table13[[#This Row],[Ávöxtun]])))</f>
        <v>#VALUE!</v>
      </c>
      <c r="G28" s="18" t="str" cm="1">
        <f t="array" ref="G28">IFERROR(_xlfn.IFS(ISNUMBER(Table13[[#This Row],[Column3]]),Table13[[#This Row],[Column3]],Table13[[#This Row],[Column3]]="NEW",Table13[[#This Row],[Column3]]),"")</f>
        <v/>
      </c>
      <c r="H28" s="15" cm="1">
        <f t="array" ref="H28">_xlfn.IFS(Table13[[#This Row],[Column4]]="NEW",AVERAGEIFS(Table13[Column4],Table13[Year],Table13[[#This Row],[Year]]),ISNUMBER(Table13[[#This Row],[Column4]]),Table13[[#This Row],[Column4]],Table13[[#This Row],[Column4]]="",H27*(1+Table13[[#This Row],[Ávöxtun]]))</f>
        <v>261.38472133991831</v>
      </c>
      <c r="I28" cm="1">
        <f t="array" ref="I28">_xlfn.IFS(Table13[[#This Row],[Column4]]="NEW",_xlfn.XLOOKUP(Table13[[#This Row],[Year]],$N$2:$N$27,$P$2:$P$27),ISNUMBER(Table13[[#This Row],[Column4]]),Table13[[#This Row],[Column4]],Table13[[#This Row],[Column4]]="",I27*(1+Table13[[#This Row],[Ávöxtun]]))</f>
        <v>271.51585811707156</v>
      </c>
      <c r="L28" s="33">
        <v>242.17847424094717</v>
      </c>
      <c r="M28" s="33">
        <v>289.25298209376678</v>
      </c>
    </row>
    <row r="29" spans="1:19">
      <c r="A29" t="s">
        <v>58</v>
      </c>
      <c r="B29">
        <v>2020</v>
      </c>
      <c r="C29" s="16">
        <v>8.8900000000000007E-2</v>
      </c>
      <c r="D29" s="1">
        <v>472667958.5</v>
      </c>
      <c r="E29" s="29">
        <f>Table13[[#This Row],[Ávöxtun]]*Table13[[#This Row],[Eignir]]/SUMIFS(Table13[Eignir],Table13[Year],Table13[[#This Row],[Year]])</f>
        <v>1.0139641817859464E-2</v>
      </c>
      <c r="F29" s="23" t="e">
        <f>IF(B29=1997, 100, IF(COUNTIF(A$1:A28,A29)=0, "NEW", F28*(1+Table13[[#This Row],[Ávöxtun]])))</f>
        <v>#VALUE!</v>
      </c>
      <c r="G29" s="18" t="str" cm="1">
        <f t="array" ref="G29">IFERROR(_xlfn.IFS(ISNUMBER(Table13[[#This Row],[Column3]]),Table13[[#This Row],[Column3]],Table13[[#This Row],[Column3]]="NEW",Table13[[#This Row],[Column3]]),"")</f>
        <v/>
      </c>
      <c r="H29" s="15" cm="1">
        <f t="array" ref="H29">_xlfn.IFS(Table13[[#This Row],[Column4]]="NEW",AVERAGEIFS(Table13[Column4],Table13[Year],Table13[[#This Row],[Year]]),ISNUMBER(Table13[[#This Row],[Column4]]),Table13[[#This Row],[Column4]],Table13[[#This Row],[Column4]]="",H28*(1+Table13[[#This Row],[Ávöxtun]]))</f>
        <v>284.62182306703704</v>
      </c>
      <c r="I29" cm="1">
        <f t="array" ref="I29">_xlfn.IFS(Table13[[#This Row],[Column4]]="NEW",_xlfn.XLOOKUP(Table13[[#This Row],[Year]],$N$2:$N$27,$P$2:$P$27),ISNUMBER(Table13[[#This Row],[Column4]]),Table13[[#This Row],[Column4]],Table13[[#This Row],[Column4]]="",I28*(1+Table13[[#This Row],[Ávöxtun]]))</f>
        <v>295.65361790367922</v>
      </c>
      <c r="L29" s="33">
        <v>263.70814060096734</v>
      </c>
      <c r="M29" s="33">
        <v>314.96757220190261</v>
      </c>
    </row>
    <row r="30" spans="1:19">
      <c r="A30" t="s">
        <v>58</v>
      </c>
      <c r="B30">
        <v>2021</v>
      </c>
      <c r="C30" s="16">
        <v>0.1011</v>
      </c>
      <c r="D30" s="1">
        <v>550440991.62</v>
      </c>
      <c r="E30" s="29">
        <f>Table13[[#This Row],[Ávöxtun]]*Table13[[#This Row],[Eignir]]/SUMIFS(Table13[Eignir],Table13[Year],Table13[[#This Row],[Year]])</f>
        <v>1.1441596761116397E-2</v>
      </c>
      <c r="F30" s="23" t="e">
        <f>IF(B30=1997, 100, IF(COUNTIF(A$1:A29,A30)=0, "NEW", F29*(1+Table13[[#This Row],[Ávöxtun]])))</f>
        <v>#VALUE!</v>
      </c>
      <c r="G30" s="18" t="str" cm="1">
        <f t="array" ref="G30">IFERROR(_xlfn.IFS(ISNUMBER(Table13[[#This Row],[Column3]]),Table13[[#This Row],[Column3]],Table13[[#This Row],[Column3]]="NEW",Table13[[#This Row],[Column3]]),"")</f>
        <v/>
      </c>
      <c r="H30" s="15" cm="1">
        <f t="array" ref="H30">_xlfn.IFS(Table13[[#This Row],[Column4]]="NEW",AVERAGEIFS(Table13[Column4],Table13[Year],Table13[[#This Row],[Year]]),ISNUMBER(Table13[[#This Row],[Column4]]),Table13[[#This Row],[Column4]],Table13[[#This Row],[Column4]]="",H29*(1+Table13[[#This Row],[Ávöxtun]]))</f>
        <v>313.3970893791145</v>
      </c>
      <c r="I30" cm="1">
        <f t="array" ref="I30">_xlfn.IFS(Table13[[#This Row],[Column4]]="NEW",_xlfn.XLOOKUP(Table13[[#This Row],[Year]],$N$2:$N$27,$P$2:$P$27),ISNUMBER(Table13[[#This Row],[Column4]]),Table13[[#This Row],[Column4]],Table13[[#This Row],[Column4]]="",I29*(1+Table13[[#This Row],[Ávöxtun]]))</f>
        <v>325.54419867374116</v>
      </c>
      <c r="L30" s="33">
        <v>290.36903361572513</v>
      </c>
      <c r="M30" s="33">
        <v>346.81079375151495</v>
      </c>
    </row>
    <row r="31" spans="1:19">
      <c r="A31" t="s">
        <v>59</v>
      </c>
      <c r="B31">
        <v>2016</v>
      </c>
      <c r="C31" s="16">
        <v>0</v>
      </c>
      <c r="D31" s="1">
        <v>0</v>
      </c>
      <c r="E31" s="29">
        <f>Table13[[#This Row],[Ávöxtun]]*Table13[[#This Row],[Eignir]]/SUMIFS(Table13[Eignir],Table13[Year],Table13[[#This Row],[Year]])</f>
        <v>0</v>
      </c>
      <c r="F31" s="23" t="str">
        <f>IF(B31=1997, 100, IF(COUNTIF(A$1:A30,A31)=0, "NEW", F30*(1+Table13[[#This Row],[Ávöxtun]])))</f>
        <v>NEW</v>
      </c>
      <c r="G31" s="18" t="str" cm="1">
        <f t="array" ref="G31">IFERROR(_xlfn.IFS(ISNUMBER(Table13[[#This Row],[Column3]]),Table13[[#This Row],[Column3]],Table13[[#This Row],[Column3]]="NEW",Table13[[#This Row],[Column3]]),"")</f>
        <v>NEW</v>
      </c>
      <c r="H31" s="15" cm="1">
        <f t="array" ref="H31">_xlfn.IFS(Table13[[#This Row],[Column4]]="NEW",AVERAGEIFS(Table13[Column4],Table13[Year],Table13[[#This Row],[Year]]),ISNUMBER(Table13[[#This Row],[Column4]]),Table13[[#This Row],[Column4]],Table13[[#This Row],[Column4]]="",H30*(1+Table13[[#This Row],[Ávöxtun]]))</f>
        <v>219.68462582578425</v>
      </c>
      <c r="I31" cm="1">
        <f t="array" ref="I31">_xlfn.IFS(Table13[[#This Row],[Column4]]="NEW",_xlfn.XLOOKUP(Table13[[#This Row],[Year]],$N$2:$N$27,$P$2:$P$27),ISNUMBER(Table13[[#This Row],[Column4]]),Table13[[#This Row],[Column4]],Table13[[#This Row],[Column4]]="",I30*(1+Table13[[#This Row],[Ávöxtun]]))</f>
        <v>228.19948844158495</v>
      </c>
      <c r="L31" s="33">
        <v>203.54245352961544</v>
      </c>
      <c r="M31" s="33">
        <v>243.10691464488829</v>
      </c>
    </row>
    <row r="32" spans="1:19">
      <c r="A32" t="s">
        <v>59</v>
      </c>
      <c r="B32">
        <v>2017</v>
      </c>
      <c r="C32" s="16">
        <v>0.16500000000000001</v>
      </c>
      <c r="D32" s="1">
        <v>193252610</v>
      </c>
      <c r="E32" s="29">
        <f>Table13[[#This Row],[Ávöxtun]]*Table13[[#This Row],[Eignir]]/SUMIFS(Table13[Eignir],Table13[Year],Table13[[#This Row],[Year]])</f>
        <v>1.0972249945034455E-2</v>
      </c>
      <c r="F32" s="23" t="e">
        <f>IF(B32=1997, 100, IF(COUNTIF(A$1:A31,A32)=0, "NEW", F31*(1+Table13[[#This Row],[Ávöxtun]])))</f>
        <v>#VALUE!</v>
      </c>
      <c r="G32" s="18" t="str" cm="1">
        <f t="array" ref="G32">IFERROR(_xlfn.IFS(ISNUMBER(Table13[[#This Row],[Column3]]),Table13[[#This Row],[Column3]],Table13[[#This Row],[Column3]]="NEW",Table13[[#This Row],[Column3]]),"")</f>
        <v/>
      </c>
      <c r="H32" s="15" cm="1">
        <f t="array" ref="H32">_xlfn.IFS(Table13[[#This Row],[Column4]]="NEW",AVERAGEIFS(Table13[Column4],Table13[Year],Table13[[#This Row],[Year]]),ISNUMBER(Table13[[#This Row],[Column4]]),Table13[[#This Row],[Column4]],Table13[[#This Row],[Column4]]="",H31*(1+Table13[[#This Row],[Ávöxtun]]))</f>
        <v>255.93258908703865</v>
      </c>
      <c r="I32" cm="1">
        <f t="array" ref="I32">_xlfn.IFS(Table13[[#This Row],[Column4]]="NEW",_xlfn.XLOOKUP(Table13[[#This Row],[Year]],$N$2:$N$27,$P$2:$P$27),ISNUMBER(Table13[[#This Row],[Column4]]),Table13[[#This Row],[Column4]],Table13[[#This Row],[Column4]]="",I31*(1+Table13[[#This Row],[Ávöxtun]]))</f>
        <v>265.85240403444647</v>
      </c>
      <c r="L32" s="33">
        <v>237.126958362002</v>
      </c>
      <c r="M32" s="33">
        <v>283.2195555612949</v>
      </c>
    </row>
    <row r="33" spans="1:13">
      <c r="A33" t="s">
        <v>59</v>
      </c>
      <c r="B33">
        <v>2018</v>
      </c>
      <c r="C33" s="16">
        <v>7.400000000000001E-2</v>
      </c>
      <c r="D33" s="1">
        <v>216996109</v>
      </c>
      <c r="E33" s="29">
        <f>Table13[[#This Row],[Ávöxtun]]*Table13[[#This Row],[Eignir]]/SUMIFS(Table13[Eignir],Table13[Year],Table13[[#This Row],[Year]])</f>
        <v>5.1484845285567141E-3</v>
      </c>
      <c r="F33" s="23" t="e">
        <f>IF(B33=1997, 100, IF(COUNTIF(A$1:A32,A33)=0, "NEW", F32*(1+Table13[[#This Row],[Ávöxtun]])))</f>
        <v>#VALUE!</v>
      </c>
      <c r="G33" s="18" t="str" cm="1">
        <f t="array" ref="G33">IFERROR(_xlfn.IFS(ISNUMBER(Table13[[#This Row],[Column3]]),Table13[[#This Row],[Column3]],Table13[[#This Row],[Column3]]="NEW",Table13[[#This Row],[Column3]]),"")</f>
        <v/>
      </c>
      <c r="H33" s="15" cm="1">
        <f t="array" ref="H33">_xlfn.IFS(Table13[[#This Row],[Column4]]="NEW",AVERAGEIFS(Table13[Column4],Table13[Year],Table13[[#This Row],[Year]]),ISNUMBER(Table13[[#This Row],[Column4]]),Table13[[#This Row],[Column4]],Table13[[#This Row],[Column4]]="",H32*(1+Table13[[#This Row],[Ávöxtun]]))</f>
        <v>274.87160067947951</v>
      </c>
      <c r="I33" cm="1">
        <f t="array" ref="I33">_xlfn.IFS(Table13[[#This Row],[Column4]]="NEW",_xlfn.XLOOKUP(Table13[[#This Row],[Year]],$N$2:$N$27,$P$2:$P$27),ISNUMBER(Table13[[#This Row],[Column4]]),Table13[[#This Row],[Column4]],Table13[[#This Row],[Column4]]="",I32*(1+Table13[[#This Row],[Ávöxtun]]))</f>
        <v>285.52548193299555</v>
      </c>
      <c r="L33" s="33">
        <v>254.67435328079017</v>
      </c>
      <c r="M33" s="33">
        <v>304.17780267283075</v>
      </c>
    </row>
    <row r="34" spans="1:13">
      <c r="A34" t="s">
        <v>59</v>
      </c>
      <c r="B34">
        <v>2019</v>
      </c>
      <c r="C34" s="16">
        <v>0.22600000000000001</v>
      </c>
      <c r="D34" s="1">
        <v>249497222.91999999</v>
      </c>
      <c r="E34" s="29">
        <f>Table13[[#This Row],[Ávöxtun]]*Table13[[#This Row],[Eignir]]/SUMIFS(Table13[Eignir],Table13[Year],Table13[[#This Row],[Year]])</f>
        <v>1.5766123070065068E-2</v>
      </c>
      <c r="F34" s="23" t="e">
        <f>IF(B34=1997, 100, IF(COUNTIF(A$1:A33,A34)=0, "NEW", F33*(1+Table13[[#This Row],[Ávöxtun]])))</f>
        <v>#VALUE!</v>
      </c>
      <c r="G34" s="18" t="str" cm="1">
        <f t="array" ref="G34">IFERROR(_xlfn.IFS(ISNUMBER(Table13[[#This Row],[Column3]]),Table13[[#This Row],[Column3]],Table13[[#This Row],[Column3]]="NEW",Table13[[#This Row],[Column3]]),"")</f>
        <v/>
      </c>
      <c r="H34" s="15" cm="1">
        <f t="array" ref="H34">_xlfn.IFS(Table13[[#This Row],[Column4]]="NEW",AVERAGEIFS(Table13[Column4],Table13[Year],Table13[[#This Row],[Year]]),ISNUMBER(Table13[[#This Row],[Column4]]),Table13[[#This Row],[Column4]],Table13[[#This Row],[Column4]]="",H33*(1+Table13[[#This Row],[Ávöxtun]]))</f>
        <v>336.99258243304189</v>
      </c>
      <c r="I34" cm="1">
        <f t="array" ref="I34">_xlfn.IFS(Table13[[#This Row],[Column4]]="NEW",_xlfn.XLOOKUP(Table13[[#This Row],[Year]],$N$2:$N$27,$P$2:$P$27),ISNUMBER(Table13[[#This Row],[Column4]]),Table13[[#This Row],[Column4]],Table13[[#This Row],[Column4]]="",I33*(1+Table13[[#This Row],[Ávöxtun]]))</f>
        <v>350.05424084985253</v>
      </c>
      <c r="L34" s="33">
        <v>312.23075712224875</v>
      </c>
      <c r="M34" s="33">
        <v>372.92198607689051</v>
      </c>
    </row>
    <row r="35" spans="1:13">
      <c r="A35" t="s">
        <v>59</v>
      </c>
      <c r="B35">
        <v>2020</v>
      </c>
      <c r="C35" s="16">
        <v>0.20800000000000002</v>
      </c>
      <c r="D35" s="1">
        <v>289890993.74000001</v>
      </c>
      <c r="E35" s="29">
        <f>Table13[[#This Row],[Ávöxtun]]*Table13[[#This Row],[Eignir]]/SUMIFS(Table13[Eignir],Table13[Year],Table13[[#This Row],[Year]])</f>
        <v>1.4549991773272236E-2</v>
      </c>
      <c r="F35" s="23" t="e">
        <f>IF(B35=1997, 100, IF(COUNTIF(A$1:A34,A35)=0, "NEW", F34*(1+Table13[[#This Row],[Ávöxtun]])))</f>
        <v>#VALUE!</v>
      </c>
      <c r="G35" s="18" t="str" cm="1">
        <f t="array" ref="G35">IFERROR(_xlfn.IFS(ISNUMBER(Table13[[#This Row],[Column3]]),Table13[[#This Row],[Column3]],Table13[[#This Row],[Column3]]="NEW",Table13[[#This Row],[Column3]]),"")</f>
        <v/>
      </c>
      <c r="H35" s="15" cm="1">
        <f t="array" ref="H35">_xlfn.IFS(Table13[[#This Row],[Column4]]="NEW",AVERAGEIFS(Table13[Column4],Table13[Year],Table13[[#This Row],[Year]]),ISNUMBER(Table13[[#This Row],[Column4]]),Table13[[#This Row],[Column4]],Table13[[#This Row],[Column4]]="",H34*(1+Table13[[#This Row],[Ávöxtun]]))</f>
        <v>407.08703957911462</v>
      </c>
      <c r="I35" cm="1">
        <f t="array" ref="I35">_xlfn.IFS(Table13[[#This Row],[Column4]]="NEW",_xlfn.XLOOKUP(Table13[[#This Row],[Year]],$N$2:$N$27,$P$2:$P$27),ISNUMBER(Table13[[#This Row],[Column4]]),Table13[[#This Row],[Column4]],Table13[[#This Row],[Column4]]="",I34*(1+Table13[[#This Row],[Ávöxtun]]))</f>
        <v>422.86552294662187</v>
      </c>
      <c r="L35" s="33">
        <v>377.17475460367649</v>
      </c>
      <c r="M35" s="33">
        <v>450.48975918088371</v>
      </c>
    </row>
    <row r="36" spans="1:13">
      <c r="A36" t="s">
        <v>59</v>
      </c>
      <c r="B36">
        <v>2021</v>
      </c>
      <c r="C36" s="16">
        <v>0.249</v>
      </c>
      <c r="D36" s="1">
        <v>342407199.69999999</v>
      </c>
      <c r="E36" s="29">
        <f>Table13[[#This Row],[Ávöxtun]]*Table13[[#This Row],[Eignir]]/SUMIFS(Table13[Eignir],Table13[Year],Table13[[#This Row],[Year]])</f>
        <v>1.7529395857288486E-2</v>
      </c>
      <c r="F36" s="23" t="e">
        <f>IF(B36=1997, 100, IF(COUNTIF(A$1:A35,A36)=0, "NEW", F35*(1+Table13[[#This Row],[Ávöxtun]])))</f>
        <v>#VALUE!</v>
      </c>
      <c r="G36" s="18" t="str" cm="1">
        <f t="array" ref="G36">IFERROR(_xlfn.IFS(ISNUMBER(Table13[[#This Row],[Column3]]),Table13[[#This Row],[Column3]],Table13[[#This Row],[Column3]]="NEW",Table13[[#This Row],[Column3]]),"")</f>
        <v/>
      </c>
      <c r="H36" s="15" cm="1">
        <f t="array" ref="H36">_xlfn.IFS(Table13[[#This Row],[Column4]]="NEW",AVERAGEIFS(Table13[Column4],Table13[Year],Table13[[#This Row],[Year]]),ISNUMBER(Table13[[#This Row],[Column4]]),Table13[[#This Row],[Column4]],Table13[[#This Row],[Column4]]="",H35*(1+Table13[[#This Row],[Ávöxtun]]))</f>
        <v>508.45171243431417</v>
      </c>
      <c r="I36" cm="1">
        <f t="array" ref="I36">_xlfn.IFS(Table13[[#This Row],[Column4]]="NEW",_xlfn.XLOOKUP(Table13[[#This Row],[Year]],$N$2:$N$27,$P$2:$P$27),ISNUMBER(Table13[[#This Row],[Column4]]),Table13[[#This Row],[Column4]],Table13[[#This Row],[Column4]]="",I35*(1+Table13[[#This Row],[Ávöxtun]]))</f>
        <v>528.15903816033074</v>
      </c>
      <c r="L36" s="33">
        <v>471.091268499992</v>
      </c>
      <c r="M36" s="33">
        <v>562.66170921692378</v>
      </c>
    </row>
    <row r="37" spans="1:13">
      <c r="A37" t="s">
        <v>60</v>
      </c>
      <c r="B37">
        <v>1997</v>
      </c>
      <c r="C37" s="16">
        <v>0.05</v>
      </c>
      <c r="D37" s="1">
        <v>7098596.3200000003</v>
      </c>
      <c r="E37" s="29">
        <f>Table13[[#This Row],[Ávöxtun]]*Table13[[#This Row],[Eignir]]/SUMIFS(Table13[Eignir],Table13[Year],Table13[[#This Row],[Year]])</f>
        <v>1.2438152718818871E-3</v>
      </c>
      <c r="F37" s="23">
        <f>IF(B37=1997, 100, IF(COUNTIF(A$1:A36,A37)=0, "NEW", F36*(1+Table13[[#This Row],[Ávöxtun]])))</f>
        <v>100</v>
      </c>
      <c r="G37" s="18" cm="1">
        <f t="array" ref="G37">IFERROR(_xlfn.IFS(ISNUMBER(Table13[[#This Row],[Column3]]),Table13[[#This Row],[Column3]],Table13[[#This Row],[Column3]]="NEW",Table13[[#This Row],[Column3]]),"")</f>
        <v>100</v>
      </c>
      <c r="H37" s="15" cm="1">
        <f t="array" ref="H37">_xlfn.IFS(Table13[[#This Row],[Column4]]="NEW",AVERAGEIFS(Table13[Column4],Table13[Year],Table13[[#This Row],[Year]]),ISNUMBER(Table13[[#This Row],[Column4]]),Table13[[#This Row],[Column4]],Table13[[#This Row],[Column4]]="",H36*(1+Table13[[#This Row],[Ávöxtun]]))</f>
        <v>100</v>
      </c>
      <c r="I37" cm="1">
        <f t="array" ref="I37">_xlfn.IFS(Table13[[#This Row],[Column4]]="NEW",_xlfn.XLOOKUP(Table13[[#This Row],[Year]],$N$2:$N$27,$P$2:$P$27),ISNUMBER(Table13[[#This Row],[Column4]]),Table13[[#This Row],[Column4]],Table13[[#This Row],[Column4]]="",I36*(1+Table13[[#This Row],[Ávöxtun]]))</f>
        <v>100</v>
      </c>
      <c r="L37" s="33">
        <v>100</v>
      </c>
      <c r="M37" s="33">
        <v>100</v>
      </c>
    </row>
    <row r="38" spans="1:13">
      <c r="A38" t="s">
        <v>61</v>
      </c>
      <c r="B38">
        <v>1997</v>
      </c>
      <c r="C38" s="16">
        <v>7.0000000000000007E-2</v>
      </c>
      <c r="D38" s="1">
        <v>620570.21</v>
      </c>
      <c r="E38" s="29">
        <f>Table13[[#This Row],[Ávöxtun]]*Table13[[#This Row],[Eignir]]/SUMIFS(Table13[Eignir],Table13[Year],Table13[[#This Row],[Year]])</f>
        <v>1.5223074218455201E-4</v>
      </c>
      <c r="F38" s="23">
        <f>IF(B38=1997, 100, IF(COUNTIF(A$1:A37,A38)=0, "NEW", F37*(1+Table13[[#This Row],[Ávöxtun]])))</f>
        <v>100</v>
      </c>
      <c r="G38" s="18" cm="1">
        <f t="array" ref="G38">IFERROR(_xlfn.IFS(ISNUMBER(Table13[[#This Row],[Column3]]),Table13[[#This Row],[Column3]],Table13[[#This Row],[Column3]]="NEW",Table13[[#This Row],[Column3]]),"")</f>
        <v>100</v>
      </c>
      <c r="H38" s="15" cm="1">
        <f t="array" ref="H38">_xlfn.IFS(Table13[[#This Row],[Column4]]="NEW",AVERAGEIFS(Table13[Column4],Table13[Year],Table13[[#This Row],[Year]]),ISNUMBER(Table13[[#This Row],[Column4]]),Table13[[#This Row],[Column4]],Table13[[#This Row],[Column4]]="",H37*(1+Table13[[#This Row],[Ávöxtun]]))</f>
        <v>100</v>
      </c>
      <c r="I38" cm="1">
        <f t="array" ref="I38">_xlfn.IFS(Table13[[#This Row],[Column4]]="NEW",_xlfn.XLOOKUP(Table13[[#This Row],[Year]],$N$2:$N$27,$P$2:$P$27),ISNUMBER(Table13[[#This Row],[Column4]]),Table13[[#This Row],[Column4]],Table13[[#This Row],[Column4]]="",I37*(1+Table13[[#This Row],[Ávöxtun]]))</f>
        <v>100</v>
      </c>
      <c r="L38" s="33">
        <v>100</v>
      </c>
      <c r="M38" s="33">
        <v>100</v>
      </c>
    </row>
    <row r="39" spans="1:13">
      <c r="A39" t="s">
        <v>61</v>
      </c>
      <c r="B39">
        <v>1998</v>
      </c>
      <c r="C39" s="16">
        <v>7.0000000000000007E-2</v>
      </c>
      <c r="D39" s="1">
        <v>632094.66</v>
      </c>
      <c r="E39" s="29">
        <f>Table13[[#This Row],[Ávöxtun]]*Table13[[#This Row],[Eignir]]/SUMIFS(Table13[Eignir],Table13[Year],Table13[[#This Row],[Year]])</f>
        <v>1.3387847477741848E-4</v>
      </c>
      <c r="F39" s="23">
        <f>IF(B39=1997, 100, IF(COUNTIF(A$1:A38,A39)=0, "NEW", F38*(1+Table13[[#This Row],[Ávöxtun]])))</f>
        <v>107</v>
      </c>
      <c r="G39" s="18" cm="1">
        <f t="array" ref="G39">IFERROR(_xlfn.IFS(ISNUMBER(Table13[[#This Row],[Column3]]),Table13[[#This Row],[Column3]],Table13[[#This Row],[Column3]]="NEW",Table13[[#This Row],[Column3]]),"")</f>
        <v>107</v>
      </c>
      <c r="H39" s="15" cm="1">
        <f t="array" ref="H39">_xlfn.IFS(Table13[[#This Row],[Column4]]="NEW",AVERAGEIFS(Table13[Column4],Table13[Year],Table13[[#This Row],[Year]]),ISNUMBER(Table13[[#This Row],[Column4]]),Table13[[#This Row],[Column4]],Table13[[#This Row],[Column4]]="",H38*(1+Table13[[#This Row],[Ávöxtun]]))</f>
        <v>107</v>
      </c>
      <c r="I39" cm="1">
        <f t="array" ref="I39">_xlfn.IFS(Table13[[#This Row],[Column4]]="NEW",_xlfn.XLOOKUP(Table13[[#This Row],[Year]],$N$2:$N$27,$P$2:$P$27),ISNUMBER(Table13[[#This Row],[Column4]]),Table13[[#This Row],[Column4]],Table13[[#This Row],[Column4]]="",I38*(1+Table13[[#This Row],[Ávöxtun]]))</f>
        <v>107</v>
      </c>
      <c r="L39" s="33">
        <v>107</v>
      </c>
      <c r="M39" s="33">
        <v>107</v>
      </c>
    </row>
    <row r="40" spans="1:13">
      <c r="A40" t="s">
        <v>61</v>
      </c>
      <c r="B40">
        <v>1999</v>
      </c>
      <c r="C40" s="16">
        <v>0.08</v>
      </c>
      <c r="D40" s="1">
        <v>665400.62</v>
      </c>
      <c r="E40" s="29">
        <f>Table13[[#This Row],[Ávöxtun]]*Table13[[#This Row],[Eignir]]/SUMIFS(Table13[Eignir],Table13[Year],Table13[[#This Row],[Year]])</f>
        <v>1.1991252423387575E-4</v>
      </c>
      <c r="F40" s="23">
        <f>IF(B40=1997, 100, IF(COUNTIF(A$1:A39,A40)=0, "NEW", F39*(1+Table13[[#This Row],[Ávöxtun]])))</f>
        <v>115.56</v>
      </c>
      <c r="G40" s="18" cm="1">
        <f t="array" ref="G40">IFERROR(_xlfn.IFS(ISNUMBER(Table13[[#This Row],[Column3]]),Table13[[#This Row],[Column3]],Table13[[#This Row],[Column3]]="NEW",Table13[[#This Row],[Column3]]),"")</f>
        <v>115.56</v>
      </c>
      <c r="H40" s="15" cm="1">
        <f t="array" ref="H40">_xlfn.IFS(Table13[[#This Row],[Column4]]="NEW",AVERAGEIFS(Table13[Column4],Table13[Year],Table13[[#This Row],[Year]]),ISNUMBER(Table13[[#This Row],[Column4]]),Table13[[#This Row],[Column4]],Table13[[#This Row],[Column4]]="",H39*(1+Table13[[#This Row],[Ávöxtun]]))</f>
        <v>115.56</v>
      </c>
      <c r="I40" cm="1">
        <f t="array" ref="I40">_xlfn.IFS(Table13[[#This Row],[Column4]]="NEW",_xlfn.XLOOKUP(Table13[[#This Row],[Year]],$N$2:$N$27,$P$2:$P$27),ISNUMBER(Table13[[#This Row],[Column4]]),Table13[[#This Row],[Column4]],Table13[[#This Row],[Column4]]="",I39*(1+Table13[[#This Row],[Ávöxtun]]))</f>
        <v>115.56</v>
      </c>
      <c r="L40" s="33">
        <v>115.56</v>
      </c>
      <c r="M40" s="33">
        <v>115.56</v>
      </c>
    </row>
    <row r="41" spans="1:13">
      <c r="A41" t="s">
        <v>61</v>
      </c>
      <c r="B41">
        <v>2000</v>
      </c>
      <c r="C41" s="16">
        <v>-0.02</v>
      </c>
      <c r="D41" s="1">
        <v>638557.34</v>
      </c>
      <c r="E41" s="29">
        <f>Table13[[#This Row],[Ávöxtun]]*Table13[[#This Row],[Eignir]]/SUMIFS(Table13[Eignir],Table13[Year],Table13[[#This Row],[Year]])</f>
        <v>-2.0450796948665754E-5</v>
      </c>
      <c r="F41" s="23">
        <f>IF(B41=1997, 100, IF(COUNTIF(A$1:A40,A41)=0, "NEW", F40*(1+Table13[[#This Row],[Ávöxtun]])))</f>
        <v>113.2488</v>
      </c>
      <c r="G41" s="18" cm="1">
        <f t="array" ref="G41">IFERROR(_xlfn.IFS(ISNUMBER(Table13[[#This Row],[Column3]]),Table13[[#This Row],[Column3]],Table13[[#This Row],[Column3]]="NEW",Table13[[#This Row],[Column3]]),"")</f>
        <v>113.2488</v>
      </c>
      <c r="H41" s="15" cm="1">
        <f t="array" ref="H41">_xlfn.IFS(Table13[[#This Row],[Column4]]="NEW",AVERAGEIFS(Table13[Column4],Table13[Year],Table13[[#This Row],[Year]]),ISNUMBER(Table13[[#This Row],[Column4]]),Table13[[#This Row],[Column4]],Table13[[#This Row],[Column4]]="",H40*(1+Table13[[#This Row],[Ávöxtun]]))</f>
        <v>113.2488</v>
      </c>
      <c r="I41" cm="1">
        <f t="array" ref="I41">_xlfn.IFS(Table13[[#This Row],[Column4]]="NEW",_xlfn.XLOOKUP(Table13[[#This Row],[Year]],$N$2:$N$27,$P$2:$P$27),ISNUMBER(Table13[[#This Row],[Column4]]),Table13[[#This Row],[Column4]],Table13[[#This Row],[Column4]]="",I40*(1+Table13[[#This Row],[Ávöxtun]]))</f>
        <v>113.2488</v>
      </c>
      <c r="L41" s="33">
        <v>113.2488</v>
      </c>
      <c r="M41" s="33">
        <v>113.2488</v>
      </c>
    </row>
    <row r="42" spans="1:13">
      <c r="A42" t="s">
        <v>61</v>
      </c>
      <c r="B42">
        <v>2001</v>
      </c>
      <c r="C42" s="16">
        <v>-0.08</v>
      </c>
      <c r="D42" s="1">
        <v>628263</v>
      </c>
      <c r="E42" s="29">
        <f>Table13[[#This Row],[Ávöxtun]]*Table13[[#This Row],[Eignir]]/SUMIFS(Table13[Eignir],Table13[Year],Table13[[#This Row],[Year]])</f>
        <v>-5.2298566111955287E-5</v>
      </c>
      <c r="F42" s="23">
        <f>IF(B42=1997, 100, IF(COUNTIF(A$1:A41,A42)=0, "NEW", F41*(1+Table13[[#This Row],[Ávöxtun]])))</f>
        <v>104.18889600000001</v>
      </c>
      <c r="G42" s="18" cm="1">
        <f t="array" ref="G42">IFERROR(_xlfn.IFS(ISNUMBER(Table13[[#This Row],[Column3]]),Table13[[#This Row],[Column3]],Table13[[#This Row],[Column3]]="NEW",Table13[[#This Row],[Column3]]),"")</f>
        <v>104.18889600000001</v>
      </c>
      <c r="H42" s="15" cm="1">
        <f t="array" ref="H42">_xlfn.IFS(Table13[[#This Row],[Column4]]="NEW",AVERAGEIFS(Table13[Column4],Table13[Year],Table13[[#This Row],[Year]]),ISNUMBER(Table13[[#This Row],[Column4]]),Table13[[#This Row],[Column4]],Table13[[#This Row],[Column4]]="",H41*(1+Table13[[#This Row],[Ávöxtun]]))</f>
        <v>104.18889600000001</v>
      </c>
      <c r="I42" cm="1">
        <f t="array" ref="I42">_xlfn.IFS(Table13[[#This Row],[Column4]]="NEW",_xlfn.XLOOKUP(Table13[[#This Row],[Year]],$N$2:$N$27,$P$2:$P$27),ISNUMBER(Table13[[#This Row],[Column4]]),Table13[[#This Row],[Column4]],Table13[[#This Row],[Column4]]="",I41*(1+Table13[[#This Row],[Ávöxtun]]))</f>
        <v>104.18889600000001</v>
      </c>
      <c r="L42" s="33">
        <v>104.18889600000001</v>
      </c>
      <c r="M42" s="33">
        <v>104.18889600000001</v>
      </c>
    </row>
    <row r="43" spans="1:13">
      <c r="A43" t="s">
        <v>61</v>
      </c>
      <c r="B43">
        <v>2002</v>
      </c>
      <c r="C43" s="16">
        <v>0.03</v>
      </c>
      <c r="D43" s="1">
        <v>582127.9</v>
      </c>
      <c r="E43" s="29">
        <f>Table13[[#This Row],[Ávöxtun]]*Table13[[#This Row],[Eignir]]/SUMIFS(Table13[Eignir],Table13[Year],Table13[[#This Row],[Year]])</f>
        <v>3.2772418574870013E-5</v>
      </c>
      <c r="F43" s="23">
        <f>IF(B43=1997, 100, IF(COUNTIF(A$1:A42,A43)=0, "NEW", F42*(1+Table13[[#This Row],[Ávöxtun]])))</f>
        <v>107.31456288000001</v>
      </c>
      <c r="G43" s="18" cm="1">
        <f t="array" ref="G43">IFERROR(_xlfn.IFS(ISNUMBER(Table13[[#This Row],[Column3]]),Table13[[#This Row],[Column3]],Table13[[#This Row],[Column3]]="NEW",Table13[[#This Row],[Column3]]),"")</f>
        <v>107.31456288000001</v>
      </c>
      <c r="H43" s="15" cm="1">
        <f t="array" ref="H43">_xlfn.IFS(Table13[[#This Row],[Column4]]="NEW",AVERAGEIFS(Table13[Column4],Table13[Year],Table13[[#This Row],[Year]]),ISNUMBER(Table13[[#This Row],[Column4]]),Table13[[#This Row],[Column4]],Table13[[#This Row],[Column4]]="",H42*(1+Table13[[#This Row],[Ávöxtun]]))</f>
        <v>107.31456288000001</v>
      </c>
      <c r="I43" cm="1">
        <f t="array" ref="I43">_xlfn.IFS(Table13[[#This Row],[Column4]]="NEW",_xlfn.XLOOKUP(Table13[[#This Row],[Year]],$N$2:$N$27,$P$2:$P$27),ISNUMBER(Table13[[#This Row],[Column4]]),Table13[[#This Row],[Column4]],Table13[[#This Row],[Column4]]="",I42*(1+Table13[[#This Row],[Ávöxtun]]))</f>
        <v>107.31456288000001</v>
      </c>
      <c r="L43" s="33">
        <v>107.31456288000001</v>
      </c>
      <c r="M43" s="33">
        <v>107.31456288000001</v>
      </c>
    </row>
    <row r="44" spans="1:13">
      <c r="A44" t="s">
        <v>61</v>
      </c>
      <c r="B44">
        <v>2003</v>
      </c>
      <c r="C44" s="16">
        <v>7.0000000000000007E-2</v>
      </c>
      <c r="D44" s="1">
        <v>596996</v>
      </c>
      <c r="E44" s="29">
        <f>Table13[[#This Row],[Ávöxtun]]*Table13[[#This Row],[Eignir]]/SUMIFS(Table13[Eignir],Table13[Year],Table13[[#This Row],[Year]])</f>
        <v>6.5522525958117202E-5</v>
      </c>
      <c r="F44" s="23">
        <f>IF(B44=1997, 100, IF(COUNTIF(A$1:A43,A44)=0, "NEW", F43*(1+Table13[[#This Row],[Ávöxtun]])))</f>
        <v>114.82658228160003</v>
      </c>
      <c r="G44" s="18" cm="1">
        <f t="array" ref="G44">IFERROR(_xlfn.IFS(ISNUMBER(Table13[[#This Row],[Column3]]),Table13[[#This Row],[Column3]],Table13[[#This Row],[Column3]]="NEW",Table13[[#This Row],[Column3]]),"")</f>
        <v>114.82658228160003</v>
      </c>
      <c r="H44" s="15" cm="1">
        <f t="array" ref="H44">_xlfn.IFS(Table13[[#This Row],[Column4]]="NEW",AVERAGEIFS(Table13[Column4],Table13[Year],Table13[[#This Row],[Year]]),ISNUMBER(Table13[[#This Row],[Column4]]),Table13[[#This Row],[Column4]],Table13[[#This Row],[Column4]]="",H43*(1+Table13[[#This Row],[Ávöxtun]]))</f>
        <v>114.82658228160003</v>
      </c>
      <c r="I44" cm="1">
        <f t="array" ref="I44">_xlfn.IFS(Table13[[#This Row],[Column4]]="NEW",_xlfn.XLOOKUP(Table13[[#This Row],[Year]],$N$2:$N$27,$P$2:$P$27),ISNUMBER(Table13[[#This Row],[Column4]]),Table13[[#This Row],[Column4]],Table13[[#This Row],[Column4]]="",I43*(1+Table13[[#This Row],[Ávöxtun]]))</f>
        <v>114.82658228160003</v>
      </c>
      <c r="L44" s="33">
        <v>114.82658228160003</v>
      </c>
      <c r="M44" s="33">
        <v>114.82658228160003</v>
      </c>
    </row>
    <row r="45" spans="1:13">
      <c r="A45" t="s">
        <v>61</v>
      </c>
      <c r="B45">
        <v>2004</v>
      </c>
      <c r="C45" s="16">
        <v>0.06</v>
      </c>
      <c r="D45" s="1">
        <v>614781.72</v>
      </c>
      <c r="E45" s="29">
        <f>Table13[[#This Row],[Ávöxtun]]*Table13[[#This Row],[Eignir]]/SUMIFS(Table13[Eignir],Table13[Year],Table13[[#This Row],[Year]])</f>
        <v>4.8558884575207223E-5</v>
      </c>
      <c r="F45" s="23">
        <f>IF(B45=1997, 100, IF(COUNTIF(A$1:A44,A45)=0, "NEW", F44*(1+Table13[[#This Row],[Ávöxtun]])))</f>
        <v>121.71617721849603</v>
      </c>
      <c r="G45" s="18" cm="1">
        <f t="array" ref="G45">IFERROR(_xlfn.IFS(ISNUMBER(Table13[[#This Row],[Column3]]),Table13[[#This Row],[Column3]],Table13[[#This Row],[Column3]]="NEW",Table13[[#This Row],[Column3]]),"")</f>
        <v>121.71617721849603</v>
      </c>
      <c r="H45" s="15" cm="1">
        <f t="array" ref="H45">_xlfn.IFS(Table13[[#This Row],[Column4]]="NEW",AVERAGEIFS(Table13[Column4],Table13[Year],Table13[[#This Row],[Year]]),ISNUMBER(Table13[[#This Row],[Column4]]),Table13[[#This Row],[Column4]],Table13[[#This Row],[Column4]]="",H44*(1+Table13[[#This Row],[Ávöxtun]]))</f>
        <v>121.71617721849603</v>
      </c>
      <c r="I45" cm="1">
        <f t="array" ref="I45">_xlfn.IFS(Table13[[#This Row],[Column4]]="NEW",_xlfn.XLOOKUP(Table13[[#This Row],[Year]],$N$2:$N$27,$P$2:$P$27),ISNUMBER(Table13[[#This Row],[Column4]]),Table13[[#This Row],[Column4]],Table13[[#This Row],[Column4]]="",I44*(1+Table13[[#This Row],[Ávöxtun]]))</f>
        <v>121.71617721849603</v>
      </c>
      <c r="L45" s="33">
        <v>121.71617721849603</v>
      </c>
      <c r="M45" s="33">
        <v>121.71617721849603</v>
      </c>
    </row>
    <row r="46" spans="1:13">
      <c r="A46" t="s">
        <v>61</v>
      </c>
      <c r="B46">
        <v>2005</v>
      </c>
      <c r="C46" s="16">
        <v>0.08</v>
      </c>
      <c r="D46" s="1">
        <v>648950</v>
      </c>
      <c r="E46" s="29">
        <f>Table13[[#This Row],[Ávöxtun]]*Table13[[#This Row],[Eignir]]/SUMIFS(Table13[Eignir],Table13[Year],Table13[[#This Row],[Year]])</f>
        <v>5.561976229806742E-5</v>
      </c>
      <c r="F46" s="23">
        <f>IF(B46=1997, 100, IF(COUNTIF(A$1:A45,A46)=0, "NEW", F45*(1+Table13[[#This Row],[Ávöxtun]])))</f>
        <v>131.45347139597573</v>
      </c>
      <c r="G46" s="18" cm="1">
        <f t="array" ref="G46">IFERROR(_xlfn.IFS(ISNUMBER(Table13[[#This Row],[Column3]]),Table13[[#This Row],[Column3]],Table13[[#This Row],[Column3]]="NEW",Table13[[#This Row],[Column3]]),"")</f>
        <v>131.45347139597573</v>
      </c>
      <c r="H46" s="15" cm="1">
        <f t="array" ref="H46">_xlfn.IFS(Table13[[#This Row],[Column4]]="NEW",AVERAGEIFS(Table13[Column4],Table13[Year],Table13[[#This Row],[Year]]),ISNUMBER(Table13[[#This Row],[Column4]]),Table13[[#This Row],[Column4]],Table13[[#This Row],[Column4]]="",H45*(1+Table13[[#This Row],[Ávöxtun]]))</f>
        <v>131.45347139597573</v>
      </c>
      <c r="I46" cm="1">
        <f t="array" ref="I46">_xlfn.IFS(Table13[[#This Row],[Column4]]="NEW",_xlfn.XLOOKUP(Table13[[#This Row],[Year]],$N$2:$N$27,$P$2:$P$27),ISNUMBER(Table13[[#This Row],[Column4]]),Table13[[#This Row],[Column4]],Table13[[#This Row],[Column4]]="",I45*(1+Table13[[#This Row],[Ávöxtun]]))</f>
        <v>131.45347139597573</v>
      </c>
      <c r="L46" s="33">
        <v>131.45347139597573</v>
      </c>
      <c r="M46" s="33">
        <v>131.45347139597573</v>
      </c>
    </row>
    <row r="47" spans="1:13">
      <c r="A47" t="s">
        <v>61</v>
      </c>
      <c r="B47">
        <v>2006</v>
      </c>
      <c r="C47" s="16">
        <v>6.0400000000000002E-2</v>
      </c>
      <c r="D47" s="1">
        <v>723893</v>
      </c>
      <c r="E47" s="29">
        <f>Table13[[#This Row],[Ávöxtun]]*Table13[[#This Row],[Eignir]]/SUMIFS(Table13[Eignir],Table13[Year],Table13[[#This Row],[Year]])</f>
        <v>3.8434132819125989E-5</v>
      </c>
      <c r="F47" s="23">
        <f>IF(B47=1997, 100, IF(COUNTIF(A$1:A46,A47)=0, "NEW", F46*(1+Table13[[#This Row],[Ávöxtun]])))</f>
        <v>139.39326106829267</v>
      </c>
      <c r="G47" s="18" cm="1">
        <f t="array" ref="G47">IFERROR(_xlfn.IFS(ISNUMBER(Table13[[#This Row],[Column3]]),Table13[[#This Row],[Column3]],Table13[[#This Row],[Column3]]="NEW",Table13[[#This Row],[Column3]]),"")</f>
        <v>139.39326106829267</v>
      </c>
      <c r="H47" s="15" cm="1">
        <f t="array" ref="H47">_xlfn.IFS(Table13[[#This Row],[Column4]]="NEW",AVERAGEIFS(Table13[Column4],Table13[Year],Table13[[#This Row],[Year]]),ISNUMBER(Table13[[#This Row],[Column4]]),Table13[[#This Row],[Column4]],Table13[[#This Row],[Column4]]="",H46*(1+Table13[[#This Row],[Ávöxtun]]))</f>
        <v>139.39326106829267</v>
      </c>
      <c r="I47" cm="1">
        <f t="array" ref="I47">_xlfn.IFS(Table13[[#This Row],[Column4]]="NEW",_xlfn.XLOOKUP(Table13[[#This Row],[Year]],$N$2:$N$27,$P$2:$P$27),ISNUMBER(Table13[[#This Row],[Column4]]),Table13[[#This Row],[Column4]],Table13[[#This Row],[Column4]]="",I46*(1+Table13[[#This Row],[Ávöxtun]]))</f>
        <v>139.39326106829267</v>
      </c>
      <c r="L47" s="33">
        <v>139.39326106829267</v>
      </c>
      <c r="M47" s="33">
        <v>139.39326106829267</v>
      </c>
    </row>
    <row r="48" spans="1:13">
      <c r="A48" t="s">
        <v>61</v>
      </c>
      <c r="B48">
        <v>2007</v>
      </c>
      <c r="C48" s="16">
        <v>9.8000000000000004E-2</v>
      </c>
      <c r="D48" s="1">
        <v>762872</v>
      </c>
      <c r="E48" s="29">
        <f>Table13[[#This Row],[Ávöxtun]]*Table13[[#This Row],[Eignir]]/SUMIFS(Table13[Eignir],Table13[Year],Table13[[#This Row],[Year]])</f>
        <v>5.8249927615394989E-5</v>
      </c>
      <c r="F48" s="23">
        <f>IF(B48=1997, 100, IF(COUNTIF(A$1:A47,A48)=0, "NEW", F47*(1+Table13[[#This Row],[Ávöxtun]])))</f>
        <v>153.05380065298536</v>
      </c>
      <c r="G48" s="18" cm="1">
        <f t="array" ref="G48">IFERROR(_xlfn.IFS(ISNUMBER(Table13[[#This Row],[Column3]]),Table13[[#This Row],[Column3]],Table13[[#This Row],[Column3]]="NEW",Table13[[#This Row],[Column3]]),"")</f>
        <v>153.05380065298536</v>
      </c>
      <c r="H48" s="15" cm="1">
        <f t="array" ref="H48">_xlfn.IFS(Table13[[#This Row],[Column4]]="NEW",AVERAGEIFS(Table13[Column4],Table13[Year],Table13[[#This Row],[Year]]),ISNUMBER(Table13[[#This Row],[Column4]]),Table13[[#This Row],[Column4]],Table13[[#This Row],[Column4]]="",H47*(1+Table13[[#This Row],[Ávöxtun]]))</f>
        <v>153.05380065298536</v>
      </c>
      <c r="I48" cm="1">
        <f t="array" ref="I48">_xlfn.IFS(Table13[[#This Row],[Column4]]="NEW",_xlfn.XLOOKUP(Table13[[#This Row],[Year]],$N$2:$N$27,$P$2:$P$27),ISNUMBER(Table13[[#This Row],[Column4]]),Table13[[#This Row],[Column4]],Table13[[#This Row],[Column4]]="",I47*(1+Table13[[#This Row],[Ávöxtun]]))</f>
        <v>153.05380065298536</v>
      </c>
      <c r="L48" s="33">
        <v>153.05380065298536</v>
      </c>
      <c r="M48" s="33">
        <v>153.05380065298536</v>
      </c>
    </row>
    <row r="49" spans="1:13">
      <c r="A49" t="s">
        <v>61</v>
      </c>
      <c r="B49">
        <v>2008</v>
      </c>
      <c r="C49" s="16">
        <v>-0.10310000000000001</v>
      </c>
      <c r="D49" s="1">
        <v>751473</v>
      </c>
      <c r="E49" s="29">
        <f>Table13[[#This Row],[Ávöxtun]]*Table13[[#This Row],[Eignir]]/SUMIFS(Table13[Eignir],Table13[Year],Table13[[#This Row],[Year]])</f>
        <v>-6.2531991425490588E-5</v>
      </c>
      <c r="F49" s="23">
        <f>IF(B49=1997, 100, IF(COUNTIF(A$1:A48,A49)=0, "NEW", F48*(1+Table13[[#This Row],[Ávöxtun]])))</f>
        <v>137.27395380566259</v>
      </c>
      <c r="G49" s="18" cm="1">
        <f t="array" ref="G49">IFERROR(_xlfn.IFS(ISNUMBER(Table13[[#This Row],[Column3]]),Table13[[#This Row],[Column3]],Table13[[#This Row],[Column3]]="NEW",Table13[[#This Row],[Column3]]),"")</f>
        <v>137.27395380566259</v>
      </c>
      <c r="H49" s="15" cm="1">
        <f t="array" ref="H49">_xlfn.IFS(Table13[[#This Row],[Column4]]="NEW",AVERAGEIFS(Table13[Column4],Table13[Year],Table13[[#This Row],[Year]]),ISNUMBER(Table13[[#This Row],[Column4]]),Table13[[#This Row],[Column4]],Table13[[#This Row],[Column4]]="",H48*(1+Table13[[#This Row],[Ávöxtun]]))</f>
        <v>137.27395380566259</v>
      </c>
      <c r="I49" cm="1">
        <f t="array" ref="I49">_xlfn.IFS(Table13[[#This Row],[Column4]]="NEW",_xlfn.XLOOKUP(Table13[[#This Row],[Year]],$N$2:$N$27,$P$2:$P$27),ISNUMBER(Table13[[#This Row],[Column4]]),Table13[[#This Row],[Column4]],Table13[[#This Row],[Column4]]="",I48*(1+Table13[[#This Row],[Ávöxtun]]))</f>
        <v>137.27395380566259</v>
      </c>
      <c r="L49" s="33">
        <v>137.27395380566259</v>
      </c>
      <c r="M49" s="33">
        <v>137.27395380566259</v>
      </c>
    </row>
    <row r="50" spans="1:13">
      <c r="A50" t="s">
        <v>61</v>
      </c>
      <c r="B50">
        <v>2009</v>
      </c>
      <c r="C50" s="16">
        <v>5.1799999999999999E-2</v>
      </c>
      <c r="D50" s="1">
        <v>808225</v>
      </c>
      <c r="E50" s="29">
        <f>Table13[[#This Row],[Ávöxtun]]*Table13[[#This Row],[Eignir]]/SUMIFS(Table13[Eignir],Table13[Year],Table13[[#This Row],[Year]])</f>
        <v>3.0489769185081807E-5</v>
      </c>
      <c r="F50" s="23">
        <f>IF(B50=1997, 100, IF(COUNTIF(A$1:A49,A50)=0, "NEW", F49*(1+Table13[[#This Row],[Ávöxtun]])))</f>
        <v>144.38474461279591</v>
      </c>
      <c r="G50" s="18" cm="1">
        <f t="array" ref="G50">IFERROR(_xlfn.IFS(ISNUMBER(Table13[[#This Row],[Column3]]),Table13[[#This Row],[Column3]],Table13[[#This Row],[Column3]]="NEW",Table13[[#This Row],[Column3]]),"")</f>
        <v>144.38474461279591</v>
      </c>
      <c r="H50" s="15" cm="1">
        <f t="array" ref="H50">_xlfn.IFS(Table13[[#This Row],[Column4]]="NEW",AVERAGEIFS(Table13[Column4],Table13[Year],Table13[[#This Row],[Year]]),ISNUMBER(Table13[[#This Row],[Column4]]),Table13[[#This Row],[Column4]],Table13[[#This Row],[Column4]]="",H49*(1+Table13[[#This Row],[Ávöxtun]]))</f>
        <v>144.38474461279591</v>
      </c>
      <c r="I50" cm="1">
        <f t="array" ref="I50">_xlfn.IFS(Table13[[#This Row],[Column4]]="NEW",_xlfn.XLOOKUP(Table13[[#This Row],[Year]],$N$2:$N$27,$P$2:$P$27),ISNUMBER(Table13[[#This Row],[Column4]]),Table13[[#This Row],[Column4]],Table13[[#This Row],[Column4]]="",I49*(1+Table13[[#This Row],[Ávöxtun]]))</f>
        <v>144.38474461279591</v>
      </c>
      <c r="L50" s="33">
        <v>144.38474461279591</v>
      </c>
      <c r="M50" s="33">
        <v>144.38474461279591</v>
      </c>
    </row>
    <row r="51" spans="1:13">
      <c r="A51" t="s">
        <v>62</v>
      </c>
      <c r="B51">
        <v>1997</v>
      </c>
      <c r="C51" s="16">
        <v>0.06</v>
      </c>
      <c r="D51" s="1">
        <v>1926004.47</v>
      </c>
      <c r="E51" s="29">
        <f>Table13[[#This Row],[Ávöxtun]]*Table13[[#This Row],[Eignir]]/SUMIFS(Table13[Eignir],Table13[Year],Table13[[#This Row],[Year]])</f>
        <v>4.0496915145028778E-4</v>
      </c>
      <c r="F51" s="23">
        <f>IF(B51=1997, 100, IF(COUNTIF(A$1:A50,A51)=0, "NEW", F50*(1+Table13[[#This Row],[Ávöxtun]])))</f>
        <v>100</v>
      </c>
      <c r="G51" s="18" cm="1">
        <f t="array" ref="G51">IFERROR(_xlfn.IFS(ISNUMBER(Table13[[#This Row],[Column3]]),Table13[[#This Row],[Column3]],Table13[[#This Row],[Column3]]="NEW",Table13[[#This Row],[Column3]]),"")</f>
        <v>100</v>
      </c>
      <c r="H51" s="15" cm="1">
        <f t="array" ref="H51">_xlfn.IFS(Table13[[#This Row],[Column4]]="NEW",AVERAGEIFS(Table13[Column4],Table13[Year],Table13[[#This Row],[Year]]),ISNUMBER(Table13[[#This Row],[Column4]]),Table13[[#This Row],[Column4]],Table13[[#This Row],[Column4]]="",H50*(1+Table13[[#This Row],[Ávöxtun]]))</f>
        <v>100</v>
      </c>
      <c r="I51" cm="1">
        <f t="array" ref="I51">_xlfn.IFS(Table13[[#This Row],[Column4]]="NEW",_xlfn.XLOOKUP(Table13[[#This Row],[Year]],$N$2:$N$27,$P$2:$P$27),ISNUMBER(Table13[[#This Row],[Column4]]),Table13[[#This Row],[Column4]],Table13[[#This Row],[Column4]]="",I50*(1+Table13[[#This Row],[Ávöxtun]]))</f>
        <v>100</v>
      </c>
      <c r="L51" s="33">
        <v>100</v>
      </c>
      <c r="M51" s="33">
        <v>100</v>
      </c>
    </row>
    <row r="52" spans="1:13">
      <c r="A52" t="s">
        <v>62</v>
      </c>
      <c r="B52">
        <v>1998</v>
      </c>
      <c r="C52" s="16">
        <v>0.1</v>
      </c>
      <c r="D52" s="1">
        <v>2247105.39</v>
      </c>
      <c r="E52" s="29">
        <f>Table13[[#This Row],[Ávöxtun]]*Table13[[#This Row],[Eignir]]/SUMIFS(Table13[Eignir],Table13[Year],Table13[[#This Row],[Year]])</f>
        <v>6.7991408184996517E-4</v>
      </c>
      <c r="F52" s="23">
        <f>IF(B52=1997, 100, IF(COUNTIF(A$1:A51,A52)=0, "NEW", F51*(1+Table13[[#This Row],[Ávöxtun]])))</f>
        <v>110.00000000000001</v>
      </c>
      <c r="G52" s="18" cm="1">
        <f t="array" ref="G52">IFERROR(_xlfn.IFS(ISNUMBER(Table13[[#This Row],[Column3]]),Table13[[#This Row],[Column3]],Table13[[#This Row],[Column3]]="NEW",Table13[[#This Row],[Column3]]),"")</f>
        <v>110.00000000000001</v>
      </c>
      <c r="H52" s="15" cm="1">
        <f t="array" ref="H52">_xlfn.IFS(Table13[[#This Row],[Column4]]="NEW",AVERAGEIFS(Table13[Column4],Table13[Year],Table13[[#This Row],[Year]]),ISNUMBER(Table13[[#This Row],[Column4]]),Table13[[#This Row],[Column4]],Table13[[#This Row],[Column4]]="",H51*(1+Table13[[#This Row],[Ávöxtun]]))</f>
        <v>110.00000000000001</v>
      </c>
      <c r="I52" cm="1">
        <f t="array" ref="I52">_xlfn.IFS(Table13[[#This Row],[Column4]]="NEW",_xlfn.XLOOKUP(Table13[[#This Row],[Year]],$N$2:$N$27,$P$2:$P$27),ISNUMBER(Table13[[#This Row],[Column4]]),Table13[[#This Row],[Column4]],Table13[[#This Row],[Column4]]="",I51*(1+Table13[[#This Row],[Ávöxtun]]))</f>
        <v>110.00000000000001</v>
      </c>
      <c r="L52" s="33">
        <v>110.00000000000001</v>
      </c>
      <c r="M52" s="33">
        <v>110.00000000000001</v>
      </c>
    </row>
    <row r="53" spans="1:13">
      <c r="A53" t="s">
        <v>62</v>
      </c>
      <c r="B53">
        <v>1999</v>
      </c>
      <c r="C53" s="16">
        <v>0.06</v>
      </c>
      <c r="D53" s="1">
        <v>2533834.19</v>
      </c>
      <c r="E53" s="29">
        <f>Table13[[#This Row],[Ávöxtun]]*Table13[[#This Row],[Eignir]]/SUMIFS(Table13[Eignir],Table13[Year],Table13[[#This Row],[Year]])</f>
        <v>3.4246863233272678E-4</v>
      </c>
      <c r="F53" s="23">
        <f>IF(B53=1997, 100, IF(COUNTIF(A$1:A52,A53)=0, "NEW", F52*(1+Table13[[#This Row],[Ávöxtun]])))</f>
        <v>116.60000000000002</v>
      </c>
      <c r="G53" s="18" cm="1">
        <f t="array" ref="G53">IFERROR(_xlfn.IFS(ISNUMBER(Table13[[#This Row],[Column3]]),Table13[[#This Row],[Column3]],Table13[[#This Row],[Column3]]="NEW",Table13[[#This Row],[Column3]]),"")</f>
        <v>116.60000000000002</v>
      </c>
      <c r="H53" s="15" cm="1">
        <f t="array" ref="H53">_xlfn.IFS(Table13[[#This Row],[Column4]]="NEW",AVERAGEIFS(Table13[Column4],Table13[Year],Table13[[#This Row],[Year]]),ISNUMBER(Table13[[#This Row],[Column4]]),Table13[[#This Row],[Column4]],Table13[[#This Row],[Column4]]="",H52*(1+Table13[[#This Row],[Ávöxtun]]))</f>
        <v>116.60000000000002</v>
      </c>
      <c r="I53" cm="1">
        <f t="array" ref="I53">_xlfn.IFS(Table13[[#This Row],[Column4]]="NEW",_xlfn.XLOOKUP(Table13[[#This Row],[Year]],$N$2:$N$27,$P$2:$P$27),ISNUMBER(Table13[[#This Row],[Column4]]),Table13[[#This Row],[Column4]],Table13[[#This Row],[Column4]]="",I52*(1+Table13[[#This Row],[Ávöxtun]]))</f>
        <v>116.60000000000002</v>
      </c>
      <c r="L53" s="33">
        <v>116.60000000000002</v>
      </c>
      <c r="M53" s="33">
        <v>116.60000000000002</v>
      </c>
    </row>
    <row r="54" spans="1:13">
      <c r="A54" t="s">
        <v>62</v>
      </c>
      <c r="B54">
        <v>2000</v>
      </c>
      <c r="C54" s="16">
        <v>-0.03</v>
      </c>
      <c r="D54" s="1">
        <v>2371052.36</v>
      </c>
      <c r="E54" s="29">
        <f>Table13[[#This Row],[Ávöxtun]]*Table13[[#This Row],[Eignir]]/SUMIFS(Table13[Eignir],Table13[Year],Table13[[#This Row],[Year]])</f>
        <v>-1.1390498706587898E-4</v>
      </c>
      <c r="F54" s="23">
        <f>IF(B54=1997, 100, IF(COUNTIF(A$1:A53,A54)=0, "NEW", F53*(1+Table13[[#This Row],[Ávöxtun]])))</f>
        <v>113.10200000000002</v>
      </c>
      <c r="G54" s="18" cm="1">
        <f t="array" ref="G54">IFERROR(_xlfn.IFS(ISNUMBER(Table13[[#This Row],[Column3]]),Table13[[#This Row],[Column3]],Table13[[#This Row],[Column3]]="NEW",Table13[[#This Row],[Column3]]),"")</f>
        <v>113.10200000000002</v>
      </c>
      <c r="H54" s="15" cm="1">
        <f t="array" ref="H54">_xlfn.IFS(Table13[[#This Row],[Column4]]="NEW",AVERAGEIFS(Table13[Column4],Table13[Year],Table13[[#This Row],[Year]]),ISNUMBER(Table13[[#This Row],[Column4]]),Table13[[#This Row],[Column4]],Table13[[#This Row],[Column4]]="",H53*(1+Table13[[#This Row],[Ávöxtun]]))</f>
        <v>113.10200000000002</v>
      </c>
      <c r="I54" cm="1">
        <f t="array" ref="I54">_xlfn.IFS(Table13[[#This Row],[Column4]]="NEW",_xlfn.XLOOKUP(Table13[[#This Row],[Year]],$N$2:$N$27,$P$2:$P$27),ISNUMBER(Table13[[#This Row],[Column4]]),Table13[[#This Row],[Column4]],Table13[[#This Row],[Column4]]="",I53*(1+Table13[[#This Row],[Ávöxtun]]))</f>
        <v>113.10200000000002</v>
      </c>
      <c r="L54" s="33">
        <v>113.10200000000002</v>
      </c>
      <c r="M54" s="33">
        <v>113.10200000000002</v>
      </c>
    </row>
    <row r="55" spans="1:13">
      <c r="A55" t="s">
        <v>62</v>
      </c>
      <c r="B55">
        <v>2001</v>
      </c>
      <c r="C55" s="16">
        <v>-0.01</v>
      </c>
      <c r="D55" s="1">
        <v>2568738</v>
      </c>
      <c r="E55" s="29">
        <f>Table13[[#This Row],[Ávöxtun]]*Table13[[#This Row],[Eignir]]/SUMIFS(Table13[Eignir],Table13[Year],Table13[[#This Row],[Year]])</f>
        <v>-2.6728717534951884E-5</v>
      </c>
      <c r="F55" s="23">
        <f>IF(B55=1997, 100, IF(COUNTIF(A$1:A54,A55)=0, "NEW", F54*(1+Table13[[#This Row],[Ávöxtun]])))</f>
        <v>111.97098000000001</v>
      </c>
      <c r="G55" s="18" cm="1">
        <f t="array" ref="G55">IFERROR(_xlfn.IFS(ISNUMBER(Table13[[#This Row],[Column3]]),Table13[[#This Row],[Column3]],Table13[[#This Row],[Column3]]="NEW",Table13[[#This Row],[Column3]]),"")</f>
        <v>111.97098000000001</v>
      </c>
      <c r="H55" s="15" cm="1">
        <f t="array" ref="H55">_xlfn.IFS(Table13[[#This Row],[Column4]]="NEW",AVERAGEIFS(Table13[Column4],Table13[Year],Table13[[#This Row],[Year]]),ISNUMBER(Table13[[#This Row],[Column4]]),Table13[[#This Row],[Column4]],Table13[[#This Row],[Column4]]="",H54*(1+Table13[[#This Row],[Ávöxtun]]))</f>
        <v>111.97098000000001</v>
      </c>
      <c r="I55" cm="1">
        <f t="array" ref="I55">_xlfn.IFS(Table13[[#This Row],[Column4]]="NEW",_xlfn.XLOOKUP(Table13[[#This Row],[Year]],$N$2:$N$27,$P$2:$P$27),ISNUMBER(Table13[[#This Row],[Column4]]),Table13[[#This Row],[Column4]],Table13[[#This Row],[Column4]]="",I54*(1+Table13[[#This Row],[Ávöxtun]]))</f>
        <v>111.97098000000001</v>
      </c>
      <c r="L55" s="33">
        <v>111.97098000000001</v>
      </c>
      <c r="M55" s="33">
        <v>111.97098000000001</v>
      </c>
    </row>
    <row r="56" spans="1:13">
      <c r="A56" t="s">
        <v>62</v>
      </c>
      <c r="B56">
        <v>2002</v>
      </c>
      <c r="C56" s="16">
        <v>-0.03</v>
      </c>
      <c r="D56" s="1">
        <v>2711576</v>
      </c>
      <c r="E56" s="29">
        <f>Table13[[#This Row],[Ávöxtun]]*Table13[[#This Row],[Eignir]]/SUMIFS(Table13[Eignir],Table13[Year],Table13[[#This Row],[Year]])</f>
        <v>-1.5265529047752519E-4</v>
      </c>
      <c r="F56" s="23">
        <f>IF(B56=1997, 100, IF(COUNTIF(A$1:A55,A56)=0, "NEW", F55*(1+Table13[[#This Row],[Ávöxtun]])))</f>
        <v>108.61185060000001</v>
      </c>
      <c r="G56" s="18" cm="1">
        <f t="array" ref="G56">IFERROR(_xlfn.IFS(ISNUMBER(Table13[[#This Row],[Column3]]),Table13[[#This Row],[Column3]],Table13[[#This Row],[Column3]]="NEW",Table13[[#This Row],[Column3]]),"")</f>
        <v>108.61185060000001</v>
      </c>
      <c r="H56" s="15" cm="1">
        <f t="array" ref="H56">_xlfn.IFS(Table13[[#This Row],[Column4]]="NEW",AVERAGEIFS(Table13[Column4],Table13[Year],Table13[[#This Row],[Year]]),ISNUMBER(Table13[[#This Row],[Column4]]),Table13[[#This Row],[Column4]],Table13[[#This Row],[Column4]]="",H55*(1+Table13[[#This Row],[Ávöxtun]]))</f>
        <v>108.61185060000001</v>
      </c>
      <c r="I56" cm="1">
        <f t="array" ref="I56">_xlfn.IFS(Table13[[#This Row],[Column4]]="NEW",_xlfn.XLOOKUP(Table13[[#This Row],[Year]],$N$2:$N$27,$P$2:$P$27),ISNUMBER(Table13[[#This Row],[Column4]]),Table13[[#This Row],[Column4]],Table13[[#This Row],[Column4]]="",I55*(1+Table13[[#This Row],[Ávöxtun]]))</f>
        <v>108.61185060000001</v>
      </c>
      <c r="L56" s="33">
        <v>108.61185060000001</v>
      </c>
      <c r="M56" s="33">
        <v>108.61185060000001</v>
      </c>
    </row>
    <row r="57" spans="1:13">
      <c r="A57" t="s">
        <v>62</v>
      </c>
      <c r="B57">
        <v>2003</v>
      </c>
      <c r="C57" s="16">
        <v>0.09</v>
      </c>
      <c r="D57" s="1">
        <v>3247975</v>
      </c>
      <c r="E57" s="29">
        <f>Table13[[#This Row],[Ávöxtun]]*Table13[[#This Row],[Eignir]]/SUMIFS(Table13[Eignir],Table13[Year],Table13[[#This Row],[Year]])</f>
        <v>4.5832796588236093E-4</v>
      </c>
      <c r="F57" s="23">
        <f>IF(B57=1997, 100, IF(COUNTIF(A$1:A56,A57)=0, "NEW", F56*(1+Table13[[#This Row],[Ávöxtun]])))</f>
        <v>118.38691715400002</v>
      </c>
      <c r="G57" s="18" cm="1">
        <f t="array" ref="G57">IFERROR(_xlfn.IFS(ISNUMBER(Table13[[#This Row],[Column3]]),Table13[[#This Row],[Column3]],Table13[[#This Row],[Column3]]="NEW",Table13[[#This Row],[Column3]]),"")</f>
        <v>118.38691715400002</v>
      </c>
      <c r="H57" s="15" cm="1">
        <f t="array" ref="H57">_xlfn.IFS(Table13[[#This Row],[Column4]]="NEW",AVERAGEIFS(Table13[Column4],Table13[Year],Table13[[#This Row],[Year]]),ISNUMBER(Table13[[#This Row],[Column4]]),Table13[[#This Row],[Column4]],Table13[[#This Row],[Column4]]="",H56*(1+Table13[[#This Row],[Ávöxtun]]))</f>
        <v>118.38691715400002</v>
      </c>
      <c r="I57" cm="1">
        <f t="array" ref="I57">_xlfn.IFS(Table13[[#This Row],[Column4]]="NEW",_xlfn.XLOOKUP(Table13[[#This Row],[Year]],$N$2:$N$27,$P$2:$P$27),ISNUMBER(Table13[[#This Row],[Column4]]),Table13[[#This Row],[Column4]],Table13[[#This Row],[Column4]]="",I56*(1+Table13[[#This Row],[Ávöxtun]]))</f>
        <v>118.38691715400002</v>
      </c>
      <c r="L57" s="33">
        <v>118.38691715400002</v>
      </c>
      <c r="M57" s="33">
        <v>118.38691715400002</v>
      </c>
    </row>
    <row r="58" spans="1:13">
      <c r="A58" t="s">
        <v>62</v>
      </c>
      <c r="B58">
        <v>2004</v>
      </c>
      <c r="C58" s="16">
        <v>0.09</v>
      </c>
      <c r="D58" s="1">
        <v>4096174.72</v>
      </c>
      <c r="E58" s="29">
        <f>Table13[[#This Row],[Ávöxtun]]*Table13[[#This Row],[Eignir]]/SUMIFS(Table13[Eignir],Table13[Year],Table13[[#This Row],[Year]])</f>
        <v>4.8530804257248042E-4</v>
      </c>
      <c r="F58" s="23">
        <f>IF(B58=1997, 100, IF(COUNTIF(A$1:A57,A58)=0, "NEW", F57*(1+Table13[[#This Row],[Ávöxtun]])))</f>
        <v>129.04173969786004</v>
      </c>
      <c r="G58" s="18" cm="1">
        <f t="array" ref="G58">IFERROR(_xlfn.IFS(ISNUMBER(Table13[[#This Row],[Column3]]),Table13[[#This Row],[Column3]],Table13[[#This Row],[Column3]]="NEW",Table13[[#This Row],[Column3]]),"")</f>
        <v>129.04173969786004</v>
      </c>
      <c r="H58" s="15" cm="1">
        <f t="array" ref="H58">_xlfn.IFS(Table13[[#This Row],[Column4]]="NEW",AVERAGEIFS(Table13[Column4],Table13[Year],Table13[[#This Row],[Year]]),ISNUMBER(Table13[[#This Row],[Column4]]),Table13[[#This Row],[Column4]],Table13[[#This Row],[Column4]]="",H57*(1+Table13[[#This Row],[Ávöxtun]]))</f>
        <v>129.04173969786004</v>
      </c>
      <c r="I58" cm="1">
        <f t="array" ref="I58">_xlfn.IFS(Table13[[#This Row],[Column4]]="NEW",_xlfn.XLOOKUP(Table13[[#This Row],[Year]],$N$2:$N$27,$P$2:$P$27),ISNUMBER(Table13[[#This Row],[Column4]]),Table13[[#This Row],[Column4]],Table13[[#This Row],[Column4]]="",I57*(1+Table13[[#This Row],[Ávöxtun]]))</f>
        <v>129.04173969786004</v>
      </c>
      <c r="L58" s="33">
        <v>129.04173969786004</v>
      </c>
      <c r="M58" s="33">
        <v>129.04173969786004</v>
      </c>
    </row>
    <row r="59" spans="1:13">
      <c r="A59" t="s">
        <v>62</v>
      </c>
      <c r="B59">
        <v>2005</v>
      </c>
      <c r="C59" s="16">
        <v>0.01</v>
      </c>
      <c r="D59" s="1">
        <v>6265508</v>
      </c>
      <c r="E59" s="29">
        <f>Table13[[#This Row],[Ávöxtun]]*Table13[[#This Row],[Eignir]]/SUMIFS(Table13[Eignir],Table13[Year],Table13[[#This Row],[Year]])</f>
        <v>6.7124983750026931E-5</v>
      </c>
      <c r="F59" s="23">
        <f>IF(B59=1997, 100, IF(COUNTIF(A$1:A58,A59)=0, "NEW", F58*(1+Table13[[#This Row],[Ávöxtun]])))</f>
        <v>130.33215709483864</v>
      </c>
      <c r="G59" s="18" cm="1">
        <f t="array" ref="G59">IFERROR(_xlfn.IFS(ISNUMBER(Table13[[#This Row],[Column3]]),Table13[[#This Row],[Column3]],Table13[[#This Row],[Column3]]="NEW",Table13[[#This Row],[Column3]]),"")</f>
        <v>130.33215709483864</v>
      </c>
      <c r="H59" s="15" cm="1">
        <f t="array" ref="H59">_xlfn.IFS(Table13[[#This Row],[Column4]]="NEW",AVERAGEIFS(Table13[Column4],Table13[Year],Table13[[#This Row],[Year]]),ISNUMBER(Table13[[#This Row],[Column4]]),Table13[[#This Row],[Column4]],Table13[[#This Row],[Column4]]="",H58*(1+Table13[[#This Row],[Ávöxtun]]))</f>
        <v>130.33215709483864</v>
      </c>
      <c r="I59" cm="1">
        <f t="array" ref="I59">_xlfn.IFS(Table13[[#This Row],[Column4]]="NEW",_xlfn.XLOOKUP(Table13[[#This Row],[Year]],$N$2:$N$27,$P$2:$P$27),ISNUMBER(Table13[[#This Row],[Column4]]),Table13[[#This Row],[Column4]],Table13[[#This Row],[Column4]]="",I58*(1+Table13[[#This Row],[Ávöxtun]]))</f>
        <v>130.33215709483864</v>
      </c>
      <c r="L59" s="33">
        <v>130.33215709483864</v>
      </c>
      <c r="M59" s="33">
        <v>130.33215709483864</v>
      </c>
    </row>
    <row r="60" spans="1:13">
      <c r="A60" t="s">
        <v>63</v>
      </c>
      <c r="B60">
        <v>2006</v>
      </c>
      <c r="C60" s="16">
        <v>1.2500000000000001E-2</v>
      </c>
      <c r="D60" s="1">
        <v>7077174</v>
      </c>
      <c r="E60" s="29">
        <f>Table13[[#This Row],[Ávöxtun]]*Table13[[#This Row],[Eignir]]/SUMIFS(Table13[Eignir],Table13[Year],Table13[[#This Row],[Year]])</f>
        <v>7.7763474592367868E-5</v>
      </c>
      <c r="F60" s="23" t="str">
        <f>IF(B60=1997, 100, IF(COUNTIF(A$1:A59,A60)=0, "NEW", F59*(1+Table13[[#This Row],[Ávöxtun]])))</f>
        <v>NEW</v>
      </c>
      <c r="G60" s="18" t="str" cm="1">
        <f t="array" ref="G60">IFERROR(_xlfn.IFS(ISNUMBER(Table13[[#This Row],[Column3]]),Table13[[#This Row],[Column3]],Table13[[#This Row],[Column3]]="NEW",Table13[[#This Row],[Column3]]),"")</f>
        <v>NEW</v>
      </c>
      <c r="H60" s="15" cm="1">
        <f t="array" ref="H60">_xlfn.IFS(Table13[[#This Row],[Column4]]="NEW",AVERAGEIFS(Table13[Column4],Table13[Year],Table13[[#This Row],[Year]]),ISNUMBER(Table13[[#This Row],[Column4]]),Table13[[#This Row],[Column4]],Table13[[#This Row],[Column4]]="",H59*(1+Table13[[#This Row],[Ávöxtun]]))</f>
        <v>175.35326856001882</v>
      </c>
      <c r="I60" cm="1">
        <f t="array" ref="I60">_xlfn.IFS(Table13[[#This Row],[Column4]]="NEW",_xlfn.XLOOKUP(Table13[[#This Row],[Year]],$N$2:$N$27,$P$2:$P$27),ISNUMBER(Table13[[#This Row],[Column4]]),Table13[[#This Row],[Column4]],Table13[[#This Row],[Column4]]="",I59*(1+Table13[[#This Row],[Ávöxtun]]))</f>
        <v>206.34771607465271</v>
      </c>
      <c r="L60" s="33">
        <v>173.57107422928632</v>
      </c>
      <c r="M60" s="33">
        <v>219.26690788715638</v>
      </c>
    </row>
    <row r="61" spans="1:13">
      <c r="A61" t="s">
        <v>63</v>
      </c>
      <c r="B61">
        <v>2007</v>
      </c>
      <c r="C61" s="16">
        <v>-5.1000000000000004E-3</v>
      </c>
      <c r="D61" s="1">
        <v>7230035</v>
      </c>
      <c r="E61" s="29">
        <f>Table13[[#This Row],[Ávöxtun]]*Table13[[#This Row],[Eignir]]/SUMIFS(Table13[Eignir],Table13[Year],Table13[[#This Row],[Year]])</f>
        <v>-2.8729509743289895E-5</v>
      </c>
      <c r="F61" s="23" t="e">
        <f>IF(B61=1997, 100, IF(COUNTIF(A$1:A60,A61)=0, "NEW", F60*(1+Table13[[#This Row],[Ávöxtun]])))</f>
        <v>#VALUE!</v>
      </c>
      <c r="G61" s="18" t="str" cm="1">
        <f t="array" ref="G61">IFERROR(_xlfn.IFS(ISNUMBER(Table13[[#This Row],[Column3]]),Table13[[#This Row],[Column3]],Table13[[#This Row],[Column3]]="NEW",Table13[[#This Row],[Column3]]),"")</f>
        <v/>
      </c>
      <c r="H61" s="15" cm="1">
        <f t="array" ref="H61">_xlfn.IFS(Table13[[#This Row],[Column4]]="NEW",AVERAGEIFS(Table13[Column4],Table13[Year],Table13[[#This Row],[Year]]),ISNUMBER(Table13[[#This Row],[Column4]]),Table13[[#This Row],[Column4]],Table13[[#This Row],[Column4]]="",H60*(1+Table13[[#This Row],[Ávöxtun]]))</f>
        <v>174.45896689036272</v>
      </c>
      <c r="I61" cm="1">
        <f t="array" ref="I61">_xlfn.IFS(Table13[[#This Row],[Column4]]="NEW",_xlfn.XLOOKUP(Table13[[#This Row],[Year]],$N$2:$N$27,$P$2:$P$27),ISNUMBER(Table13[[#This Row],[Column4]]),Table13[[#This Row],[Column4]],Table13[[#This Row],[Column4]]="",I60*(1+Table13[[#This Row],[Ávöxtun]]))</f>
        <v>205.29534272267199</v>
      </c>
      <c r="L61" s="33">
        <v>172.68586175071695</v>
      </c>
      <c r="M61" s="33">
        <v>218.14864665693187</v>
      </c>
    </row>
    <row r="62" spans="1:13">
      <c r="A62" t="s">
        <v>63</v>
      </c>
      <c r="B62">
        <v>2008</v>
      </c>
      <c r="C62" s="16">
        <v>-0.1128</v>
      </c>
      <c r="D62" s="1">
        <v>6467811</v>
      </c>
      <c r="E62" s="29">
        <f>Table13[[#This Row],[Ávöxtun]]*Table13[[#This Row],[Eignir]]/SUMIFS(Table13[Eignir],Table13[Year],Table13[[#This Row],[Year]])</f>
        <v>-5.8883909073241189E-4</v>
      </c>
      <c r="F62" s="23" t="e">
        <f>IF(B62=1997, 100, IF(COUNTIF(A$1:A61,A62)=0, "NEW", F61*(1+Table13[[#This Row],[Ávöxtun]])))</f>
        <v>#VALUE!</v>
      </c>
      <c r="G62" s="18" t="str" cm="1">
        <f t="array" ref="G62">IFERROR(_xlfn.IFS(ISNUMBER(Table13[[#This Row],[Column3]]),Table13[[#This Row],[Column3]],Table13[[#This Row],[Column3]]="NEW",Table13[[#This Row],[Column3]]),"")</f>
        <v/>
      </c>
      <c r="H62" s="15" cm="1">
        <f t="array" ref="H62">_xlfn.IFS(Table13[[#This Row],[Column4]]="NEW",AVERAGEIFS(Table13[Column4],Table13[Year],Table13[[#This Row],[Year]]),ISNUMBER(Table13[[#This Row],[Column4]]),Table13[[#This Row],[Column4]],Table13[[#This Row],[Column4]]="",H61*(1+Table13[[#This Row],[Ávöxtun]]))</f>
        <v>154.77999542512981</v>
      </c>
      <c r="I62" cm="1">
        <f t="array" ref="I62">_xlfn.IFS(Table13[[#This Row],[Column4]]="NEW",_xlfn.XLOOKUP(Table13[[#This Row],[Year]],$N$2:$N$27,$P$2:$P$27),ISNUMBER(Table13[[#This Row],[Column4]]),Table13[[#This Row],[Column4]],Table13[[#This Row],[Column4]]="",I61*(1+Table13[[#This Row],[Ávöxtun]]))</f>
        <v>182.1380280635546</v>
      </c>
      <c r="L62" s="33">
        <v>153.20689654523608</v>
      </c>
      <c r="M62" s="33">
        <v>193.54147931402994</v>
      </c>
    </row>
    <row r="63" spans="1:13">
      <c r="A63" t="s">
        <v>63</v>
      </c>
      <c r="B63">
        <v>2009</v>
      </c>
      <c r="C63" s="16">
        <v>-0.08</v>
      </c>
      <c r="D63" s="1">
        <v>6283951</v>
      </c>
      <c r="E63" s="29">
        <f>Table13[[#This Row],[Ávöxtun]]*Table13[[#This Row],[Eignir]]/SUMIFS(Table13[Eignir],Table13[Year],Table13[[#This Row],[Year]])</f>
        <v>-3.6611276712910067E-4</v>
      </c>
      <c r="F63" s="23" t="e">
        <f>IF(B63=1997, 100, IF(COUNTIF(A$1:A62,A63)=0, "NEW", F62*(1+Table13[[#This Row],[Ávöxtun]])))</f>
        <v>#VALUE!</v>
      </c>
      <c r="G63" s="18" t="str" cm="1">
        <f t="array" ref="G63">IFERROR(_xlfn.IFS(ISNUMBER(Table13[[#This Row],[Column3]]),Table13[[#This Row],[Column3]],Table13[[#This Row],[Column3]]="NEW",Table13[[#This Row],[Column3]]),"")</f>
        <v/>
      </c>
      <c r="H63" s="15" cm="1">
        <f t="array" ref="H63">_xlfn.IFS(Table13[[#This Row],[Column4]]="NEW",AVERAGEIFS(Table13[Column4],Table13[Year],Table13[[#This Row],[Year]]),ISNUMBER(Table13[[#This Row],[Column4]]),Table13[[#This Row],[Column4]],Table13[[#This Row],[Column4]]="",H62*(1+Table13[[#This Row],[Ávöxtun]]))</f>
        <v>142.39759579111944</v>
      </c>
      <c r="I63" cm="1">
        <f t="array" ref="I63">_xlfn.IFS(Table13[[#This Row],[Column4]]="NEW",_xlfn.XLOOKUP(Table13[[#This Row],[Year]],$N$2:$N$27,$P$2:$P$27),ISNUMBER(Table13[[#This Row],[Column4]]),Table13[[#This Row],[Column4]],Table13[[#This Row],[Column4]]="",I62*(1+Table13[[#This Row],[Ávöxtun]]))</f>
        <v>167.56698581847024</v>
      </c>
      <c r="L63" s="33">
        <v>140.95034482161719</v>
      </c>
      <c r="M63" s="33">
        <v>178.05816096890754</v>
      </c>
    </row>
    <row r="64" spans="1:13">
      <c r="A64" t="s">
        <v>64</v>
      </c>
      <c r="B64">
        <v>1997</v>
      </c>
      <c r="C64" s="16">
        <v>0.06</v>
      </c>
      <c r="D64" s="1">
        <v>830178.14</v>
      </c>
      <c r="E64" s="29">
        <f>Table13[[#This Row],[Ávöxtun]]*Table13[[#This Row],[Eignir]]/SUMIFS(Table13[Eignir],Table13[Year],Table13[[#This Row],[Year]])</f>
        <v>1.7455646762251712E-4</v>
      </c>
      <c r="F64" s="23">
        <f>IF(B64=1997, 100, IF(COUNTIF(A$1:A63,A64)=0, "NEW", F63*(1+Table13[[#This Row],[Ávöxtun]])))</f>
        <v>100</v>
      </c>
      <c r="G64" s="18" cm="1">
        <f t="array" ref="G64">IFERROR(_xlfn.IFS(ISNUMBER(Table13[[#This Row],[Column3]]),Table13[[#This Row],[Column3]],Table13[[#This Row],[Column3]]="NEW",Table13[[#This Row],[Column3]]),"")</f>
        <v>100</v>
      </c>
      <c r="H64" s="15" cm="1">
        <f t="array" ref="H64">_xlfn.IFS(Table13[[#This Row],[Column4]]="NEW",AVERAGEIFS(Table13[Column4],Table13[Year],Table13[[#This Row],[Year]]),ISNUMBER(Table13[[#This Row],[Column4]]),Table13[[#This Row],[Column4]],Table13[[#This Row],[Column4]]="",H63*(1+Table13[[#This Row],[Ávöxtun]]))</f>
        <v>100</v>
      </c>
      <c r="I64" cm="1">
        <f t="array" ref="I64">_xlfn.IFS(Table13[[#This Row],[Column4]]="NEW",_xlfn.XLOOKUP(Table13[[#This Row],[Year]],$N$2:$N$27,$P$2:$P$27),ISNUMBER(Table13[[#This Row],[Column4]]),Table13[[#This Row],[Column4]],Table13[[#This Row],[Column4]]="",I63*(1+Table13[[#This Row],[Ávöxtun]]))</f>
        <v>100</v>
      </c>
      <c r="L64" s="33">
        <v>100</v>
      </c>
      <c r="M64" s="33">
        <v>100</v>
      </c>
    </row>
    <row r="65" spans="1:13">
      <c r="A65" t="s">
        <v>64</v>
      </c>
      <c r="B65">
        <v>1998</v>
      </c>
      <c r="C65" s="16">
        <v>0.08</v>
      </c>
      <c r="D65" s="1">
        <v>954109.64</v>
      </c>
      <c r="E65" s="29">
        <f>Table13[[#This Row],[Ávöxtun]]*Table13[[#This Row],[Eignir]]/SUMIFS(Table13[Eignir],Table13[Year],Table13[[#This Row],[Year]])</f>
        <v>2.309504779799583E-4</v>
      </c>
      <c r="F65" s="23">
        <f>IF(B65=1997, 100, IF(COUNTIF(A$1:A64,A65)=0, "NEW", F64*(1+Table13[[#This Row],[Ávöxtun]])))</f>
        <v>108</v>
      </c>
      <c r="G65" s="18" cm="1">
        <f t="array" ref="G65">IFERROR(_xlfn.IFS(ISNUMBER(Table13[[#This Row],[Column3]]),Table13[[#This Row],[Column3]],Table13[[#This Row],[Column3]]="NEW",Table13[[#This Row],[Column3]]),"")</f>
        <v>108</v>
      </c>
      <c r="H65" s="15" cm="1">
        <f t="array" ref="H65">_xlfn.IFS(Table13[[#This Row],[Column4]]="NEW",AVERAGEIFS(Table13[Column4],Table13[Year],Table13[[#This Row],[Year]]),ISNUMBER(Table13[[#This Row],[Column4]]),Table13[[#This Row],[Column4]],Table13[[#This Row],[Column4]]="",H64*(1+Table13[[#This Row],[Ávöxtun]]))</f>
        <v>108</v>
      </c>
      <c r="I65" cm="1">
        <f t="array" ref="I65">_xlfn.IFS(Table13[[#This Row],[Column4]]="NEW",_xlfn.XLOOKUP(Table13[[#This Row],[Year]],$N$2:$N$27,$P$2:$P$27),ISNUMBER(Table13[[#This Row],[Column4]]),Table13[[#This Row],[Column4]],Table13[[#This Row],[Column4]]="",I64*(1+Table13[[#This Row],[Ávöxtun]]))</f>
        <v>108</v>
      </c>
      <c r="L65" s="33">
        <v>108</v>
      </c>
      <c r="M65" s="33">
        <v>108</v>
      </c>
    </row>
    <row r="66" spans="1:13">
      <c r="A66" t="s">
        <v>64</v>
      </c>
      <c r="B66">
        <v>1999</v>
      </c>
      <c r="C66" s="16">
        <v>0.08</v>
      </c>
      <c r="D66" s="1">
        <v>1153227.56</v>
      </c>
      <c r="E66" s="29">
        <f>Table13[[#This Row],[Ávöxtun]]*Table13[[#This Row],[Eignir]]/SUMIFS(Table13[Eignir],Table13[Year],Table13[[#This Row],[Year]])</f>
        <v>2.0782431452449416E-4</v>
      </c>
      <c r="F66" s="23">
        <f>IF(B66=1997, 100, IF(COUNTIF(A$1:A65,A66)=0, "NEW", F65*(1+Table13[[#This Row],[Ávöxtun]])))</f>
        <v>116.64000000000001</v>
      </c>
      <c r="G66" s="18" cm="1">
        <f t="array" ref="G66">IFERROR(_xlfn.IFS(ISNUMBER(Table13[[#This Row],[Column3]]),Table13[[#This Row],[Column3]],Table13[[#This Row],[Column3]]="NEW",Table13[[#This Row],[Column3]]),"")</f>
        <v>116.64000000000001</v>
      </c>
      <c r="H66" s="15" cm="1">
        <f t="array" ref="H66">_xlfn.IFS(Table13[[#This Row],[Column4]]="NEW",AVERAGEIFS(Table13[Column4],Table13[Year],Table13[[#This Row],[Year]]),ISNUMBER(Table13[[#This Row],[Column4]]),Table13[[#This Row],[Column4]],Table13[[#This Row],[Column4]]="",H65*(1+Table13[[#This Row],[Ávöxtun]]))</f>
        <v>116.64000000000001</v>
      </c>
      <c r="I66" cm="1">
        <f t="array" ref="I66">_xlfn.IFS(Table13[[#This Row],[Column4]]="NEW",_xlfn.XLOOKUP(Table13[[#This Row],[Year]],$N$2:$N$27,$P$2:$P$27),ISNUMBER(Table13[[#This Row],[Column4]]),Table13[[#This Row],[Column4]],Table13[[#This Row],[Column4]]="",I65*(1+Table13[[#This Row],[Ávöxtun]]))</f>
        <v>116.64000000000001</v>
      </c>
      <c r="L66" s="33">
        <v>116.64000000000001</v>
      </c>
      <c r="M66" s="33">
        <v>116.64000000000001</v>
      </c>
    </row>
    <row r="67" spans="1:13">
      <c r="A67" t="s">
        <v>64</v>
      </c>
      <c r="B67">
        <v>2000</v>
      </c>
      <c r="C67" s="16">
        <v>-0.1</v>
      </c>
      <c r="D67" s="1">
        <v>2511894.67</v>
      </c>
      <c r="E67" s="29">
        <f>Table13[[#This Row],[Ávöxtun]]*Table13[[#This Row],[Eignir]]/SUMIFS(Table13[Eignir],Table13[Year],Table13[[#This Row],[Year]])</f>
        <v>-4.0223676586824425E-4</v>
      </c>
      <c r="F67" s="23">
        <f>IF(B67=1997, 100, IF(COUNTIF(A$1:A66,A67)=0, "NEW", F66*(1+Table13[[#This Row],[Ávöxtun]])))</f>
        <v>104.97600000000001</v>
      </c>
      <c r="G67" s="18" cm="1">
        <f t="array" ref="G67">IFERROR(_xlfn.IFS(ISNUMBER(Table13[[#This Row],[Column3]]),Table13[[#This Row],[Column3]],Table13[[#This Row],[Column3]]="NEW",Table13[[#This Row],[Column3]]),"")</f>
        <v>104.97600000000001</v>
      </c>
      <c r="H67" s="15" cm="1">
        <f t="array" ref="H67">_xlfn.IFS(Table13[[#This Row],[Column4]]="NEW",AVERAGEIFS(Table13[Column4],Table13[Year],Table13[[#This Row],[Year]]),ISNUMBER(Table13[[#This Row],[Column4]]),Table13[[#This Row],[Column4]],Table13[[#This Row],[Column4]]="",H66*(1+Table13[[#This Row],[Ávöxtun]]))</f>
        <v>104.97600000000001</v>
      </c>
      <c r="I67" cm="1">
        <f t="array" ref="I67">_xlfn.IFS(Table13[[#This Row],[Column4]]="NEW",_xlfn.XLOOKUP(Table13[[#This Row],[Year]],$N$2:$N$27,$P$2:$P$27),ISNUMBER(Table13[[#This Row],[Column4]]),Table13[[#This Row],[Column4]],Table13[[#This Row],[Column4]]="",I66*(1+Table13[[#This Row],[Ávöxtun]]))</f>
        <v>104.97600000000001</v>
      </c>
      <c r="L67" s="33">
        <v>104.97600000000001</v>
      </c>
      <c r="M67" s="33">
        <v>104.97600000000001</v>
      </c>
    </row>
    <row r="68" spans="1:13">
      <c r="A68" t="s">
        <v>64</v>
      </c>
      <c r="B68">
        <v>2001</v>
      </c>
      <c r="C68" s="16">
        <v>0.02</v>
      </c>
      <c r="D68" s="1">
        <v>1292047</v>
      </c>
      <c r="E68" s="29">
        <f>Table13[[#This Row],[Ávöxtun]]*Table13[[#This Row],[Eignir]]/SUMIFS(Table13[Eignir],Table13[Year],Table13[[#This Row],[Year]])</f>
        <v>2.6888502684884157E-5</v>
      </c>
      <c r="F68" s="23">
        <f>IF(B68=1997, 100, IF(COUNTIF(A$1:A67,A68)=0, "NEW", F67*(1+Table13[[#This Row],[Ávöxtun]])))</f>
        <v>107.07552000000001</v>
      </c>
      <c r="G68" s="18" cm="1">
        <f t="array" ref="G68">IFERROR(_xlfn.IFS(ISNUMBER(Table13[[#This Row],[Column3]]),Table13[[#This Row],[Column3]],Table13[[#This Row],[Column3]]="NEW",Table13[[#This Row],[Column3]]),"")</f>
        <v>107.07552000000001</v>
      </c>
      <c r="H68" s="15" cm="1">
        <f t="array" ref="H68">_xlfn.IFS(Table13[[#This Row],[Column4]]="NEW",AVERAGEIFS(Table13[Column4],Table13[Year],Table13[[#This Row],[Year]]),ISNUMBER(Table13[[#This Row],[Column4]]),Table13[[#This Row],[Column4]],Table13[[#This Row],[Column4]]="",H67*(1+Table13[[#This Row],[Ávöxtun]]))</f>
        <v>107.07552000000001</v>
      </c>
      <c r="I68" cm="1">
        <f t="array" ref="I68">_xlfn.IFS(Table13[[#This Row],[Column4]]="NEW",_xlfn.XLOOKUP(Table13[[#This Row],[Year]],$N$2:$N$27,$P$2:$P$27),ISNUMBER(Table13[[#This Row],[Column4]]),Table13[[#This Row],[Column4]],Table13[[#This Row],[Column4]]="",I67*(1+Table13[[#This Row],[Ávöxtun]]))</f>
        <v>107.07552000000001</v>
      </c>
      <c r="L68" s="33">
        <v>107.07552000000001</v>
      </c>
      <c r="M68" s="33">
        <v>107.07552000000001</v>
      </c>
    </row>
    <row r="69" spans="1:13">
      <c r="A69" t="s">
        <v>64</v>
      </c>
      <c r="B69">
        <v>2002</v>
      </c>
      <c r="C69" s="16">
        <v>-0.02</v>
      </c>
      <c r="D69" s="1">
        <v>1309124.67</v>
      </c>
      <c r="E69" s="29">
        <f>Table13[[#This Row],[Ávöxtun]]*Table13[[#This Row],[Eignir]]/SUMIFS(Table13[Eignir],Table13[Year],Table13[[#This Row],[Year]])</f>
        <v>-4.9133740370948928E-5</v>
      </c>
      <c r="F69" s="23">
        <f>IF(B69=1997, 100, IF(COUNTIF(A$1:A68,A69)=0, "NEW", F68*(1+Table13[[#This Row],[Ávöxtun]])))</f>
        <v>104.93400960000001</v>
      </c>
      <c r="G69" s="18" cm="1">
        <f t="array" ref="G69">IFERROR(_xlfn.IFS(ISNUMBER(Table13[[#This Row],[Column3]]),Table13[[#This Row],[Column3]],Table13[[#This Row],[Column3]]="NEW",Table13[[#This Row],[Column3]]),"")</f>
        <v>104.93400960000001</v>
      </c>
      <c r="H69" s="15" cm="1">
        <f t="array" ref="H69">_xlfn.IFS(Table13[[#This Row],[Column4]]="NEW",AVERAGEIFS(Table13[Column4],Table13[Year],Table13[[#This Row],[Year]]),ISNUMBER(Table13[[#This Row],[Column4]]),Table13[[#This Row],[Column4]],Table13[[#This Row],[Column4]]="",H68*(1+Table13[[#This Row],[Ávöxtun]]))</f>
        <v>104.93400960000001</v>
      </c>
      <c r="I69" cm="1">
        <f t="array" ref="I69">_xlfn.IFS(Table13[[#This Row],[Column4]]="NEW",_xlfn.XLOOKUP(Table13[[#This Row],[Year]],$N$2:$N$27,$P$2:$P$27),ISNUMBER(Table13[[#This Row],[Column4]]),Table13[[#This Row],[Column4]],Table13[[#This Row],[Column4]]="",I68*(1+Table13[[#This Row],[Ávöxtun]]))</f>
        <v>104.93400960000001</v>
      </c>
      <c r="L69" s="33">
        <v>104.93400960000001</v>
      </c>
      <c r="M69" s="33">
        <v>104.93400960000001</v>
      </c>
    </row>
    <row r="70" spans="1:13">
      <c r="A70" t="s">
        <v>64</v>
      </c>
      <c r="B70">
        <v>2003</v>
      </c>
      <c r="C70" s="16">
        <v>0.08</v>
      </c>
      <c r="D70" s="1">
        <v>1476166</v>
      </c>
      <c r="E70" s="29">
        <f>Table13[[#This Row],[Ávöxtun]]*Table13[[#This Row],[Eignir]]/SUMIFS(Table13[Eignir],Table13[Year],Table13[[#This Row],[Year]])</f>
        <v>1.8515965180621461E-4</v>
      </c>
      <c r="F70" s="23">
        <f>IF(B70=1997, 100, IF(COUNTIF(A$1:A69,A70)=0, "NEW", F69*(1+Table13[[#This Row],[Ávöxtun]])))</f>
        <v>113.32873036800002</v>
      </c>
      <c r="G70" s="18" cm="1">
        <f t="array" ref="G70">IFERROR(_xlfn.IFS(ISNUMBER(Table13[[#This Row],[Column3]]),Table13[[#This Row],[Column3]],Table13[[#This Row],[Column3]]="NEW",Table13[[#This Row],[Column3]]),"")</f>
        <v>113.32873036800002</v>
      </c>
      <c r="H70" s="15" cm="1">
        <f t="array" ref="H70">_xlfn.IFS(Table13[[#This Row],[Column4]]="NEW",AVERAGEIFS(Table13[Column4],Table13[Year],Table13[[#This Row],[Year]]),ISNUMBER(Table13[[#This Row],[Column4]]),Table13[[#This Row],[Column4]],Table13[[#This Row],[Column4]]="",H69*(1+Table13[[#This Row],[Ávöxtun]]))</f>
        <v>113.32873036800002</v>
      </c>
      <c r="I70" cm="1">
        <f t="array" ref="I70">_xlfn.IFS(Table13[[#This Row],[Column4]]="NEW",_xlfn.XLOOKUP(Table13[[#This Row],[Year]],$N$2:$N$27,$P$2:$P$27),ISNUMBER(Table13[[#This Row],[Column4]]),Table13[[#This Row],[Column4]],Table13[[#This Row],[Column4]]="",I69*(1+Table13[[#This Row],[Ávöxtun]]))</f>
        <v>113.32873036800002</v>
      </c>
      <c r="L70" s="33">
        <v>113.32873036800002</v>
      </c>
      <c r="M70" s="33">
        <v>113.32873036800002</v>
      </c>
    </row>
    <row r="71" spans="1:13">
      <c r="A71" t="s">
        <v>64</v>
      </c>
      <c r="B71">
        <v>2004</v>
      </c>
      <c r="C71" s="16">
        <v>0.06</v>
      </c>
      <c r="D71" s="1">
        <v>1628355</v>
      </c>
      <c r="E71" s="29">
        <f>Table13[[#This Row],[Ávöxtun]]*Table13[[#This Row],[Eignir]]/SUMIFS(Table13[Eignir],Table13[Year],Table13[[#This Row],[Year]])</f>
        <v>1.2861654782523718E-4</v>
      </c>
      <c r="F71" s="23">
        <f>IF(B71=1997, 100, IF(COUNTIF(A$1:A70,A71)=0, "NEW", F70*(1+Table13[[#This Row],[Ávöxtun]])))</f>
        <v>120.12845419008003</v>
      </c>
      <c r="G71" s="18" cm="1">
        <f t="array" ref="G71">IFERROR(_xlfn.IFS(ISNUMBER(Table13[[#This Row],[Column3]]),Table13[[#This Row],[Column3]],Table13[[#This Row],[Column3]]="NEW",Table13[[#This Row],[Column3]]),"")</f>
        <v>120.12845419008003</v>
      </c>
      <c r="H71" s="15" cm="1">
        <f t="array" ref="H71">_xlfn.IFS(Table13[[#This Row],[Column4]]="NEW",AVERAGEIFS(Table13[Column4],Table13[Year],Table13[[#This Row],[Year]]),ISNUMBER(Table13[[#This Row],[Column4]]),Table13[[#This Row],[Column4]],Table13[[#This Row],[Column4]]="",H70*(1+Table13[[#This Row],[Ávöxtun]]))</f>
        <v>120.12845419008003</v>
      </c>
      <c r="I71" cm="1">
        <f t="array" ref="I71">_xlfn.IFS(Table13[[#This Row],[Column4]]="NEW",_xlfn.XLOOKUP(Table13[[#This Row],[Year]],$N$2:$N$27,$P$2:$P$27),ISNUMBER(Table13[[#This Row],[Column4]]),Table13[[#This Row],[Column4]],Table13[[#This Row],[Column4]]="",I70*(1+Table13[[#This Row],[Ávöxtun]]))</f>
        <v>120.12845419008003</v>
      </c>
      <c r="L71" s="33">
        <v>120.12845419008003</v>
      </c>
      <c r="M71" s="33">
        <v>120.12845419008003</v>
      </c>
    </row>
    <row r="72" spans="1:13">
      <c r="A72" t="s">
        <v>64</v>
      </c>
      <c r="B72">
        <v>2005</v>
      </c>
      <c r="C72" s="16">
        <v>0.1</v>
      </c>
      <c r="D72" s="1">
        <v>1877012</v>
      </c>
      <c r="E72" s="29">
        <f>Table13[[#This Row],[Ávöxtun]]*Table13[[#This Row],[Eignir]]/SUMIFS(Table13[Eignir],Table13[Year],Table13[[#This Row],[Year]])</f>
        <v>2.0109207425575955E-4</v>
      </c>
      <c r="F72" s="23">
        <f>IF(B72=1997, 100, IF(COUNTIF(A$1:A71,A72)=0, "NEW", F71*(1+Table13[[#This Row],[Ávöxtun]])))</f>
        <v>132.14129960908804</v>
      </c>
      <c r="G72" s="18" cm="1">
        <f t="array" ref="G72">IFERROR(_xlfn.IFS(ISNUMBER(Table13[[#This Row],[Column3]]),Table13[[#This Row],[Column3]],Table13[[#This Row],[Column3]]="NEW",Table13[[#This Row],[Column3]]),"")</f>
        <v>132.14129960908804</v>
      </c>
      <c r="H72" s="15" cm="1">
        <f t="array" ref="H72">_xlfn.IFS(Table13[[#This Row],[Column4]]="NEW",AVERAGEIFS(Table13[Column4],Table13[Year],Table13[[#This Row],[Year]]),ISNUMBER(Table13[[#This Row],[Column4]]),Table13[[#This Row],[Column4]],Table13[[#This Row],[Column4]]="",H71*(1+Table13[[#This Row],[Ávöxtun]]))</f>
        <v>132.14129960908804</v>
      </c>
      <c r="I72" cm="1">
        <f t="array" ref="I72">_xlfn.IFS(Table13[[#This Row],[Column4]]="NEW",_xlfn.XLOOKUP(Table13[[#This Row],[Year]],$N$2:$N$27,$P$2:$P$27),ISNUMBER(Table13[[#This Row],[Column4]]),Table13[[#This Row],[Column4]],Table13[[#This Row],[Column4]]="",I71*(1+Table13[[#This Row],[Ávöxtun]]))</f>
        <v>132.14129960908804</v>
      </c>
      <c r="L72" s="33">
        <v>132.14129960908804</v>
      </c>
      <c r="M72" s="33">
        <v>132.14129960908804</v>
      </c>
    </row>
    <row r="73" spans="1:13">
      <c r="A73" t="s">
        <v>64</v>
      </c>
      <c r="B73">
        <v>2006</v>
      </c>
      <c r="C73" s="16">
        <v>0.1082</v>
      </c>
      <c r="D73" s="1">
        <v>2186980</v>
      </c>
      <c r="E73" s="29">
        <f>Table13[[#This Row],[Ávöxtun]]*Table13[[#This Row],[Eignir]]/SUMIFS(Table13[Eignir],Table13[Year],Table13[[#This Row],[Year]])</f>
        <v>2.0800694863171775E-4</v>
      </c>
      <c r="F73" s="23">
        <f>IF(B73=1997, 100, IF(COUNTIF(A$1:A72,A73)=0, "NEW", F72*(1+Table13[[#This Row],[Ávöxtun]])))</f>
        <v>146.43898822679137</v>
      </c>
      <c r="G73" s="18" cm="1">
        <f t="array" ref="G73">IFERROR(_xlfn.IFS(ISNUMBER(Table13[[#This Row],[Column3]]),Table13[[#This Row],[Column3]],Table13[[#This Row],[Column3]]="NEW",Table13[[#This Row],[Column3]]),"")</f>
        <v>146.43898822679137</v>
      </c>
      <c r="H73" s="15" cm="1">
        <f t="array" ref="H73">_xlfn.IFS(Table13[[#This Row],[Column4]]="NEW",AVERAGEIFS(Table13[Column4],Table13[Year],Table13[[#This Row],[Year]]),ISNUMBER(Table13[[#This Row],[Column4]]),Table13[[#This Row],[Column4]],Table13[[#This Row],[Column4]]="",H72*(1+Table13[[#This Row],[Ávöxtun]]))</f>
        <v>146.43898822679137</v>
      </c>
      <c r="I73" cm="1">
        <f t="array" ref="I73">_xlfn.IFS(Table13[[#This Row],[Column4]]="NEW",_xlfn.XLOOKUP(Table13[[#This Row],[Year]],$N$2:$N$27,$P$2:$P$27),ISNUMBER(Table13[[#This Row],[Column4]]),Table13[[#This Row],[Column4]],Table13[[#This Row],[Column4]]="",I72*(1+Table13[[#This Row],[Ávöxtun]]))</f>
        <v>146.43898822679137</v>
      </c>
      <c r="L73" s="33">
        <v>146.43898822679137</v>
      </c>
      <c r="M73" s="33">
        <v>146.43898822679137</v>
      </c>
    </row>
    <row r="74" spans="1:13">
      <c r="A74" t="s">
        <v>64</v>
      </c>
      <c r="B74">
        <v>2007</v>
      </c>
      <c r="C74" s="16">
        <v>-1.38E-2</v>
      </c>
      <c r="D74" s="1">
        <v>2263953</v>
      </c>
      <c r="E74" s="29">
        <f>Table13[[#This Row],[Ávöxtun]]*Table13[[#This Row],[Eignir]]/SUMIFS(Table13[Eignir],Table13[Year],Table13[[#This Row],[Year]])</f>
        <v>-2.4342441345313785E-5</v>
      </c>
      <c r="F74" s="23">
        <f>IF(B74=1997, 100, IF(COUNTIF(A$1:A73,A74)=0, "NEW", F73*(1+Table13[[#This Row],[Ávöxtun]])))</f>
        <v>144.41813018926163</v>
      </c>
      <c r="G74" s="18" cm="1">
        <f t="array" ref="G74">IFERROR(_xlfn.IFS(ISNUMBER(Table13[[#This Row],[Column3]]),Table13[[#This Row],[Column3]],Table13[[#This Row],[Column3]]="NEW",Table13[[#This Row],[Column3]]),"")</f>
        <v>144.41813018926163</v>
      </c>
      <c r="H74" s="15" cm="1">
        <f t="array" ref="H74">_xlfn.IFS(Table13[[#This Row],[Column4]]="NEW",AVERAGEIFS(Table13[Column4],Table13[Year],Table13[[#This Row],[Year]]),ISNUMBER(Table13[[#This Row],[Column4]]),Table13[[#This Row],[Column4]],Table13[[#This Row],[Column4]]="",H73*(1+Table13[[#This Row],[Ávöxtun]]))</f>
        <v>144.41813018926163</v>
      </c>
      <c r="I74" cm="1">
        <f t="array" ref="I74">_xlfn.IFS(Table13[[#This Row],[Column4]]="NEW",_xlfn.XLOOKUP(Table13[[#This Row],[Year]],$N$2:$N$27,$P$2:$P$27),ISNUMBER(Table13[[#This Row],[Column4]]),Table13[[#This Row],[Column4]],Table13[[#This Row],[Column4]]="",I73*(1+Table13[[#This Row],[Ávöxtun]]))</f>
        <v>144.41813018926163</v>
      </c>
      <c r="L74" s="33">
        <v>144.41813018926163</v>
      </c>
      <c r="M74" s="33">
        <v>144.41813018926163</v>
      </c>
    </row>
    <row r="75" spans="1:13">
      <c r="A75" t="s">
        <v>64</v>
      </c>
      <c r="B75">
        <v>2008</v>
      </c>
      <c r="C75" s="16">
        <v>-0.30599999999999999</v>
      </c>
      <c r="D75" s="1">
        <v>1773548</v>
      </c>
      <c r="E75" s="29">
        <f>Table13[[#This Row],[Ávöxtun]]*Table13[[#This Row],[Eignir]]/SUMIFS(Table13[Eignir],Table13[Year],Table13[[#This Row],[Year]])</f>
        <v>-4.3802065118605556E-4</v>
      </c>
      <c r="F75" s="23">
        <f>IF(B75=1997, 100, IF(COUNTIF(A$1:A74,A75)=0, "NEW", F74*(1+Table13[[#This Row],[Ávöxtun]])))</f>
        <v>100.22618235134756</v>
      </c>
      <c r="G75" s="18" cm="1">
        <f t="array" ref="G75">IFERROR(_xlfn.IFS(ISNUMBER(Table13[[#This Row],[Column3]]),Table13[[#This Row],[Column3]],Table13[[#This Row],[Column3]]="NEW",Table13[[#This Row],[Column3]]),"")</f>
        <v>100.22618235134756</v>
      </c>
      <c r="H75" s="15" cm="1">
        <f t="array" ref="H75">_xlfn.IFS(Table13[[#This Row],[Column4]]="NEW",AVERAGEIFS(Table13[Column4],Table13[Year],Table13[[#This Row],[Year]]),ISNUMBER(Table13[[#This Row],[Column4]]),Table13[[#This Row],[Column4]],Table13[[#This Row],[Column4]]="",H74*(1+Table13[[#This Row],[Ávöxtun]]))</f>
        <v>100.22618235134756</v>
      </c>
      <c r="I75" cm="1">
        <f t="array" ref="I75">_xlfn.IFS(Table13[[#This Row],[Column4]]="NEW",_xlfn.XLOOKUP(Table13[[#This Row],[Year]],$N$2:$N$27,$P$2:$P$27),ISNUMBER(Table13[[#This Row],[Column4]]),Table13[[#This Row],[Column4]],Table13[[#This Row],[Column4]]="",I74*(1+Table13[[#This Row],[Ávöxtun]]))</f>
        <v>100.22618235134756</v>
      </c>
      <c r="L75" s="33">
        <v>100.22618235134756</v>
      </c>
      <c r="M75" s="33">
        <v>100.22618235134756</v>
      </c>
    </row>
    <row r="76" spans="1:13">
      <c r="A76" t="s">
        <v>64</v>
      </c>
      <c r="B76">
        <v>2009</v>
      </c>
      <c r="C76" s="16">
        <v>1.1000000000000001E-2</v>
      </c>
      <c r="D76" s="1">
        <v>1875403</v>
      </c>
      <c r="E76" s="29">
        <f>Table13[[#This Row],[Ávöxtun]]*Table13[[#This Row],[Eignir]]/SUMIFS(Table13[Eignir],Table13[Year],Table13[[#This Row],[Year]])</f>
        <v>1.5023785990562276E-5</v>
      </c>
      <c r="F76" s="23">
        <f>IF(B76=1997, 100, IF(COUNTIF(A$1:A75,A76)=0, "NEW", F75*(1+Table13[[#This Row],[Ávöxtun]])))</f>
        <v>101.32867035721237</v>
      </c>
      <c r="G76" s="18" cm="1">
        <f t="array" ref="G76">IFERROR(_xlfn.IFS(ISNUMBER(Table13[[#This Row],[Column3]]),Table13[[#This Row],[Column3]],Table13[[#This Row],[Column3]]="NEW",Table13[[#This Row],[Column3]]),"")</f>
        <v>101.32867035721237</v>
      </c>
      <c r="H76" s="15" cm="1">
        <f t="array" ref="H76">_xlfn.IFS(Table13[[#This Row],[Column4]]="NEW",AVERAGEIFS(Table13[Column4],Table13[Year],Table13[[#This Row],[Year]]),ISNUMBER(Table13[[#This Row],[Column4]]),Table13[[#This Row],[Column4]],Table13[[#This Row],[Column4]]="",H75*(1+Table13[[#This Row],[Ávöxtun]]))</f>
        <v>101.32867035721237</v>
      </c>
      <c r="I76" cm="1">
        <f t="array" ref="I76">_xlfn.IFS(Table13[[#This Row],[Column4]]="NEW",_xlfn.XLOOKUP(Table13[[#This Row],[Year]],$N$2:$N$27,$P$2:$P$27),ISNUMBER(Table13[[#This Row],[Column4]]),Table13[[#This Row],[Column4]],Table13[[#This Row],[Column4]]="",I75*(1+Table13[[#This Row],[Ávöxtun]]))</f>
        <v>101.32867035721237</v>
      </c>
      <c r="L76" s="33">
        <v>101.32867035721237</v>
      </c>
      <c r="M76" s="33">
        <v>101.32867035721237</v>
      </c>
    </row>
    <row r="77" spans="1:13">
      <c r="A77" t="s">
        <v>64</v>
      </c>
      <c r="B77">
        <v>2010</v>
      </c>
      <c r="C77" s="16">
        <v>-1.26E-2</v>
      </c>
      <c r="D77" s="1">
        <v>1834264</v>
      </c>
      <c r="E77" s="29">
        <f>Table13[[#This Row],[Ávöxtun]]*Table13[[#This Row],[Eignir]]/SUMIFS(Table13[Eignir],Table13[Year],Table13[[#This Row],[Year]])</f>
        <v>-1.5778631276749411E-5</v>
      </c>
      <c r="F77" s="23">
        <f>IF(B77=1997, 100, IF(COUNTIF(A$1:A76,A77)=0, "NEW", F76*(1+Table13[[#This Row],[Ávöxtun]])))</f>
        <v>100.0519291107115</v>
      </c>
      <c r="G77" s="18" cm="1">
        <f t="array" ref="G77">IFERROR(_xlfn.IFS(ISNUMBER(Table13[[#This Row],[Column3]]),Table13[[#This Row],[Column3]],Table13[[#This Row],[Column3]]="NEW",Table13[[#This Row],[Column3]]),"")</f>
        <v>100.0519291107115</v>
      </c>
      <c r="H77" s="15" cm="1">
        <f t="array" ref="H77">_xlfn.IFS(Table13[[#This Row],[Column4]]="NEW",AVERAGEIFS(Table13[Column4],Table13[Year],Table13[[#This Row],[Year]]),ISNUMBER(Table13[[#This Row],[Column4]]),Table13[[#This Row],[Column4]],Table13[[#This Row],[Column4]]="",H76*(1+Table13[[#This Row],[Ávöxtun]]))</f>
        <v>100.0519291107115</v>
      </c>
      <c r="I77" cm="1">
        <f t="array" ref="I77">_xlfn.IFS(Table13[[#This Row],[Column4]]="NEW",_xlfn.XLOOKUP(Table13[[#This Row],[Year]],$N$2:$N$27,$P$2:$P$27),ISNUMBER(Table13[[#This Row],[Column4]]),Table13[[#This Row],[Column4]],Table13[[#This Row],[Column4]]="",I76*(1+Table13[[#This Row],[Ávöxtun]]))</f>
        <v>100.0519291107115</v>
      </c>
      <c r="L77" s="33">
        <v>100.0519291107115</v>
      </c>
      <c r="M77" s="33">
        <v>100.0519291107115</v>
      </c>
    </row>
    <row r="78" spans="1:13">
      <c r="A78" t="s">
        <v>64</v>
      </c>
      <c r="B78">
        <v>2011</v>
      </c>
      <c r="C78" s="16">
        <v>-2.7999999999999997E-2</v>
      </c>
      <c r="D78" s="1">
        <v>1807571</v>
      </c>
      <c r="E78" s="29">
        <f>Table13[[#This Row],[Ávöxtun]]*Table13[[#This Row],[Eignir]]/SUMIFS(Table13[Eignir],Table13[Year],Table13[[#This Row],[Year]])</f>
        <v>-3.1873969854991264E-5</v>
      </c>
      <c r="F78" s="23">
        <f>IF(B78=1997, 100, IF(COUNTIF(A$1:A77,A78)=0, "NEW", F77*(1+Table13[[#This Row],[Ávöxtun]])))</f>
        <v>97.250475095611577</v>
      </c>
      <c r="G78" s="18" cm="1">
        <f t="array" ref="G78">IFERROR(_xlfn.IFS(ISNUMBER(Table13[[#This Row],[Column3]]),Table13[[#This Row],[Column3]],Table13[[#This Row],[Column3]]="NEW",Table13[[#This Row],[Column3]]),"")</f>
        <v>97.250475095611577</v>
      </c>
      <c r="H78" s="15" cm="1">
        <f t="array" ref="H78">_xlfn.IFS(Table13[[#This Row],[Column4]]="NEW",AVERAGEIFS(Table13[Column4],Table13[Year],Table13[[#This Row],[Year]]),ISNUMBER(Table13[[#This Row],[Column4]]),Table13[[#This Row],[Column4]],Table13[[#This Row],[Column4]]="",H77*(1+Table13[[#This Row],[Ávöxtun]]))</f>
        <v>97.250475095611577</v>
      </c>
      <c r="I78" cm="1">
        <f t="array" ref="I78">_xlfn.IFS(Table13[[#This Row],[Column4]]="NEW",_xlfn.XLOOKUP(Table13[[#This Row],[Year]],$N$2:$N$27,$P$2:$P$27),ISNUMBER(Table13[[#This Row],[Column4]]),Table13[[#This Row],[Column4]],Table13[[#This Row],[Column4]]="",I77*(1+Table13[[#This Row],[Ávöxtun]]))</f>
        <v>97.250475095611577</v>
      </c>
      <c r="L78" s="33">
        <v>97.250475095611577</v>
      </c>
      <c r="M78" s="33">
        <v>97.250475095611577</v>
      </c>
    </row>
    <row r="79" spans="1:13">
      <c r="A79" t="s">
        <v>64</v>
      </c>
      <c r="B79">
        <v>2012</v>
      </c>
      <c r="C79" s="16">
        <v>8.199999999999999E-2</v>
      </c>
      <c r="D79" s="1">
        <v>2010404</v>
      </c>
      <c r="E79" s="29">
        <f>Table13[[#This Row],[Ávöxtun]]*Table13[[#This Row],[Eignir]]/SUMIFS(Table13[Eignir],Table13[Year],Table13[[#This Row],[Year]])</f>
        <v>9.1846841037346403E-5</v>
      </c>
      <c r="F79" s="23">
        <f>IF(B79=1997, 100, IF(COUNTIF(A$1:A78,A79)=0, "NEW", F78*(1+Table13[[#This Row],[Ávöxtun]])))</f>
        <v>105.22501405345173</v>
      </c>
      <c r="G79" s="18" cm="1">
        <f t="array" ref="G79">IFERROR(_xlfn.IFS(ISNUMBER(Table13[[#This Row],[Column3]]),Table13[[#This Row],[Column3]],Table13[[#This Row],[Column3]]="NEW",Table13[[#This Row],[Column3]]),"")</f>
        <v>105.22501405345173</v>
      </c>
      <c r="H79" s="15" cm="1">
        <f t="array" ref="H79">_xlfn.IFS(Table13[[#This Row],[Column4]]="NEW",AVERAGEIFS(Table13[Column4],Table13[Year],Table13[[#This Row],[Year]]),ISNUMBER(Table13[[#This Row],[Column4]]),Table13[[#This Row],[Column4]],Table13[[#This Row],[Column4]]="",H78*(1+Table13[[#This Row],[Ávöxtun]]))</f>
        <v>105.22501405345173</v>
      </c>
      <c r="I79" cm="1">
        <f t="array" ref="I79">_xlfn.IFS(Table13[[#This Row],[Column4]]="NEW",_xlfn.XLOOKUP(Table13[[#This Row],[Year]],$N$2:$N$27,$P$2:$P$27),ISNUMBER(Table13[[#This Row],[Column4]]),Table13[[#This Row],[Column4]],Table13[[#This Row],[Column4]]="",I78*(1+Table13[[#This Row],[Ávöxtun]]))</f>
        <v>105.22501405345173</v>
      </c>
      <c r="L79" s="33">
        <v>105.22501405345173</v>
      </c>
      <c r="M79" s="33">
        <v>105.22501405345173</v>
      </c>
    </row>
    <row r="80" spans="1:13">
      <c r="A80" t="s">
        <v>65</v>
      </c>
      <c r="B80">
        <v>1997</v>
      </c>
      <c r="C80" s="16">
        <v>0.06</v>
      </c>
      <c r="D80" s="1">
        <v>526483.16</v>
      </c>
      <c r="E80" s="29">
        <f>Table13[[#This Row],[Ávöxtun]]*Table13[[#This Row],[Eignir]]/SUMIFS(Table13[Eignir],Table13[Year],Table13[[#This Row],[Year]])</f>
        <v>1.1070038615126688E-4</v>
      </c>
      <c r="F80" s="23">
        <f>IF(B80=1997, 100, IF(COUNTIF(A$1:A79,A80)=0, "NEW", F79*(1+Table13[[#This Row],[Ávöxtun]])))</f>
        <v>100</v>
      </c>
      <c r="G80" s="18" cm="1">
        <f t="array" ref="G80">IFERROR(_xlfn.IFS(ISNUMBER(Table13[[#This Row],[Column3]]),Table13[[#This Row],[Column3]],Table13[[#This Row],[Column3]]="NEW",Table13[[#This Row],[Column3]]),"")</f>
        <v>100</v>
      </c>
      <c r="H80" s="15" cm="1">
        <f t="array" ref="H80">_xlfn.IFS(Table13[[#This Row],[Column4]]="NEW",AVERAGEIFS(Table13[Column4],Table13[Year],Table13[[#This Row],[Year]]),ISNUMBER(Table13[[#This Row],[Column4]]),Table13[[#This Row],[Column4]],Table13[[#This Row],[Column4]]="",H79*(1+Table13[[#This Row],[Ávöxtun]]))</f>
        <v>100</v>
      </c>
      <c r="I80" cm="1">
        <f t="array" ref="I80">_xlfn.IFS(Table13[[#This Row],[Column4]]="NEW",_xlfn.XLOOKUP(Table13[[#This Row],[Year]],$N$2:$N$27,$P$2:$P$27),ISNUMBER(Table13[[#This Row],[Column4]]),Table13[[#This Row],[Column4]],Table13[[#This Row],[Column4]]="",I79*(1+Table13[[#This Row],[Ávöxtun]]))</f>
        <v>100</v>
      </c>
      <c r="L80" s="33">
        <v>100</v>
      </c>
      <c r="M80" s="33">
        <v>100</v>
      </c>
    </row>
    <row r="81" spans="1:13">
      <c r="A81" t="s">
        <v>65</v>
      </c>
      <c r="B81">
        <v>1998</v>
      </c>
      <c r="C81" s="16">
        <v>0.06</v>
      </c>
      <c r="D81" s="1">
        <v>536166.88</v>
      </c>
      <c r="E81" s="29">
        <f>Table13[[#This Row],[Ávöxtun]]*Table13[[#This Row],[Eignir]]/SUMIFS(Table13[Eignir],Table13[Year],Table13[[#This Row],[Year]])</f>
        <v>9.7337867700159913E-5</v>
      </c>
      <c r="F81" s="23">
        <f>IF(B81=1997, 100, IF(COUNTIF(A$1:A80,A81)=0, "NEW", F80*(1+Table13[[#This Row],[Ávöxtun]])))</f>
        <v>106</v>
      </c>
      <c r="G81" s="18" cm="1">
        <f t="array" ref="G81">IFERROR(_xlfn.IFS(ISNUMBER(Table13[[#This Row],[Column3]]),Table13[[#This Row],[Column3]],Table13[[#This Row],[Column3]]="NEW",Table13[[#This Row],[Column3]]),"")</f>
        <v>106</v>
      </c>
      <c r="H81" s="15" cm="1">
        <f t="array" ref="H81">_xlfn.IFS(Table13[[#This Row],[Column4]]="NEW",AVERAGEIFS(Table13[Column4],Table13[Year],Table13[[#This Row],[Year]]),ISNUMBER(Table13[[#This Row],[Column4]]),Table13[[#This Row],[Column4]],Table13[[#This Row],[Column4]]="",H80*(1+Table13[[#This Row],[Ávöxtun]]))</f>
        <v>106</v>
      </c>
      <c r="I81" cm="1">
        <f t="array" ref="I81">_xlfn.IFS(Table13[[#This Row],[Column4]]="NEW",_xlfn.XLOOKUP(Table13[[#This Row],[Year]],$N$2:$N$27,$P$2:$P$27),ISNUMBER(Table13[[#This Row],[Column4]]),Table13[[#This Row],[Column4]],Table13[[#This Row],[Column4]]="",I80*(1+Table13[[#This Row],[Ávöxtun]]))</f>
        <v>106</v>
      </c>
      <c r="L81" s="33">
        <v>106</v>
      </c>
      <c r="M81" s="33">
        <v>106</v>
      </c>
    </row>
    <row r="82" spans="1:13">
      <c r="A82" t="s">
        <v>65</v>
      </c>
      <c r="B82">
        <v>1999</v>
      </c>
      <c r="C82" s="16">
        <v>7.0000000000000007E-2</v>
      </c>
      <c r="D82" s="1">
        <v>574450.77</v>
      </c>
      <c r="E82" s="29">
        <f>Table13[[#This Row],[Ávöxtun]]*Table13[[#This Row],[Eignir]]/SUMIFS(Table13[Eignir],Table13[Year],Table13[[#This Row],[Year]])</f>
        <v>9.0582064146475249E-5</v>
      </c>
      <c r="F82" s="23">
        <f>IF(B82=1997, 100, IF(COUNTIF(A$1:A81,A82)=0, "NEW", F81*(1+Table13[[#This Row],[Ávöxtun]])))</f>
        <v>113.42</v>
      </c>
      <c r="G82" s="18" cm="1">
        <f t="array" ref="G82">IFERROR(_xlfn.IFS(ISNUMBER(Table13[[#This Row],[Column3]]),Table13[[#This Row],[Column3]],Table13[[#This Row],[Column3]]="NEW",Table13[[#This Row],[Column3]]),"")</f>
        <v>113.42</v>
      </c>
      <c r="H82" s="15" cm="1">
        <f t="array" ref="H82">_xlfn.IFS(Table13[[#This Row],[Column4]]="NEW",AVERAGEIFS(Table13[Column4],Table13[Year],Table13[[#This Row],[Year]]),ISNUMBER(Table13[[#This Row],[Column4]]),Table13[[#This Row],[Column4]],Table13[[#This Row],[Column4]]="",H81*(1+Table13[[#This Row],[Ávöxtun]]))</f>
        <v>113.42</v>
      </c>
      <c r="I82" cm="1">
        <f t="array" ref="I82">_xlfn.IFS(Table13[[#This Row],[Column4]]="NEW",_xlfn.XLOOKUP(Table13[[#This Row],[Year]],$N$2:$N$27,$P$2:$P$27),ISNUMBER(Table13[[#This Row],[Column4]]),Table13[[#This Row],[Column4]],Table13[[#This Row],[Column4]]="",I81*(1+Table13[[#This Row],[Ávöxtun]]))</f>
        <v>113.42</v>
      </c>
      <c r="L82" s="33">
        <v>113.42</v>
      </c>
      <c r="M82" s="33">
        <v>113.42</v>
      </c>
    </row>
    <row r="83" spans="1:13">
      <c r="A83" t="s">
        <v>65</v>
      </c>
      <c r="B83">
        <v>2000</v>
      </c>
      <c r="C83" s="16">
        <v>0.03</v>
      </c>
      <c r="D83" s="1">
        <v>590126.5</v>
      </c>
      <c r="E83" s="29">
        <f>Table13[[#This Row],[Ávöxtun]]*Table13[[#This Row],[Eignir]]/SUMIFS(Table13[Eignir],Table13[Year],Table13[[#This Row],[Year]])</f>
        <v>2.8349585392425681E-5</v>
      </c>
      <c r="F83" s="23">
        <f>IF(B83=1997, 100, IF(COUNTIF(A$1:A82,A83)=0, "NEW", F82*(1+Table13[[#This Row],[Ávöxtun]])))</f>
        <v>116.82260000000001</v>
      </c>
      <c r="G83" s="18" cm="1">
        <f t="array" ref="G83">IFERROR(_xlfn.IFS(ISNUMBER(Table13[[#This Row],[Column3]]),Table13[[#This Row],[Column3]],Table13[[#This Row],[Column3]]="NEW",Table13[[#This Row],[Column3]]),"")</f>
        <v>116.82260000000001</v>
      </c>
      <c r="H83" s="15" cm="1">
        <f t="array" ref="H83">_xlfn.IFS(Table13[[#This Row],[Column4]]="NEW",AVERAGEIFS(Table13[Column4],Table13[Year],Table13[[#This Row],[Year]]),ISNUMBER(Table13[[#This Row],[Column4]]),Table13[[#This Row],[Column4]],Table13[[#This Row],[Column4]]="",H82*(1+Table13[[#This Row],[Ávöxtun]]))</f>
        <v>116.82260000000001</v>
      </c>
      <c r="I83" cm="1">
        <f t="array" ref="I83">_xlfn.IFS(Table13[[#This Row],[Column4]]="NEW",_xlfn.XLOOKUP(Table13[[#This Row],[Year]],$N$2:$N$27,$P$2:$P$27),ISNUMBER(Table13[[#This Row],[Column4]]),Table13[[#This Row],[Column4]],Table13[[#This Row],[Column4]]="",I82*(1+Table13[[#This Row],[Ávöxtun]]))</f>
        <v>116.82260000000001</v>
      </c>
      <c r="L83" s="33">
        <v>116.82260000000001</v>
      </c>
      <c r="M83" s="33">
        <v>116.82260000000001</v>
      </c>
    </row>
    <row r="84" spans="1:13">
      <c r="A84" t="s">
        <v>65</v>
      </c>
      <c r="B84">
        <v>2001</v>
      </c>
      <c r="C84" s="16">
        <v>0.04</v>
      </c>
      <c r="D84" s="1">
        <v>619900</v>
      </c>
      <c r="E84" s="29">
        <f>Table13[[#This Row],[Ávöxtun]]*Table13[[#This Row],[Eignir]]/SUMIFS(Table13[Eignir],Table13[Year],Table13[[#This Row],[Year]])</f>
        <v>2.5801201990886842E-5</v>
      </c>
      <c r="F84" s="23">
        <f>IF(B84=1997, 100, IF(COUNTIF(A$1:A83,A84)=0, "NEW", F83*(1+Table13[[#This Row],[Ávöxtun]])))</f>
        <v>121.49550400000001</v>
      </c>
      <c r="G84" s="18" cm="1">
        <f t="array" ref="G84">IFERROR(_xlfn.IFS(ISNUMBER(Table13[[#This Row],[Column3]]),Table13[[#This Row],[Column3]],Table13[[#This Row],[Column3]]="NEW",Table13[[#This Row],[Column3]]),"")</f>
        <v>121.49550400000001</v>
      </c>
      <c r="H84" s="15" cm="1">
        <f t="array" ref="H84">_xlfn.IFS(Table13[[#This Row],[Column4]]="NEW",AVERAGEIFS(Table13[Column4],Table13[Year],Table13[[#This Row],[Year]]),ISNUMBER(Table13[[#This Row],[Column4]]),Table13[[#This Row],[Column4]],Table13[[#This Row],[Column4]]="",H83*(1+Table13[[#This Row],[Ávöxtun]]))</f>
        <v>121.49550400000001</v>
      </c>
      <c r="I84" cm="1">
        <f t="array" ref="I84">_xlfn.IFS(Table13[[#This Row],[Column4]]="NEW",_xlfn.XLOOKUP(Table13[[#This Row],[Year]],$N$2:$N$27,$P$2:$P$27),ISNUMBER(Table13[[#This Row],[Column4]]),Table13[[#This Row],[Column4]],Table13[[#This Row],[Column4]]="",I83*(1+Table13[[#This Row],[Ávöxtun]]))</f>
        <v>121.49550400000001</v>
      </c>
      <c r="L84" s="33">
        <v>121.49550400000001</v>
      </c>
      <c r="M84" s="33">
        <v>121.49550400000001</v>
      </c>
    </row>
    <row r="85" spans="1:13">
      <c r="A85" t="s">
        <v>65</v>
      </c>
      <c r="B85">
        <v>2002</v>
      </c>
      <c r="C85" s="16">
        <v>0.06</v>
      </c>
      <c r="D85" s="1">
        <v>631434</v>
      </c>
      <c r="E85" s="29">
        <f>Table13[[#This Row],[Ávöxtun]]*Table13[[#This Row],[Eignir]]/SUMIFS(Table13[Eignir],Table13[Year],Table13[[#This Row],[Year]])</f>
        <v>7.109646986651722E-5</v>
      </c>
      <c r="F85" s="23">
        <f>IF(B85=1997, 100, IF(COUNTIF(A$1:A84,A85)=0, "NEW", F84*(1+Table13[[#This Row],[Ávöxtun]])))</f>
        <v>128.78523424000002</v>
      </c>
      <c r="G85" s="18" cm="1">
        <f t="array" ref="G85">IFERROR(_xlfn.IFS(ISNUMBER(Table13[[#This Row],[Column3]]),Table13[[#This Row],[Column3]],Table13[[#This Row],[Column3]]="NEW",Table13[[#This Row],[Column3]]),"")</f>
        <v>128.78523424000002</v>
      </c>
      <c r="H85" s="15" cm="1">
        <f t="array" ref="H85">_xlfn.IFS(Table13[[#This Row],[Column4]]="NEW",AVERAGEIFS(Table13[Column4],Table13[Year],Table13[[#This Row],[Year]]),ISNUMBER(Table13[[#This Row],[Column4]]),Table13[[#This Row],[Column4]],Table13[[#This Row],[Column4]]="",H84*(1+Table13[[#This Row],[Ávöxtun]]))</f>
        <v>128.78523424000002</v>
      </c>
      <c r="I85" cm="1">
        <f t="array" ref="I85">_xlfn.IFS(Table13[[#This Row],[Column4]]="NEW",_xlfn.XLOOKUP(Table13[[#This Row],[Year]],$N$2:$N$27,$P$2:$P$27),ISNUMBER(Table13[[#This Row],[Column4]]),Table13[[#This Row],[Column4]],Table13[[#This Row],[Column4]]="",I84*(1+Table13[[#This Row],[Ávöxtun]]))</f>
        <v>128.78523424000002</v>
      </c>
      <c r="L85" s="33">
        <v>128.78523424000002</v>
      </c>
      <c r="M85" s="33">
        <v>128.78523424000002</v>
      </c>
    </row>
    <row r="86" spans="1:13">
      <c r="A86" t="s">
        <v>65</v>
      </c>
      <c r="B86">
        <v>2003</v>
      </c>
      <c r="C86" s="16">
        <v>0.09</v>
      </c>
      <c r="D86" s="1">
        <v>666338</v>
      </c>
      <c r="E86" s="29">
        <f>Table13[[#This Row],[Ávöxtun]]*Table13[[#This Row],[Eignir]]/SUMIFS(Table13[Eignir],Table13[Year],Table13[[#This Row],[Year]])</f>
        <v>9.4028229937151786E-5</v>
      </c>
      <c r="F86" s="23">
        <f>IF(B86=1997, 100, IF(COUNTIF(A$1:A85,A86)=0, "NEW", F85*(1+Table13[[#This Row],[Ávöxtun]])))</f>
        <v>140.37590532160004</v>
      </c>
      <c r="G86" s="18" cm="1">
        <f t="array" ref="G86">IFERROR(_xlfn.IFS(ISNUMBER(Table13[[#This Row],[Column3]]),Table13[[#This Row],[Column3]],Table13[[#This Row],[Column3]]="NEW",Table13[[#This Row],[Column3]]),"")</f>
        <v>140.37590532160004</v>
      </c>
      <c r="H86" s="15" cm="1">
        <f t="array" ref="H86">_xlfn.IFS(Table13[[#This Row],[Column4]]="NEW",AVERAGEIFS(Table13[Column4],Table13[Year],Table13[[#This Row],[Year]]),ISNUMBER(Table13[[#This Row],[Column4]]),Table13[[#This Row],[Column4]],Table13[[#This Row],[Column4]]="",H85*(1+Table13[[#This Row],[Ávöxtun]]))</f>
        <v>140.37590532160004</v>
      </c>
      <c r="I86" cm="1">
        <f t="array" ref="I86">_xlfn.IFS(Table13[[#This Row],[Column4]]="NEW",_xlfn.XLOOKUP(Table13[[#This Row],[Year]],$N$2:$N$27,$P$2:$P$27),ISNUMBER(Table13[[#This Row],[Column4]]),Table13[[#This Row],[Column4]],Table13[[#This Row],[Column4]]="",I85*(1+Table13[[#This Row],[Ávöxtun]]))</f>
        <v>140.37590532160004</v>
      </c>
      <c r="L86" s="33">
        <v>140.37590532160004</v>
      </c>
      <c r="M86" s="33">
        <v>140.37590532160004</v>
      </c>
    </row>
    <row r="87" spans="1:13">
      <c r="A87" t="s">
        <v>65</v>
      </c>
      <c r="B87">
        <v>2004</v>
      </c>
      <c r="C87" s="16">
        <v>0.08</v>
      </c>
      <c r="D87" s="1">
        <v>703719</v>
      </c>
      <c r="E87" s="29">
        <f>Table13[[#This Row],[Ávöxtun]]*Table13[[#This Row],[Eignir]]/SUMIFS(Table13[Eignir],Table13[Year],Table13[[#This Row],[Year]])</f>
        <v>7.4111528439460344E-5</v>
      </c>
      <c r="F87" s="23">
        <f>IF(B87=1997, 100, IF(COUNTIF(A$1:A86,A87)=0, "NEW", F86*(1+Table13[[#This Row],[Ávöxtun]])))</f>
        <v>151.60597774732807</v>
      </c>
      <c r="G87" s="18" cm="1">
        <f t="array" ref="G87">IFERROR(_xlfn.IFS(ISNUMBER(Table13[[#This Row],[Column3]]),Table13[[#This Row],[Column3]],Table13[[#This Row],[Column3]]="NEW",Table13[[#This Row],[Column3]]),"")</f>
        <v>151.60597774732807</v>
      </c>
      <c r="H87" s="15" cm="1">
        <f t="array" ref="H87">_xlfn.IFS(Table13[[#This Row],[Column4]]="NEW",AVERAGEIFS(Table13[Column4],Table13[Year],Table13[[#This Row],[Year]]),ISNUMBER(Table13[[#This Row],[Column4]]),Table13[[#This Row],[Column4]],Table13[[#This Row],[Column4]]="",H86*(1+Table13[[#This Row],[Ávöxtun]]))</f>
        <v>151.60597774732807</v>
      </c>
      <c r="I87" cm="1">
        <f t="array" ref="I87">_xlfn.IFS(Table13[[#This Row],[Column4]]="NEW",_xlfn.XLOOKUP(Table13[[#This Row],[Year]],$N$2:$N$27,$P$2:$P$27),ISNUMBER(Table13[[#This Row],[Column4]]),Table13[[#This Row],[Column4]],Table13[[#This Row],[Column4]]="",I86*(1+Table13[[#This Row],[Ávöxtun]]))</f>
        <v>151.60597774732807</v>
      </c>
      <c r="L87" s="33">
        <v>151.60597774732807</v>
      </c>
      <c r="M87" s="33">
        <v>151.60597774732807</v>
      </c>
    </row>
    <row r="88" spans="1:13">
      <c r="A88" t="s">
        <v>65</v>
      </c>
      <c r="B88">
        <v>2005</v>
      </c>
      <c r="C88" s="16">
        <v>0.06</v>
      </c>
      <c r="D88" s="1">
        <v>734520</v>
      </c>
      <c r="E88" s="29">
        <f>Table13[[#This Row],[Ávöxtun]]*Table13[[#This Row],[Eignir]]/SUMIFS(Table13[Eignir],Table13[Year],Table13[[#This Row],[Year]])</f>
        <v>4.7215302954591814E-5</v>
      </c>
      <c r="F88" s="23">
        <f>IF(B88=1997, 100, IF(COUNTIF(A$1:A87,A88)=0, "NEW", F87*(1+Table13[[#This Row],[Ávöxtun]])))</f>
        <v>160.70233641216777</v>
      </c>
      <c r="G88" s="18" cm="1">
        <f t="array" ref="G88">IFERROR(_xlfn.IFS(ISNUMBER(Table13[[#This Row],[Column3]]),Table13[[#This Row],[Column3]],Table13[[#This Row],[Column3]]="NEW",Table13[[#This Row],[Column3]]),"")</f>
        <v>160.70233641216777</v>
      </c>
      <c r="H88" s="15" cm="1">
        <f t="array" ref="H88">_xlfn.IFS(Table13[[#This Row],[Column4]]="NEW",AVERAGEIFS(Table13[Column4],Table13[Year],Table13[[#This Row],[Year]]),ISNUMBER(Table13[[#This Row],[Column4]]),Table13[[#This Row],[Column4]],Table13[[#This Row],[Column4]]="",H87*(1+Table13[[#This Row],[Ávöxtun]]))</f>
        <v>160.70233641216777</v>
      </c>
      <c r="I88" cm="1">
        <f t="array" ref="I88">_xlfn.IFS(Table13[[#This Row],[Column4]]="NEW",_xlfn.XLOOKUP(Table13[[#This Row],[Year]],$N$2:$N$27,$P$2:$P$27),ISNUMBER(Table13[[#This Row],[Column4]]),Table13[[#This Row],[Column4]],Table13[[#This Row],[Column4]]="",I87*(1+Table13[[#This Row],[Ávöxtun]]))</f>
        <v>160.70233641216777</v>
      </c>
      <c r="L88" s="33">
        <v>160.70233641216777</v>
      </c>
      <c r="M88" s="33">
        <v>160.70233641216777</v>
      </c>
    </row>
    <row r="89" spans="1:13">
      <c r="A89" t="s">
        <v>65</v>
      </c>
      <c r="B89">
        <v>2006</v>
      </c>
      <c r="C89" s="16">
        <v>5.1299999999999998E-2</v>
      </c>
      <c r="D89" s="1">
        <v>778769</v>
      </c>
      <c r="E89" s="29">
        <f>Table13[[#This Row],[Ávöxtun]]*Table13[[#This Row],[Eignir]]/SUMIFS(Table13[Eignir],Table13[Year],Table13[[#This Row],[Year]])</f>
        <v>3.5118163103967288E-5</v>
      </c>
      <c r="F89" s="23">
        <f>IF(B89=1997, 100, IF(COUNTIF(A$1:A88,A89)=0, "NEW", F88*(1+Table13[[#This Row],[Ávöxtun]])))</f>
        <v>168.94636627011195</v>
      </c>
      <c r="G89" s="18" cm="1">
        <f t="array" ref="G89">IFERROR(_xlfn.IFS(ISNUMBER(Table13[[#This Row],[Column3]]),Table13[[#This Row],[Column3]],Table13[[#This Row],[Column3]]="NEW",Table13[[#This Row],[Column3]]),"")</f>
        <v>168.94636627011195</v>
      </c>
      <c r="H89" s="15" cm="1">
        <f t="array" ref="H89">_xlfn.IFS(Table13[[#This Row],[Column4]]="NEW",AVERAGEIFS(Table13[Column4],Table13[Year],Table13[[#This Row],[Year]]),ISNUMBER(Table13[[#This Row],[Column4]]),Table13[[#This Row],[Column4]],Table13[[#This Row],[Column4]]="",H88*(1+Table13[[#This Row],[Ávöxtun]]))</f>
        <v>168.94636627011195</v>
      </c>
      <c r="I89" cm="1">
        <f t="array" ref="I89">_xlfn.IFS(Table13[[#This Row],[Column4]]="NEW",_xlfn.XLOOKUP(Table13[[#This Row],[Year]],$N$2:$N$27,$P$2:$P$27),ISNUMBER(Table13[[#This Row],[Column4]]),Table13[[#This Row],[Column4]],Table13[[#This Row],[Column4]]="",I88*(1+Table13[[#This Row],[Ávöxtun]]))</f>
        <v>168.94636627011195</v>
      </c>
      <c r="L89" s="33">
        <v>168.94636627011195</v>
      </c>
      <c r="M89" s="33">
        <v>168.94636627011195</v>
      </c>
    </row>
    <row r="90" spans="1:13">
      <c r="A90" t="s">
        <v>66</v>
      </c>
      <c r="B90">
        <v>1997</v>
      </c>
      <c r="C90" s="16">
        <v>0.06</v>
      </c>
      <c r="D90" s="1">
        <v>4779686.8</v>
      </c>
      <c r="E90" s="29">
        <f>Table13[[#This Row],[Ávöxtun]]*Table13[[#This Row],[Eignir]]/SUMIFS(Table13[Eignir],Table13[Year],Table13[[#This Row],[Year]])</f>
        <v>1.0049954388704724E-3</v>
      </c>
      <c r="F90" s="23">
        <f>IF(B90=1997, 100, IF(COUNTIF(A$1:A89,A90)=0, "NEW", F89*(1+Table13[[#This Row],[Ávöxtun]])))</f>
        <v>100</v>
      </c>
      <c r="G90" s="18" cm="1">
        <f t="array" ref="G90">IFERROR(_xlfn.IFS(ISNUMBER(Table13[[#This Row],[Column3]]),Table13[[#This Row],[Column3]],Table13[[#This Row],[Column3]]="NEW",Table13[[#This Row],[Column3]]),"")</f>
        <v>100</v>
      </c>
      <c r="H90" s="15" cm="1">
        <f t="array" ref="H90">_xlfn.IFS(Table13[[#This Row],[Column4]]="NEW",AVERAGEIFS(Table13[Column4],Table13[Year],Table13[[#This Row],[Year]]),ISNUMBER(Table13[[#This Row],[Column4]]),Table13[[#This Row],[Column4]],Table13[[#This Row],[Column4]]="",H89*(1+Table13[[#This Row],[Ávöxtun]]))</f>
        <v>100</v>
      </c>
      <c r="I90" cm="1">
        <f t="array" ref="I90">_xlfn.IFS(Table13[[#This Row],[Column4]]="NEW",_xlfn.XLOOKUP(Table13[[#This Row],[Year]],$N$2:$N$27,$P$2:$P$27),ISNUMBER(Table13[[#This Row],[Column4]]),Table13[[#This Row],[Column4]],Table13[[#This Row],[Column4]]="",I89*(1+Table13[[#This Row],[Ávöxtun]]))</f>
        <v>100</v>
      </c>
      <c r="L90" s="33">
        <v>100</v>
      </c>
      <c r="M90" s="33">
        <v>100</v>
      </c>
    </row>
    <row r="91" spans="1:13">
      <c r="A91" t="s">
        <v>66</v>
      </c>
      <c r="B91">
        <v>1998</v>
      </c>
      <c r="C91" s="16">
        <v>7.0000000000000007E-2</v>
      </c>
      <c r="D91" s="1">
        <v>5298845.5</v>
      </c>
      <c r="E91" s="29">
        <f>Table13[[#This Row],[Ávöxtun]]*Table13[[#This Row],[Eignir]]/SUMIFS(Table13[Eignir],Table13[Year],Table13[[#This Row],[Year]])</f>
        <v>1.122302399487424E-3</v>
      </c>
      <c r="F91" s="23">
        <f>IF(B91=1997, 100, IF(COUNTIF(A$1:A90,A91)=0, "NEW", F90*(1+Table13[[#This Row],[Ávöxtun]])))</f>
        <v>107</v>
      </c>
      <c r="G91" s="18" cm="1">
        <f t="array" ref="G91">IFERROR(_xlfn.IFS(ISNUMBER(Table13[[#This Row],[Column3]]),Table13[[#This Row],[Column3]],Table13[[#This Row],[Column3]]="NEW",Table13[[#This Row],[Column3]]),"")</f>
        <v>107</v>
      </c>
      <c r="H91" s="15" cm="1">
        <f t="array" ref="H91">_xlfn.IFS(Table13[[#This Row],[Column4]]="NEW",AVERAGEIFS(Table13[Column4],Table13[Year],Table13[[#This Row],[Year]]),ISNUMBER(Table13[[#This Row],[Column4]]),Table13[[#This Row],[Column4]],Table13[[#This Row],[Column4]]="",H90*(1+Table13[[#This Row],[Ávöxtun]]))</f>
        <v>107</v>
      </c>
      <c r="I91" cm="1">
        <f t="array" ref="I91">_xlfn.IFS(Table13[[#This Row],[Column4]]="NEW",_xlfn.XLOOKUP(Table13[[#This Row],[Year]],$N$2:$N$27,$P$2:$P$27),ISNUMBER(Table13[[#This Row],[Column4]]),Table13[[#This Row],[Column4]],Table13[[#This Row],[Column4]]="",I90*(1+Table13[[#This Row],[Ávöxtun]]))</f>
        <v>107</v>
      </c>
      <c r="L91" s="33">
        <v>107</v>
      </c>
      <c r="M91" s="33">
        <v>107</v>
      </c>
    </row>
    <row r="92" spans="1:13">
      <c r="A92" t="s">
        <v>66</v>
      </c>
      <c r="B92">
        <v>1999</v>
      </c>
      <c r="C92" s="16">
        <v>0.08</v>
      </c>
      <c r="D92" s="1">
        <v>6193614.6399999997</v>
      </c>
      <c r="E92" s="29">
        <f>Table13[[#This Row],[Ávöxtun]]*Table13[[#This Row],[Eignir]]/SUMIFS(Table13[Eignir],Table13[Year],Table13[[#This Row],[Year]])</f>
        <v>1.1161576098535761E-3</v>
      </c>
      <c r="F92" s="23">
        <f>IF(B92=1997, 100, IF(COUNTIF(A$1:A91,A92)=0, "NEW", F91*(1+Table13[[#This Row],[Ávöxtun]])))</f>
        <v>115.56</v>
      </c>
      <c r="G92" s="18" cm="1">
        <f t="array" ref="G92">IFERROR(_xlfn.IFS(ISNUMBER(Table13[[#This Row],[Column3]]),Table13[[#This Row],[Column3]],Table13[[#This Row],[Column3]]="NEW",Table13[[#This Row],[Column3]]),"")</f>
        <v>115.56</v>
      </c>
      <c r="H92" s="15" cm="1">
        <f t="array" ref="H92">_xlfn.IFS(Table13[[#This Row],[Column4]]="NEW",AVERAGEIFS(Table13[Column4],Table13[Year],Table13[[#This Row],[Year]]),ISNUMBER(Table13[[#This Row],[Column4]]),Table13[[#This Row],[Column4]],Table13[[#This Row],[Column4]]="",H91*(1+Table13[[#This Row],[Ávöxtun]]))</f>
        <v>115.56</v>
      </c>
      <c r="I92" cm="1">
        <f t="array" ref="I92">_xlfn.IFS(Table13[[#This Row],[Column4]]="NEW",_xlfn.XLOOKUP(Table13[[#This Row],[Year]],$N$2:$N$27,$P$2:$P$27),ISNUMBER(Table13[[#This Row],[Column4]]),Table13[[#This Row],[Column4]],Table13[[#This Row],[Column4]]="",I91*(1+Table13[[#This Row],[Ávöxtun]]))</f>
        <v>115.56</v>
      </c>
      <c r="L92" s="33">
        <v>115.56</v>
      </c>
      <c r="M92" s="33">
        <v>115.56</v>
      </c>
    </row>
    <row r="93" spans="1:13">
      <c r="A93" t="s">
        <v>66</v>
      </c>
      <c r="B93">
        <v>2000</v>
      </c>
      <c r="C93" s="16">
        <v>0.03</v>
      </c>
      <c r="D93" s="1">
        <v>6782032.7699999996</v>
      </c>
      <c r="E93" s="29">
        <f>Table13[[#This Row],[Ávöxtun]]*Table13[[#This Row],[Eignir]]/SUMIFS(Table13[Eignir],Table13[Year],Table13[[#This Row],[Year]])</f>
        <v>3.2580780078058567E-4</v>
      </c>
      <c r="F93" s="23">
        <f>IF(B93=1997, 100, IF(COUNTIF(A$1:A92,A93)=0, "NEW", F92*(1+Table13[[#This Row],[Ávöxtun]])))</f>
        <v>119.02680000000001</v>
      </c>
      <c r="G93" s="18" cm="1">
        <f t="array" ref="G93">IFERROR(_xlfn.IFS(ISNUMBER(Table13[[#This Row],[Column3]]),Table13[[#This Row],[Column3]],Table13[[#This Row],[Column3]]="NEW",Table13[[#This Row],[Column3]]),"")</f>
        <v>119.02680000000001</v>
      </c>
      <c r="H93" s="15" cm="1">
        <f t="array" ref="H93">_xlfn.IFS(Table13[[#This Row],[Column4]]="NEW",AVERAGEIFS(Table13[Column4],Table13[Year],Table13[[#This Row],[Year]]),ISNUMBER(Table13[[#This Row],[Column4]]),Table13[[#This Row],[Column4]],Table13[[#This Row],[Column4]]="",H92*(1+Table13[[#This Row],[Ávöxtun]]))</f>
        <v>119.02680000000001</v>
      </c>
      <c r="I93" cm="1">
        <f t="array" ref="I93">_xlfn.IFS(Table13[[#This Row],[Column4]]="NEW",_xlfn.XLOOKUP(Table13[[#This Row],[Year]],$N$2:$N$27,$P$2:$P$27),ISNUMBER(Table13[[#This Row],[Column4]]),Table13[[#This Row],[Column4]],Table13[[#This Row],[Column4]]="",I92*(1+Table13[[#This Row],[Ávöxtun]]))</f>
        <v>119.02680000000001</v>
      </c>
      <c r="L93" s="33">
        <v>119.02680000000001</v>
      </c>
      <c r="M93" s="33">
        <v>119.02680000000001</v>
      </c>
    </row>
    <row r="94" spans="1:13">
      <c r="A94" t="s">
        <v>66</v>
      </c>
      <c r="B94">
        <v>2001</v>
      </c>
      <c r="C94" s="16">
        <v>7.0000000000000007E-2</v>
      </c>
      <c r="D94" s="1">
        <v>15679219</v>
      </c>
      <c r="E94" s="29">
        <f>Table13[[#This Row],[Ávöxtun]]*Table13[[#This Row],[Eignir]]/SUMIFS(Table13[Eignir],Table13[Year],Table13[[#This Row],[Year]])</f>
        <v>1.1420385849929247E-3</v>
      </c>
      <c r="F94" s="23">
        <f>IF(B94=1997, 100, IF(COUNTIF(A$1:A93,A94)=0, "NEW", F93*(1+Table13[[#This Row],[Ávöxtun]])))</f>
        <v>127.35867600000002</v>
      </c>
      <c r="G94" s="18" cm="1">
        <f t="array" ref="G94">IFERROR(_xlfn.IFS(ISNUMBER(Table13[[#This Row],[Column3]]),Table13[[#This Row],[Column3]],Table13[[#This Row],[Column3]]="NEW",Table13[[#This Row],[Column3]]),"")</f>
        <v>127.35867600000002</v>
      </c>
      <c r="H94" s="15" cm="1">
        <f t="array" ref="H94">_xlfn.IFS(Table13[[#This Row],[Column4]]="NEW",AVERAGEIFS(Table13[Column4],Table13[Year],Table13[[#This Row],[Year]]),ISNUMBER(Table13[[#This Row],[Column4]]),Table13[[#This Row],[Column4]],Table13[[#This Row],[Column4]]="",H93*(1+Table13[[#This Row],[Ávöxtun]]))</f>
        <v>127.35867600000002</v>
      </c>
      <c r="I94" cm="1">
        <f t="array" ref="I94">_xlfn.IFS(Table13[[#This Row],[Column4]]="NEW",_xlfn.XLOOKUP(Table13[[#This Row],[Year]],$N$2:$N$27,$P$2:$P$27),ISNUMBER(Table13[[#This Row],[Column4]]),Table13[[#This Row],[Column4]],Table13[[#This Row],[Column4]]="",I93*(1+Table13[[#This Row],[Ávöxtun]]))</f>
        <v>127.35867600000002</v>
      </c>
      <c r="L94" s="33">
        <v>127.35867600000002</v>
      </c>
      <c r="M94" s="33">
        <v>127.35867600000002</v>
      </c>
    </row>
    <row r="95" spans="1:13">
      <c r="A95" t="s">
        <v>66</v>
      </c>
      <c r="B95">
        <v>2002</v>
      </c>
      <c r="C95" s="16">
        <v>-0.04</v>
      </c>
      <c r="D95" s="1">
        <v>7831183</v>
      </c>
      <c r="E95" s="29">
        <f>Table13[[#This Row],[Ávöxtun]]*Table13[[#This Row],[Eignir]]/SUMIFS(Table13[Eignir],Table13[Year],Table13[[#This Row],[Year]])</f>
        <v>-5.8783601155326019E-4</v>
      </c>
      <c r="F95" s="23">
        <f>IF(B95=1997, 100, IF(COUNTIF(A$1:A94,A95)=0, "NEW", F94*(1+Table13[[#This Row],[Ávöxtun]])))</f>
        <v>122.26432896000001</v>
      </c>
      <c r="G95" s="18" cm="1">
        <f t="array" ref="G95">IFERROR(_xlfn.IFS(ISNUMBER(Table13[[#This Row],[Column3]]),Table13[[#This Row],[Column3]],Table13[[#This Row],[Column3]]="NEW",Table13[[#This Row],[Column3]]),"")</f>
        <v>122.26432896000001</v>
      </c>
      <c r="H95" s="15" cm="1">
        <f t="array" ref="H95">_xlfn.IFS(Table13[[#This Row],[Column4]]="NEW",AVERAGEIFS(Table13[Column4],Table13[Year],Table13[[#This Row],[Year]]),ISNUMBER(Table13[[#This Row],[Column4]]),Table13[[#This Row],[Column4]],Table13[[#This Row],[Column4]]="",H94*(1+Table13[[#This Row],[Ávöxtun]]))</f>
        <v>122.26432896000001</v>
      </c>
      <c r="I95" cm="1">
        <f t="array" ref="I95">_xlfn.IFS(Table13[[#This Row],[Column4]]="NEW",_xlfn.XLOOKUP(Table13[[#This Row],[Year]],$N$2:$N$27,$P$2:$P$27),ISNUMBER(Table13[[#This Row],[Column4]]),Table13[[#This Row],[Column4]],Table13[[#This Row],[Column4]]="",I94*(1+Table13[[#This Row],[Ávöxtun]]))</f>
        <v>122.26432896000001</v>
      </c>
      <c r="L95" s="33">
        <v>122.26432896000001</v>
      </c>
      <c r="M95" s="33">
        <v>122.26432896000001</v>
      </c>
    </row>
    <row r="96" spans="1:13">
      <c r="A96" t="s">
        <v>66</v>
      </c>
      <c r="B96">
        <v>2003</v>
      </c>
      <c r="C96" s="16">
        <v>0.1</v>
      </c>
      <c r="D96" s="1">
        <v>9043587</v>
      </c>
      <c r="E96" s="29">
        <f>Table13[[#This Row],[Ávöxtun]]*Table13[[#This Row],[Eignir]]/SUMIFS(Table13[Eignir],Table13[Year],Table13[[#This Row],[Year]])</f>
        <v>1.4179531807391658E-3</v>
      </c>
      <c r="F96" s="23">
        <f>IF(B96=1997, 100, IF(COUNTIF(A$1:A95,A96)=0, "NEW", F95*(1+Table13[[#This Row],[Ávöxtun]])))</f>
        <v>134.49076185600003</v>
      </c>
      <c r="G96" s="18" cm="1">
        <f t="array" ref="G96">IFERROR(_xlfn.IFS(ISNUMBER(Table13[[#This Row],[Column3]]),Table13[[#This Row],[Column3]],Table13[[#This Row],[Column3]]="NEW",Table13[[#This Row],[Column3]]),"")</f>
        <v>134.49076185600003</v>
      </c>
      <c r="H96" s="15" cm="1">
        <f t="array" ref="H96">_xlfn.IFS(Table13[[#This Row],[Column4]]="NEW",AVERAGEIFS(Table13[Column4],Table13[Year],Table13[[#This Row],[Year]]),ISNUMBER(Table13[[#This Row],[Column4]]),Table13[[#This Row],[Column4]],Table13[[#This Row],[Column4]]="",H95*(1+Table13[[#This Row],[Ávöxtun]]))</f>
        <v>134.49076185600003</v>
      </c>
      <c r="I96" cm="1">
        <f t="array" ref="I96">_xlfn.IFS(Table13[[#This Row],[Column4]]="NEW",_xlfn.XLOOKUP(Table13[[#This Row],[Year]],$N$2:$N$27,$P$2:$P$27),ISNUMBER(Table13[[#This Row],[Column4]]),Table13[[#This Row],[Column4]],Table13[[#This Row],[Column4]]="",I95*(1+Table13[[#This Row],[Ávöxtun]]))</f>
        <v>134.49076185600003</v>
      </c>
      <c r="L96" s="33">
        <v>134.49076185600003</v>
      </c>
      <c r="M96" s="33">
        <v>134.49076185600003</v>
      </c>
    </row>
    <row r="97" spans="1:13">
      <c r="A97" t="s">
        <v>66</v>
      </c>
      <c r="B97">
        <v>2004</v>
      </c>
      <c r="C97" s="16">
        <v>0.06</v>
      </c>
      <c r="D97" s="1">
        <v>10215286</v>
      </c>
      <c r="E97" s="29">
        <f>Table13[[#This Row],[Ávöxtun]]*Table13[[#This Row],[Eignir]]/SUMIFS(Table13[Eignir],Table13[Year],Table13[[#This Row],[Year]])</f>
        <v>8.0686018734703172E-4</v>
      </c>
      <c r="F97" s="23">
        <f>IF(B97=1997, 100, IF(COUNTIF(A$1:A96,A97)=0, "NEW", F96*(1+Table13[[#This Row],[Ávöxtun]])))</f>
        <v>142.56020756736004</v>
      </c>
      <c r="G97" s="18" cm="1">
        <f t="array" ref="G97">IFERROR(_xlfn.IFS(ISNUMBER(Table13[[#This Row],[Column3]]),Table13[[#This Row],[Column3]],Table13[[#This Row],[Column3]]="NEW",Table13[[#This Row],[Column3]]),"")</f>
        <v>142.56020756736004</v>
      </c>
      <c r="H97" s="15" cm="1">
        <f t="array" ref="H97">_xlfn.IFS(Table13[[#This Row],[Column4]]="NEW",AVERAGEIFS(Table13[Column4],Table13[Year],Table13[[#This Row],[Year]]),ISNUMBER(Table13[[#This Row],[Column4]]),Table13[[#This Row],[Column4]],Table13[[#This Row],[Column4]]="",H96*(1+Table13[[#This Row],[Ávöxtun]]))</f>
        <v>142.56020756736004</v>
      </c>
      <c r="I97" cm="1">
        <f t="array" ref="I97">_xlfn.IFS(Table13[[#This Row],[Column4]]="NEW",_xlfn.XLOOKUP(Table13[[#This Row],[Year]],$N$2:$N$27,$P$2:$P$27),ISNUMBER(Table13[[#This Row],[Column4]]),Table13[[#This Row],[Column4]],Table13[[#This Row],[Column4]]="",I96*(1+Table13[[#This Row],[Ávöxtun]]))</f>
        <v>142.56020756736004</v>
      </c>
      <c r="L97" s="33">
        <v>142.56020756736004</v>
      </c>
      <c r="M97" s="33">
        <v>142.56020756736004</v>
      </c>
    </row>
    <row r="98" spans="1:13">
      <c r="A98" t="s">
        <v>66</v>
      </c>
      <c r="B98">
        <v>2005</v>
      </c>
      <c r="C98" s="16">
        <v>7.0000000000000007E-2</v>
      </c>
      <c r="D98" s="1">
        <v>11749371</v>
      </c>
      <c r="E98" s="29">
        <f>Table13[[#This Row],[Ávöxtun]]*Table13[[#This Row],[Eignir]]/SUMIFS(Table13[Eignir],Table13[Year],Table13[[#This Row],[Year]])</f>
        <v>8.811311648051944E-4</v>
      </c>
      <c r="F98" s="23">
        <f>IF(B98=1997, 100, IF(COUNTIF(A$1:A97,A98)=0, "NEW", F97*(1+Table13[[#This Row],[Ávöxtun]])))</f>
        <v>152.53942209707526</v>
      </c>
      <c r="G98" s="18" cm="1">
        <f t="array" ref="G98">IFERROR(_xlfn.IFS(ISNUMBER(Table13[[#This Row],[Column3]]),Table13[[#This Row],[Column3]],Table13[[#This Row],[Column3]]="NEW",Table13[[#This Row],[Column3]]),"")</f>
        <v>152.53942209707526</v>
      </c>
      <c r="H98" s="15" cm="1">
        <f t="array" ref="H98">_xlfn.IFS(Table13[[#This Row],[Column4]]="NEW",AVERAGEIFS(Table13[Column4],Table13[Year],Table13[[#This Row],[Year]]),ISNUMBER(Table13[[#This Row],[Column4]]),Table13[[#This Row],[Column4]],Table13[[#This Row],[Column4]]="",H97*(1+Table13[[#This Row],[Ávöxtun]]))</f>
        <v>152.53942209707526</v>
      </c>
      <c r="I98" cm="1">
        <f t="array" ref="I98">_xlfn.IFS(Table13[[#This Row],[Column4]]="NEW",_xlfn.XLOOKUP(Table13[[#This Row],[Year]],$N$2:$N$27,$P$2:$P$27),ISNUMBER(Table13[[#This Row],[Column4]]),Table13[[#This Row],[Column4]],Table13[[#This Row],[Column4]]="",I97*(1+Table13[[#This Row],[Ávöxtun]]))</f>
        <v>152.53942209707526</v>
      </c>
      <c r="L98" s="33">
        <v>152.53942209707526</v>
      </c>
      <c r="M98" s="33">
        <v>152.53942209707526</v>
      </c>
    </row>
    <row r="99" spans="1:13">
      <c r="A99" t="s">
        <v>66</v>
      </c>
      <c r="B99">
        <v>2006</v>
      </c>
      <c r="C99" s="16">
        <v>8.77E-2</v>
      </c>
      <c r="D99" s="1">
        <v>14131890</v>
      </c>
      <c r="E99" s="29">
        <f>Table13[[#This Row],[Ávöxtun]]*Table13[[#This Row],[Eignir]]/SUMIFS(Table13[Eignir],Table13[Year],Table13[[#This Row],[Year]])</f>
        <v>1.0894457590845269E-3</v>
      </c>
      <c r="F99" s="23">
        <f>IF(B99=1997, 100, IF(COUNTIF(A$1:A98,A99)=0, "NEW", F98*(1+Table13[[#This Row],[Ávöxtun]])))</f>
        <v>165.91712941498875</v>
      </c>
      <c r="G99" s="18" cm="1">
        <f t="array" ref="G99">IFERROR(_xlfn.IFS(ISNUMBER(Table13[[#This Row],[Column3]]),Table13[[#This Row],[Column3]],Table13[[#This Row],[Column3]]="NEW",Table13[[#This Row],[Column3]]),"")</f>
        <v>165.91712941498875</v>
      </c>
      <c r="H99" s="15" cm="1">
        <f t="array" ref="H99">_xlfn.IFS(Table13[[#This Row],[Column4]]="NEW",AVERAGEIFS(Table13[Column4],Table13[Year],Table13[[#This Row],[Year]]),ISNUMBER(Table13[[#This Row],[Column4]]),Table13[[#This Row],[Column4]],Table13[[#This Row],[Column4]]="",H98*(1+Table13[[#This Row],[Ávöxtun]]))</f>
        <v>165.91712941498875</v>
      </c>
      <c r="I99" cm="1">
        <f t="array" ref="I99">_xlfn.IFS(Table13[[#This Row],[Column4]]="NEW",_xlfn.XLOOKUP(Table13[[#This Row],[Year]],$N$2:$N$27,$P$2:$P$27),ISNUMBER(Table13[[#This Row],[Column4]]),Table13[[#This Row],[Column4]],Table13[[#This Row],[Column4]]="",I98*(1+Table13[[#This Row],[Ávöxtun]]))</f>
        <v>165.91712941498875</v>
      </c>
      <c r="L99" s="33">
        <v>165.91712941498875</v>
      </c>
      <c r="M99" s="33">
        <v>165.91712941498875</v>
      </c>
    </row>
    <row r="100" spans="1:13">
      <c r="A100" t="s">
        <v>66</v>
      </c>
      <c r="B100">
        <v>2007</v>
      </c>
      <c r="C100" s="16">
        <v>1.5700000000000002E-2</v>
      </c>
      <c r="D100" s="1">
        <v>15631046</v>
      </c>
      <c r="E100" s="29">
        <f>Table13[[#This Row],[Ávöxtun]]*Table13[[#This Row],[Eignir]]/SUMIFS(Table13[Eignir],Table13[Year],Table13[[#This Row],[Year]])</f>
        <v>1.9120768032434627E-4</v>
      </c>
      <c r="F100" s="23">
        <f>IF(B100=1997, 100, IF(COUNTIF(A$1:A99,A100)=0, "NEW", F99*(1+Table13[[#This Row],[Ávöxtun]])))</f>
        <v>168.52202834680409</v>
      </c>
      <c r="G100" s="18" cm="1">
        <f t="array" ref="G100">IFERROR(_xlfn.IFS(ISNUMBER(Table13[[#This Row],[Column3]]),Table13[[#This Row],[Column3]],Table13[[#This Row],[Column3]]="NEW",Table13[[#This Row],[Column3]]),"")</f>
        <v>168.52202834680409</v>
      </c>
      <c r="H100" s="15" cm="1">
        <f t="array" ref="H100">_xlfn.IFS(Table13[[#This Row],[Column4]]="NEW",AVERAGEIFS(Table13[Column4],Table13[Year],Table13[[#This Row],[Year]]),ISNUMBER(Table13[[#This Row],[Column4]]),Table13[[#This Row],[Column4]],Table13[[#This Row],[Column4]]="",H99*(1+Table13[[#This Row],[Ávöxtun]]))</f>
        <v>168.52202834680409</v>
      </c>
      <c r="I100" cm="1">
        <f t="array" ref="I100">_xlfn.IFS(Table13[[#This Row],[Column4]]="NEW",_xlfn.XLOOKUP(Table13[[#This Row],[Year]],$N$2:$N$27,$P$2:$P$27),ISNUMBER(Table13[[#This Row],[Column4]]),Table13[[#This Row],[Column4]],Table13[[#This Row],[Column4]]="",I99*(1+Table13[[#This Row],[Ávöxtun]]))</f>
        <v>168.52202834680409</v>
      </c>
      <c r="L100" s="33">
        <v>168.52202834680409</v>
      </c>
      <c r="M100" s="33">
        <v>168.52202834680409</v>
      </c>
    </row>
    <row r="101" spans="1:13">
      <c r="A101" t="s">
        <v>66</v>
      </c>
      <c r="B101">
        <v>2008</v>
      </c>
      <c r="C101" s="16">
        <v>-0.26019999999999999</v>
      </c>
      <c r="D101" s="1">
        <v>14046610</v>
      </c>
      <c r="E101" s="29">
        <f>Table13[[#This Row],[Ávöxtun]]*Table13[[#This Row],[Eignir]]/SUMIFS(Table13[Eignir],Table13[Year],Table13[[#This Row],[Year]])</f>
        <v>-2.9499117916607074E-3</v>
      </c>
      <c r="F101" s="23">
        <f>IF(B101=1997, 100, IF(COUNTIF(A$1:A100,A101)=0, "NEW", F100*(1+Table13[[#This Row],[Ávöxtun]])))</f>
        <v>124.67259657096567</v>
      </c>
      <c r="G101" s="18" cm="1">
        <f t="array" ref="G101">IFERROR(_xlfn.IFS(ISNUMBER(Table13[[#This Row],[Column3]]),Table13[[#This Row],[Column3]],Table13[[#This Row],[Column3]]="NEW",Table13[[#This Row],[Column3]]),"")</f>
        <v>124.67259657096567</v>
      </c>
      <c r="H101" s="15" cm="1">
        <f t="array" ref="H101">_xlfn.IFS(Table13[[#This Row],[Column4]]="NEW",AVERAGEIFS(Table13[Column4],Table13[Year],Table13[[#This Row],[Year]]),ISNUMBER(Table13[[#This Row],[Column4]]),Table13[[#This Row],[Column4]],Table13[[#This Row],[Column4]]="",H100*(1+Table13[[#This Row],[Ávöxtun]]))</f>
        <v>124.67259657096567</v>
      </c>
      <c r="I101" cm="1">
        <f t="array" ref="I101">_xlfn.IFS(Table13[[#This Row],[Column4]]="NEW",_xlfn.XLOOKUP(Table13[[#This Row],[Year]],$N$2:$N$27,$P$2:$P$27),ISNUMBER(Table13[[#This Row],[Column4]]),Table13[[#This Row],[Column4]],Table13[[#This Row],[Column4]]="",I100*(1+Table13[[#This Row],[Ávöxtun]]))</f>
        <v>124.67259657096567</v>
      </c>
      <c r="L101" s="33">
        <v>124.67259657096567</v>
      </c>
      <c r="M101" s="33">
        <v>124.67259657096567</v>
      </c>
    </row>
    <row r="102" spans="1:13">
      <c r="A102" t="s">
        <v>66</v>
      </c>
      <c r="B102">
        <v>2009</v>
      </c>
      <c r="C102" s="16">
        <v>9.5999999999999992E-3</v>
      </c>
      <c r="D102" s="1">
        <v>15283515</v>
      </c>
      <c r="E102" s="29">
        <f>Table13[[#This Row],[Ávöxtun]]*Table13[[#This Row],[Eignir]]/SUMIFS(Table13[Eignir],Table13[Year],Table13[[#This Row],[Year]])</f>
        <v>1.0685296498541983E-4</v>
      </c>
      <c r="F102" s="23">
        <f>IF(B102=1997, 100, IF(COUNTIF(A$1:A101,A102)=0, "NEW", F101*(1+Table13[[#This Row],[Ávöxtun]])))</f>
        <v>125.86945349804694</v>
      </c>
      <c r="G102" s="18" cm="1">
        <f t="array" ref="G102">IFERROR(_xlfn.IFS(ISNUMBER(Table13[[#This Row],[Column3]]),Table13[[#This Row],[Column3]],Table13[[#This Row],[Column3]]="NEW",Table13[[#This Row],[Column3]]),"")</f>
        <v>125.86945349804694</v>
      </c>
      <c r="H102" s="15" cm="1">
        <f t="array" ref="H102">_xlfn.IFS(Table13[[#This Row],[Column4]]="NEW",AVERAGEIFS(Table13[Column4],Table13[Year],Table13[[#This Row],[Year]]),ISNUMBER(Table13[[#This Row],[Column4]]),Table13[[#This Row],[Column4]],Table13[[#This Row],[Column4]]="",H101*(1+Table13[[#This Row],[Ávöxtun]]))</f>
        <v>125.86945349804694</v>
      </c>
      <c r="I102" cm="1">
        <f t="array" ref="I102">_xlfn.IFS(Table13[[#This Row],[Column4]]="NEW",_xlfn.XLOOKUP(Table13[[#This Row],[Year]],$N$2:$N$27,$P$2:$P$27),ISNUMBER(Table13[[#This Row],[Column4]]),Table13[[#This Row],[Column4]],Table13[[#This Row],[Column4]]="",I101*(1+Table13[[#This Row],[Ávöxtun]]))</f>
        <v>125.86945349804694</v>
      </c>
      <c r="L102" s="33">
        <v>125.86945349804694</v>
      </c>
      <c r="M102" s="33">
        <v>125.86945349804694</v>
      </c>
    </row>
    <row r="103" spans="1:13">
      <c r="A103" t="s">
        <v>66</v>
      </c>
      <c r="B103">
        <v>2010</v>
      </c>
      <c r="C103" s="16">
        <v>4.6800000000000001E-2</v>
      </c>
      <c r="D103" s="1">
        <v>16601483</v>
      </c>
      <c r="E103" s="29">
        <f>Table13[[#This Row],[Ávöxtun]]*Table13[[#This Row],[Eignir]]/SUMIFS(Table13[Eignir],Table13[Year],Table13[[#This Row],[Year]])</f>
        <v>5.3043195305036448E-4</v>
      </c>
      <c r="F103" s="23">
        <f>IF(B103=1997, 100, IF(COUNTIF(A$1:A102,A103)=0, "NEW", F102*(1+Table13[[#This Row],[Ávöxtun]])))</f>
        <v>131.76014392175551</v>
      </c>
      <c r="G103" s="18" cm="1">
        <f t="array" ref="G103">IFERROR(_xlfn.IFS(ISNUMBER(Table13[[#This Row],[Column3]]),Table13[[#This Row],[Column3]],Table13[[#This Row],[Column3]]="NEW",Table13[[#This Row],[Column3]]),"")</f>
        <v>131.76014392175551</v>
      </c>
      <c r="H103" s="15" cm="1">
        <f t="array" ref="H103">_xlfn.IFS(Table13[[#This Row],[Column4]]="NEW",AVERAGEIFS(Table13[Column4],Table13[Year],Table13[[#This Row],[Year]]),ISNUMBER(Table13[[#This Row],[Column4]]),Table13[[#This Row],[Column4]],Table13[[#This Row],[Column4]]="",H102*(1+Table13[[#This Row],[Ávöxtun]]))</f>
        <v>131.76014392175551</v>
      </c>
      <c r="I103" cm="1">
        <f t="array" ref="I103">_xlfn.IFS(Table13[[#This Row],[Column4]]="NEW",_xlfn.XLOOKUP(Table13[[#This Row],[Year]],$N$2:$N$27,$P$2:$P$27),ISNUMBER(Table13[[#This Row],[Column4]]),Table13[[#This Row],[Column4]],Table13[[#This Row],[Column4]]="",I102*(1+Table13[[#This Row],[Ávöxtun]]))</f>
        <v>131.76014392175551</v>
      </c>
      <c r="L103" s="33">
        <v>131.76014392175551</v>
      </c>
      <c r="M103" s="33">
        <v>131.76014392175551</v>
      </c>
    </row>
    <row r="104" spans="1:13">
      <c r="A104" t="s">
        <v>66</v>
      </c>
      <c r="B104">
        <v>2011</v>
      </c>
      <c r="C104" s="16">
        <v>2.4E-2</v>
      </c>
      <c r="D104" s="1">
        <v>18212500</v>
      </c>
      <c r="E104" s="29">
        <f>Table13[[#This Row],[Ávöxtun]]*Table13[[#This Row],[Eignir]]/SUMIFS(Table13[Eignir],Table13[Year],Table13[[#This Row],[Year]])</f>
        <v>2.7527296939248232E-4</v>
      </c>
      <c r="F104" s="23">
        <f>IF(B104=1997, 100, IF(COUNTIF(A$1:A103,A104)=0, "NEW", F103*(1+Table13[[#This Row],[Ávöxtun]])))</f>
        <v>134.92238737587766</v>
      </c>
      <c r="G104" s="18" cm="1">
        <f t="array" ref="G104">IFERROR(_xlfn.IFS(ISNUMBER(Table13[[#This Row],[Column3]]),Table13[[#This Row],[Column3]],Table13[[#This Row],[Column3]]="NEW",Table13[[#This Row],[Column3]]),"")</f>
        <v>134.92238737587766</v>
      </c>
      <c r="H104" s="15" cm="1">
        <f t="array" ref="H104">_xlfn.IFS(Table13[[#This Row],[Column4]]="NEW",AVERAGEIFS(Table13[Column4],Table13[Year],Table13[[#This Row],[Year]]),ISNUMBER(Table13[[#This Row],[Column4]]),Table13[[#This Row],[Column4]],Table13[[#This Row],[Column4]]="",H103*(1+Table13[[#This Row],[Ávöxtun]]))</f>
        <v>134.92238737587766</v>
      </c>
      <c r="I104" cm="1">
        <f t="array" ref="I104">_xlfn.IFS(Table13[[#This Row],[Column4]]="NEW",_xlfn.XLOOKUP(Table13[[#This Row],[Year]],$N$2:$N$27,$P$2:$P$27),ISNUMBER(Table13[[#This Row],[Column4]]),Table13[[#This Row],[Column4]],Table13[[#This Row],[Column4]]="",I103*(1+Table13[[#This Row],[Ávöxtun]]))</f>
        <v>134.92238737587766</v>
      </c>
      <c r="L104" s="33">
        <v>134.92238737587766</v>
      </c>
      <c r="M104" s="33">
        <v>134.92238737587766</v>
      </c>
    </row>
    <row r="105" spans="1:13">
      <c r="A105" t="s">
        <v>66</v>
      </c>
      <c r="B105">
        <v>2012</v>
      </c>
      <c r="C105" s="16">
        <v>5.4000000000000006E-2</v>
      </c>
      <c r="D105" s="1">
        <v>20407313</v>
      </c>
      <c r="E105" s="29">
        <f>Table13[[#This Row],[Ávöxtun]]*Table13[[#This Row],[Eignir]]/SUMIFS(Table13[Eignir],Table13[Year],Table13[[#This Row],[Year]])</f>
        <v>6.1396924532702932E-4</v>
      </c>
      <c r="F105" s="23">
        <f>IF(B105=1997, 100, IF(COUNTIF(A$1:A104,A105)=0, "NEW", F104*(1+Table13[[#This Row],[Ávöxtun]])))</f>
        <v>142.20819629417505</v>
      </c>
      <c r="G105" s="18" cm="1">
        <f t="array" ref="G105">IFERROR(_xlfn.IFS(ISNUMBER(Table13[[#This Row],[Column3]]),Table13[[#This Row],[Column3]],Table13[[#This Row],[Column3]]="NEW",Table13[[#This Row],[Column3]]),"")</f>
        <v>142.20819629417505</v>
      </c>
      <c r="H105" s="15" cm="1">
        <f t="array" ref="H105">_xlfn.IFS(Table13[[#This Row],[Column4]]="NEW",AVERAGEIFS(Table13[Column4],Table13[Year],Table13[[#This Row],[Year]]),ISNUMBER(Table13[[#This Row],[Column4]]),Table13[[#This Row],[Column4]],Table13[[#This Row],[Column4]]="",H104*(1+Table13[[#This Row],[Ávöxtun]]))</f>
        <v>142.20819629417505</v>
      </c>
      <c r="I105" cm="1">
        <f t="array" ref="I105">_xlfn.IFS(Table13[[#This Row],[Column4]]="NEW",_xlfn.XLOOKUP(Table13[[#This Row],[Year]],$N$2:$N$27,$P$2:$P$27),ISNUMBER(Table13[[#This Row],[Column4]]),Table13[[#This Row],[Column4]],Table13[[#This Row],[Column4]]="",I104*(1+Table13[[#This Row],[Ávöxtun]]))</f>
        <v>142.20819629417505</v>
      </c>
      <c r="L105" s="33">
        <v>142.20819629417505</v>
      </c>
      <c r="M105" s="33">
        <v>142.20819629417505</v>
      </c>
    </row>
    <row r="106" spans="1:13">
      <c r="A106" t="s">
        <v>66</v>
      </c>
      <c r="B106">
        <v>2013</v>
      </c>
      <c r="C106" s="16">
        <v>9.6000000000000002E-2</v>
      </c>
      <c r="D106" s="1">
        <v>23503659</v>
      </c>
      <c r="E106" s="29">
        <f>Table13[[#This Row],[Ávöxtun]]*Table13[[#This Row],[Eignir]]/SUMIFS(Table13[Eignir],Table13[Year],Table13[[#This Row],[Year]])</f>
        <v>1.1430851279423738E-3</v>
      </c>
      <c r="F106" s="23">
        <f>IF(B106=1997, 100, IF(COUNTIF(A$1:A105,A106)=0, "NEW", F105*(1+Table13[[#This Row],[Ávöxtun]])))</f>
        <v>155.86018313841586</v>
      </c>
      <c r="G106" s="18" cm="1">
        <f t="array" ref="G106">IFERROR(_xlfn.IFS(ISNUMBER(Table13[[#This Row],[Column3]]),Table13[[#This Row],[Column3]],Table13[[#This Row],[Column3]]="NEW",Table13[[#This Row],[Column3]]),"")</f>
        <v>155.86018313841586</v>
      </c>
      <c r="H106" s="15" cm="1">
        <f t="array" ref="H106">_xlfn.IFS(Table13[[#This Row],[Column4]]="NEW",AVERAGEIFS(Table13[Column4],Table13[Year],Table13[[#This Row],[Year]]),ISNUMBER(Table13[[#This Row],[Column4]]),Table13[[#This Row],[Column4]],Table13[[#This Row],[Column4]]="",H105*(1+Table13[[#This Row],[Ávöxtun]]))</f>
        <v>155.86018313841586</v>
      </c>
      <c r="I106" cm="1">
        <f t="array" ref="I106">_xlfn.IFS(Table13[[#This Row],[Column4]]="NEW",_xlfn.XLOOKUP(Table13[[#This Row],[Year]],$N$2:$N$27,$P$2:$P$27),ISNUMBER(Table13[[#This Row],[Column4]]),Table13[[#This Row],[Column4]],Table13[[#This Row],[Column4]]="",I105*(1+Table13[[#This Row],[Ávöxtun]]))</f>
        <v>155.86018313841586</v>
      </c>
      <c r="L106" s="33">
        <v>155.86018313841586</v>
      </c>
      <c r="M106" s="33">
        <v>155.86018313841586</v>
      </c>
    </row>
    <row r="107" spans="1:13">
      <c r="A107" t="s">
        <v>66</v>
      </c>
      <c r="B107">
        <v>2014</v>
      </c>
      <c r="C107" s="16">
        <v>5.2999999999999999E-2</v>
      </c>
      <c r="D107" s="1">
        <v>25426320</v>
      </c>
      <c r="E107" s="29">
        <f>Table13[[#This Row],[Ávöxtun]]*Table13[[#This Row],[Eignir]]/SUMIFS(Table13[Eignir],Table13[Year],Table13[[#This Row],[Year]])</f>
        <v>6.260593004444356E-4</v>
      </c>
      <c r="F107" s="23">
        <f>IF(B107=1997, 100, IF(COUNTIF(A$1:A106,A107)=0, "NEW", F106*(1+Table13[[#This Row],[Ávöxtun]])))</f>
        <v>164.12077284475188</v>
      </c>
      <c r="G107" s="18" cm="1">
        <f t="array" ref="G107">IFERROR(_xlfn.IFS(ISNUMBER(Table13[[#This Row],[Column3]]),Table13[[#This Row],[Column3]],Table13[[#This Row],[Column3]]="NEW",Table13[[#This Row],[Column3]]),"")</f>
        <v>164.12077284475188</v>
      </c>
      <c r="H107" s="15" cm="1">
        <f t="array" ref="H107">_xlfn.IFS(Table13[[#This Row],[Column4]]="NEW",AVERAGEIFS(Table13[Column4],Table13[Year],Table13[[#This Row],[Year]]),ISNUMBER(Table13[[#This Row],[Column4]]),Table13[[#This Row],[Column4]],Table13[[#This Row],[Column4]]="",H106*(1+Table13[[#This Row],[Ávöxtun]]))</f>
        <v>164.12077284475188</v>
      </c>
      <c r="I107" cm="1">
        <f t="array" ref="I107">_xlfn.IFS(Table13[[#This Row],[Column4]]="NEW",_xlfn.XLOOKUP(Table13[[#This Row],[Year]],$N$2:$N$27,$P$2:$P$27),ISNUMBER(Table13[[#This Row],[Column4]]),Table13[[#This Row],[Column4]],Table13[[#This Row],[Column4]]="",I106*(1+Table13[[#This Row],[Ávöxtun]]))</f>
        <v>164.12077284475188</v>
      </c>
      <c r="L107" s="33">
        <v>164.12077284475188</v>
      </c>
      <c r="M107" s="33">
        <v>164.12077284475188</v>
      </c>
    </row>
    <row r="108" spans="1:13">
      <c r="A108" t="s">
        <v>66</v>
      </c>
      <c r="B108">
        <v>2015</v>
      </c>
      <c r="C108" s="16">
        <v>0.125</v>
      </c>
      <c r="D108" s="1">
        <v>29785809</v>
      </c>
      <c r="E108" s="29">
        <f>Table13[[#This Row],[Ávöxtun]]*Table13[[#This Row],[Eignir]]/SUMIFS(Table13[Eignir],Table13[Year],Table13[[#This Row],[Year]])</f>
        <v>1.5592946771173569E-3</v>
      </c>
      <c r="F108" s="23">
        <f>IF(B108=1997, 100, IF(COUNTIF(A$1:A107,A108)=0, "NEW", F107*(1+Table13[[#This Row],[Ávöxtun]])))</f>
        <v>184.63586945034587</v>
      </c>
      <c r="G108" s="18" cm="1">
        <f t="array" ref="G108">IFERROR(_xlfn.IFS(ISNUMBER(Table13[[#This Row],[Column3]]),Table13[[#This Row],[Column3]],Table13[[#This Row],[Column3]]="NEW",Table13[[#This Row],[Column3]]),"")</f>
        <v>184.63586945034587</v>
      </c>
      <c r="H108" s="15" cm="1">
        <f t="array" ref="H108">_xlfn.IFS(Table13[[#This Row],[Column4]]="NEW",AVERAGEIFS(Table13[Column4],Table13[Year],Table13[[#This Row],[Year]]),ISNUMBER(Table13[[#This Row],[Column4]]),Table13[[#This Row],[Column4]],Table13[[#This Row],[Column4]]="",H107*(1+Table13[[#This Row],[Ávöxtun]]))</f>
        <v>184.63586945034587</v>
      </c>
      <c r="I108" cm="1">
        <f t="array" ref="I108">_xlfn.IFS(Table13[[#This Row],[Column4]]="NEW",_xlfn.XLOOKUP(Table13[[#This Row],[Year]],$N$2:$N$27,$P$2:$P$27),ISNUMBER(Table13[[#This Row],[Column4]]),Table13[[#This Row],[Column4]],Table13[[#This Row],[Column4]]="",I107*(1+Table13[[#This Row],[Ávöxtun]]))</f>
        <v>184.63586945034587</v>
      </c>
      <c r="L108" s="33">
        <v>184.63586945034587</v>
      </c>
      <c r="M108" s="33">
        <v>184.63586945034587</v>
      </c>
    </row>
    <row r="109" spans="1:13">
      <c r="A109" t="s">
        <v>66</v>
      </c>
      <c r="B109">
        <v>2016</v>
      </c>
      <c r="C109" s="16">
        <v>-1.8500000000000003E-2</v>
      </c>
      <c r="D109" s="1">
        <v>31678771</v>
      </c>
      <c r="E109" s="29">
        <f>Table13[[#This Row],[Ávöxtun]]*Table13[[#This Row],[Eignir]]/SUMIFS(Table13[Eignir],Table13[Year],Table13[[#This Row],[Year]])</f>
        <v>-2.2471955293792447E-4</v>
      </c>
      <c r="F109" s="23">
        <f>IF(B109=1997, 100, IF(COUNTIF(A$1:A108,A109)=0, "NEW", F108*(1+Table13[[#This Row],[Ávöxtun]])))</f>
        <v>181.22010586551448</v>
      </c>
      <c r="G109" s="18" cm="1">
        <f t="array" ref="G109">IFERROR(_xlfn.IFS(ISNUMBER(Table13[[#This Row],[Column3]]),Table13[[#This Row],[Column3]],Table13[[#This Row],[Column3]]="NEW",Table13[[#This Row],[Column3]]),"")</f>
        <v>181.22010586551448</v>
      </c>
      <c r="H109" s="15" cm="1">
        <f t="array" ref="H109">_xlfn.IFS(Table13[[#This Row],[Column4]]="NEW",AVERAGEIFS(Table13[Column4],Table13[Year],Table13[[#This Row],[Year]]),ISNUMBER(Table13[[#This Row],[Column4]]),Table13[[#This Row],[Column4]],Table13[[#This Row],[Column4]]="",H108*(1+Table13[[#This Row],[Ávöxtun]]))</f>
        <v>181.22010586551448</v>
      </c>
      <c r="I109" cm="1">
        <f t="array" ref="I109">_xlfn.IFS(Table13[[#This Row],[Column4]]="NEW",_xlfn.XLOOKUP(Table13[[#This Row],[Year]],$N$2:$N$27,$P$2:$P$27),ISNUMBER(Table13[[#This Row],[Column4]]),Table13[[#This Row],[Column4]],Table13[[#This Row],[Column4]]="",I108*(1+Table13[[#This Row],[Ávöxtun]]))</f>
        <v>181.22010586551448</v>
      </c>
      <c r="L109" s="33">
        <v>181.22010586551448</v>
      </c>
      <c r="M109" s="33">
        <v>181.22010586551448</v>
      </c>
    </row>
    <row r="110" spans="1:13">
      <c r="A110" t="s">
        <v>66</v>
      </c>
      <c r="B110">
        <v>2017</v>
      </c>
      <c r="C110" s="16">
        <v>4.2000000000000003E-2</v>
      </c>
      <c r="D110" s="1">
        <v>34622341</v>
      </c>
      <c r="E110" s="29">
        <f>Table13[[#This Row],[Ávöxtun]]*Table13[[#This Row],[Eignir]]/SUMIFS(Table13[Eignir],Table13[Year],Table13[[#This Row],[Year]])</f>
        <v>5.0037096362480721E-4</v>
      </c>
      <c r="F110" s="23">
        <f>IF(B110=1997, 100, IF(COUNTIF(A$1:A109,A110)=0, "NEW", F109*(1+Table13[[#This Row],[Ávöxtun]])))</f>
        <v>188.83135031186609</v>
      </c>
      <c r="G110" s="18" cm="1">
        <f t="array" ref="G110">IFERROR(_xlfn.IFS(ISNUMBER(Table13[[#This Row],[Column3]]),Table13[[#This Row],[Column3]],Table13[[#This Row],[Column3]]="NEW",Table13[[#This Row],[Column3]]),"")</f>
        <v>188.83135031186609</v>
      </c>
      <c r="H110" s="15" cm="1">
        <f t="array" ref="H110">_xlfn.IFS(Table13[[#This Row],[Column4]]="NEW",AVERAGEIFS(Table13[Column4],Table13[Year],Table13[[#This Row],[Year]]),ISNUMBER(Table13[[#This Row],[Column4]]),Table13[[#This Row],[Column4]],Table13[[#This Row],[Column4]]="",H109*(1+Table13[[#This Row],[Ávöxtun]]))</f>
        <v>188.83135031186609</v>
      </c>
      <c r="I110" cm="1">
        <f t="array" ref="I110">_xlfn.IFS(Table13[[#This Row],[Column4]]="NEW",_xlfn.XLOOKUP(Table13[[#This Row],[Year]],$N$2:$N$27,$P$2:$P$27),ISNUMBER(Table13[[#This Row],[Column4]]),Table13[[#This Row],[Column4]],Table13[[#This Row],[Column4]]="",I109*(1+Table13[[#This Row],[Ávöxtun]]))</f>
        <v>188.83135031186609</v>
      </c>
      <c r="L110" s="33">
        <v>188.83135031186609</v>
      </c>
      <c r="M110" s="33">
        <v>188.83135031186609</v>
      </c>
    </row>
    <row r="111" spans="1:13">
      <c r="A111" t="s">
        <v>66</v>
      </c>
      <c r="B111">
        <v>2018</v>
      </c>
      <c r="C111" s="16">
        <v>1.7000000000000001E-2</v>
      </c>
      <c r="D111" s="1">
        <v>37404716</v>
      </c>
      <c r="E111" s="29">
        <f>Table13[[#This Row],[Ávöxtun]]*Table13[[#This Row],[Eignir]]/SUMIFS(Table13[Eignir],Table13[Year],Table13[[#This Row],[Year]])</f>
        <v>2.0387831181067472E-4</v>
      </c>
      <c r="F111" s="23">
        <f>IF(B111=1997, 100, IF(COUNTIF(A$1:A110,A111)=0, "NEW", F110*(1+Table13[[#This Row],[Ávöxtun]])))</f>
        <v>192.04148326716779</v>
      </c>
      <c r="G111" s="18" cm="1">
        <f t="array" ref="G111">IFERROR(_xlfn.IFS(ISNUMBER(Table13[[#This Row],[Column3]]),Table13[[#This Row],[Column3]],Table13[[#This Row],[Column3]]="NEW",Table13[[#This Row],[Column3]]),"")</f>
        <v>192.04148326716779</v>
      </c>
      <c r="H111" s="15" cm="1">
        <f t="array" ref="H111">_xlfn.IFS(Table13[[#This Row],[Column4]]="NEW",AVERAGEIFS(Table13[Column4],Table13[Year],Table13[[#This Row],[Year]]),ISNUMBER(Table13[[#This Row],[Column4]]),Table13[[#This Row],[Column4]],Table13[[#This Row],[Column4]]="",H110*(1+Table13[[#This Row],[Ávöxtun]]))</f>
        <v>192.04148326716779</v>
      </c>
      <c r="I111" cm="1">
        <f t="array" ref="I111">_xlfn.IFS(Table13[[#This Row],[Column4]]="NEW",_xlfn.XLOOKUP(Table13[[#This Row],[Year]],$N$2:$N$27,$P$2:$P$27),ISNUMBER(Table13[[#This Row],[Column4]]),Table13[[#This Row],[Column4]],Table13[[#This Row],[Column4]]="",I110*(1+Table13[[#This Row],[Ávöxtun]]))</f>
        <v>192.04148326716779</v>
      </c>
      <c r="L111" s="33">
        <v>192.04148326716779</v>
      </c>
      <c r="M111" s="33">
        <v>192.04148326716779</v>
      </c>
    </row>
    <row r="112" spans="1:13">
      <c r="A112" t="s">
        <v>66</v>
      </c>
      <c r="B112">
        <v>2019</v>
      </c>
      <c r="C112" s="16">
        <v>9.74E-2</v>
      </c>
      <c r="D112" s="1">
        <v>43590858</v>
      </c>
      <c r="E112" s="29">
        <f>Table13[[#This Row],[Ávöxtun]]*Table13[[#This Row],[Eignir]]/SUMIFS(Table13[Eignir],Table13[Year],Table13[[#This Row],[Year]])</f>
        <v>1.18714872773977E-3</v>
      </c>
      <c r="F112" s="23">
        <f>IF(B112=1997, 100, IF(COUNTIF(A$1:A111,A112)=0, "NEW", F111*(1+Table13[[#This Row],[Ávöxtun]])))</f>
        <v>210.74632373738993</v>
      </c>
      <c r="G112" s="18" cm="1">
        <f t="array" ref="G112">IFERROR(_xlfn.IFS(ISNUMBER(Table13[[#This Row],[Column3]]),Table13[[#This Row],[Column3]],Table13[[#This Row],[Column3]]="NEW",Table13[[#This Row],[Column3]]),"")</f>
        <v>210.74632373738993</v>
      </c>
      <c r="H112" s="15" cm="1">
        <f t="array" ref="H112">_xlfn.IFS(Table13[[#This Row],[Column4]]="NEW",AVERAGEIFS(Table13[Column4],Table13[Year],Table13[[#This Row],[Year]]),ISNUMBER(Table13[[#This Row],[Column4]]),Table13[[#This Row],[Column4]],Table13[[#This Row],[Column4]]="",H111*(1+Table13[[#This Row],[Ávöxtun]]))</f>
        <v>210.74632373738993</v>
      </c>
      <c r="I112" cm="1">
        <f t="array" ref="I112">_xlfn.IFS(Table13[[#This Row],[Column4]]="NEW",_xlfn.XLOOKUP(Table13[[#This Row],[Year]],$N$2:$N$27,$P$2:$P$27),ISNUMBER(Table13[[#This Row],[Column4]]),Table13[[#This Row],[Column4]],Table13[[#This Row],[Column4]]="",I111*(1+Table13[[#This Row],[Ávöxtun]]))</f>
        <v>210.74632373738993</v>
      </c>
      <c r="L112" s="33">
        <v>210.74632373738993</v>
      </c>
      <c r="M112" s="33">
        <v>210.74632373738993</v>
      </c>
    </row>
    <row r="113" spans="1:13">
      <c r="A113" t="s">
        <v>66</v>
      </c>
      <c r="B113">
        <v>2020</v>
      </c>
      <c r="C113" s="16">
        <v>8.7400000000000005E-2</v>
      </c>
      <c r="D113" s="1">
        <v>49926910</v>
      </c>
      <c r="E113" s="29">
        <f>Table13[[#This Row],[Ávöxtun]]*Table13[[#This Row],[Eignir]]/SUMIFS(Table13[Eignir],Table13[Year],Table13[[#This Row],[Year]])</f>
        <v>1.0529574231297172E-3</v>
      </c>
      <c r="F113" s="23">
        <f>IF(B113=1997, 100, IF(COUNTIF(A$1:A112,A113)=0, "NEW", F112*(1+Table13[[#This Row],[Ávöxtun]])))</f>
        <v>229.1655524320378</v>
      </c>
      <c r="G113" s="18" cm="1">
        <f t="array" ref="G113">IFERROR(_xlfn.IFS(ISNUMBER(Table13[[#This Row],[Column3]]),Table13[[#This Row],[Column3]],Table13[[#This Row],[Column3]]="NEW",Table13[[#This Row],[Column3]]),"")</f>
        <v>229.1655524320378</v>
      </c>
      <c r="H113" s="15" cm="1">
        <f t="array" ref="H113">_xlfn.IFS(Table13[[#This Row],[Column4]]="NEW",AVERAGEIFS(Table13[Column4],Table13[Year],Table13[[#This Row],[Year]]),ISNUMBER(Table13[[#This Row],[Column4]]),Table13[[#This Row],[Column4]],Table13[[#This Row],[Column4]]="",H112*(1+Table13[[#This Row],[Ávöxtun]]))</f>
        <v>229.1655524320378</v>
      </c>
      <c r="I113" cm="1">
        <f t="array" ref="I113">_xlfn.IFS(Table13[[#This Row],[Column4]]="NEW",_xlfn.XLOOKUP(Table13[[#This Row],[Year]],$N$2:$N$27,$P$2:$P$27),ISNUMBER(Table13[[#This Row],[Column4]]),Table13[[#This Row],[Column4]],Table13[[#This Row],[Column4]]="",I112*(1+Table13[[#This Row],[Ávöxtun]]))</f>
        <v>229.1655524320378</v>
      </c>
      <c r="L113" s="33">
        <v>229.1655524320378</v>
      </c>
      <c r="M113" s="33">
        <v>229.1655524320378</v>
      </c>
    </row>
    <row r="114" spans="1:13">
      <c r="A114" t="s">
        <v>66</v>
      </c>
      <c r="B114">
        <v>2021</v>
      </c>
      <c r="C114" s="16">
        <v>0.1128</v>
      </c>
      <c r="D114" s="1">
        <v>58615521</v>
      </c>
      <c r="E114" s="29">
        <f>Table13[[#This Row],[Ávöxtun]]*Table13[[#This Row],[Eignir]]/SUMIFS(Table13[Eignir],Table13[Year],Table13[[#This Row],[Year]])</f>
        <v>1.3593974245291864E-3</v>
      </c>
      <c r="F114" s="23">
        <f>IF(B114=1997, 100, IF(COUNTIF(A$1:A113,A114)=0, "NEW", F113*(1+Table13[[#This Row],[Ávöxtun]])))</f>
        <v>255.01542674637167</v>
      </c>
      <c r="G114" s="18" cm="1">
        <f t="array" ref="G114">IFERROR(_xlfn.IFS(ISNUMBER(Table13[[#This Row],[Column3]]),Table13[[#This Row],[Column3]],Table13[[#This Row],[Column3]]="NEW",Table13[[#This Row],[Column3]]),"")</f>
        <v>255.01542674637167</v>
      </c>
      <c r="H114" s="15" cm="1">
        <f t="array" ref="H114">_xlfn.IFS(Table13[[#This Row],[Column4]]="NEW",AVERAGEIFS(Table13[Column4],Table13[Year],Table13[[#This Row],[Year]]),ISNUMBER(Table13[[#This Row],[Column4]]),Table13[[#This Row],[Column4]],Table13[[#This Row],[Column4]]="",H113*(1+Table13[[#This Row],[Ávöxtun]]))</f>
        <v>255.01542674637167</v>
      </c>
      <c r="I114" cm="1">
        <f t="array" ref="I114">_xlfn.IFS(Table13[[#This Row],[Column4]]="NEW",_xlfn.XLOOKUP(Table13[[#This Row],[Year]],$N$2:$N$27,$P$2:$P$27),ISNUMBER(Table13[[#This Row],[Column4]]),Table13[[#This Row],[Column4]],Table13[[#This Row],[Column4]]="",I113*(1+Table13[[#This Row],[Ávöxtun]]))</f>
        <v>255.01542674637167</v>
      </c>
      <c r="L114" s="33">
        <v>255.01542674637167</v>
      </c>
      <c r="M114" s="33">
        <v>255.01542674637167</v>
      </c>
    </row>
    <row r="115" spans="1:13">
      <c r="A115" t="s">
        <v>67</v>
      </c>
      <c r="B115">
        <v>1997</v>
      </c>
      <c r="C115" s="16">
        <v>0.05</v>
      </c>
      <c r="D115" s="1">
        <v>352682.32</v>
      </c>
      <c r="E115" s="29">
        <f>Table13[[#This Row],[Ávöxtun]]*Table13[[#This Row],[Eignir]]/SUMIFS(Table13[Eignir],Table13[Year],Table13[[#This Row],[Year]])</f>
        <v>6.1796957590445811E-5</v>
      </c>
      <c r="F115" s="23">
        <f>IF(B115=1997, 100, IF(COUNTIF(A$1:A114,A115)=0, "NEW", F114*(1+Table13[[#This Row],[Ávöxtun]])))</f>
        <v>100</v>
      </c>
      <c r="G115" s="18" cm="1">
        <f t="array" ref="G115">IFERROR(_xlfn.IFS(ISNUMBER(Table13[[#This Row],[Column3]]),Table13[[#This Row],[Column3]],Table13[[#This Row],[Column3]]="NEW",Table13[[#This Row],[Column3]]),"")</f>
        <v>100</v>
      </c>
      <c r="H115" s="15" cm="1">
        <f t="array" ref="H115">_xlfn.IFS(Table13[[#This Row],[Column4]]="NEW",AVERAGEIFS(Table13[Column4],Table13[Year],Table13[[#This Row],[Year]]),ISNUMBER(Table13[[#This Row],[Column4]]),Table13[[#This Row],[Column4]],Table13[[#This Row],[Column4]]="",H114*(1+Table13[[#This Row],[Ávöxtun]]))</f>
        <v>100</v>
      </c>
      <c r="I115" cm="1">
        <f t="array" ref="I115">_xlfn.IFS(Table13[[#This Row],[Column4]]="NEW",_xlfn.XLOOKUP(Table13[[#This Row],[Year]],$N$2:$N$27,$P$2:$P$27),ISNUMBER(Table13[[#This Row],[Column4]]),Table13[[#This Row],[Column4]],Table13[[#This Row],[Column4]]="",I114*(1+Table13[[#This Row],[Ávöxtun]]))</f>
        <v>100</v>
      </c>
      <c r="L115" s="33">
        <v>100</v>
      </c>
      <c r="M115" s="33">
        <v>100</v>
      </c>
    </row>
    <row r="116" spans="1:13">
      <c r="A116" t="s">
        <v>67</v>
      </c>
      <c r="B116">
        <v>1998</v>
      </c>
      <c r="C116" s="16">
        <v>0.06</v>
      </c>
      <c r="D116" s="1">
        <v>381285.82</v>
      </c>
      <c r="E116" s="29">
        <f>Table13[[#This Row],[Ávöxtun]]*Table13[[#This Row],[Eignir]]/SUMIFS(Table13[Eignir],Table13[Year],Table13[[#This Row],[Year]])</f>
        <v>6.9220144114658824E-5</v>
      </c>
      <c r="F116" s="23">
        <f>IF(B116=1997, 100, IF(COUNTIF(A$1:A115,A116)=0, "NEW", F115*(1+Table13[[#This Row],[Ávöxtun]])))</f>
        <v>106</v>
      </c>
      <c r="G116" s="18" cm="1">
        <f t="array" ref="G116">IFERROR(_xlfn.IFS(ISNUMBER(Table13[[#This Row],[Column3]]),Table13[[#This Row],[Column3]],Table13[[#This Row],[Column3]]="NEW",Table13[[#This Row],[Column3]]),"")</f>
        <v>106</v>
      </c>
      <c r="H116" s="15" cm="1">
        <f t="array" ref="H116">_xlfn.IFS(Table13[[#This Row],[Column4]]="NEW",AVERAGEIFS(Table13[Column4],Table13[Year],Table13[[#This Row],[Year]]),ISNUMBER(Table13[[#This Row],[Column4]]),Table13[[#This Row],[Column4]],Table13[[#This Row],[Column4]]="",H115*(1+Table13[[#This Row],[Ávöxtun]]))</f>
        <v>106</v>
      </c>
      <c r="I116" cm="1">
        <f t="array" ref="I116">_xlfn.IFS(Table13[[#This Row],[Column4]]="NEW",_xlfn.XLOOKUP(Table13[[#This Row],[Year]],$N$2:$N$27,$P$2:$P$27),ISNUMBER(Table13[[#This Row],[Column4]]),Table13[[#This Row],[Column4]],Table13[[#This Row],[Column4]]="",I115*(1+Table13[[#This Row],[Ávöxtun]]))</f>
        <v>106</v>
      </c>
      <c r="L116" s="33">
        <v>106</v>
      </c>
      <c r="M116" s="33">
        <v>106</v>
      </c>
    </row>
    <row r="117" spans="1:13">
      <c r="A117" t="s">
        <v>67</v>
      </c>
      <c r="B117">
        <v>1999</v>
      </c>
      <c r="C117" s="16">
        <v>0.06</v>
      </c>
      <c r="D117" s="1">
        <v>450997.77</v>
      </c>
      <c r="E117" s="29">
        <f>Table13[[#This Row],[Ávöxtun]]*Table13[[#This Row],[Eignir]]/SUMIFS(Table13[Eignir],Table13[Year],Table13[[#This Row],[Year]])</f>
        <v>6.095607600788183E-5</v>
      </c>
      <c r="F117" s="23">
        <f>IF(B117=1997, 100, IF(COUNTIF(A$1:A116,A117)=0, "NEW", F116*(1+Table13[[#This Row],[Ávöxtun]])))</f>
        <v>112.36</v>
      </c>
      <c r="G117" s="18" cm="1">
        <f t="array" ref="G117">IFERROR(_xlfn.IFS(ISNUMBER(Table13[[#This Row],[Column3]]),Table13[[#This Row],[Column3]],Table13[[#This Row],[Column3]]="NEW",Table13[[#This Row],[Column3]]),"")</f>
        <v>112.36</v>
      </c>
      <c r="H117" s="15" cm="1">
        <f t="array" ref="H117">_xlfn.IFS(Table13[[#This Row],[Column4]]="NEW",AVERAGEIFS(Table13[Column4],Table13[Year],Table13[[#This Row],[Year]]),ISNUMBER(Table13[[#This Row],[Column4]]),Table13[[#This Row],[Column4]],Table13[[#This Row],[Column4]]="",H116*(1+Table13[[#This Row],[Ávöxtun]]))</f>
        <v>112.36</v>
      </c>
      <c r="I117" cm="1">
        <f t="array" ref="I117">_xlfn.IFS(Table13[[#This Row],[Column4]]="NEW",_xlfn.XLOOKUP(Table13[[#This Row],[Year]],$N$2:$N$27,$P$2:$P$27),ISNUMBER(Table13[[#This Row],[Column4]]),Table13[[#This Row],[Column4]],Table13[[#This Row],[Column4]]="",I116*(1+Table13[[#This Row],[Ávöxtun]]))</f>
        <v>112.36</v>
      </c>
      <c r="L117" s="33">
        <v>112.36</v>
      </c>
      <c r="M117" s="33">
        <v>112.36</v>
      </c>
    </row>
    <row r="118" spans="1:13">
      <c r="A118" t="s">
        <v>67</v>
      </c>
      <c r="B118">
        <v>2000</v>
      </c>
      <c r="C118" s="16">
        <v>0</v>
      </c>
      <c r="D118" s="1">
        <v>469089.31</v>
      </c>
      <c r="E118" s="29">
        <f>Table13[[#This Row],[Ávöxtun]]*Table13[[#This Row],[Eignir]]/SUMIFS(Table13[Eignir],Table13[Year],Table13[[#This Row],[Year]])</f>
        <v>0</v>
      </c>
      <c r="F118" s="23">
        <f>IF(B118=1997, 100, IF(COUNTIF(A$1:A117,A118)=0, "NEW", F117*(1+Table13[[#This Row],[Ávöxtun]])))</f>
        <v>112.36</v>
      </c>
      <c r="G118" s="18" cm="1">
        <f t="array" ref="G118">IFERROR(_xlfn.IFS(ISNUMBER(Table13[[#This Row],[Column3]]),Table13[[#This Row],[Column3]],Table13[[#This Row],[Column3]]="NEW",Table13[[#This Row],[Column3]]),"")</f>
        <v>112.36</v>
      </c>
      <c r="H118" s="15" cm="1">
        <f t="array" ref="H118">_xlfn.IFS(Table13[[#This Row],[Column4]]="NEW",AVERAGEIFS(Table13[Column4],Table13[Year],Table13[[#This Row],[Year]]),ISNUMBER(Table13[[#This Row],[Column4]]),Table13[[#This Row],[Column4]],Table13[[#This Row],[Column4]]="",H117*(1+Table13[[#This Row],[Ávöxtun]]))</f>
        <v>112.36</v>
      </c>
      <c r="I118" cm="1">
        <f t="array" ref="I118">_xlfn.IFS(Table13[[#This Row],[Column4]]="NEW",_xlfn.XLOOKUP(Table13[[#This Row],[Year]],$N$2:$N$27,$P$2:$P$27),ISNUMBER(Table13[[#This Row],[Column4]]),Table13[[#This Row],[Column4]],Table13[[#This Row],[Column4]]="",I117*(1+Table13[[#This Row],[Ávöxtun]]))</f>
        <v>112.36</v>
      </c>
      <c r="L118" s="33">
        <v>112.36</v>
      </c>
      <c r="M118" s="33">
        <v>112.36</v>
      </c>
    </row>
    <row r="119" spans="1:13">
      <c r="A119" t="s">
        <v>67</v>
      </c>
      <c r="B119">
        <v>2001</v>
      </c>
      <c r="C119" s="16">
        <v>-0.02</v>
      </c>
      <c r="D119" s="1">
        <v>503671</v>
      </c>
      <c r="E119" s="29">
        <f>Table13[[#This Row],[Ávöxtun]]*Table13[[#This Row],[Eignir]]/SUMIFS(Table13[Eignir],Table13[Year],Table13[[#This Row],[Year]])</f>
        <v>-1.0481785133047239E-5</v>
      </c>
      <c r="F119" s="23">
        <f>IF(B119=1997, 100, IF(COUNTIF(A$1:A118,A119)=0, "NEW", F118*(1+Table13[[#This Row],[Ávöxtun]])))</f>
        <v>110.11279999999999</v>
      </c>
      <c r="G119" s="18" cm="1">
        <f t="array" ref="G119">IFERROR(_xlfn.IFS(ISNUMBER(Table13[[#This Row],[Column3]]),Table13[[#This Row],[Column3]],Table13[[#This Row],[Column3]]="NEW",Table13[[#This Row],[Column3]]),"")</f>
        <v>110.11279999999999</v>
      </c>
      <c r="H119" s="15" cm="1">
        <f t="array" ref="H119">_xlfn.IFS(Table13[[#This Row],[Column4]]="NEW",AVERAGEIFS(Table13[Column4],Table13[Year],Table13[[#This Row],[Year]]),ISNUMBER(Table13[[#This Row],[Column4]]),Table13[[#This Row],[Column4]],Table13[[#This Row],[Column4]]="",H118*(1+Table13[[#This Row],[Ávöxtun]]))</f>
        <v>110.11279999999999</v>
      </c>
      <c r="I119" cm="1">
        <f t="array" ref="I119">_xlfn.IFS(Table13[[#This Row],[Column4]]="NEW",_xlfn.XLOOKUP(Table13[[#This Row],[Year]],$N$2:$N$27,$P$2:$P$27),ISNUMBER(Table13[[#This Row],[Column4]]),Table13[[#This Row],[Column4]],Table13[[#This Row],[Column4]]="",I118*(1+Table13[[#This Row],[Ávöxtun]]))</f>
        <v>110.11279999999999</v>
      </c>
      <c r="L119" s="33">
        <v>110.11279999999999</v>
      </c>
      <c r="M119" s="33">
        <v>110.11279999999999</v>
      </c>
    </row>
    <row r="120" spans="1:13">
      <c r="A120" t="s">
        <v>67</v>
      </c>
      <c r="B120">
        <v>2002</v>
      </c>
      <c r="C120" s="16">
        <v>-0.04</v>
      </c>
      <c r="D120" s="1">
        <v>494839</v>
      </c>
      <c r="E120" s="29">
        <f>Table13[[#This Row],[Ávöxtun]]*Table13[[#This Row],[Eignir]]/SUMIFS(Table13[Eignir],Table13[Year],Table13[[#This Row],[Year]])</f>
        <v>-3.7144347682975064E-5</v>
      </c>
      <c r="F120" s="23">
        <f>IF(B120=1997, 100, IF(COUNTIF(A$1:A119,A120)=0, "NEW", F119*(1+Table13[[#This Row],[Ávöxtun]])))</f>
        <v>105.708288</v>
      </c>
      <c r="G120" s="18" cm="1">
        <f t="array" ref="G120">IFERROR(_xlfn.IFS(ISNUMBER(Table13[[#This Row],[Column3]]),Table13[[#This Row],[Column3]],Table13[[#This Row],[Column3]]="NEW",Table13[[#This Row],[Column3]]),"")</f>
        <v>105.708288</v>
      </c>
      <c r="H120" s="15" cm="1">
        <f t="array" ref="H120">_xlfn.IFS(Table13[[#This Row],[Column4]]="NEW",AVERAGEIFS(Table13[Column4],Table13[Year],Table13[[#This Row],[Year]]),ISNUMBER(Table13[[#This Row],[Column4]]),Table13[[#This Row],[Column4]],Table13[[#This Row],[Column4]]="",H119*(1+Table13[[#This Row],[Ávöxtun]]))</f>
        <v>105.708288</v>
      </c>
      <c r="I120" cm="1">
        <f t="array" ref="I120">_xlfn.IFS(Table13[[#This Row],[Column4]]="NEW",_xlfn.XLOOKUP(Table13[[#This Row],[Year]],$N$2:$N$27,$P$2:$P$27),ISNUMBER(Table13[[#This Row],[Column4]]),Table13[[#This Row],[Column4]],Table13[[#This Row],[Column4]]="",I119*(1+Table13[[#This Row],[Ávöxtun]]))</f>
        <v>105.708288</v>
      </c>
      <c r="L120" s="33">
        <v>105.708288</v>
      </c>
      <c r="M120" s="33">
        <v>105.708288</v>
      </c>
    </row>
    <row r="121" spans="1:13">
      <c r="A121" t="s">
        <v>67</v>
      </c>
      <c r="B121">
        <v>2003</v>
      </c>
      <c r="C121" s="16">
        <v>0.08</v>
      </c>
      <c r="D121" s="1">
        <v>553008</v>
      </c>
      <c r="E121" s="29">
        <f>Table13[[#This Row],[Ávöxtun]]*Table13[[#This Row],[Eignir]]/SUMIFS(Table13[Eignir],Table13[Year],Table13[[#This Row],[Year]])</f>
        <v>6.9365348291486957E-5</v>
      </c>
      <c r="F121" s="23">
        <f>IF(B121=1997, 100, IF(COUNTIF(A$1:A120,A121)=0, "NEW", F120*(1+Table13[[#This Row],[Ávöxtun]])))</f>
        <v>114.16495104000001</v>
      </c>
      <c r="G121" s="18" cm="1">
        <f t="array" ref="G121">IFERROR(_xlfn.IFS(ISNUMBER(Table13[[#This Row],[Column3]]),Table13[[#This Row],[Column3]],Table13[[#This Row],[Column3]]="NEW",Table13[[#This Row],[Column3]]),"")</f>
        <v>114.16495104000001</v>
      </c>
      <c r="H121" s="15" cm="1">
        <f t="array" ref="H121">_xlfn.IFS(Table13[[#This Row],[Column4]]="NEW",AVERAGEIFS(Table13[Column4],Table13[Year],Table13[[#This Row],[Year]]),ISNUMBER(Table13[[#This Row],[Column4]]),Table13[[#This Row],[Column4]],Table13[[#This Row],[Column4]]="",H120*(1+Table13[[#This Row],[Ávöxtun]]))</f>
        <v>114.16495104000001</v>
      </c>
      <c r="I121" cm="1">
        <f t="array" ref="I121">_xlfn.IFS(Table13[[#This Row],[Column4]]="NEW",_xlfn.XLOOKUP(Table13[[#This Row],[Year]],$N$2:$N$27,$P$2:$P$27),ISNUMBER(Table13[[#This Row],[Column4]]),Table13[[#This Row],[Column4]],Table13[[#This Row],[Column4]]="",I120*(1+Table13[[#This Row],[Ávöxtun]]))</f>
        <v>114.16495104000001</v>
      </c>
      <c r="L121" s="33">
        <v>114.16495104000001</v>
      </c>
      <c r="M121" s="33">
        <v>114.16495104000001</v>
      </c>
    </row>
    <row r="122" spans="1:13">
      <c r="A122" t="s">
        <v>67</v>
      </c>
      <c r="B122">
        <v>2004</v>
      </c>
      <c r="C122" s="16">
        <v>0.06</v>
      </c>
      <c r="D122" s="1">
        <v>610446</v>
      </c>
      <c r="E122" s="29">
        <f>Table13[[#This Row],[Ávöxtun]]*Table13[[#This Row],[Eignir]]/SUMIFS(Table13[Eignir],Table13[Year],Table13[[#This Row],[Year]])</f>
        <v>4.8216425259679088E-5</v>
      </c>
      <c r="F122" s="23">
        <f>IF(B122=1997, 100, IF(COUNTIF(A$1:A121,A122)=0, "NEW", F121*(1+Table13[[#This Row],[Ávöxtun]])))</f>
        <v>121.01484810240001</v>
      </c>
      <c r="G122" s="18" cm="1">
        <f t="array" ref="G122">IFERROR(_xlfn.IFS(ISNUMBER(Table13[[#This Row],[Column3]]),Table13[[#This Row],[Column3]],Table13[[#This Row],[Column3]]="NEW",Table13[[#This Row],[Column3]]),"")</f>
        <v>121.01484810240001</v>
      </c>
      <c r="H122" s="15" cm="1">
        <f t="array" ref="H122">_xlfn.IFS(Table13[[#This Row],[Column4]]="NEW",AVERAGEIFS(Table13[Column4],Table13[Year],Table13[[#This Row],[Year]]),ISNUMBER(Table13[[#This Row],[Column4]]),Table13[[#This Row],[Column4]],Table13[[#This Row],[Column4]]="",H121*(1+Table13[[#This Row],[Ávöxtun]]))</f>
        <v>121.01484810240001</v>
      </c>
      <c r="I122" cm="1">
        <f t="array" ref="I122">_xlfn.IFS(Table13[[#This Row],[Column4]]="NEW",_xlfn.XLOOKUP(Table13[[#This Row],[Year]],$N$2:$N$27,$P$2:$P$27),ISNUMBER(Table13[[#This Row],[Column4]]),Table13[[#This Row],[Column4]],Table13[[#This Row],[Column4]]="",I121*(1+Table13[[#This Row],[Ávöxtun]]))</f>
        <v>121.01484810240001</v>
      </c>
      <c r="L122" s="33">
        <v>121.01484810240001</v>
      </c>
      <c r="M122" s="33">
        <v>121.01484810240001</v>
      </c>
    </row>
    <row r="123" spans="1:13">
      <c r="A123" t="s">
        <v>67</v>
      </c>
      <c r="B123">
        <v>2005</v>
      </c>
      <c r="C123" s="16">
        <v>0.08</v>
      </c>
      <c r="D123" s="1">
        <v>683879</v>
      </c>
      <c r="E123" s="29">
        <f>Table13[[#This Row],[Ávöxtun]]*Table13[[#This Row],[Eignir]]/SUMIFS(Table13[Eignir],Table13[Year],Table13[[#This Row],[Year]])</f>
        <v>5.8613433116018259E-5</v>
      </c>
      <c r="F123" s="23">
        <f>IF(B123=1997, 100, IF(COUNTIF(A$1:A122,A123)=0, "NEW", F122*(1+Table13[[#This Row],[Ávöxtun]])))</f>
        <v>130.69603595059201</v>
      </c>
      <c r="G123" s="18" cm="1">
        <f t="array" ref="G123">IFERROR(_xlfn.IFS(ISNUMBER(Table13[[#This Row],[Column3]]),Table13[[#This Row],[Column3]],Table13[[#This Row],[Column3]]="NEW",Table13[[#This Row],[Column3]]),"")</f>
        <v>130.69603595059201</v>
      </c>
      <c r="H123" s="15" cm="1">
        <f t="array" ref="H123">_xlfn.IFS(Table13[[#This Row],[Column4]]="NEW",AVERAGEIFS(Table13[Column4],Table13[Year],Table13[[#This Row],[Year]]),ISNUMBER(Table13[[#This Row],[Column4]]),Table13[[#This Row],[Column4]],Table13[[#This Row],[Column4]]="",H122*(1+Table13[[#This Row],[Ávöxtun]]))</f>
        <v>130.69603595059201</v>
      </c>
      <c r="I123" cm="1">
        <f t="array" ref="I123">_xlfn.IFS(Table13[[#This Row],[Column4]]="NEW",_xlfn.XLOOKUP(Table13[[#This Row],[Year]],$N$2:$N$27,$P$2:$P$27),ISNUMBER(Table13[[#This Row],[Column4]]),Table13[[#This Row],[Column4]],Table13[[#This Row],[Column4]]="",I122*(1+Table13[[#This Row],[Ávöxtun]]))</f>
        <v>130.69603595059201</v>
      </c>
      <c r="L123" s="33">
        <v>130.69603595059201</v>
      </c>
      <c r="M123" s="33">
        <v>130.69603595059201</v>
      </c>
    </row>
    <row r="124" spans="1:13">
      <c r="A124" t="s">
        <v>67</v>
      </c>
      <c r="B124">
        <v>2006</v>
      </c>
      <c r="C124" s="16">
        <v>9.69E-2</v>
      </c>
      <c r="D124" s="1">
        <v>803064</v>
      </c>
      <c r="E124" s="29">
        <f>Table13[[#This Row],[Ávöxtun]]*Table13[[#This Row],[Eignir]]/SUMIFS(Table13[Eignir],Table13[Year],Table13[[#This Row],[Year]])</f>
        <v>6.8403717646940885E-5</v>
      </c>
      <c r="F124" s="23">
        <f>IF(B124=1997, 100, IF(COUNTIF(A$1:A123,A124)=0, "NEW", F123*(1+Table13[[#This Row],[Ávöxtun]])))</f>
        <v>143.36048183420436</v>
      </c>
      <c r="G124" s="18" cm="1">
        <f t="array" ref="G124">IFERROR(_xlfn.IFS(ISNUMBER(Table13[[#This Row],[Column3]]),Table13[[#This Row],[Column3]],Table13[[#This Row],[Column3]]="NEW",Table13[[#This Row],[Column3]]),"")</f>
        <v>143.36048183420436</v>
      </c>
      <c r="H124" s="15" cm="1">
        <f t="array" ref="H124">_xlfn.IFS(Table13[[#This Row],[Column4]]="NEW",AVERAGEIFS(Table13[Column4],Table13[Year],Table13[[#This Row],[Year]]),ISNUMBER(Table13[[#This Row],[Column4]]),Table13[[#This Row],[Column4]],Table13[[#This Row],[Column4]]="",H123*(1+Table13[[#This Row],[Ávöxtun]]))</f>
        <v>143.36048183420436</v>
      </c>
      <c r="I124" cm="1">
        <f t="array" ref="I124">_xlfn.IFS(Table13[[#This Row],[Column4]]="NEW",_xlfn.XLOOKUP(Table13[[#This Row],[Year]],$N$2:$N$27,$P$2:$P$27),ISNUMBER(Table13[[#This Row],[Column4]]),Table13[[#This Row],[Column4]],Table13[[#This Row],[Column4]]="",I123*(1+Table13[[#This Row],[Ávöxtun]]))</f>
        <v>143.36048183420436</v>
      </c>
      <c r="L124" s="33">
        <v>143.36048183420436</v>
      </c>
      <c r="M124" s="33">
        <v>143.36048183420436</v>
      </c>
    </row>
    <row r="125" spans="1:13">
      <c r="A125" t="s">
        <v>67</v>
      </c>
      <c r="B125">
        <v>2007</v>
      </c>
      <c r="C125" s="16">
        <v>5.9299999999999999E-2</v>
      </c>
      <c r="D125" s="1">
        <v>2238036</v>
      </c>
      <c r="E125" s="29">
        <f>Table13[[#This Row],[Ávöxtun]]*Table13[[#This Row],[Eignir]]/SUMIFS(Table13[Eignir],Table13[Year],Table13[[#This Row],[Year]])</f>
        <v>1.0340449088549632E-4</v>
      </c>
      <c r="F125" s="23">
        <f>IF(B125=1997, 100, IF(COUNTIF(A$1:A124,A125)=0, "NEW", F124*(1+Table13[[#This Row],[Ávöxtun]])))</f>
        <v>151.86175840697268</v>
      </c>
      <c r="G125" s="18" cm="1">
        <f t="array" ref="G125">IFERROR(_xlfn.IFS(ISNUMBER(Table13[[#This Row],[Column3]]),Table13[[#This Row],[Column3]],Table13[[#This Row],[Column3]]="NEW",Table13[[#This Row],[Column3]]),"")</f>
        <v>151.86175840697268</v>
      </c>
      <c r="H125" s="15" cm="1">
        <f t="array" ref="H125">_xlfn.IFS(Table13[[#This Row],[Column4]]="NEW",AVERAGEIFS(Table13[Column4],Table13[Year],Table13[[#This Row],[Year]]),ISNUMBER(Table13[[#This Row],[Column4]]),Table13[[#This Row],[Column4]],Table13[[#This Row],[Column4]]="",H124*(1+Table13[[#This Row],[Ávöxtun]]))</f>
        <v>151.86175840697268</v>
      </c>
      <c r="I125" cm="1">
        <f t="array" ref="I125">_xlfn.IFS(Table13[[#This Row],[Column4]]="NEW",_xlfn.XLOOKUP(Table13[[#This Row],[Year]],$N$2:$N$27,$P$2:$P$27),ISNUMBER(Table13[[#This Row],[Column4]]),Table13[[#This Row],[Column4]],Table13[[#This Row],[Column4]]="",I124*(1+Table13[[#This Row],[Ávöxtun]]))</f>
        <v>151.86175840697268</v>
      </c>
      <c r="L125" s="33">
        <v>151.86175840697268</v>
      </c>
      <c r="M125" s="33">
        <v>151.86175840697268</v>
      </c>
    </row>
    <row r="126" spans="1:13">
      <c r="A126" t="s">
        <v>67</v>
      </c>
      <c r="B126">
        <v>2008</v>
      </c>
      <c r="C126" s="16">
        <v>-3.3300000000000003E-2</v>
      </c>
      <c r="D126" s="1">
        <v>2472134</v>
      </c>
      <c r="E126" s="29">
        <f>Table13[[#This Row],[Ávöxtun]]*Table13[[#This Row],[Eignir]]/SUMIFS(Table13[Eignir],Table13[Year],Table13[[#This Row],[Year]])</f>
        <v>-6.6442574841454356E-5</v>
      </c>
      <c r="F126" s="23">
        <f>IF(B126=1997, 100, IF(COUNTIF(A$1:A125,A126)=0, "NEW", F125*(1+Table13[[#This Row],[Ávöxtun]])))</f>
        <v>146.8047618520205</v>
      </c>
      <c r="G126" s="18" cm="1">
        <f t="array" ref="G126">IFERROR(_xlfn.IFS(ISNUMBER(Table13[[#This Row],[Column3]]),Table13[[#This Row],[Column3]],Table13[[#This Row],[Column3]]="NEW",Table13[[#This Row],[Column3]]),"")</f>
        <v>146.8047618520205</v>
      </c>
      <c r="H126" s="15" cm="1">
        <f t="array" ref="H126">_xlfn.IFS(Table13[[#This Row],[Column4]]="NEW",AVERAGEIFS(Table13[Column4],Table13[Year],Table13[[#This Row],[Year]]),ISNUMBER(Table13[[#This Row],[Column4]]),Table13[[#This Row],[Column4]],Table13[[#This Row],[Column4]]="",H125*(1+Table13[[#This Row],[Ávöxtun]]))</f>
        <v>146.8047618520205</v>
      </c>
      <c r="I126" cm="1">
        <f t="array" ref="I126">_xlfn.IFS(Table13[[#This Row],[Column4]]="NEW",_xlfn.XLOOKUP(Table13[[#This Row],[Year]],$N$2:$N$27,$P$2:$P$27),ISNUMBER(Table13[[#This Row],[Column4]]),Table13[[#This Row],[Column4]],Table13[[#This Row],[Column4]]="",I125*(1+Table13[[#This Row],[Ávöxtun]]))</f>
        <v>146.8047618520205</v>
      </c>
      <c r="L126" s="33">
        <v>146.8047618520205</v>
      </c>
      <c r="M126" s="33">
        <v>146.8047618520205</v>
      </c>
    </row>
    <row r="127" spans="1:13">
      <c r="A127" t="s">
        <v>67</v>
      </c>
      <c r="B127">
        <v>2009</v>
      </c>
      <c r="C127" s="16">
        <v>2.3599999999999999E-2</v>
      </c>
      <c r="D127" s="1">
        <v>2820276</v>
      </c>
      <c r="E127" s="29">
        <f>Table13[[#This Row],[Ávöxtun]]*Table13[[#This Row],[Eignir]]/SUMIFS(Table13[Eignir],Table13[Year],Table13[[#This Row],[Year]])</f>
        <v>4.847253262735475E-5</v>
      </c>
      <c r="F127" s="23">
        <f>IF(B127=1997, 100, IF(COUNTIF(A$1:A126,A127)=0, "NEW", F126*(1+Table13[[#This Row],[Ávöxtun]])))</f>
        <v>150.26935423172819</v>
      </c>
      <c r="G127" s="18" cm="1">
        <f t="array" ref="G127">IFERROR(_xlfn.IFS(ISNUMBER(Table13[[#This Row],[Column3]]),Table13[[#This Row],[Column3]],Table13[[#This Row],[Column3]]="NEW",Table13[[#This Row],[Column3]]),"")</f>
        <v>150.26935423172819</v>
      </c>
      <c r="H127" s="15" cm="1">
        <f t="array" ref="H127">_xlfn.IFS(Table13[[#This Row],[Column4]]="NEW",AVERAGEIFS(Table13[Column4],Table13[Year],Table13[[#This Row],[Year]]),ISNUMBER(Table13[[#This Row],[Column4]]),Table13[[#This Row],[Column4]],Table13[[#This Row],[Column4]]="",H126*(1+Table13[[#This Row],[Ávöxtun]]))</f>
        <v>150.26935423172819</v>
      </c>
      <c r="I127" cm="1">
        <f t="array" ref="I127">_xlfn.IFS(Table13[[#This Row],[Column4]]="NEW",_xlfn.XLOOKUP(Table13[[#This Row],[Year]],$N$2:$N$27,$P$2:$P$27),ISNUMBER(Table13[[#This Row],[Column4]]),Table13[[#This Row],[Column4]],Table13[[#This Row],[Column4]]="",I126*(1+Table13[[#This Row],[Ávöxtun]]))</f>
        <v>150.26935423172819</v>
      </c>
      <c r="L127" s="33">
        <v>150.26935423172819</v>
      </c>
      <c r="M127" s="33">
        <v>150.26935423172819</v>
      </c>
    </row>
    <row r="128" spans="1:13">
      <c r="A128" t="s">
        <v>67</v>
      </c>
      <c r="B128">
        <v>2010</v>
      </c>
      <c r="C128" s="16">
        <v>3.3000000000000002E-2</v>
      </c>
      <c r="D128" s="1">
        <v>2910176</v>
      </c>
      <c r="E128" s="29">
        <f>Table13[[#This Row],[Ávöxtun]]*Table13[[#This Row],[Eignir]]/SUMIFS(Table13[Eignir],Table13[Year],Table13[[#This Row],[Year]])</f>
        <v>6.5564708476156997E-5</v>
      </c>
      <c r="F128" s="23">
        <f>IF(B128=1997, 100, IF(COUNTIF(A$1:A127,A128)=0, "NEW", F127*(1+Table13[[#This Row],[Ávöxtun]])))</f>
        <v>155.2282429213752</v>
      </c>
      <c r="G128" s="18" cm="1">
        <f t="array" ref="G128">IFERROR(_xlfn.IFS(ISNUMBER(Table13[[#This Row],[Column3]]),Table13[[#This Row],[Column3]],Table13[[#This Row],[Column3]]="NEW",Table13[[#This Row],[Column3]]),"")</f>
        <v>155.2282429213752</v>
      </c>
      <c r="H128" s="15" cm="1">
        <f t="array" ref="H128">_xlfn.IFS(Table13[[#This Row],[Column4]]="NEW",AVERAGEIFS(Table13[Column4],Table13[Year],Table13[[#This Row],[Year]]),ISNUMBER(Table13[[#This Row],[Column4]]),Table13[[#This Row],[Column4]],Table13[[#This Row],[Column4]]="",H127*(1+Table13[[#This Row],[Ávöxtun]]))</f>
        <v>155.2282429213752</v>
      </c>
      <c r="I128" cm="1">
        <f t="array" ref="I128">_xlfn.IFS(Table13[[#This Row],[Column4]]="NEW",_xlfn.XLOOKUP(Table13[[#This Row],[Year]],$N$2:$N$27,$P$2:$P$27),ISNUMBER(Table13[[#This Row],[Column4]]),Table13[[#This Row],[Column4]],Table13[[#This Row],[Column4]]="",I127*(1+Table13[[#This Row],[Ávöxtun]]))</f>
        <v>155.2282429213752</v>
      </c>
      <c r="L128" s="33">
        <v>155.2282429213752</v>
      </c>
      <c r="M128" s="33">
        <v>155.2282429213752</v>
      </c>
    </row>
    <row r="129" spans="1:13">
      <c r="A129" t="s">
        <v>67</v>
      </c>
      <c r="B129">
        <v>2011</v>
      </c>
      <c r="C129" s="16">
        <v>4.2000000000000003E-2</v>
      </c>
      <c r="D129" s="1">
        <v>3095568</v>
      </c>
      <c r="E129" s="29">
        <f>Table13[[#This Row],[Ávöxtun]]*Table13[[#This Row],[Eignir]]/SUMIFS(Table13[Eignir],Table13[Year],Table13[[#This Row],[Year]])</f>
        <v>8.1878975527994977E-5</v>
      </c>
      <c r="F129" s="23">
        <f>IF(B129=1997, 100, IF(COUNTIF(A$1:A128,A129)=0, "NEW", F128*(1+Table13[[#This Row],[Ávöxtun]])))</f>
        <v>161.74782912407295</v>
      </c>
      <c r="G129" s="18" cm="1">
        <f t="array" ref="G129">IFERROR(_xlfn.IFS(ISNUMBER(Table13[[#This Row],[Column3]]),Table13[[#This Row],[Column3]],Table13[[#This Row],[Column3]]="NEW",Table13[[#This Row],[Column3]]),"")</f>
        <v>161.74782912407295</v>
      </c>
      <c r="H129" s="15" cm="1">
        <f t="array" ref="H129">_xlfn.IFS(Table13[[#This Row],[Column4]]="NEW",AVERAGEIFS(Table13[Column4],Table13[Year],Table13[[#This Row],[Year]]),ISNUMBER(Table13[[#This Row],[Column4]]),Table13[[#This Row],[Column4]],Table13[[#This Row],[Column4]]="",H128*(1+Table13[[#This Row],[Ávöxtun]]))</f>
        <v>161.74782912407295</v>
      </c>
      <c r="I129" cm="1">
        <f t="array" ref="I129">_xlfn.IFS(Table13[[#This Row],[Column4]]="NEW",_xlfn.XLOOKUP(Table13[[#This Row],[Year]],$N$2:$N$27,$P$2:$P$27),ISNUMBER(Table13[[#This Row],[Column4]]),Table13[[#This Row],[Column4]],Table13[[#This Row],[Column4]]="",I128*(1+Table13[[#This Row],[Ávöxtun]]))</f>
        <v>161.74782912407295</v>
      </c>
      <c r="L129" s="33">
        <v>161.74782912407295</v>
      </c>
      <c r="M129" s="33">
        <v>161.74782912407295</v>
      </c>
    </row>
    <row r="130" spans="1:13">
      <c r="A130" t="s">
        <v>67</v>
      </c>
      <c r="B130">
        <v>2012</v>
      </c>
      <c r="C130" s="16">
        <v>6.5000000000000002E-2</v>
      </c>
      <c r="D130" s="1">
        <v>3321777</v>
      </c>
      <c r="E130" s="29">
        <f>Table13[[#This Row],[Ávöxtun]]*Table13[[#This Row],[Eignir]]/SUMIFS(Table13[Eignir],Table13[Year],Table13[[#This Row],[Year]])</f>
        <v>1.2029591009782585E-4</v>
      </c>
      <c r="F130" s="23">
        <f>IF(B130=1997, 100, IF(COUNTIF(A$1:A129,A130)=0, "NEW", F129*(1+Table13[[#This Row],[Ávöxtun]])))</f>
        <v>172.26143801713769</v>
      </c>
      <c r="G130" s="18" cm="1">
        <f t="array" ref="G130">IFERROR(_xlfn.IFS(ISNUMBER(Table13[[#This Row],[Column3]]),Table13[[#This Row],[Column3]],Table13[[#This Row],[Column3]]="NEW",Table13[[#This Row],[Column3]]),"")</f>
        <v>172.26143801713769</v>
      </c>
      <c r="H130" s="15" cm="1">
        <f t="array" ref="H130">_xlfn.IFS(Table13[[#This Row],[Column4]]="NEW",AVERAGEIFS(Table13[Column4],Table13[Year],Table13[[#This Row],[Year]]),ISNUMBER(Table13[[#This Row],[Column4]]),Table13[[#This Row],[Column4]],Table13[[#This Row],[Column4]]="",H129*(1+Table13[[#This Row],[Ávöxtun]]))</f>
        <v>172.26143801713769</v>
      </c>
      <c r="I130" cm="1">
        <f t="array" ref="I130">_xlfn.IFS(Table13[[#This Row],[Column4]]="NEW",_xlfn.XLOOKUP(Table13[[#This Row],[Year]],$N$2:$N$27,$P$2:$P$27),ISNUMBER(Table13[[#This Row],[Column4]]),Table13[[#This Row],[Column4]],Table13[[#This Row],[Column4]]="",I129*(1+Table13[[#This Row],[Ávöxtun]]))</f>
        <v>172.26143801713769</v>
      </c>
      <c r="L130" s="33">
        <v>172.26143801713769</v>
      </c>
      <c r="M130" s="33">
        <v>172.26143801713769</v>
      </c>
    </row>
    <row r="131" spans="1:13">
      <c r="A131" t="s">
        <v>67</v>
      </c>
      <c r="B131">
        <v>2013</v>
      </c>
      <c r="C131" s="16">
        <v>7.2000000000000008E-2</v>
      </c>
      <c r="D131" s="1">
        <v>3569359</v>
      </c>
      <c r="E131" s="29">
        <f>Table13[[#This Row],[Ávöxtun]]*Table13[[#This Row],[Eignir]]/SUMIFS(Table13[Eignir],Table13[Year],Table13[[#This Row],[Year]])</f>
        <v>1.3019508544990583E-4</v>
      </c>
      <c r="F131" s="23">
        <f>IF(B131=1997, 100, IF(COUNTIF(A$1:A130,A131)=0, "NEW", F130*(1+Table13[[#This Row],[Ávöxtun]])))</f>
        <v>184.66426155437162</v>
      </c>
      <c r="G131" s="18" cm="1">
        <f t="array" ref="G131">IFERROR(_xlfn.IFS(ISNUMBER(Table13[[#This Row],[Column3]]),Table13[[#This Row],[Column3]],Table13[[#This Row],[Column3]]="NEW",Table13[[#This Row],[Column3]]),"")</f>
        <v>184.66426155437162</v>
      </c>
      <c r="H131" s="15" cm="1">
        <f t="array" ref="H131">_xlfn.IFS(Table13[[#This Row],[Column4]]="NEW",AVERAGEIFS(Table13[Column4],Table13[Year],Table13[[#This Row],[Year]]),ISNUMBER(Table13[[#This Row],[Column4]]),Table13[[#This Row],[Column4]],Table13[[#This Row],[Column4]]="",H130*(1+Table13[[#This Row],[Ávöxtun]]))</f>
        <v>184.66426155437162</v>
      </c>
      <c r="I131" cm="1">
        <f t="array" ref="I131">_xlfn.IFS(Table13[[#This Row],[Column4]]="NEW",_xlfn.XLOOKUP(Table13[[#This Row],[Year]],$N$2:$N$27,$P$2:$P$27),ISNUMBER(Table13[[#This Row],[Column4]]),Table13[[#This Row],[Column4]],Table13[[#This Row],[Column4]]="",I130*(1+Table13[[#This Row],[Ávöxtun]]))</f>
        <v>184.66426155437162</v>
      </c>
      <c r="L131" s="33">
        <v>184.66426155437162</v>
      </c>
      <c r="M131" s="33">
        <v>184.66426155437162</v>
      </c>
    </row>
    <row r="132" spans="1:13">
      <c r="A132" t="s">
        <v>67</v>
      </c>
      <c r="B132">
        <v>2014</v>
      </c>
      <c r="C132" s="16">
        <v>5.4000000000000006E-2</v>
      </c>
      <c r="D132" s="1">
        <v>3676993</v>
      </c>
      <c r="E132" s="29">
        <f>Table13[[#This Row],[Ávöxtun]]*Table13[[#This Row],[Eignir]]/SUMIFS(Table13[Eignir],Table13[Year],Table13[[#This Row],[Year]])</f>
        <v>9.2244962037577442E-5</v>
      </c>
      <c r="F132" s="23">
        <f>IF(B132=1997, 100, IF(COUNTIF(A$1:A131,A132)=0, "NEW", F131*(1+Table13[[#This Row],[Ávöxtun]])))</f>
        <v>194.63613167830769</v>
      </c>
      <c r="G132" s="18" cm="1">
        <f t="array" ref="G132">IFERROR(_xlfn.IFS(ISNUMBER(Table13[[#This Row],[Column3]]),Table13[[#This Row],[Column3]],Table13[[#This Row],[Column3]]="NEW",Table13[[#This Row],[Column3]]),"")</f>
        <v>194.63613167830769</v>
      </c>
      <c r="H132" s="15" cm="1">
        <f t="array" ref="H132">_xlfn.IFS(Table13[[#This Row],[Column4]]="NEW",AVERAGEIFS(Table13[Column4],Table13[Year],Table13[[#This Row],[Year]]),ISNUMBER(Table13[[#This Row],[Column4]]),Table13[[#This Row],[Column4]],Table13[[#This Row],[Column4]]="",H131*(1+Table13[[#This Row],[Ávöxtun]]))</f>
        <v>194.63613167830769</v>
      </c>
      <c r="I132" cm="1">
        <f t="array" ref="I132">_xlfn.IFS(Table13[[#This Row],[Column4]]="NEW",_xlfn.XLOOKUP(Table13[[#This Row],[Year]],$N$2:$N$27,$P$2:$P$27),ISNUMBER(Table13[[#This Row],[Column4]]),Table13[[#This Row],[Column4]],Table13[[#This Row],[Column4]]="",I131*(1+Table13[[#This Row],[Ávöxtun]]))</f>
        <v>194.63613167830769</v>
      </c>
      <c r="L132" s="33">
        <v>194.63613167830769</v>
      </c>
      <c r="M132" s="33">
        <v>194.63613167830769</v>
      </c>
    </row>
    <row r="133" spans="1:13">
      <c r="A133" t="s">
        <v>67</v>
      </c>
      <c r="B133">
        <v>2015</v>
      </c>
      <c r="C133" s="16">
        <v>9.9000000000000005E-2</v>
      </c>
      <c r="D133" s="1">
        <v>3954387</v>
      </c>
      <c r="E133" s="29">
        <f>Table13[[#This Row],[Ávöxtun]]*Table13[[#This Row],[Eignir]]/SUMIFS(Table13[Eignir],Table13[Year],Table13[[#This Row],[Year]])</f>
        <v>1.6395442687109027E-4</v>
      </c>
      <c r="F133" s="23">
        <f>IF(B133=1997, 100, IF(COUNTIF(A$1:A132,A133)=0, "NEW", F132*(1+Table13[[#This Row],[Ávöxtun]])))</f>
        <v>213.90510871446014</v>
      </c>
      <c r="G133" s="18" cm="1">
        <f t="array" ref="G133">IFERROR(_xlfn.IFS(ISNUMBER(Table13[[#This Row],[Column3]]),Table13[[#This Row],[Column3]],Table13[[#This Row],[Column3]]="NEW",Table13[[#This Row],[Column3]]),"")</f>
        <v>213.90510871446014</v>
      </c>
      <c r="H133" s="15" cm="1">
        <f t="array" ref="H133">_xlfn.IFS(Table13[[#This Row],[Column4]]="NEW",AVERAGEIFS(Table13[Column4],Table13[Year],Table13[[#This Row],[Year]]),ISNUMBER(Table13[[#This Row],[Column4]]),Table13[[#This Row],[Column4]],Table13[[#This Row],[Column4]]="",H132*(1+Table13[[#This Row],[Ávöxtun]]))</f>
        <v>213.90510871446014</v>
      </c>
      <c r="I133" cm="1">
        <f t="array" ref="I133">_xlfn.IFS(Table13[[#This Row],[Column4]]="NEW",_xlfn.XLOOKUP(Table13[[#This Row],[Year]],$N$2:$N$27,$P$2:$P$27),ISNUMBER(Table13[[#This Row],[Column4]]),Table13[[#This Row],[Column4]],Table13[[#This Row],[Column4]]="",I132*(1+Table13[[#This Row],[Ávöxtun]]))</f>
        <v>213.90510871446014</v>
      </c>
      <c r="L133" s="33">
        <v>213.90510871446014</v>
      </c>
      <c r="M133" s="33">
        <v>213.90510871446014</v>
      </c>
    </row>
    <row r="134" spans="1:13">
      <c r="A134" t="s">
        <v>67</v>
      </c>
      <c r="B134">
        <v>2016</v>
      </c>
      <c r="C134" s="16">
        <v>-1.4999999999999999E-2</v>
      </c>
      <c r="D134" s="1">
        <v>4026601.54</v>
      </c>
      <c r="E134" s="29">
        <f>Table13[[#This Row],[Ávöxtun]]*Table13[[#This Row],[Eignir]]/SUMIFS(Table13[Eignir],Table13[Year],Table13[[#This Row],[Year]])</f>
        <v>-2.3159582372310908E-5</v>
      </c>
      <c r="F134" s="23">
        <f>IF(B134=1997, 100, IF(COUNTIF(A$1:A133,A134)=0, "NEW", F133*(1+Table13[[#This Row],[Ávöxtun]])))</f>
        <v>210.69653208374325</v>
      </c>
      <c r="G134" s="18" cm="1">
        <f t="array" ref="G134">IFERROR(_xlfn.IFS(ISNUMBER(Table13[[#This Row],[Column3]]),Table13[[#This Row],[Column3]],Table13[[#This Row],[Column3]]="NEW",Table13[[#This Row],[Column3]]),"")</f>
        <v>210.69653208374325</v>
      </c>
      <c r="H134" s="15" cm="1">
        <f t="array" ref="H134">_xlfn.IFS(Table13[[#This Row],[Column4]]="NEW",AVERAGEIFS(Table13[Column4],Table13[Year],Table13[[#This Row],[Year]]),ISNUMBER(Table13[[#This Row],[Column4]]),Table13[[#This Row],[Column4]],Table13[[#This Row],[Column4]]="",H133*(1+Table13[[#This Row],[Ávöxtun]]))</f>
        <v>210.69653208374325</v>
      </c>
      <c r="I134" cm="1">
        <f t="array" ref="I134">_xlfn.IFS(Table13[[#This Row],[Column4]]="NEW",_xlfn.XLOOKUP(Table13[[#This Row],[Year]],$N$2:$N$27,$P$2:$P$27),ISNUMBER(Table13[[#This Row],[Column4]]),Table13[[#This Row],[Column4]],Table13[[#This Row],[Column4]]="",I133*(1+Table13[[#This Row],[Ávöxtun]]))</f>
        <v>210.69653208374325</v>
      </c>
      <c r="L134" s="33">
        <v>210.69653208374325</v>
      </c>
      <c r="M134" s="33">
        <v>210.69653208374325</v>
      </c>
    </row>
    <row r="135" spans="1:13">
      <c r="A135" t="s">
        <v>68</v>
      </c>
      <c r="B135">
        <v>1997</v>
      </c>
      <c r="C135" s="16">
        <v>7.0000000000000007E-2</v>
      </c>
      <c r="D135" s="1">
        <v>1200321.1299999999</v>
      </c>
      <c r="E135" s="29">
        <f>Table13[[#This Row],[Ávöxtun]]*Table13[[#This Row],[Eignir]]/SUMIFS(Table13[Eignir],Table13[Year],Table13[[#This Row],[Year]])</f>
        <v>2.9444819221937859E-4</v>
      </c>
      <c r="F135" s="23">
        <f>IF(B135=1997, 100, IF(COUNTIF(A$1:A134,A135)=0, "NEW", F134*(1+Table13[[#This Row],[Ávöxtun]])))</f>
        <v>100</v>
      </c>
      <c r="G135" s="18" cm="1">
        <f t="array" ref="G135">IFERROR(_xlfn.IFS(ISNUMBER(Table13[[#This Row],[Column3]]),Table13[[#This Row],[Column3]],Table13[[#This Row],[Column3]]="NEW",Table13[[#This Row],[Column3]]),"")</f>
        <v>100</v>
      </c>
      <c r="H135" s="15" cm="1">
        <f t="array" ref="H135">_xlfn.IFS(Table13[[#This Row],[Column4]]="NEW",AVERAGEIFS(Table13[Column4],Table13[Year],Table13[[#This Row],[Year]]),ISNUMBER(Table13[[#This Row],[Column4]]),Table13[[#This Row],[Column4]],Table13[[#This Row],[Column4]]="",H134*(1+Table13[[#This Row],[Ávöxtun]]))</f>
        <v>100</v>
      </c>
      <c r="I135" cm="1">
        <f t="array" ref="I135">_xlfn.IFS(Table13[[#This Row],[Column4]]="NEW",_xlfn.XLOOKUP(Table13[[#This Row],[Year]],$N$2:$N$27,$P$2:$P$27),ISNUMBER(Table13[[#This Row],[Column4]]),Table13[[#This Row],[Column4]],Table13[[#This Row],[Column4]]="",I134*(1+Table13[[#This Row],[Ávöxtun]]))</f>
        <v>100</v>
      </c>
      <c r="L135" s="33">
        <v>100</v>
      </c>
      <c r="M135" s="33">
        <v>100</v>
      </c>
    </row>
    <row r="136" spans="1:13">
      <c r="A136" t="s">
        <v>68</v>
      </c>
      <c r="B136">
        <v>1998</v>
      </c>
      <c r="C136" s="16">
        <v>0.11</v>
      </c>
      <c r="D136" s="1">
        <v>1395118.5</v>
      </c>
      <c r="E136" s="29">
        <f>Table13[[#This Row],[Ávöxtun]]*Table13[[#This Row],[Eignir]]/SUMIFS(Table13[Eignir],Table13[Year],Table13[[#This Row],[Year]])</f>
        <v>4.643381614599485E-4</v>
      </c>
      <c r="F136" s="23">
        <f>IF(B136=1997, 100, IF(COUNTIF(A$1:A135,A136)=0, "NEW", F135*(1+Table13[[#This Row],[Ávöxtun]])))</f>
        <v>111.00000000000001</v>
      </c>
      <c r="G136" s="18" cm="1">
        <f t="array" ref="G136">IFERROR(_xlfn.IFS(ISNUMBER(Table13[[#This Row],[Column3]]),Table13[[#This Row],[Column3]],Table13[[#This Row],[Column3]]="NEW",Table13[[#This Row],[Column3]]),"")</f>
        <v>111.00000000000001</v>
      </c>
      <c r="H136" s="15" cm="1">
        <f t="array" ref="H136">_xlfn.IFS(Table13[[#This Row],[Column4]]="NEW",AVERAGEIFS(Table13[Column4],Table13[Year],Table13[[#This Row],[Year]]),ISNUMBER(Table13[[#This Row],[Column4]]),Table13[[#This Row],[Column4]],Table13[[#This Row],[Column4]]="",H135*(1+Table13[[#This Row],[Ávöxtun]]))</f>
        <v>111.00000000000001</v>
      </c>
      <c r="I136" cm="1">
        <f t="array" ref="I136">_xlfn.IFS(Table13[[#This Row],[Column4]]="NEW",_xlfn.XLOOKUP(Table13[[#This Row],[Year]],$N$2:$N$27,$P$2:$P$27),ISNUMBER(Table13[[#This Row],[Column4]]),Table13[[#This Row],[Column4]],Table13[[#This Row],[Column4]]="",I135*(1+Table13[[#This Row],[Ávöxtun]]))</f>
        <v>111.00000000000001</v>
      </c>
      <c r="L136" s="33">
        <v>111.00000000000001</v>
      </c>
      <c r="M136" s="33">
        <v>111.00000000000001</v>
      </c>
    </row>
    <row r="137" spans="1:13">
      <c r="A137" t="s">
        <v>68</v>
      </c>
      <c r="B137">
        <v>1999</v>
      </c>
      <c r="C137" s="16">
        <v>0.08</v>
      </c>
      <c r="D137" s="1">
        <v>1650594.18</v>
      </c>
      <c r="E137" s="29">
        <f>Table13[[#This Row],[Ávöxtun]]*Table13[[#This Row],[Eignir]]/SUMIFS(Table13[Eignir],Table13[Year],Table13[[#This Row],[Year]])</f>
        <v>2.974552602754477E-4</v>
      </c>
      <c r="F137" s="23">
        <f>IF(B137=1997, 100, IF(COUNTIF(A$1:A136,A137)=0, "NEW", F136*(1+Table13[[#This Row],[Ávöxtun]])))</f>
        <v>119.88000000000002</v>
      </c>
      <c r="G137" s="18" cm="1">
        <f t="array" ref="G137">IFERROR(_xlfn.IFS(ISNUMBER(Table13[[#This Row],[Column3]]),Table13[[#This Row],[Column3]],Table13[[#This Row],[Column3]]="NEW",Table13[[#This Row],[Column3]]),"")</f>
        <v>119.88000000000002</v>
      </c>
      <c r="H137" s="15" cm="1">
        <f t="array" ref="H137">_xlfn.IFS(Table13[[#This Row],[Column4]]="NEW",AVERAGEIFS(Table13[Column4],Table13[Year],Table13[[#This Row],[Year]]),ISNUMBER(Table13[[#This Row],[Column4]]),Table13[[#This Row],[Column4]],Table13[[#This Row],[Column4]]="",H136*(1+Table13[[#This Row],[Ávöxtun]]))</f>
        <v>119.88000000000002</v>
      </c>
      <c r="I137" cm="1">
        <f t="array" ref="I137">_xlfn.IFS(Table13[[#This Row],[Column4]]="NEW",_xlfn.XLOOKUP(Table13[[#This Row],[Year]],$N$2:$N$27,$P$2:$P$27),ISNUMBER(Table13[[#This Row],[Column4]]),Table13[[#This Row],[Column4]],Table13[[#This Row],[Column4]]="",I136*(1+Table13[[#This Row],[Ávöxtun]]))</f>
        <v>119.88000000000002</v>
      </c>
      <c r="L137" s="33">
        <v>119.88000000000002</v>
      </c>
      <c r="M137" s="33">
        <v>119.88000000000002</v>
      </c>
    </row>
    <row r="138" spans="1:13">
      <c r="A138" t="s">
        <v>68</v>
      </c>
      <c r="B138">
        <v>2000</v>
      </c>
      <c r="C138" s="16">
        <v>-0.06</v>
      </c>
      <c r="D138" s="1">
        <v>1697089.07</v>
      </c>
      <c r="E138" s="29">
        <f>Table13[[#This Row],[Ávöxtun]]*Table13[[#This Row],[Eignir]]/SUMIFS(Table13[Eignir],Table13[Year],Table13[[#This Row],[Year]])</f>
        <v>-1.6305579060936018E-4</v>
      </c>
      <c r="F138" s="23">
        <f>IF(B138=1997, 100, IF(COUNTIF(A$1:A137,A138)=0, "NEW", F137*(1+Table13[[#This Row],[Ávöxtun]])))</f>
        <v>112.68720000000002</v>
      </c>
      <c r="G138" s="18" cm="1">
        <f t="array" ref="G138">IFERROR(_xlfn.IFS(ISNUMBER(Table13[[#This Row],[Column3]]),Table13[[#This Row],[Column3]],Table13[[#This Row],[Column3]]="NEW",Table13[[#This Row],[Column3]]),"")</f>
        <v>112.68720000000002</v>
      </c>
      <c r="H138" s="15" cm="1">
        <f t="array" ref="H138">_xlfn.IFS(Table13[[#This Row],[Column4]]="NEW",AVERAGEIFS(Table13[Column4],Table13[Year],Table13[[#This Row],[Year]]),ISNUMBER(Table13[[#This Row],[Column4]]),Table13[[#This Row],[Column4]],Table13[[#This Row],[Column4]]="",H137*(1+Table13[[#This Row],[Ávöxtun]]))</f>
        <v>112.68720000000002</v>
      </c>
      <c r="I138" cm="1">
        <f t="array" ref="I138">_xlfn.IFS(Table13[[#This Row],[Column4]]="NEW",_xlfn.XLOOKUP(Table13[[#This Row],[Year]],$N$2:$N$27,$P$2:$P$27),ISNUMBER(Table13[[#This Row],[Column4]]),Table13[[#This Row],[Column4]],Table13[[#This Row],[Column4]]="",I137*(1+Table13[[#This Row],[Ávöxtun]]))</f>
        <v>112.68720000000002</v>
      </c>
      <c r="L138" s="33">
        <v>112.68720000000002</v>
      </c>
      <c r="M138" s="33">
        <v>112.68720000000002</v>
      </c>
    </row>
    <row r="139" spans="1:13">
      <c r="A139" t="s">
        <v>68</v>
      </c>
      <c r="B139">
        <v>2001</v>
      </c>
      <c r="C139" s="16">
        <v>-7.0000000000000007E-2</v>
      </c>
      <c r="D139" s="1">
        <v>1413860.28</v>
      </c>
      <c r="E139" s="29">
        <f>Table13[[#This Row],[Ávöxtun]]*Table13[[#This Row],[Eignir]]/SUMIFS(Table13[Eignir],Table13[Year],Table13[[#This Row],[Year]])</f>
        <v>-1.029823611462344E-4</v>
      </c>
      <c r="F139" s="23">
        <f>IF(B139=1997, 100, IF(COUNTIF(A$1:A138,A139)=0, "NEW", F138*(1+Table13[[#This Row],[Ávöxtun]])))</f>
        <v>104.79909600000001</v>
      </c>
      <c r="G139" s="18" cm="1">
        <f t="array" ref="G139">IFERROR(_xlfn.IFS(ISNUMBER(Table13[[#This Row],[Column3]]),Table13[[#This Row],[Column3]],Table13[[#This Row],[Column3]]="NEW",Table13[[#This Row],[Column3]]),"")</f>
        <v>104.79909600000001</v>
      </c>
      <c r="H139" s="15" cm="1">
        <f t="array" ref="H139">_xlfn.IFS(Table13[[#This Row],[Column4]]="NEW",AVERAGEIFS(Table13[Column4],Table13[Year],Table13[[#This Row],[Year]]),ISNUMBER(Table13[[#This Row],[Column4]]),Table13[[#This Row],[Column4]],Table13[[#This Row],[Column4]]="",H138*(1+Table13[[#This Row],[Ávöxtun]]))</f>
        <v>104.79909600000001</v>
      </c>
      <c r="I139" cm="1">
        <f t="array" ref="I139">_xlfn.IFS(Table13[[#This Row],[Column4]]="NEW",_xlfn.XLOOKUP(Table13[[#This Row],[Year]],$N$2:$N$27,$P$2:$P$27),ISNUMBER(Table13[[#This Row],[Column4]]),Table13[[#This Row],[Column4]],Table13[[#This Row],[Column4]]="",I138*(1+Table13[[#This Row],[Ávöxtun]]))</f>
        <v>104.79909600000001</v>
      </c>
      <c r="L139" s="33">
        <v>104.79909600000001</v>
      </c>
      <c r="M139" s="33">
        <v>104.79909600000001</v>
      </c>
    </row>
    <row r="140" spans="1:13">
      <c r="A140" t="s">
        <v>68</v>
      </c>
      <c r="B140">
        <v>2002</v>
      </c>
      <c r="C140" s="16">
        <v>-0.03</v>
      </c>
      <c r="D140" s="1">
        <v>1346720</v>
      </c>
      <c r="E140" s="29">
        <f>Table13[[#This Row],[Ávöxtun]]*Table13[[#This Row],[Eignir]]/SUMIFS(Table13[Eignir],Table13[Year],Table13[[#This Row],[Year]])</f>
        <v>-7.5817138369676065E-5</v>
      </c>
      <c r="F140" s="23">
        <f>IF(B140=1997, 100, IF(COUNTIF(A$1:A139,A140)=0, "NEW", F139*(1+Table13[[#This Row],[Ávöxtun]])))</f>
        <v>101.65512312</v>
      </c>
      <c r="G140" s="18" cm="1">
        <f t="array" ref="G140">IFERROR(_xlfn.IFS(ISNUMBER(Table13[[#This Row],[Column3]]),Table13[[#This Row],[Column3]],Table13[[#This Row],[Column3]]="NEW",Table13[[#This Row],[Column3]]),"")</f>
        <v>101.65512312</v>
      </c>
      <c r="H140" s="15" cm="1">
        <f t="array" ref="H140">_xlfn.IFS(Table13[[#This Row],[Column4]]="NEW",AVERAGEIFS(Table13[Column4],Table13[Year],Table13[[#This Row],[Year]]),ISNUMBER(Table13[[#This Row],[Column4]]),Table13[[#This Row],[Column4]],Table13[[#This Row],[Column4]]="",H139*(1+Table13[[#This Row],[Ávöxtun]]))</f>
        <v>101.65512312</v>
      </c>
      <c r="I140" cm="1">
        <f t="array" ref="I140">_xlfn.IFS(Table13[[#This Row],[Column4]]="NEW",_xlfn.XLOOKUP(Table13[[#This Row],[Year]],$N$2:$N$27,$P$2:$P$27),ISNUMBER(Table13[[#This Row],[Column4]]),Table13[[#This Row],[Column4]],Table13[[#This Row],[Column4]]="",I139*(1+Table13[[#This Row],[Ávöxtun]]))</f>
        <v>101.65512312</v>
      </c>
      <c r="L140" s="33">
        <v>101.65512312</v>
      </c>
      <c r="M140" s="33">
        <v>101.65512312</v>
      </c>
    </row>
    <row r="141" spans="1:13">
      <c r="A141" t="s">
        <v>68</v>
      </c>
      <c r="B141">
        <v>2003</v>
      </c>
      <c r="C141" s="16">
        <v>7.0000000000000007E-2</v>
      </c>
      <c r="D141" s="1">
        <v>1419171.14</v>
      </c>
      <c r="E141" s="29">
        <f>Table13[[#This Row],[Ávöxtun]]*Table13[[#This Row],[Eignir]]/SUMIFS(Table13[Eignir],Table13[Year],Table13[[#This Row],[Year]])</f>
        <v>1.5575929798467792E-4</v>
      </c>
      <c r="F141" s="23">
        <f>IF(B141=1997, 100, IF(COUNTIF(A$1:A140,A141)=0, "NEW", F140*(1+Table13[[#This Row],[Ávöxtun]])))</f>
        <v>108.77098173840001</v>
      </c>
      <c r="G141" s="18" cm="1">
        <f t="array" ref="G141">IFERROR(_xlfn.IFS(ISNUMBER(Table13[[#This Row],[Column3]]),Table13[[#This Row],[Column3]],Table13[[#This Row],[Column3]]="NEW",Table13[[#This Row],[Column3]]),"")</f>
        <v>108.77098173840001</v>
      </c>
      <c r="H141" s="15" cm="1">
        <f t="array" ref="H141">_xlfn.IFS(Table13[[#This Row],[Column4]]="NEW",AVERAGEIFS(Table13[Column4],Table13[Year],Table13[[#This Row],[Year]]),ISNUMBER(Table13[[#This Row],[Column4]]),Table13[[#This Row],[Column4]],Table13[[#This Row],[Column4]]="",H140*(1+Table13[[#This Row],[Ávöxtun]]))</f>
        <v>108.77098173840001</v>
      </c>
      <c r="I141" cm="1">
        <f t="array" ref="I141">_xlfn.IFS(Table13[[#This Row],[Column4]]="NEW",_xlfn.XLOOKUP(Table13[[#This Row],[Year]],$N$2:$N$27,$P$2:$P$27),ISNUMBER(Table13[[#This Row],[Column4]]),Table13[[#This Row],[Column4]],Table13[[#This Row],[Column4]]="",I140*(1+Table13[[#This Row],[Ávöxtun]]))</f>
        <v>108.77098173840001</v>
      </c>
      <c r="L141" s="33">
        <v>108.77098173840001</v>
      </c>
      <c r="M141" s="33">
        <v>108.77098173840001</v>
      </c>
    </row>
    <row r="142" spans="1:13">
      <c r="A142" t="s">
        <v>70</v>
      </c>
      <c r="B142">
        <v>2006</v>
      </c>
      <c r="C142" s="16">
        <v>0.1106</v>
      </c>
      <c r="D142" s="1">
        <v>49484781</v>
      </c>
      <c r="E142" s="29">
        <f>Table13[[#This Row],[Ávöxtun]]*Table13[[#This Row],[Eignir]]/SUMIFS(Table13[Eignir],Table13[Year],Table13[[#This Row],[Year]])</f>
        <v>4.8109689116730961E-3</v>
      </c>
      <c r="F142" s="23" t="str">
        <f>IF(B142=1997, 100, IF(COUNTIF(A$1:A141,A142)=0, "NEW",#REF!*( 1+Table13[[#This Row],[Ávöxtun]])))</f>
        <v>NEW</v>
      </c>
      <c r="G142" s="18" t="str" cm="1">
        <f t="array" ref="G142">IFERROR(_xlfn.IFS(ISNUMBER(Table13[[#This Row],[Column3]]),Table13[[#This Row],[Column3]],Table13[[#This Row],[Column3]]="NEW",Table13[[#This Row],[Column3]]),"")</f>
        <v>NEW</v>
      </c>
      <c r="H142" s="15" cm="1">
        <f t="array" ref="H142">_xlfn.IFS(Table13[[#This Row],[Column4]]="NEW",AVERAGEIFS(Table13[Column4],Table13[Year],Table13[[#This Row],[Year]]),ISNUMBER(Table13[[#This Row],[Column4]]),Table13[[#This Row],[Column4]],Table13[[#This Row],[Column4]]="",#REF!*(1+Table13[[#This Row],[Ávöxtun]]))</f>
        <v>175.35326856001882</v>
      </c>
      <c r="I142" cm="1">
        <f t="array" ref="I142">_xlfn.IFS(Table13[[#This Row],[Column4]]="NEW",_xlfn.XLOOKUP(Table13[[#This Row],[Year]],$N$2:$N$27,$P$2:$P$27),ISNUMBER(Table13[[#This Row],[Column4]]),Table13[[#This Row],[Column4]],Table13[[#This Row],[Column4]]="",#REF!*(1+Table13[[#This Row],[Ávöxtun]]))</f>
        <v>206.34771607465271</v>
      </c>
      <c r="L142" s="33">
        <v>173.57107422928632</v>
      </c>
      <c r="M142" s="33">
        <v>219.26690788715638</v>
      </c>
    </row>
    <row r="143" spans="1:13">
      <c r="A143" t="s">
        <v>70</v>
      </c>
      <c r="B143">
        <v>2007</v>
      </c>
      <c r="C143" s="16">
        <v>2.7700000000000002E-2</v>
      </c>
      <c r="D143" s="1">
        <v>55430643</v>
      </c>
      <c r="E143" s="29">
        <f>Table13[[#This Row],[Ávöxtun]]*Table13[[#This Row],[Eignir]]/SUMIFS(Table13[Eignir],Table13[Year],Table13[[#This Row],[Year]])</f>
        <v>1.1963198938389722E-3</v>
      </c>
      <c r="F143" s="23" t="e">
        <f>IF(B143=1997, 100, IF(COUNTIF(A$1:A142,A143)=0, "NEW", F142*(1+Table13[[#This Row],[Ávöxtun]])))</f>
        <v>#VALUE!</v>
      </c>
      <c r="G143" s="18" t="str" cm="1">
        <f t="array" ref="G143">IFERROR(_xlfn.IFS(ISNUMBER(Table13[[#This Row],[Column3]]),Table13[[#This Row],[Column3]],Table13[[#This Row],[Column3]]="NEW",Table13[[#This Row],[Column3]]),"")</f>
        <v/>
      </c>
      <c r="H143" s="15" cm="1">
        <f t="array" ref="H143">_xlfn.IFS(Table13[[#This Row],[Column4]]="NEW",AVERAGEIFS(Table13[Column4],Table13[Year],Table13[[#This Row],[Year]]),ISNUMBER(Table13[[#This Row],[Column4]]),Table13[[#This Row],[Column4]],Table13[[#This Row],[Column4]]="",H142*(1+Table13[[#This Row],[Ávöxtun]]))</f>
        <v>180.21055409913134</v>
      </c>
      <c r="I143" cm="1">
        <f t="array" ref="I143">_xlfn.IFS(Table13[[#This Row],[Column4]]="NEW",_xlfn.XLOOKUP(Table13[[#This Row],[Year]],$N$2:$N$27,$P$2:$P$27),ISNUMBER(Table13[[#This Row],[Column4]]),Table13[[#This Row],[Column4]],Table13[[#This Row],[Column4]]="",I142*(1+Table13[[#This Row],[Ávöxtun]]))</f>
        <v>212.06354780992061</v>
      </c>
      <c r="L143" s="33">
        <v>178.37899298543758</v>
      </c>
      <c r="M143" s="33">
        <v>225.34060123563063</v>
      </c>
    </row>
    <row r="144" spans="1:13">
      <c r="A144" t="s">
        <v>70</v>
      </c>
      <c r="B144">
        <v>2008</v>
      </c>
      <c r="C144" s="16">
        <v>-0.18840000000000001</v>
      </c>
      <c r="D144" s="1">
        <v>56941947</v>
      </c>
      <c r="E144" s="29">
        <f>Table13[[#This Row],[Ávöxtun]]*Table13[[#This Row],[Eignir]]/SUMIFS(Table13[Eignir],Table13[Year],Table13[[#This Row],[Year]])</f>
        <v>-8.6585152134491129E-3</v>
      </c>
      <c r="F144" s="23" t="e">
        <f>IF(B144=1997, 100, IF(COUNTIF(A$1:A143,A144)=0, "NEW", F143*(1+Table13[[#This Row],[Ávöxtun]])))</f>
        <v>#VALUE!</v>
      </c>
      <c r="G144" s="18" t="str" cm="1">
        <f t="array" ref="G144">IFERROR(_xlfn.IFS(ISNUMBER(Table13[[#This Row],[Column3]]),Table13[[#This Row],[Column3]],Table13[[#This Row],[Column3]]="NEW",Table13[[#This Row],[Column3]]),"")</f>
        <v/>
      </c>
      <c r="H144" s="15" cm="1">
        <f t="array" ref="H144">_xlfn.IFS(Table13[[#This Row],[Column4]]="NEW",AVERAGEIFS(Table13[Column4],Table13[Year],Table13[[#This Row],[Year]]),ISNUMBER(Table13[[#This Row],[Column4]]),Table13[[#This Row],[Column4]],Table13[[#This Row],[Column4]]="",H143*(1+Table13[[#This Row],[Ávöxtun]]))</f>
        <v>146.25888570685498</v>
      </c>
      <c r="I144" cm="1">
        <f t="array" ref="I144">_xlfn.IFS(Table13[[#This Row],[Column4]]="NEW",_xlfn.XLOOKUP(Table13[[#This Row],[Year]],$N$2:$N$27,$P$2:$P$27),ISNUMBER(Table13[[#This Row],[Column4]]),Table13[[#This Row],[Column4]],Table13[[#This Row],[Column4]]="",I143*(1+Table13[[#This Row],[Ávöxtun]]))</f>
        <v>172.11077540253157</v>
      </c>
      <c r="L144" s="33">
        <v>144.77239070698113</v>
      </c>
      <c r="M144" s="33">
        <v>182.8864319628378</v>
      </c>
    </row>
    <row r="145" spans="1:13">
      <c r="A145" t="s">
        <v>70</v>
      </c>
      <c r="B145">
        <v>2009</v>
      </c>
      <c r="C145" s="16">
        <v>-5.2000000000000005E-2</v>
      </c>
      <c r="D145" s="1">
        <v>61072687</v>
      </c>
      <c r="E145" s="29">
        <f>Table13[[#This Row],[Ávöxtun]]*Table13[[#This Row],[Eignir]]/SUMIFS(Table13[Eignir],Table13[Year],Table13[[#This Row],[Year]])</f>
        <v>-2.3128233784487891E-3</v>
      </c>
      <c r="F145" s="23" t="e">
        <f>IF(B145=1997, 100, IF(COUNTIF(A$1:A144,A145)=0, "NEW", F144*(1+Table13[[#This Row],[Ávöxtun]])))</f>
        <v>#VALUE!</v>
      </c>
      <c r="G145" s="18" t="str" cm="1">
        <f t="array" ref="G145">IFERROR(_xlfn.IFS(ISNUMBER(Table13[[#This Row],[Column3]]),Table13[[#This Row],[Column3]],Table13[[#This Row],[Column3]]="NEW",Table13[[#This Row],[Column3]]),"")</f>
        <v/>
      </c>
      <c r="H145" s="15" cm="1">
        <f t="array" ref="H145">_xlfn.IFS(Table13[[#This Row],[Column4]]="NEW",AVERAGEIFS(Table13[Column4],Table13[Year],Table13[[#This Row],[Year]]),ISNUMBER(Table13[[#This Row],[Column4]]),Table13[[#This Row],[Column4]],Table13[[#This Row],[Column4]]="",H144*(1+Table13[[#This Row],[Ávöxtun]]))</f>
        <v>138.65342365009852</v>
      </c>
      <c r="I145" cm="1">
        <f t="array" ref="I145">_xlfn.IFS(Table13[[#This Row],[Column4]]="NEW",_xlfn.XLOOKUP(Table13[[#This Row],[Year]],$N$2:$N$27,$P$2:$P$27),ISNUMBER(Table13[[#This Row],[Column4]]),Table13[[#This Row],[Column4]],Table13[[#This Row],[Column4]]="",I144*(1+Table13[[#This Row],[Ávöxtun]]))</f>
        <v>163.16101508159991</v>
      </c>
      <c r="L145" s="33">
        <v>137.2442263902181</v>
      </c>
      <c r="M145" s="33">
        <v>173.37633750077023</v>
      </c>
    </row>
    <row r="146" spans="1:13">
      <c r="A146" t="s">
        <v>70</v>
      </c>
      <c r="B146">
        <v>2010</v>
      </c>
      <c r="C146" s="16">
        <v>2.1000000000000001E-2</v>
      </c>
      <c r="D146" s="1">
        <v>66171290</v>
      </c>
      <c r="E146" s="29">
        <f>Table13[[#This Row],[Ávöxtun]]*Table13[[#This Row],[Eignir]]/SUMIFS(Table13[Eignir],Table13[Year],Table13[[#This Row],[Year]])</f>
        <v>9.4869330515932253E-4</v>
      </c>
      <c r="F146" s="23" t="e">
        <f>IF(B146=1997, 100, IF(COUNTIF(A$1:A145,A146)=0, "NEW", F145*(1+Table13[[#This Row],[Ávöxtun]])))</f>
        <v>#VALUE!</v>
      </c>
      <c r="G146" s="18" t="str" cm="1">
        <f t="array" ref="G146">IFERROR(_xlfn.IFS(ISNUMBER(Table13[[#This Row],[Column3]]),Table13[[#This Row],[Column3]],Table13[[#This Row],[Column3]]="NEW",Table13[[#This Row],[Column3]]),"")</f>
        <v/>
      </c>
      <c r="H146" s="15" cm="1">
        <f t="array" ref="H146">_xlfn.IFS(Table13[[#This Row],[Column4]]="NEW",AVERAGEIFS(Table13[Column4],Table13[Year],Table13[[#This Row],[Year]]),ISNUMBER(Table13[[#This Row],[Column4]]),Table13[[#This Row],[Column4]],Table13[[#This Row],[Column4]]="",H145*(1+Table13[[#This Row],[Ávöxtun]]))</f>
        <v>141.56514554675059</v>
      </c>
      <c r="I146" cm="1">
        <f t="array" ref="I146">_xlfn.IFS(Table13[[#This Row],[Column4]]="NEW",_xlfn.XLOOKUP(Table13[[#This Row],[Year]],$N$2:$N$27,$P$2:$P$27),ISNUMBER(Table13[[#This Row],[Column4]]),Table13[[#This Row],[Column4]],Table13[[#This Row],[Column4]]="",I145*(1+Table13[[#This Row],[Ávöxtun]]))</f>
        <v>166.5873963983135</v>
      </c>
      <c r="L146" s="33">
        <v>140.12635514441266</v>
      </c>
      <c r="M146" s="33">
        <v>177.0172405882864</v>
      </c>
    </row>
    <row r="147" spans="1:13">
      <c r="A147" t="s">
        <v>70</v>
      </c>
      <c r="B147">
        <v>2011</v>
      </c>
      <c r="C147" s="16">
        <v>1.8000000000000002E-2</v>
      </c>
      <c r="D147" s="1">
        <v>71442566</v>
      </c>
      <c r="E147" s="29">
        <f>Table13[[#This Row],[Ávöxtun]]*Table13[[#This Row],[Eignir]]/SUMIFS(Table13[Eignir],Table13[Year],Table13[[#This Row],[Year]])</f>
        <v>8.0986440427611799E-4</v>
      </c>
      <c r="F147" s="23" t="e">
        <f>IF(B147=1997, 100, IF(COUNTIF(A$1:A146,A147)=0, "NEW", F146*(1+Table13[[#This Row],[Ávöxtun]])))</f>
        <v>#VALUE!</v>
      </c>
      <c r="G147" s="18" t="str" cm="1">
        <f t="array" ref="G147">IFERROR(_xlfn.IFS(ISNUMBER(Table13[[#This Row],[Column3]]),Table13[[#This Row],[Column3]],Table13[[#This Row],[Column3]]="NEW",Table13[[#This Row],[Column3]]),"")</f>
        <v/>
      </c>
      <c r="H147" s="15" cm="1">
        <f t="array" ref="H147">_xlfn.IFS(Table13[[#This Row],[Column4]]="NEW",AVERAGEIFS(Table13[Column4],Table13[Year],Table13[[#This Row],[Year]]),ISNUMBER(Table13[[#This Row],[Column4]]),Table13[[#This Row],[Column4]],Table13[[#This Row],[Column4]]="",H146*(1+Table13[[#This Row],[Ávöxtun]]))</f>
        <v>144.11331816659211</v>
      </c>
      <c r="I147" cm="1">
        <f t="array" ref="I147">_xlfn.IFS(Table13[[#This Row],[Column4]]="NEW",_xlfn.XLOOKUP(Table13[[#This Row],[Year]],$N$2:$N$27,$P$2:$P$27),ISNUMBER(Table13[[#This Row],[Column4]]),Table13[[#This Row],[Column4]],Table13[[#This Row],[Column4]]="",I146*(1+Table13[[#This Row],[Ávöxtun]]))</f>
        <v>169.58596953348314</v>
      </c>
      <c r="L147" s="33">
        <v>142.64862953701208</v>
      </c>
      <c r="M147" s="33">
        <v>180.20355091887555</v>
      </c>
    </row>
    <row r="148" spans="1:13">
      <c r="A148" t="s">
        <v>70</v>
      </c>
      <c r="B148">
        <v>2012</v>
      </c>
      <c r="C148" s="16">
        <v>0.06</v>
      </c>
      <c r="D148" s="1">
        <v>81175431</v>
      </c>
      <c r="E148" s="29">
        <f>Table13[[#This Row],[Ávöxtun]]*Table13[[#This Row],[Eignir]]/SUMIFS(Table13[Eignir],Table13[Year],Table13[[#This Row],[Year]])</f>
        <v>2.7135815975035966E-3</v>
      </c>
      <c r="F148" s="23" t="e">
        <f>IF(B148=1997, 100, IF(COUNTIF(A$1:A147,A148)=0, "NEW", F147*(1+Table13[[#This Row],[Ávöxtun]])))</f>
        <v>#VALUE!</v>
      </c>
      <c r="G148" s="18" t="str" cm="1">
        <f t="array" ref="G148">IFERROR(_xlfn.IFS(ISNUMBER(Table13[[#This Row],[Column3]]),Table13[[#This Row],[Column3]],Table13[[#This Row],[Column3]]="NEW",Table13[[#This Row],[Column3]]),"")</f>
        <v/>
      </c>
      <c r="H148" s="15" cm="1">
        <f t="array" ref="H148">_xlfn.IFS(Table13[[#This Row],[Column4]]="NEW",AVERAGEIFS(Table13[Column4],Table13[Year],Table13[[#This Row],[Year]]),ISNUMBER(Table13[[#This Row],[Column4]]),Table13[[#This Row],[Column4]],Table13[[#This Row],[Column4]]="",H147*(1+Table13[[#This Row],[Ávöxtun]]))</f>
        <v>152.76011725658765</v>
      </c>
      <c r="I148" cm="1">
        <f t="array" ref="I148">_xlfn.IFS(Table13[[#This Row],[Column4]]="NEW",_xlfn.XLOOKUP(Table13[[#This Row],[Year]],$N$2:$N$27,$P$2:$P$27),ISNUMBER(Table13[[#This Row],[Column4]]),Table13[[#This Row],[Column4]],Table13[[#This Row],[Column4]]="",I147*(1+Table13[[#This Row],[Ávöxtun]]))</f>
        <v>179.76112770549213</v>
      </c>
      <c r="L148" s="33">
        <v>151.20754730923281</v>
      </c>
      <c r="M148" s="33">
        <v>191.01576397400808</v>
      </c>
    </row>
    <row r="149" spans="1:13">
      <c r="A149" t="s">
        <v>70</v>
      </c>
      <c r="B149">
        <v>2013</v>
      </c>
      <c r="C149" s="16">
        <v>5.5E-2</v>
      </c>
      <c r="D149" s="1">
        <v>90629835</v>
      </c>
      <c r="E149" s="29">
        <f>Table13[[#This Row],[Ávöxtun]]*Table13[[#This Row],[Eignir]]/SUMIFS(Table13[Eignir],Table13[Year],Table13[[#This Row],[Year]])</f>
        <v>2.5252579243354983E-3</v>
      </c>
      <c r="F149" s="23" t="e">
        <f>IF(B149=1997, 100, IF(COUNTIF(A$1:A148,A149)=0, "NEW", F148*(1+Table13[[#This Row],[Ávöxtun]])))</f>
        <v>#VALUE!</v>
      </c>
      <c r="G149" s="18" t="str" cm="1">
        <f t="array" ref="G149">IFERROR(_xlfn.IFS(ISNUMBER(Table13[[#This Row],[Column3]]),Table13[[#This Row],[Column3]],Table13[[#This Row],[Column3]]="NEW",Table13[[#This Row],[Column3]]),"")</f>
        <v/>
      </c>
      <c r="H149" s="15" cm="1">
        <f t="array" ref="H149">_xlfn.IFS(Table13[[#This Row],[Column4]]="NEW",AVERAGEIFS(Table13[Column4],Table13[Year],Table13[[#This Row],[Year]]),ISNUMBER(Table13[[#This Row],[Column4]]),Table13[[#This Row],[Column4]],Table13[[#This Row],[Column4]]="",H148*(1+Table13[[#This Row],[Ávöxtun]]))</f>
        <v>161.16192370569996</v>
      </c>
      <c r="I149" cm="1">
        <f t="array" ref="I149">_xlfn.IFS(Table13[[#This Row],[Column4]]="NEW",_xlfn.XLOOKUP(Table13[[#This Row],[Year]],$N$2:$N$27,$P$2:$P$27),ISNUMBER(Table13[[#This Row],[Column4]]),Table13[[#This Row],[Column4]],Table13[[#This Row],[Column4]]="",I148*(1+Table13[[#This Row],[Ávöxtun]]))</f>
        <v>189.64798972929418</v>
      </c>
      <c r="L149" s="33">
        <v>159.5239624112406</v>
      </c>
      <c r="M149" s="33">
        <v>201.52163099257851</v>
      </c>
    </row>
    <row r="150" spans="1:13">
      <c r="A150" t="s">
        <v>70</v>
      </c>
      <c r="B150">
        <v>2014</v>
      </c>
      <c r="C150" s="16">
        <v>6.7000000000000004E-2</v>
      </c>
      <c r="D150" s="1">
        <v>99181133</v>
      </c>
      <c r="E150" s="29">
        <f>Table13[[#This Row],[Ávöxtun]]*Table13[[#This Row],[Eignir]]/SUMIFS(Table13[Eignir],Table13[Year],Table13[[#This Row],[Year]])</f>
        <v>3.0871658497437964E-3</v>
      </c>
      <c r="F150" s="23" t="e">
        <f>IF(B150=1997, 100, IF(COUNTIF(A$1:A149,A150)=0, "NEW", F149*(1+Table13[[#This Row],[Ávöxtun]])))</f>
        <v>#VALUE!</v>
      </c>
      <c r="G150" s="18" t="str" cm="1">
        <f t="array" ref="G150">IFERROR(_xlfn.IFS(ISNUMBER(Table13[[#This Row],[Column3]]),Table13[[#This Row],[Column3]],Table13[[#This Row],[Column3]]="NEW",Table13[[#This Row],[Column3]]),"")</f>
        <v/>
      </c>
      <c r="H150" s="15" cm="1">
        <f t="array" ref="H150">_xlfn.IFS(Table13[[#This Row],[Column4]]="NEW",AVERAGEIFS(Table13[Column4],Table13[Year],Table13[[#This Row],[Year]]),ISNUMBER(Table13[[#This Row],[Column4]]),Table13[[#This Row],[Column4]],Table13[[#This Row],[Column4]]="",H149*(1+Table13[[#This Row],[Ávöxtun]]))</f>
        <v>171.95977259398185</v>
      </c>
      <c r="I150" cm="1">
        <f t="array" ref="I150">_xlfn.IFS(Table13[[#This Row],[Column4]]="NEW",_xlfn.XLOOKUP(Table13[[#This Row],[Year]],$N$2:$N$27,$P$2:$P$27),ISNUMBER(Table13[[#This Row],[Column4]]),Table13[[#This Row],[Column4]],Table13[[#This Row],[Column4]]="",I149*(1+Table13[[#This Row],[Ávöxtun]]))</f>
        <v>202.35440504115689</v>
      </c>
      <c r="L150" s="33">
        <v>170.21206789279373</v>
      </c>
      <c r="M150" s="33">
        <v>215.02358026908126</v>
      </c>
    </row>
    <row r="151" spans="1:13">
      <c r="A151" t="s">
        <v>70</v>
      </c>
      <c r="B151">
        <v>2015</v>
      </c>
      <c r="C151" s="16">
        <v>8.199999999999999E-2</v>
      </c>
      <c r="D151" s="1">
        <v>112149164</v>
      </c>
      <c r="E151" s="29">
        <f>Table13[[#This Row],[Ávöxtun]]*Table13[[#This Row],[Eignir]]/SUMIFS(Table13[Eignir],Table13[Year],Table13[[#This Row],[Year]])</f>
        <v>3.8514004427828408E-3</v>
      </c>
      <c r="F151" s="23" t="e">
        <f>IF(B151=1997, 100, IF(COUNTIF(A$1:A150,A151)=0, "NEW", F150*(1+Table13[[#This Row],[Ávöxtun]])))</f>
        <v>#VALUE!</v>
      </c>
      <c r="G151" s="18" t="str" cm="1">
        <f t="array" ref="G151">IFERROR(_xlfn.IFS(ISNUMBER(Table13[[#This Row],[Column3]]),Table13[[#This Row],[Column3]],Table13[[#This Row],[Column3]]="NEW",Table13[[#This Row],[Column3]]),"")</f>
        <v/>
      </c>
      <c r="H151" s="15" cm="1">
        <f t="array" ref="H151">_xlfn.IFS(Table13[[#This Row],[Column4]]="NEW",AVERAGEIFS(Table13[Column4],Table13[Year],Table13[[#This Row],[Year]]),ISNUMBER(Table13[[#This Row],[Column4]]),Table13[[#This Row],[Column4]],Table13[[#This Row],[Column4]]="",H150*(1+Table13[[#This Row],[Ávöxtun]]))</f>
        <v>186.06047394668838</v>
      </c>
      <c r="I151" cm="1">
        <f t="array" ref="I151">_xlfn.IFS(Table13[[#This Row],[Column4]]="NEW",_xlfn.XLOOKUP(Table13[[#This Row],[Year]],$N$2:$N$27,$P$2:$P$27),ISNUMBER(Table13[[#This Row],[Column4]]),Table13[[#This Row],[Column4]],Table13[[#This Row],[Column4]]="",I150*(1+Table13[[#This Row],[Ávöxtun]]))</f>
        <v>218.94746625453178</v>
      </c>
      <c r="L151" s="33">
        <v>184.16945746000283</v>
      </c>
      <c r="M151" s="33">
        <v>232.65551385114594</v>
      </c>
    </row>
    <row r="152" spans="1:13">
      <c r="A152" t="s">
        <v>70</v>
      </c>
      <c r="B152">
        <v>2016</v>
      </c>
      <c r="C152" s="16">
        <v>5.3E-3</v>
      </c>
      <c r="D152" s="1">
        <v>119454530.14</v>
      </c>
      <c r="E152" s="29">
        <f>Table13[[#This Row],[Ávöxtun]]*Table13[[#This Row],[Eignir]]/SUMIFS(Table13[Eignir],Table13[Year],Table13[[#This Row],[Year]])</f>
        <v>2.4276121548350076E-4</v>
      </c>
      <c r="F152" s="23" t="e">
        <f>IF(B152=1997, 100, IF(COUNTIF(A$1:A151,A152)=0, "NEW", F151*(1+Table13[[#This Row],[Ávöxtun]])))</f>
        <v>#VALUE!</v>
      </c>
      <c r="G152" s="18" t="str" cm="1">
        <f t="array" ref="G152">IFERROR(_xlfn.IFS(ISNUMBER(Table13[[#This Row],[Column3]]),Table13[[#This Row],[Column3]],Table13[[#This Row],[Column3]]="NEW",Table13[[#This Row],[Column3]]),"")</f>
        <v/>
      </c>
      <c r="H152" s="15" cm="1">
        <f t="array" ref="H152">_xlfn.IFS(Table13[[#This Row],[Column4]]="NEW",AVERAGEIFS(Table13[Column4],Table13[Year],Table13[[#This Row],[Year]]),ISNUMBER(Table13[[#This Row],[Column4]]),Table13[[#This Row],[Column4]],Table13[[#This Row],[Column4]]="",H151*(1+Table13[[#This Row],[Ávöxtun]]))</f>
        <v>187.04659445860585</v>
      </c>
      <c r="I152" cm="1">
        <f t="array" ref="I152">_xlfn.IFS(Table13[[#This Row],[Column4]]="NEW",_xlfn.XLOOKUP(Table13[[#This Row],[Year]],$N$2:$N$27,$P$2:$P$27),ISNUMBER(Table13[[#This Row],[Column4]]),Table13[[#This Row],[Column4]],Table13[[#This Row],[Column4]]="",I151*(1+Table13[[#This Row],[Ávöxtun]]))</f>
        <v>220.10788782568082</v>
      </c>
      <c r="L152" s="33">
        <v>185.14555558454086</v>
      </c>
      <c r="M152" s="33">
        <v>233.88858807455702</v>
      </c>
    </row>
    <row r="153" spans="1:13">
      <c r="A153" t="s">
        <v>70</v>
      </c>
      <c r="B153">
        <v>2017</v>
      </c>
      <c r="C153" s="16">
        <v>5.2999999999999999E-2</v>
      </c>
      <c r="D153" s="1">
        <v>133123682</v>
      </c>
      <c r="E153" s="29">
        <f>Table13[[#This Row],[Ávöxtun]]*Table13[[#This Row],[Eignir]]/SUMIFS(Table13[Eignir],Table13[Year],Table13[[#This Row],[Year]])</f>
        <v>2.4278260698448102E-3</v>
      </c>
      <c r="F153" s="23" t="e">
        <f>IF(B153=1997, 100, IF(COUNTIF(A$1:A152,A153)=0, "NEW", F152*(1+Table13[[#This Row],[Ávöxtun]])))</f>
        <v>#VALUE!</v>
      </c>
      <c r="G153" s="18" t="str" cm="1">
        <f t="array" ref="G153">IFERROR(_xlfn.IFS(ISNUMBER(Table13[[#This Row],[Column3]]),Table13[[#This Row],[Column3]],Table13[[#This Row],[Column3]]="NEW",Table13[[#This Row],[Column3]]),"")</f>
        <v/>
      </c>
      <c r="H153" s="15" cm="1">
        <f t="array" ref="H153">_xlfn.IFS(Table13[[#This Row],[Column4]]="NEW",AVERAGEIFS(Table13[Column4],Table13[Year],Table13[[#This Row],[Year]]),ISNUMBER(Table13[[#This Row],[Column4]]),Table13[[#This Row],[Column4]],Table13[[#This Row],[Column4]]="",H152*(1+Table13[[#This Row],[Ávöxtun]]))</f>
        <v>196.96006396491194</v>
      </c>
      <c r="I153" cm="1">
        <f t="array" ref="I153">_xlfn.IFS(Table13[[#This Row],[Column4]]="NEW",_xlfn.XLOOKUP(Table13[[#This Row],[Year]],$N$2:$N$27,$P$2:$P$27),ISNUMBER(Table13[[#This Row],[Column4]]),Table13[[#This Row],[Column4]],Table13[[#This Row],[Column4]]="",I152*(1+Table13[[#This Row],[Ávöxtun]]))</f>
        <v>231.77360588044189</v>
      </c>
      <c r="L153" s="33">
        <v>194.9582700305215</v>
      </c>
      <c r="M153" s="33">
        <v>246.28468324250852</v>
      </c>
    </row>
    <row r="154" spans="1:13">
      <c r="A154" t="s">
        <v>70</v>
      </c>
      <c r="B154">
        <v>2018</v>
      </c>
      <c r="C154" s="16">
        <v>2.7000000000000003E-2</v>
      </c>
      <c r="D154" s="1">
        <v>148517074</v>
      </c>
      <c r="E154" s="29">
        <f>Table13[[#This Row],[Ávöxtun]]*Table13[[#This Row],[Eignir]]/SUMIFS(Table13[Eignir],Table13[Year],Table13[[#This Row],[Year]])</f>
        <v>1.2856888997301343E-3</v>
      </c>
      <c r="F154" s="23" t="e">
        <f>IF(B154=1997, 100, IF(COUNTIF(A$1:A153,A154)=0, "NEW", F153*(1+Table13[[#This Row],[Ávöxtun]])))</f>
        <v>#VALUE!</v>
      </c>
      <c r="G154" s="18" t="str" cm="1">
        <f t="array" ref="G154">IFERROR(_xlfn.IFS(ISNUMBER(Table13[[#This Row],[Column3]]),Table13[[#This Row],[Column3]],Table13[[#This Row],[Column3]]="NEW",Table13[[#This Row],[Column3]]),"")</f>
        <v/>
      </c>
      <c r="H154" s="15" cm="1">
        <f t="array" ref="H154">_xlfn.IFS(Table13[[#This Row],[Column4]]="NEW",AVERAGEIFS(Table13[Column4],Table13[Year],Table13[[#This Row],[Year]]),ISNUMBER(Table13[[#This Row],[Column4]]),Table13[[#This Row],[Column4]],Table13[[#This Row],[Column4]]="",H153*(1+Table13[[#This Row],[Ávöxtun]]))</f>
        <v>202.27798569196455</v>
      </c>
      <c r="I154" cm="1">
        <f t="array" ref="I154">_xlfn.IFS(Table13[[#This Row],[Column4]]="NEW",_xlfn.XLOOKUP(Table13[[#This Row],[Year]],$N$2:$N$27,$P$2:$P$27),ISNUMBER(Table13[[#This Row],[Column4]]),Table13[[#This Row],[Column4]],Table13[[#This Row],[Column4]]="",I153*(1+Table13[[#This Row],[Ávöxtun]]))</f>
        <v>238.0314932392138</v>
      </c>
      <c r="L154" s="33">
        <v>200.22214332134556</v>
      </c>
      <c r="M154" s="33">
        <v>252.93436969005623</v>
      </c>
    </row>
    <row r="155" spans="1:13">
      <c r="A155" t="s">
        <v>70</v>
      </c>
      <c r="B155">
        <v>2019</v>
      </c>
      <c r="C155" s="16">
        <v>0.1023</v>
      </c>
      <c r="D155" s="1">
        <v>176025022.56999999</v>
      </c>
      <c r="E155" s="29">
        <f>Table13[[#This Row],[Ávöxtun]]*Table13[[#This Row],[Eignir]]/SUMIFS(Table13[Eignir],Table13[Year],Table13[[#This Row],[Year]])</f>
        <v>5.0350153579898907E-3</v>
      </c>
      <c r="F155" s="23" t="e">
        <f>IF(B155=1997, 100, IF(COUNTIF(A$1:A154,A155)=0, "NEW", F154*(1+Table13[[#This Row],[Ávöxtun]])))</f>
        <v>#VALUE!</v>
      </c>
      <c r="G155" s="18" t="str" cm="1">
        <f t="array" ref="G155">IFERROR(_xlfn.IFS(ISNUMBER(Table13[[#This Row],[Column3]]),Table13[[#This Row],[Column3]],Table13[[#This Row],[Column3]]="NEW",Table13[[#This Row],[Column3]]),"")</f>
        <v/>
      </c>
      <c r="H155" s="15" cm="1">
        <f t="array" ref="H155">_xlfn.IFS(Table13[[#This Row],[Column4]]="NEW",AVERAGEIFS(Table13[Column4],Table13[Year],Table13[[#This Row],[Year]]),ISNUMBER(Table13[[#This Row],[Column4]]),Table13[[#This Row],[Column4]],Table13[[#This Row],[Column4]]="",H154*(1+Table13[[#This Row],[Ávöxtun]]))</f>
        <v>222.97102362825254</v>
      </c>
      <c r="I155" cm="1">
        <f t="array" ref="I155">_xlfn.IFS(Table13[[#This Row],[Column4]]="NEW",_xlfn.XLOOKUP(Table13[[#This Row],[Year]],$N$2:$N$27,$P$2:$P$27),ISNUMBER(Table13[[#This Row],[Column4]]),Table13[[#This Row],[Column4]],Table13[[#This Row],[Column4]]="",I154*(1+Table13[[#This Row],[Ávöxtun]]))</f>
        <v>262.3821149975854</v>
      </c>
      <c r="L155" s="33">
        <v>220.70486858311921</v>
      </c>
      <c r="M155" s="33">
        <v>278.80955570934901</v>
      </c>
    </row>
    <row r="156" spans="1:13">
      <c r="A156" t="s">
        <v>70</v>
      </c>
      <c r="B156">
        <v>2020</v>
      </c>
      <c r="C156" s="16">
        <v>9.1199999999999989E-2</v>
      </c>
      <c r="D156" s="1">
        <v>205752769.16999999</v>
      </c>
      <c r="E156" s="29">
        <f>Table13[[#This Row],[Ávöxtun]]*Table13[[#This Row],[Eignir]]/SUMIFS(Table13[Eignir],Table13[Year],Table13[[#This Row],[Year]])</f>
        <v>4.5279874773545012E-3</v>
      </c>
      <c r="F156" s="23" t="e">
        <f>IF(B156=1997, 100, IF(COUNTIF(A$1:A155,A156)=0, "NEW", F155*(1+Table13[[#This Row],[Ávöxtun]])))</f>
        <v>#VALUE!</v>
      </c>
      <c r="G156" s="18" t="str" cm="1">
        <f t="array" ref="G156">IFERROR(_xlfn.IFS(ISNUMBER(Table13[[#This Row],[Column3]]),Table13[[#This Row],[Column3]],Table13[[#This Row],[Column3]]="NEW",Table13[[#This Row],[Column3]]),"")</f>
        <v/>
      </c>
      <c r="H156" s="15" cm="1">
        <f t="array" ref="H156">_xlfn.IFS(Table13[[#This Row],[Column4]]="NEW",AVERAGEIFS(Table13[Column4],Table13[Year],Table13[[#This Row],[Year]]),ISNUMBER(Table13[[#This Row],[Column4]]),Table13[[#This Row],[Column4]],Table13[[#This Row],[Column4]]="",H155*(1+Table13[[#This Row],[Ávöxtun]]))</f>
        <v>243.30598098314917</v>
      </c>
      <c r="I156" cm="1">
        <f t="array" ref="I156">_xlfn.IFS(Table13[[#This Row],[Column4]]="NEW",_xlfn.XLOOKUP(Table13[[#This Row],[Year]],$N$2:$N$27,$P$2:$P$27),ISNUMBER(Table13[[#This Row],[Column4]]),Table13[[#This Row],[Column4]],Table13[[#This Row],[Column4]]="",I155*(1+Table13[[#This Row],[Ávöxtun]]))</f>
        <v>286.31136388536515</v>
      </c>
      <c r="L156" s="33">
        <v>240.83315259789967</v>
      </c>
      <c r="M156" s="33">
        <v>304.23698719004165</v>
      </c>
    </row>
    <row r="157" spans="1:13">
      <c r="A157" t="s">
        <v>70</v>
      </c>
      <c r="B157">
        <v>2021</v>
      </c>
      <c r="C157" s="16">
        <v>0.11</v>
      </c>
      <c r="D157" s="1">
        <v>246426482.16999999</v>
      </c>
      <c r="E157" s="29">
        <f>Table13[[#This Row],[Ávöxtun]]*Table13[[#This Row],[Eignir]]/SUMIFS(Table13[Eignir],Table13[Year],Table13[[#This Row],[Year]])</f>
        <v>5.5732018952495428E-3</v>
      </c>
      <c r="F157" s="23" t="e">
        <f>IF(B157=1997, 100, IF(COUNTIF(A$1:A156,A157)=0, "NEW", F156*(1+Table13[[#This Row],[Ávöxtun]])))</f>
        <v>#VALUE!</v>
      </c>
      <c r="G157" s="18" t="str" cm="1">
        <f t="array" ref="G157">IFERROR(_xlfn.IFS(ISNUMBER(Table13[[#This Row],[Column3]]),Table13[[#This Row],[Column3]],Table13[[#This Row],[Column3]]="NEW",Table13[[#This Row],[Column3]]),"")</f>
        <v/>
      </c>
      <c r="H157" s="15" cm="1">
        <f t="array" ref="H157">_xlfn.IFS(Table13[[#This Row],[Column4]]="NEW",AVERAGEIFS(Table13[Column4],Table13[Year],Table13[[#This Row],[Year]]),ISNUMBER(Table13[[#This Row],[Column4]]),Table13[[#This Row],[Column4]],Table13[[#This Row],[Column4]]="",H156*(1+Table13[[#This Row],[Ávöxtun]]))</f>
        <v>270.0696388912956</v>
      </c>
      <c r="I157" cm="1">
        <f t="array" ref="I157">_xlfn.IFS(Table13[[#This Row],[Column4]]="NEW",_xlfn.XLOOKUP(Table13[[#This Row],[Year]],$N$2:$N$27,$P$2:$P$27),ISNUMBER(Table13[[#This Row],[Column4]]),Table13[[#This Row],[Column4]],Table13[[#This Row],[Column4]]="",I156*(1+Table13[[#This Row],[Ávöxtun]]))</f>
        <v>317.80561391275535</v>
      </c>
      <c r="L157" s="33">
        <v>267.32479938366868</v>
      </c>
      <c r="M157" s="33">
        <v>337.70305578094627</v>
      </c>
    </row>
    <row r="158" spans="1:13">
      <c r="A158" t="s">
        <v>71</v>
      </c>
      <c r="B158">
        <v>1999</v>
      </c>
      <c r="C158" s="16">
        <v>0.1</v>
      </c>
      <c r="D158" s="1">
        <v>7466280.2000000002</v>
      </c>
      <c r="E158" s="29">
        <f>Table13[[#This Row],[Ávöxtun]]*Table13[[#This Row],[Eignir]]/SUMIFS(Table13[Eignir],Table13[Year],Table13[[#This Row],[Year]])</f>
        <v>1.6818824601850513E-3</v>
      </c>
      <c r="F158" s="23" t="str">
        <f>IF(B158=1997, 100, IF(COUNTIF(A$1:A157,A158)=0, "NEW", F157*(1+Table13[[#This Row],[Ávöxtun]])))</f>
        <v>NEW</v>
      </c>
      <c r="G158" s="18" t="str" cm="1">
        <f t="array" ref="G158">IFERROR(_xlfn.IFS(ISNUMBER(Table13[[#This Row],[Column3]]),Table13[[#This Row],[Column3]],Table13[[#This Row],[Column3]]="NEW",Table13[[#This Row],[Column3]]),"")</f>
        <v>NEW</v>
      </c>
      <c r="H158" s="15" cm="1">
        <f t="array" ref="H158">_xlfn.IFS(Table13[[#This Row],[Column4]]="NEW",AVERAGEIFS(Table13[Column4],Table13[Year],Table13[[#This Row],[Year]]),ISNUMBER(Table13[[#This Row],[Column4]]),Table13[[#This Row],[Column4]],Table13[[#This Row],[Column4]]="",H157*(1+Table13[[#This Row],[Ávöxtun]]))</f>
        <v>117.24765957446809</v>
      </c>
      <c r="I158" cm="1">
        <f t="array" ref="I158">_xlfn.IFS(Table13[[#This Row],[Column4]]="NEW",_xlfn.XLOOKUP(Table13[[#This Row],[Year]],$N$2:$N$27,$P$2:$P$27),ISNUMBER(Table13[[#This Row],[Column4]]),Table13[[#This Row],[Column4]],Table13[[#This Row],[Column4]]="",I157*(1+Table13[[#This Row],[Ávöxtun]]))</f>
        <v>119.85237726478729</v>
      </c>
      <c r="L158" s="33">
        <v>117.05306122448981</v>
      </c>
      <c r="M158" s="33">
        <v>129.26988390123572</v>
      </c>
    </row>
    <row r="159" spans="1:13">
      <c r="A159" t="s">
        <v>71</v>
      </c>
      <c r="B159">
        <v>2000</v>
      </c>
      <c r="C159" s="16">
        <v>-0.01</v>
      </c>
      <c r="D159" s="1">
        <v>8867305.8699999992</v>
      </c>
      <c r="E159" s="29">
        <f>Table13[[#This Row],[Ávöxtun]]*Table13[[#This Row],[Eignir]]/SUMIFS(Table13[Eignir],Table13[Year],Table13[[#This Row],[Year]])</f>
        <v>-1.4199466552923965E-4</v>
      </c>
      <c r="F159" s="23" t="e">
        <f>IF(B159=1997, 100, IF(COUNTIF(A$1:A158,A159)=0, "NEW", F158*(1+Table13[[#This Row],[Ávöxtun]])))</f>
        <v>#VALUE!</v>
      </c>
      <c r="G159" s="18" t="str" cm="1">
        <f t="array" ref="G159">IFERROR(_xlfn.IFS(ISNUMBER(Table13[[#This Row],[Column3]]),Table13[[#This Row],[Column3]],Table13[[#This Row],[Column3]]="NEW",Table13[[#This Row],[Column3]]),"")</f>
        <v/>
      </c>
      <c r="H159" s="15" cm="1">
        <f t="array" ref="H159">_xlfn.IFS(Table13[[#This Row],[Column4]]="NEW",AVERAGEIFS(Table13[Column4],Table13[Year],Table13[[#This Row],[Year]]),ISNUMBER(Table13[[#This Row],[Column4]]),Table13[[#This Row],[Column4]],Table13[[#This Row],[Column4]]="",H158*(1+Table13[[#This Row],[Ávöxtun]]))</f>
        <v>116.0751829787234</v>
      </c>
      <c r="I159" cm="1">
        <f t="array" ref="I159">_xlfn.IFS(Table13[[#This Row],[Column4]]="NEW",_xlfn.XLOOKUP(Table13[[#This Row],[Year]],$N$2:$N$27,$P$2:$P$27),ISNUMBER(Table13[[#This Row],[Column4]]),Table13[[#This Row],[Column4]],Table13[[#This Row],[Column4]]="",I158*(1+Table13[[#This Row],[Ávöxtun]]))</f>
        <v>118.65385349213942</v>
      </c>
      <c r="L159" s="33">
        <v>115.88253061224491</v>
      </c>
      <c r="M159" s="33">
        <v>127.97718506222336</v>
      </c>
    </row>
    <row r="160" spans="1:13">
      <c r="A160" t="s">
        <v>71</v>
      </c>
      <c r="B160">
        <v>2001</v>
      </c>
      <c r="C160" s="16">
        <v>-0.05</v>
      </c>
      <c r="D160" s="1">
        <v>11693253</v>
      </c>
      <c r="E160" s="29">
        <f>Table13[[#This Row],[Ávöxtun]]*Table13[[#This Row],[Eignir]]/SUMIFS(Table13[Eignir],Table13[Year],Table13[[#This Row],[Year]])</f>
        <v>-6.0836421717926992E-4</v>
      </c>
      <c r="F160" s="23" t="e">
        <f>IF(B160=1997, 100, IF(COUNTIF(A$1:A159,A160)=0, "NEW", F159*(1+Table13[[#This Row],[Ávöxtun]])))</f>
        <v>#VALUE!</v>
      </c>
      <c r="G160" s="18" t="str" cm="1">
        <f t="array" ref="G160">IFERROR(_xlfn.IFS(ISNUMBER(Table13[[#This Row],[Column3]]),Table13[[#This Row],[Column3]],Table13[[#This Row],[Column3]]="NEW",Table13[[#This Row],[Column3]]),"")</f>
        <v/>
      </c>
      <c r="H160" s="15" cm="1">
        <f t="array" ref="H160">_xlfn.IFS(Table13[[#This Row],[Column4]]="NEW",AVERAGEIFS(Table13[Column4],Table13[Year],Table13[[#This Row],[Year]]),ISNUMBER(Table13[[#This Row],[Column4]]),Table13[[#This Row],[Column4]],Table13[[#This Row],[Column4]]="",H159*(1+Table13[[#This Row],[Ávöxtun]]))</f>
        <v>110.27142382978722</v>
      </c>
      <c r="I160" cm="1">
        <f t="array" ref="I160">_xlfn.IFS(Table13[[#This Row],[Column4]]="NEW",_xlfn.XLOOKUP(Table13[[#This Row],[Year]],$N$2:$N$27,$P$2:$P$27),ISNUMBER(Table13[[#This Row],[Column4]]),Table13[[#This Row],[Column4]],Table13[[#This Row],[Column4]]="",I159*(1+Table13[[#This Row],[Ávöxtun]]))</f>
        <v>112.72116081753244</v>
      </c>
      <c r="L160" s="33">
        <v>110.08840408163266</v>
      </c>
      <c r="M160" s="33">
        <v>121.57832580911219</v>
      </c>
    </row>
    <row r="161" spans="1:13">
      <c r="A161" t="s">
        <v>71</v>
      </c>
      <c r="B161">
        <v>2002</v>
      </c>
      <c r="C161" s="16">
        <v>-0.09</v>
      </c>
      <c r="D161" s="1">
        <v>1876502</v>
      </c>
      <c r="E161" s="29">
        <f>Table13[[#This Row],[Ávöxtun]]*Table13[[#This Row],[Eignir]]/SUMIFS(Table13[Eignir],Table13[Year],Table13[[#This Row],[Year]])</f>
        <v>-3.1692782119142925E-4</v>
      </c>
      <c r="F161" s="23" t="e">
        <f>IF(B161=1997, 100, IF(COUNTIF(A$1:A160,A161)=0, "NEW", F160*(1+Table13[[#This Row],[Ávöxtun]])))</f>
        <v>#VALUE!</v>
      </c>
      <c r="G161" s="18" t="str" cm="1">
        <f t="array" ref="G161">IFERROR(_xlfn.IFS(ISNUMBER(Table13[[#This Row],[Column3]]),Table13[[#This Row],[Column3]],Table13[[#This Row],[Column3]]="NEW",Table13[[#This Row],[Column3]]),"")</f>
        <v/>
      </c>
      <c r="H161" s="15" cm="1">
        <f t="array" ref="H161">_xlfn.IFS(Table13[[#This Row],[Column4]]="NEW",AVERAGEIFS(Table13[Column4],Table13[Year],Table13[[#This Row],[Year]]),ISNUMBER(Table13[[#This Row],[Column4]]),Table13[[#This Row],[Column4]],Table13[[#This Row],[Column4]]="",H160*(1+Table13[[#This Row],[Ávöxtun]]))</f>
        <v>100.34699568510638</v>
      </c>
      <c r="I161" cm="1">
        <f t="array" ref="I161">_xlfn.IFS(Table13[[#This Row],[Column4]]="NEW",_xlfn.XLOOKUP(Table13[[#This Row],[Year]],$N$2:$N$27,$P$2:$P$27),ISNUMBER(Table13[[#This Row],[Column4]]),Table13[[#This Row],[Column4]],Table13[[#This Row],[Column4]]="",I160*(1+Table13[[#This Row],[Ávöxtun]]))</f>
        <v>102.57625634395453</v>
      </c>
      <c r="L161" s="33">
        <v>100.18044771428572</v>
      </c>
      <c r="M161" s="33">
        <v>110.63627648629209</v>
      </c>
    </row>
    <row r="162" spans="1:13">
      <c r="A162" t="s">
        <v>71</v>
      </c>
      <c r="B162">
        <v>2003</v>
      </c>
      <c r="C162" s="16">
        <v>0.16</v>
      </c>
      <c r="D162" s="1">
        <v>3112396</v>
      </c>
      <c r="E162" s="29">
        <f>Table13[[#This Row],[Ávöxtun]]*Table13[[#This Row],[Eignir]]/SUMIFS(Table13[Eignir],Table13[Year],Table13[[#This Row],[Year]])</f>
        <v>7.8079316234496007E-4</v>
      </c>
      <c r="F162" s="23" t="e">
        <f>IF(B162=1997, 100, IF(COUNTIF(A$1:A161,A162)=0, "NEW", F161*(1+Table13[[#This Row],[Ávöxtun]])))</f>
        <v>#VALUE!</v>
      </c>
      <c r="G162" s="18" t="str" cm="1">
        <f t="array" ref="G162">IFERROR(_xlfn.IFS(ISNUMBER(Table13[[#This Row],[Column3]]),Table13[[#This Row],[Column3]],Table13[[#This Row],[Column3]]="NEW",Table13[[#This Row],[Column3]]),"")</f>
        <v/>
      </c>
      <c r="H162" s="15" cm="1">
        <f t="array" ref="H162">_xlfn.IFS(Table13[[#This Row],[Column4]]="NEW",AVERAGEIFS(Table13[Column4],Table13[Year],Table13[[#This Row],[Year]]),ISNUMBER(Table13[[#This Row],[Column4]]),Table13[[#This Row],[Column4]],Table13[[#This Row],[Column4]]="",H161*(1+Table13[[#This Row],[Ávöxtun]]))</f>
        <v>116.40251499472339</v>
      </c>
      <c r="I162" cm="1">
        <f t="array" ref="I162">_xlfn.IFS(Table13[[#This Row],[Column4]]="NEW",_xlfn.XLOOKUP(Table13[[#This Row],[Year]],$N$2:$N$27,$P$2:$P$27),ISNUMBER(Table13[[#This Row],[Column4]]),Table13[[#This Row],[Column4]],Table13[[#This Row],[Column4]]="",I161*(1+Table13[[#This Row],[Ávöxtun]]))</f>
        <v>118.98845735898725</v>
      </c>
      <c r="L162" s="33">
        <v>116.20931934857143</v>
      </c>
      <c r="M162" s="33">
        <v>128.3380807240988</v>
      </c>
    </row>
    <row r="163" spans="1:13">
      <c r="A163" t="s">
        <v>71</v>
      </c>
      <c r="B163">
        <v>2004</v>
      </c>
      <c r="C163" s="16">
        <v>0.09</v>
      </c>
      <c r="D163" s="1">
        <v>5182588.8</v>
      </c>
      <c r="E163" s="29">
        <f>Table13[[#This Row],[Ávöxtun]]*Table13[[#This Row],[Eignir]]/SUMIFS(Table13[Eignir],Table13[Year],Table13[[#This Row],[Year]])</f>
        <v>6.1402459560759646E-4</v>
      </c>
      <c r="F163" s="23" t="e">
        <f>IF(B163=1997, 100, IF(COUNTIF(A$1:A162,A163)=0, "NEW", F162*(1+Table13[[#This Row],[Ávöxtun]])))</f>
        <v>#VALUE!</v>
      </c>
      <c r="G163" s="18" t="str" cm="1">
        <f t="array" ref="G163">IFERROR(_xlfn.IFS(ISNUMBER(Table13[[#This Row],[Column3]]),Table13[[#This Row],[Column3]],Table13[[#This Row],[Column3]]="NEW",Table13[[#This Row],[Column3]]),"")</f>
        <v/>
      </c>
      <c r="H163" s="15" cm="1">
        <f t="array" ref="H163">_xlfn.IFS(Table13[[#This Row],[Column4]]="NEW",AVERAGEIFS(Table13[Column4],Table13[Year],Table13[[#This Row],[Year]]),ISNUMBER(Table13[[#This Row],[Column4]]),Table13[[#This Row],[Column4]],Table13[[#This Row],[Column4]]="",H162*(1+Table13[[#This Row],[Ávöxtun]]))</f>
        <v>126.87874134424851</v>
      </c>
      <c r="I163" cm="1">
        <f t="array" ref="I163">_xlfn.IFS(Table13[[#This Row],[Column4]]="NEW",_xlfn.XLOOKUP(Table13[[#This Row],[Year]],$N$2:$N$27,$P$2:$P$27),ISNUMBER(Table13[[#This Row],[Column4]]),Table13[[#This Row],[Column4]],Table13[[#This Row],[Column4]]="",I162*(1+Table13[[#This Row],[Ávöxtun]]))</f>
        <v>129.6974185212961</v>
      </c>
      <c r="L163" s="33">
        <v>126.66815808994286</v>
      </c>
      <c r="M163" s="33">
        <v>139.88850798926771</v>
      </c>
    </row>
    <row r="164" spans="1:13">
      <c r="A164" t="s">
        <v>71</v>
      </c>
      <c r="B164">
        <v>2005</v>
      </c>
      <c r="C164" s="16">
        <v>0.12</v>
      </c>
      <c r="D164" s="1">
        <v>7064513</v>
      </c>
      <c r="E164" s="29">
        <f>Table13[[#This Row],[Ávöxtun]]*Table13[[#This Row],[Eignir]]/SUMIFS(Table13[Eignir],Table13[Year],Table13[[#This Row],[Year]])</f>
        <v>9.0822066525527497E-4</v>
      </c>
      <c r="F164" s="23" t="e">
        <f>IF(B164=1997, 100, IF(COUNTIF(A$1:A163,A164)=0, "NEW", F163*(1+Table13[[#This Row],[Ávöxtun]])))</f>
        <v>#VALUE!</v>
      </c>
      <c r="G164" s="18" t="str" cm="1">
        <f t="array" ref="G164">IFERROR(_xlfn.IFS(ISNUMBER(Table13[[#This Row],[Column3]]),Table13[[#This Row],[Column3]],Table13[[#This Row],[Column3]]="NEW",Table13[[#This Row],[Column3]]),"")</f>
        <v/>
      </c>
      <c r="H164" s="15" cm="1">
        <f t="array" ref="H164">_xlfn.IFS(Table13[[#This Row],[Column4]]="NEW",AVERAGEIFS(Table13[Column4],Table13[Year],Table13[[#This Row],[Year]]),ISNUMBER(Table13[[#This Row],[Column4]]),Table13[[#This Row],[Column4]],Table13[[#This Row],[Column4]]="",H163*(1+Table13[[#This Row],[Ávöxtun]]))</f>
        <v>142.10419030555835</v>
      </c>
      <c r="I164" cm="1">
        <f t="array" ref="I164">_xlfn.IFS(Table13[[#This Row],[Column4]]="NEW",_xlfn.XLOOKUP(Table13[[#This Row],[Year]],$N$2:$N$27,$P$2:$P$27),ISNUMBER(Table13[[#This Row],[Column4]]),Table13[[#This Row],[Column4]],Table13[[#This Row],[Column4]]="",I163*(1+Table13[[#This Row],[Ávöxtun]]))</f>
        <v>145.26110874385165</v>
      </c>
      <c r="L164" s="33">
        <v>141.86833706073602</v>
      </c>
      <c r="M164" s="33">
        <v>156.67512894797986</v>
      </c>
    </row>
    <row r="165" spans="1:13">
      <c r="A165" t="s">
        <v>71</v>
      </c>
      <c r="B165">
        <v>2006</v>
      </c>
      <c r="C165" s="16">
        <v>0.11410000000000001</v>
      </c>
      <c r="D165" s="1">
        <v>11594418</v>
      </c>
      <c r="E165" s="29">
        <f>Table13[[#This Row],[Ávöxtun]]*Table13[[#This Row],[Eignir]]/SUMIFS(Table13[Eignir],Table13[Year],Table13[[#This Row],[Year]])</f>
        <v>1.1628946400625221E-3</v>
      </c>
      <c r="F165" s="23" t="e">
        <f>IF(B165=1997, 100, IF(COUNTIF(A$1:A164,A165)=0, "NEW", F164*(1+Table13[[#This Row],[Ávöxtun]])))</f>
        <v>#VALUE!</v>
      </c>
      <c r="G165" s="18" t="str" cm="1">
        <f t="array" ref="G165">IFERROR(_xlfn.IFS(ISNUMBER(Table13[[#This Row],[Column3]]),Table13[[#This Row],[Column3]],Table13[[#This Row],[Column3]]="NEW",Table13[[#This Row],[Column3]]),"")</f>
        <v/>
      </c>
      <c r="H165" s="15" cm="1">
        <f t="array" ref="H165">_xlfn.IFS(Table13[[#This Row],[Column4]]="NEW",AVERAGEIFS(Table13[Column4],Table13[Year],Table13[[#This Row],[Year]]),ISNUMBER(Table13[[#This Row],[Column4]]),Table13[[#This Row],[Column4]],Table13[[#This Row],[Column4]]="",H164*(1+Table13[[#This Row],[Ávöxtun]]))</f>
        <v>158.31827841942257</v>
      </c>
      <c r="I165" cm="1">
        <f t="array" ref="I165">_xlfn.IFS(Table13[[#This Row],[Column4]]="NEW",_xlfn.XLOOKUP(Table13[[#This Row],[Year]],$N$2:$N$27,$P$2:$P$27),ISNUMBER(Table13[[#This Row],[Column4]]),Table13[[#This Row],[Column4]],Table13[[#This Row],[Column4]]="",I164*(1+Table13[[#This Row],[Ávöxtun]]))</f>
        <v>161.83540125152513</v>
      </c>
      <c r="L165" s="33">
        <v>158.05551431936601</v>
      </c>
      <c r="M165" s="33">
        <v>174.55176116094438</v>
      </c>
    </row>
    <row r="166" spans="1:13">
      <c r="A166" t="s">
        <v>71</v>
      </c>
      <c r="B166">
        <v>2007</v>
      </c>
      <c r="C166" s="16">
        <v>-2.35E-2</v>
      </c>
      <c r="D166" s="1">
        <v>12728071</v>
      </c>
      <c r="E166" s="29">
        <f>Table13[[#This Row],[Ávöxtun]]*Table13[[#This Row],[Eignir]]/SUMIFS(Table13[Eignir],Table13[Year],Table13[[#This Row],[Year]])</f>
        <v>-2.330494545102197E-4</v>
      </c>
      <c r="F166" s="23" t="e">
        <f>IF(B166=1997, 100, IF(COUNTIF(A$1:A165,A166)=0, "NEW", F165*(1+Table13[[#This Row],[Ávöxtun]])))</f>
        <v>#VALUE!</v>
      </c>
      <c r="G166" s="18" t="str" cm="1">
        <f t="array" ref="G166">IFERROR(_xlfn.IFS(ISNUMBER(Table13[[#This Row],[Column3]]),Table13[[#This Row],[Column3]],Table13[[#This Row],[Column3]]="NEW",Table13[[#This Row],[Column3]]),"")</f>
        <v/>
      </c>
      <c r="H166" s="15" cm="1">
        <f t="array" ref="H166">_xlfn.IFS(Table13[[#This Row],[Column4]]="NEW",AVERAGEIFS(Table13[Column4],Table13[Year],Table13[[#This Row],[Year]]),ISNUMBER(Table13[[#This Row],[Column4]]),Table13[[#This Row],[Column4]],Table13[[#This Row],[Column4]]="",H165*(1+Table13[[#This Row],[Ávöxtun]]))</f>
        <v>154.59779887656615</v>
      </c>
      <c r="I166" cm="1">
        <f t="array" ref="I166">_xlfn.IFS(Table13[[#This Row],[Column4]]="NEW",_xlfn.XLOOKUP(Table13[[#This Row],[Year]],$N$2:$N$27,$P$2:$P$27),ISNUMBER(Table13[[#This Row],[Column4]]),Table13[[#This Row],[Column4]],Table13[[#This Row],[Column4]]="",I165*(1+Table13[[#This Row],[Ávöxtun]]))</f>
        <v>158.0322693221143</v>
      </c>
      <c r="L166" s="33">
        <v>154.3412097328609</v>
      </c>
      <c r="M166" s="33">
        <v>170.44979477366221</v>
      </c>
    </row>
    <row r="167" spans="1:13">
      <c r="A167" t="s">
        <v>71</v>
      </c>
      <c r="B167">
        <v>2008</v>
      </c>
      <c r="C167" s="16">
        <v>-0.20620000000000002</v>
      </c>
      <c r="D167" s="1">
        <v>13755504</v>
      </c>
      <c r="E167" s="29">
        <f>Table13[[#This Row],[Ávöxtun]]*Table13[[#This Row],[Eignir]]/SUMIFS(Table13[Eignir],Table13[Year],Table13[[#This Row],[Year]])</f>
        <v>-2.2892613791348497E-3</v>
      </c>
      <c r="F167" s="23" t="e">
        <f>IF(B167=1997, 100, IF(COUNTIF(A$1:A166,A167)=0, "NEW", F166*(1+Table13[[#This Row],[Ávöxtun]])))</f>
        <v>#VALUE!</v>
      </c>
      <c r="G167" s="18" t="str" cm="1">
        <f t="array" ref="G167">IFERROR(_xlfn.IFS(ISNUMBER(Table13[[#This Row],[Column3]]),Table13[[#This Row],[Column3]],Table13[[#This Row],[Column3]]="NEW",Table13[[#This Row],[Column3]]),"")</f>
        <v/>
      </c>
      <c r="H167" s="15" cm="1">
        <f t="array" ref="H167">_xlfn.IFS(Table13[[#This Row],[Column4]]="NEW",AVERAGEIFS(Table13[Column4],Table13[Year],Table13[[#This Row],[Year]]),ISNUMBER(Table13[[#This Row],[Column4]]),Table13[[#This Row],[Column4]],Table13[[#This Row],[Column4]]="",H166*(1+Table13[[#This Row],[Ávöxtun]]))</f>
        <v>122.71973274821819</v>
      </c>
      <c r="I167" cm="1">
        <f t="array" ref="I167">_xlfn.IFS(Table13[[#This Row],[Column4]]="NEW",_xlfn.XLOOKUP(Table13[[#This Row],[Year]],$N$2:$N$27,$P$2:$P$27),ISNUMBER(Table13[[#This Row],[Column4]]),Table13[[#This Row],[Column4]],Table13[[#This Row],[Column4]]="",I166*(1+Table13[[#This Row],[Ávöxtun]]))</f>
        <v>125.44601538789432</v>
      </c>
      <c r="L167" s="33">
        <v>122.51605228594498</v>
      </c>
      <c r="M167" s="33">
        <v>135.30304709133304</v>
      </c>
    </row>
    <row r="168" spans="1:13">
      <c r="A168" t="s">
        <v>71</v>
      </c>
      <c r="B168">
        <v>2009</v>
      </c>
      <c r="C168" s="16">
        <v>5.7999999999999996E-3</v>
      </c>
      <c r="D168" s="1">
        <v>16690404</v>
      </c>
      <c r="E168" s="29">
        <f>Table13[[#This Row],[Ávöxtun]]*Table13[[#This Row],[Eignir]]/SUMIFS(Table13[Eignir],Table13[Year],Table13[[#This Row],[Year]])</f>
        <v>7.0499646558087292E-5</v>
      </c>
      <c r="F168" s="23" t="e">
        <f>IF(B168=1997, 100, IF(COUNTIF(A$1:A167,A168)=0, "NEW", F167*(1+Table13[[#This Row],[Ávöxtun]])))</f>
        <v>#VALUE!</v>
      </c>
      <c r="G168" s="18" t="str" cm="1">
        <f t="array" ref="G168">IFERROR(_xlfn.IFS(ISNUMBER(Table13[[#This Row],[Column3]]),Table13[[#This Row],[Column3]],Table13[[#This Row],[Column3]]="NEW",Table13[[#This Row],[Column3]]),"")</f>
        <v/>
      </c>
      <c r="H168" s="15" cm="1">
        <f t="array" ref="H168">_xlfn.IFS(Table13[[#This Row],[Column4]]="NEW",AVERAGEIFS(Table13[Column4],Table13[Year],Table13[[#This Row],[Year]]),ISNUMBER(Table13[[#This Row],[Column4]]),Table13[[#This Row],[Column4]],Table13[[#This Row],[Column4]]="",H167*(1+Table13[[#This Row],[Ávöxtun]]))</f>
        <v>123.43150719815786</v>
      </c>
      <c r="I168" cm="1">
        <f t="array" ref="I168">_xlfn.IFS(Table13[[#This Row],[Column4]]="NEW",_xlfn.XLOOKUP(Table13[[#This Row],[Year]],$N$2:$N$27,$P$2:$P$27),ISNUMBER(Table13[[#This Row],[Column4]]),Table13[[#This Row],[Column4]],Table13[[#This Row],[Column4]]="",I167*(1+Table13[[#This Row],[Ávöxtun]]))</f>
        <v>126.17360227714411</v>
      </c>
      <c r="L168" s="33">
        <v>123.22664538920347</v>
      </c>
      <c r="M168" s="33">
        <v>136.08780476446279</v>
      </c>
    </row>
    <row r="169" spans="1:13">
      <c r="A169" t="s">
        <v>71</v>
      </c>
      <c r="B169">
        <v>2010</v>
      </c>
      <c r="C169" s="16">
        <v>5.0199999999999995E-2</v>
      </c>
      <c r="D169" s="1">
        <v>19866077</v>
      </c>
      <c r="E169" s="29">
        <f>Table13[[#This Row],[Ávöxtun]]*Table13[[#This Row],[Eignir]]/SUMIFS(Table13[Eignir],Table13[Year],Table13[[#This Row],[Year]])</f>
        <v>6.8085208449444553E-4</v>
      </c>
      <c r="F169" s="23" t="e">
        <f>IF(B169=1997, 100, IF(COUNTIF(A$1:A168,A169)=0, "NEW", F168*(1+Table13[[#This Row],[Ávöxtun]])))</f>
        <v>#VALUE!</v>
      </c>
      <c r="G169" s="18" t="str" cm="1">
        <f t="array" ref="G169">IFERROR(_xlfn.IFS(ISNUMBER(Table13[[#This Row],[Column3]]),Table13[[#This Row],[Column3]],Table13[[#This Row],[Column3]]="NEW",Table13[[#This Row],[Column3]]),"")</f>
        <v/>
      </c>
      <c r="H169" s="15" cm="1">
        <f t="array" ref="H169">_xlfn.IFS(Table13[[#This Row],[Column4]]="NEW",AVERAGEIFS(Table13[Column4],Table13[Year],Table13[[#This Row],[Year]]),ISNUMBER(Table13[[#This Row],[Column4]]),Table13[[#This Row],[Column4]],Table13[[#This Row],[Column4]]="",H168*(1+Table13[[#This Row],[Ávöxtun]]))</f>
        <v>129.62776885950538</v>
      </c>
      <c r="I169" cm="1">
        <f t="array" ref="I169">_xlfn.IFS(Table13[[#This Row],[Column4]]="NEW",_xlfn.XLOOKUP(Table13[[#This Row],[Year]],$N$2:$N$27,$P$2:$P$27),ISNUMBER(Table13[[#This Row],[Column4]]),Table13[[#This Row],[Column4]],Table13[[#This Row],[Column4]]="",I168*(1+Table13[[#This Row],[Ávöxtun]]))</f>
        <v>132.50751711145676</v>
      </c>
      <c r="L169" s="33">
        <v>129.41262298774149</v>
      </c>
      <c r="M169" s="33">
        <v>142.91941256363882</v>
      </c>
    </row>
    <row r="170" spans="1:13">
      <c r="A170" t="s">
        <v>71</v>
      </c>
      <c r="B170">
        <v>2011</v>
      </c>
      <c r="C170" s="16">
        <v>3.6000000000000004E-2</v>
      </c>
      <c r="D170" s="1">
        <v>23879708</v>
      </c>
      <c r="E170" s="29">
        <f>Table13[[#This Row],[Ávöxtun]]*Table13[[#This Row],[Eignir]]/SUMIFS(Table13[Eignir],Table13[Year],Table13[[#This Row],[Year]])</f>
        <v>5.4139504154169518E-4</v>
      </c>
      <c r="F170" s="23" t="e">
        <f>IF(B170=1997, 100, IF(COUNTIF(A$1:A169,A170)=0, "NEW", F169*(1+Table13[[#This Row],[Ávöxtun]])))</f>
        <v>#VALUE!</v>
      </c>
      <c r="G170" s="18" t="str" cm="1">
        <f t="array" ref="G170">IFERROR(_xlfn.IFS(ISNUMBER(Table13[[#This Row],[Column3]]),Table13[[#This Row],[Column3]],Table13[[#This Row],[Column3]]="NEW",Table13[[#This Row],[Column3]]),"")</f>
        <v/>
      </c>
      <c r="H170" s="15" cm="1">
        <f t="array" ref="H170">_xlfn.IFS(Table13[[#This Row],[Column4]]="NEW",AVERAGEIFS(Table13[Column4],Table13[Year],Table13[[#This Row],[Year]]),ISNUMBER(Table13[[#This Row],[Column4]]),Table13[[#This Row],[Column4]],Table13[[#This Row],[Column4]]="",H169*(1+Table13[[#This Row],[Ávöxtun]]))</f>
        <v>134.29436853844757</v>
      </c>
      <c r="I170" cm="1">
        <f t="array" ref="I170">_xlfn.IFS(Table13[[#This Row],[Column4]]="NEW",_xlfn.XLOOKUP(Table13[[#This Row],[Year]],$N$2:$N$27,$P$2:$P$27),ISNUMBER(Table13[[#This Row],[Column4]]),Table13[[#This Row],[Column4]],Table13[[#This Row],[Column4]]="",I169*(1+Table13[[#This Row],[Ávöxtun]]))</f>
        <v>137.27778772746922</v>
      </c>
      <c r="L170" s="33">
        <v>134.07147741530019</v>
      </c>
      <c r="M170" s="33">
        <v>148.06451141592981</v>
      </c>
    </row>
    <row r="171" spans="1:13">
      <c r="A171" t="s">
        <v>71</v>
      </c>
      <c r="B171">
        <v>2012</v>
      </c>
      <c r="C171" s="16">
        <v>5.7000000000000002E-2</v>
      </c>
      <c r="D171" s="1">
        <v>29200973</v>
      </c>
      <c r="E171" s="29">
        <f>Table13[[#This Row],[Ávöxtun]]*Table13[[#This Row],[Eignir]]/SUMIFS(Table13[Eignir],Table13[Year],Table13[[#This Row],[Year]])</f>
        <v>9.2734046356833565E-4</v>
      </c>
      <c r="F171" s="23" t="e">
        <f>IF(B171=1997, 100, IF(COUNTIF(A$1:A170,A171)=0, "NEW", F170*(1+Table13[[#This Row],[Ávöxtun]])))</f>
        <v>#VALUE!</v>
      </c>
      <c r="G171" s="18" t="str" cm="1">
        <f t="array" ref="G171">IFERROR(_xlfn.IFS(ISNUMBER(Table13[[#This Row],[Column3]]),Table13[[#This Row],[Column3]],Table13[[#This Row],[Column3]]="NEW",Table13[[#This Row],[Column3]]),"")</f>
        <v/>
      </c>
      <c r="H171" s="15" cm="1">
        <f t="array" ref="H171">_xlfn.IFS(Table13[[#This Row],[Column4]]="NEW",AVERAGEIFS(Table13[Column4],Table13[Year],Table13[[#This Row],[Year]]),ISNUMBER(Table13[[#This Row],[Column4]]),Table13[[#This Row],[Column4]],Table13[[#This Row],[Column4]]="",H170*(1+Table13[[#This Row],[Ávöxtun]]))</f>
        <v>141.94914754513908</v>
      </c>
      <c r="I171" cm="1">
        <f t="array" ref="I171">_xlfn.IFS(Table13[[#This Row],[Column4]]="NEW",_xlfn.XLOOKUP(Table13[[#This Row],[Year]],$N$2:$N$27,$P$2:$P$27),ISNUMBER(Table13[[#This Row],[Column4]]),Table13[[#This Row],[Column4]],Table13[[#This Row],[Column4]]="",I170*(1+Table13[[#This Row],[Ávöxtun]]))</f>
        <v>145.10262162793495</v>
      </c>
      <c r="L171" s="33">
        <v>141.71355162797229</v>
      </c>
      <c r="M171" s="33">
        <v>156.50418856663779</v>
      </c>
    </row>
    <row r="172" spans="1:13">
      <c r="A172" t="s">
        <v>71</v>
      </c>
      <c r="B172">
        <v>2013</v>
      </c>
      <c r="C172" s="16">
        <v>5.2999999999999999E-2</v>
      </c>
      <c r="D172" s="1">
        <v>35016806</v>
      </c>
      <c r="E172" s="29">
        <f>Table13[[#This Row],[Ávöxtun]]*Table13[[#This Row],[Eignir]]/SUMIFS(Table13[Eignir],Table13[Year],Table13[[#This Row],[Year]])</f>
        <v>9.4020869564043815E-4</v>
      </c>
      <c r="F172" s="23" t="e">
        <f>IF(B172=1997, 100, IF(COUNTIF(A$1:A171,A172)=0, "NEW", F171*(1+Table13[[#This Row],[Ávöxtun]])))</f>
        <v>#VALUE!</v>
      </c>
      <c r="G172" s="18" t="str" cm="1">
        <f t="array" ref="G172">IFERROR(_xlfn.IFS(ISNUMBER(Table13[[#This Row],[Column3]]),Table13[[#This Row],[Column3]],Table13[[#This Row],[Column3]]="NEW",Table13[[#This Row],[Column3]]),"")</f>
        <v/>
      </c>
      <c r="H172" s="15" cm="1">
        <f t="array" ref="H172">_xlfn.IFS(Table13[[#This Row],[Column4]]="NEW",AVERAGEIFS(Table13[Column4],Table13[Year],Table13[[#This Row],[Year]]),ISNUMBER(Table13[[#This Row],[Column4]]),Table13[[#This Row],[Column4]],Table13[[#This Row],[Column4]]="",H171*(1+Table13[[#This Row],[Ávöxtun]]))</f>
        <v>149.47245236503144</v>
      </c>
      <c r="I172" cm="1">
        <f t="array" ref="I172">_xlfn.IFS(Table13[[#This Row],[Column4]]="NEW",_xlfn.XLOOKUP(Table13[[#This Row],[Year]],$N$2:$N$27,$P$2:$P$27),ISNUMBER(Table13[[#This Row],[Column4]]),Table13[[#This Row],[Column4]],Table13[[#This Row],[Column4]]="",I171*(1+Table13[[#This Row],[Ávöxtun]]))</f>
        <v>152.7930605742155</v>
      </c>
      <c r="L172" s="33">
        <v>149.22436986425481</v>
      </c>
      <c r="M172" s="33">
        <v>164.79891056066958</v>
      </c>
    </row>
    <row r="173" spans="1:13">
      <c r="A173" t="s">
        <v>71</v>
      </c>
      <c r="B173">
        <v>2014</v>
      </c>
      <c r="C173" s="16">
        <v>4.4999999999999998E-2</v>
      </c>
      <c r="D173" s="1">
        <v>40731963</v>
      </c>
      <c r="E173" s="29">
        <f>Table13[[#This Row],[Ávöxtun]]*Table13[[#This Row],[Eignir]]/SUMIFS(Table13[Eignir],Table13[Year],Table13[[#This Row],[Year]])</f>
        <v>8.5153783282766846E-4</v>
      </c>
      <c r="F173" s="23" t="e">
        <f>IF(B173=1997, 100, IF(COUNTIF(A$1:A172,A173)=0, "NEW", F172*(1+Table13[[#This Row],[Ávöxtun]])))</f>
        <v>#VALUE!</v>
      </c>
      <c r="G173" s="18" t="str" cm="1">
        <f t="array" ref="G173">IFERROR(_xlfn.IFS(ISNUMBER(Table13[[#This Row],[Column3]]),Table13[[#This Row],[Column3]],Table13[[#This Row],[Column3]]="NEW",Table13[[#This Row],[Column3]]),"")</f>
        <v/>
      </c>
      <c r="H173" s="15" cm="1">
        <f t="array" ref="H173">_xlfn.IFS(Table13[[#This Row],[Column4]]="NEW",AVERAGEIFS(Table13[Column4],Table13[Year],Table13[[#This Row],[Year]]),ISNUMBER(Table13[[#This Row],[Column4]]),Table13[[#This Row],[Column4]],Table13[[#This Row],[Column4]]="",H172*(1+Table13[[#This Row],[Ávöxtun]]))</f>
        <v>156.19871272145784</v>
      </c>
      <c r="I173" cm="1">
        <f t="array" ref="I173">_xlfn.IFS(Table13[[#This Row],[Column4]]="NEW",_xlfn.XLOOKUP(Table13[[#This Row],[Year]],$N$2:$N$27,$P$2:$P$27),ISNUMBER(Table13[[#This Row],[Column4]]),Table13[[#This Row],[Column4]],Table13[[#This Row],[Column4]]="",I172*(1+Table13[[#This Row],[Ávöxtun]]))</f>
        <v>159.6687483000552</v>
      </c>
      <c r="L173" s="33">
        <v>155.93946650814627</v>
      </c>
      <c r="M173" s="33">
        <v>172.2148615358997</v>
      </c>
    </row>
    <row r="174" spans="1:13">
      <c r="A174" t="s">
        <v>71</v>
      </c>
      <c r="B174">
        <v>2015</v>
      </c>
      <c r="C174" s="16">
        <v>8.4000000000000005E-2</v>
      </c>
      <c r="D174" s="1">
        <v>49307622</v>
      </c>
      <c r="E174" s="29">
        <f>Table13[[#This Row],[Ávöxtun]]*Table13[[#This Row],[Eignir]]/SUMIFS(Table13[Eignir],Table13[Year],Table13[[#This Row],[Year]])</f>
        <v>1.7346111236197972E-3</v>
      </c>
      <c r="F174" s="23" t="e">
        <f>IF(B174=1997, 100, IF(COUNTIF(A$1:A173,A174)=0, "NEW", F173*(1+Table13[[#This Row],[Ávöxtun]])))</f>
        <v>#VALUE!</v>
      </c>
      <c r="G174" s="18" t="str" cm="1">
        <f t="array" ref="G174">IFERROR(_xlfn.IFS(ISNUMBER(Table13[[#This Row],[Column3]]),Table13[[#This Row],[Column3]],Table13[[#This Row],[Column3]]="NEW",Table13[[#This Row],[Column3]]),"")</f>
        <v/>
      </c>
      <c r="H174" s="15" cm="1">
        <f t="array" ref="H174">_xlfn.IFS(Table13[[#This Row],[Column4]]="NEW",AVERAGEIFS(Table13[Column4],Table13[Year],Table13[[#This Row],[Year]]),ISNUMBER(Table13[[#This Row],[Column4]]),Table13[[#This Row],[Column4]],Table13[[#This Row],[Column4]]="",H173*(1+Table13[[#This Row],[Ávöxtun]]))</f>
        <v>169.31940459006032</v>
      </c>
      <c r="I174" cm="1">
        <f t="array" ref="I174">_xlfn.IFS(Table13[[#This Row],[Column4]]="NEW",_xlfn.XLOOKUP(Table13[[#This Row],[Year]],$N$2:$N$27,$P$2:$P$27),ISNUMBER(Table13[[#This Row],[Column4]]),Table13[[#This Row],[Column4]],Table13[[#This Row],[Column4]]="",I173*(1+Table13[[#This Row],[Ávöxtun]]))</f>
        <v>173.08092315725986</v>
      </c>
      <c r="L174" s="33">
        <v>169.03838169483058</v>
      </c>
      <c r="M174" s="33">
        <v>186.6809099049153</v>
      </c>
    </row>
    <row r="175" spans="1:13">
      <c r="A175" t="s">
        <v>71</v>
      </c>
      <c r="B175">
        <v>2016</v>
      </c>
      <c r="C175" s="16">
        <v>-1E-3</v>
      </c>
      <c r="D175" s="1">
        <v>55602567</v>
      </c>
      <c r="E175" s="29">
        <f>Table13[[#This Row],[Ávöxtun]]*Table13[[#This Row],[Eignir]]/SUMIFS(Table13[Eignir],Table13[Year],Table13[[#This Row],[Year]])</f>
        <v>-2.1320414875194169E-5</v>
      </c>
      <c r="F175" s="23" t="e">
        <f>IF(B175=1997, 100, IF(COUNTIF(A$1:A174,A175)=0, "NEW", F174*(1+Table13[[#This Row],[Ávöxtun]])))</f>
        <v>#VALUE!</v>
      </c>
      <c r="G175" s="18" t="str" cm="1">
        <f t="array" ref="G175">IFERROR(_xlfn.IFS(ISNUMBER(Table13[[#This Row],[Column3]]),Table13[[#This Row],[Column3]],Table13[[#This Row],[Column3]]="NEW",Table13[[#This Row],[Column3]]),"")</f>
        <v/>
      </c>
      <c r="H175" s="15" cm="1">
        <f t="array" ref="H175">_xlfn.IFS(Table13[[#This Row],[Column4]]="NEW",AVERAGEIFS(Table13[Column4],Table13[Year],Table13[[#This Row],[Year]]),ISNUMBER(Table13[[#This Row],[Column4]]),Table13[[#This Row],[Column4]],Table13[[#This Row],[Column4]]="",H174*(1+Table13[[#This Row],[Ávöxtun]]))</f>
        <v>169.15008518547026</v>
      </c>
      <c r="I175" cm="1">
        <f t="array" ref="I175">_xlfn.IFS(Table13[[#This Row],[Column4]]="NEW",_xlfn.XLOOKUP(Table13[[#This Row],[Year]],$N$2:$N$27,$P$2:$P$27),ISNUMBER(Table13[[#This Row],[Column4]]),Table13[[#This Row],[Column4]],Table13[[#This Row],[Column4]]="",I174*(1+Table13[[#This Row],[Ávöxtun]]))</f>
        <v>172.90784223410259</v>
      </c>
      <c r="L175" s="33">
        <v>168.86934331313574</v>
      </c>
      <c r="M175" s="33">
        <v>186.49422899501039</v>
      </c>
    </row>
    <row r="176" spans="1:13">
      <c r="A176" t="s">
        <v>71</v>
      </c>
      <c r="B176">
        <v>2017</v>
      </c>
      <c r="C176" s="16">
        <v>0.03</v>
      </c>
      <c r="D176" s="1">
        <v>63913344</v>
      </c>
      <c r="E176" s="29">
        <f>Table13[[#This Row],[Ávöxtun]]*Table13[[#This Row],[Eignir]]/SUMIFS(Table13[Eignir],Table13[Year],Table13[[#This Row],[Year]])</f>
        <v>6.5978004379483896E-4</v>
      </c>
      <c r="F176" s="23" t="e">
        <f>IF(B176=1997, 100, IF(COUNTIF(A$1:A175,A176)=0, "NEW", F175*(1+Table13[[#This Row],[Ávöxtun]])))</f>
        <v>#VALUE!</v>
      </c>
      <c r="G176" s="18" t="str" cm="1">
        <f t="array" ref="G176">IFERROR(_xlfn.IFS(ISNUMBER(Table13[[#This Row],[Column3]]),Table13[[#This Row],[Column3]],Table13[[#This Row],[Column3]]="NEW",Table13[[#This Row],[Column3]]),"")</f>
        <v/>
      </c>
      <c r="H176" s="15" cm="1">
        <f t="array" ref="H176">_xlfn.IFS(Table13[[#This Row],[Column4]]="NEW",AVERAGEIFS(Table13[Column4],Table13[Year],Table13[[#This Row],[Year]]),ISNUMBER(Table13[[#This Row],[Column4]]),Table13[[#This Row],[Column4]],Table13[[#This Row],[Column4]]="",H175*(1+Table13[[#This Row],[Ávöxtun]]))</f>
        <v>174.22458774103438</v>
      </c>
      <c r="I176" cm="1">
        <f t="array" ref="I176">_xlfn.IFS(Table13[[#This Row],[Column4]]="NEW",_xlfn.XLOOKUP(Table13[[#This Row],[Year]],$N$2:$N$27,$P$2:$P$27),ISNUMBER(Table13[[#This Row],[Column4]]),Table13[[#This Row],[Column4]],Table13[[#This Row],[Column4]]="",I175*(1+Table13[[#This Row],[Ávöxtun]]))</f>
        <v>178.09507750112567</v>
      </c>
      <c r="L176" s="33">
        <v>173.93542361252983</v>
      </c>
      <c r="M176" s="33">
        <v>192.08905586486071</v>
      </c>
    </row>
    <row r="177" spans="1:13">
      <c r="A177" t="s">
        <v>71</v>
      </c>
      <c r="B177">
        <v>2018</v>
      </c>
      <c r="C177" s="16">
        <v>1.8000000000000002E-2</v>
      </c>
      <c r="D177" s="1">
        <v>73497172</v>
      </c>
      <c r="E177" s="29">
        <f>Table13[[#This Row],[Ávöxtun]]*Table13[[#This Row],[Eignir]]/SUMIFS(Table13[Eignir],Table13[Year],Table13[[#This Row],[Year]])</f>
        <v>4.2416895537975393E-4</v>
      </c>
      <c r="F177" s="23" t="e">
        <f>IF(B177=1997, 100, IF(COUNTIF(A$1:A176,A177)=0, "NEW", F176*(1+Table13[[#This Row],[Ávöxtun]])))</f>
        <v>#VALUE!</v>
      </c>
      <c r="G177" s="18" t="str" cm="1">
        <f t="array" ref="G177">IFERROR(_xlfn.IFS(ISNUMBER(Table13[[#This Row],[Column3]]),Table13[[#This Row],[Column3]],Table13[[#This Row],[Column3]]="NEW",Table13[[#This Row],[Column3]]),"")</f>
        <v/>
      </c>
      <c r="H177" s="15" cm="1">
        <f t="array" ref="H177">_xlfn.IFS(Table13[[#This Row],[Column4]]="NEW",AVERAGEIFS(Table13[Column4],Table13[Year],Table13[[#This Row],[Year]]),ISNUMBER(Table13[[#This Row],[Column4]]),Table13[[#This Row],[Column4]],Table13[[#This Row],[Column4]]="",H176*(1+Table13[[#This Row],[Ávöxtun]]))</f>
        <v>177.36063032037302</v>
      </c>
      <c r="I177" cm="1">
        <f t="array" ref="I177">_xlfn.IFS(Table13[[#This Row],[Column4]]="NEW",_xlfn.XLOOKUP(Table13[[#This Row],[Year]],$N$2:$N$27,$P$2:$P$27),ISNUMBER(Table13[[#This Row],[Column4]]),Table13[[#This Row],[Column4]],Table13[[#This Row],[Column4]]="",I176*(1+Table13[[#This Row],[Ávöxtun]]))</f>
        <v>181.30078889614595</v>
      </c>
      <c r="L177" s="33">
        <v>177.06626123755538</v>
      </c>
      <c r="M177" s="33">
        <v>195.54665887042822</v>
      </c>
    </row>
    <row r="178" spans="1:13">
      <c r="A178" t="s">
        <v>71</v>
      </c>
      <c r="B178">
        <v>2019</v>
      </c>
      <c r="C178" s="16">
        <v>0.09</v>
      </c>
      <c r="D178" s="1">
        <v>88576442</v>
      </c>
      <c r="E178" s="29">
        <f>Table13[[#This Row],[Ávöxtun]]*Table13[[#This Row],[Eignir]]/SUMIFS(Table13[Eignir],Table13[Year],Table13[[#This Row],[Year]])</f>
        <v>2.2290073364606392E-3</v>
      </c>
      <c r="F178" s="23" t="e">
        <f>IF(B178=1997, 100, IF(COUNTIF(A$1:A177,A178)=0, "NEW", F177*(1+Table13[[#This Row],[Ávöxtun]])))</f>
        <v>#VALUE!</v>
      </c>
      <c r="G178" s="18" t="str" cm="1">
        <f t="array" ref="G178">IFERROR(_xlfn.IFS(ISNUMBER(Table13[[#This Row],[Column3]]),Table13[[#This Row],[Column3]],Table13[[#This Row],[Column3]]="NEW",Table13[[#This Row],[Column3]]),"")</f>
        <v/>
      </c>
      <c r="H178" s="15" cm="1">
        <f t="array" ref="H178">_xlfn.IFS(Table13[[#This Row],[Column4]]="NEW",AVERAGEIFS(Table13[Column4],Table13[Year],Table13[[#This Row],[Year]]),ISNUMBER(Table13[[#This Row],[Column4]]),Table13[[#This Row],[Column4]],Table13[[#This Row],[Column4]]="",H177*(1+Table13[[#This Row],[Ávöxtun]]))</f>
        <v>193.32308704920661</v>
      </c>
      <c r="I178" cm="1">
        <f t="array" ref="I178">_xlfn.IFS(Table13[[#This Row],[Column4]]="NEW",_xlfn.XLOOKUP(Table13[[#This Row],[Year]],$N$2:$N$27,$P$2:$P$27),ISNUMBER(Table13[[#This Row],[Column4]]),Table13[[#This Row],[Column4]],Table13[[#This Row],[Column4]]="",I177*(1+Table13[[#This Row],[Ávöxtun]]))</f>
        <v>197.6178598967991</v>
      </c>
      <c r="L178" s="33">
        <v>193.00222474893539</v>
      </c>
      <c r="M178" s="33">
        <v>213.14585816876678</v>
      </c>
    </row>
    <row r="179" spans="1:13">
      <c r="A179" t="s">
        <v>71</v>
      </c>
      <c r="B179">
        <v>2020</v>
      </c>
      <c r="C179" s="16">
        <v>7.6999999999999999E-2</v>
      </c>
      <c r="D179" s="1">
        <v>105138169</v>
      </c>
      <c r="E179" s="29">
        <f>Table13[[#This Row],[Ávöxtun]]*Table13[[#This Row],[Eignir]]/SUMIFS(Table13[Eignir],Table13[Year],Table13[[#This Row],[Year]])</f>
        <v>1.9535108352091348E-3</v>
      </c>
      <c r="F179" s="23" t="e">
        <f>IF(B179=1997, 100, IF(COUNTIF(A$1:A178,A179)=0, "NEW", F178*(1+Table13[[#This Row],[Ávöxtun]])))</f>
        <v>#VALUE!</v>
      </c>
      <c r="G179" s="18" t="str" cm="1">
        <f t="array" ref="G179">IFERROR(_xlfn.IFS(ISNUMBER(Table13[[#This Row],[Column3]]),Table13[[#This Row],[Column3]],Table13[[#This Row],[Column3]]="NEW",Table13[[#This Row],[Column3]]),"")</f>
        <v/>
      </c>
      <c r="H179" s="15" cm="1">
        <f t="array" ref="H179">_xlfn.IFS(Table13[[#This Row],[Column4]]="NEW",AVERAGEIFS(Table13[Column4],Table13[Year],Table13[[#This Row],[Year]]),ISNUMBER(Table13[[#This Row],[Column4]]),Table13[[#This Row],[Column4]],Table13[[#This Row],[Column4]]="",H178*(1+Table13[[#This Row],[Ávöxtun]]))</f>
        <v>208.2089647519955</v>
      </c>
      <c r="I179" cm="1">
        <f t="array" ref="I179">_xlfn.IFS(Table13[[#This Row],[Column4]]="NEW",_xlfn.XLOOKUP(Table13[[#This Row],[Year]],$N$2:$N$27,$P$2:$P$27),ISNUMBER(Table13[[#This Row],[Column4]]),Table13[[#This Row],[Column4]],Table13[[#This Row],[Column4]]="",I178*(1+Table13[[#This Row],[Ávöxtun]]))</f>
        <v>212.83443510885263</v>
      </c>
      <c r="L179" s="33">
        <v>207.86339605460341</v>
      </c>
      <c r="M179" s="33">
        <v>229.55808924776181</v>
      </c>
    </row>
    <row r="180" spans="1:13">
      <c r="A180" t="s">
        <v>71</v>
      </c>
      <c r="B180">
        <v>2021</v>
      </c>
      <c r="C180" s="16">
        <v>8.8000000000000009E-2</v>
      </c>
      <c r="D180" s="1">
        <v>127195421</v>
      </c>
      <c r="E180" s="29">
        <f>Table13[[#This Row],[Ávöxtun]]*Table13[[#This Row],[Eignir]]/SUMIFS(Table13[Eignir],Table13[Year],Table13[[#This Row],[Year]])</f>
        <v>2.3013298088481612E-3</v>
      </c>
      <c r="F180" s="23" t="e">
        <f>IF(B180=1997, 100, IF(COUNTIF(A$1:A179,A180)=0, "NEW", F179*(1+Table13[[#This Row],[Ávöxtun]])))</f>
        <v>#VALUE!</v>
      </c>
      <c r="G180" s="18" t="str" cm="1">
        <f t="array" ref="G180">IFERROR(_xlfn.IFS(ISNUMBER(Table13[[#This Row],[Column3]]),Table13[[#This Row],[Column3]],Table13[[#This Row],[Column3]]="NEW",Table13[[#This Row],[Column3]]),"")</f>
        <v/>
      </c>
      <c r="H180" s="15" cm="1">
        <f t="array" ref="H180">_xlfn.IFS(Table13[[#This Row],[Column4]]="NEW",AVERAGEIFS(Table13[Column4],Table13[Year],Table13[[#This Row],[Year]]),ISNUMBER(Table13[[#This Row],[Column4]]),Table13[[#This Row],[Column4]],Table13[[#This Row],[Column4]]="",H179*(1+Table13[[#This Row],[Ávöxtun]]))</f>
        <v>226.53135365017113</v>
      </c>
      <c r="I180" cm="1">
        <f t="array" ref="I180">_xlfn.IFS(Table13[[#This Row],[Column4]]="NEW",_xlfn.XLOOKUP(Table13[[#This Row],[Year]],$N$2:$N$27,$P$2:$P$27),ISNUMBER(Table13[[#This Row],[Column4]]),Table13[[#This Row],[Column4]],Table13[[#This Row],[Column4]]="",I179*(1+Table13[[#This Row],[Ávöxtun]]))</f>
        <v>231.56386539843169</v>
      </c>
      <c r="L180" s="33">
        <v>226.15537490740854</v>
      </c>
      <c r="M180" s="33">
        <v>249.75920110156488</v>
      </c>
    </row>
    <row r="181" spans="1:13">
      <c r="A181" t="s">
        <v>72</v>
      </c>
      <c r="B181">
        <v>2005</v>
      </c>
      <c r="C181" s="16">
        <v>0.18</v>
      </c>
      <c r="D181" s="1">
        <v>180049302</v>
      </c>
      <c r="E181" s="29">
        <f>Table13[[#This Row],[Ávöxtun]]*Table13[[#This Row],[Eignir]]/SUMIFS(Table13[Eignir],Table13[Year],Table13[[#This Row],[Year]])</f>
        <v>3.4720970187439935E-2</v>
      </c>
      <c r="F181" s="23" t="str">
        <f>IF(B181=1997, 100, IF(COUNTIF(A$1:A180,A181)=0, "NEW", F180*(1+Table13[[#This Row],[Ávöxtun]])))</f>
        <v>NEW</v>
      </c>
      <c r="G181" s="18" t="str" cm="1">
        <f t="array" ref="G181">IFERROR(_xlfn.IFS(ISNUMBER(Table13[[#This Row],[Column3]]),Table13[[#This Row],[Column3]],Table13[[#This Row],[Column3]]="NEW",Table13[[#This Row],[Column3]]),"")</f>
        <v>NEW</v>
      </c>
      <c r="H181" s="15" cm="1">
        <f t="array" ref="H181">_xlfn.IFS(Table13[[#This Row],[Column4]]="NEW",AVERAGEIFS(Table13[Column4],Table13[Year],Table13[[#This Row],[Year]]),ISNUMBER(Table13[[#This Row],[Column4]]),Table13[[#This Row],[Column4]],Table13[[#This Row],[Column4]]="",H180*(1+Table13[[#This Row],[Ávöxtun]]))</f>
        <v>160.76299692498483</v>
      </c>
      <c r="I181" cm="1">
        <f t="array" ref="I181">_xlfn.IFS(Table13[[#This Row],[Column4]]="NEW",_xlfn.XLOOKUP(Table13[[#This Row],[Year]],$N$2:$N$27,$P$2:$P$27),ISNUMBER(Table13[[#This Row],[Column4]]),Table13[[#This Row],[Column4]],Table13[[#This Row],[Column4]]="",I180*(1+Table13[[#This Row],[Ávöxtun]]))</f>
        <v>180.36986964390127</v>
      </c>
      <c r="L181" s="33">
        <v>159.65347376579254</v>
      </c>
      <c r="M181" s="33">
        <v>192.17629490178845</v>
      </c>
    </row>
    <row r="182" spans="1:13">
      <c r="A182" t="s">
        <v>72</v>
      </c>
      <c r="B182">
        <v>2006</v>
      </c>
      <c r="C182" s="16">
        <v>9.3699999999999992E-2</v>
      </c>
      <c r="D182" s="1">
        <v>216080811</v>
      </c>
      <c r="E182" s="29">
        <f>Table13[[#This Row],[Ávöxtun]]*Table13[[#This Row],[Eignir]]/SUMIFS(Table13[Eignir],Table13[Year],Table13[[#This Row],[Year]])</f>
        <v>1.7797604968042495E-2</v>
      </c>
      <c r="F182" s="23" t="e">
        <f>IF(B182=1997, 100, IF(COUNTIF(A$1:A181,A182)=0, "NEW", F181*(1+Table13[[#This Row],[Ávöxtun]])))</f>
        <v>#VALUE!</v>
      </c>
      <c r="G182" s="18" t="str" cm="1">
        <f t="array" ref="G182">IFERROR(_xlfn.IFS(ISNUMBER(Table13[[#This Row],[Column3]]),Table13[[#This Row],[Column3]],Table13[[#This Row],[Column3]]="NEW",Table13[[#This Row],[Column3]]),"")</f>
        <v/>
      </c>
      <c r="H182" s="15" cm="1">
        <f t="array" ref="H182">_xlfn.IFS(Table13[[#This Row],[Column4]]="NEW",AVERAGEIFS(Table13[Column4],Table13[Year],Table13[[#This Row],[Year]]),ISNUMBER(Table13[[#This Row],[Column4]]),Table13[[#This Row],[Column4]],Table13[[#This Row],[Column4]]="",H181*(1+Table13[[#This Row],[Ávöxtun]]))</f>
        <v>175.8264897368559</v>
      </c>
      <c r="I182" cm="1">
        <f t="array" ref="I182">_xlfn.IFS(Table13[[#This Row],[Column4]]="NEW",_xlfn.XLOOKUP(Table13[[#This Row],[Year]],$N$2:$N$27,$P$2:$P$27),ISNUMBER(Table13[[#This Row],[Column4]]),Table13[[#This Row],[Column4]],Table13[[#This Row],[Column4]]="",I181*(1+Table13[[#This Row],[Ávöxtun]]))</f>
        <v>197.27052642953481</v>
      </c>
      <c r="L182" s="33">
        <v>174.61300425764728</v>
      </c>
      <c r="M182" s="33">
        <v>210.183213734086</v>
      </c>
    </row>
    <row r="183" spans="1:13">
      <c r="A183" t="s">
        <v>72</v>
      </c>
      <c r="B183">
        <v>2007</v>
      </c>
      <c r="C183" s="16">
        <v>2.3599999999999999E-2</v>
      </c>
      <c r="D183" s="1">
        <v>236837900</v>
      </c>
      <c r="E183" s="29">
        <f>Table13[[#This Row],[Ávöxtun]]*Table13[[#This Row],[Eignir]]/SUMIFS(Table13[Eignir],Table13[Year],Table13[[#This Row],[Year]])</f>
        <v>4.3549266422170654E-3</v>
      </c>
      <c r="F183" s="23" t="e">
        <f>IF(B183=1997, 100, IF(COUNTIF(A$1:A182,A183)=0, "NEW", F182*(1+Table13[[#This Row],[Ávöxtun]])))</f>
        <v>#VALUE!</v>
      </c>
      <c r="G183" s="18" t="str" cm="1">
        <f t="array" ref="G183">IFERROR(_xlfn.IFS(ISNUMBER(Table13[[#This Row],[Column3]]),Table13[[#This Row],[Column3]],Table13[[#This Row],[Column3]]="NEW",Table13[[#This Row],[Column3]]),"")</f>
        <v/>
      </c>
      <c r="H183" s="15" cm="1">
        <f t="array" ref="H183">_xlfn.IFS(Table13[[#This Row],[Column4]]="NEW",AVERAGEIFS(Table13[Column4],Table13[Year],Table13[[#This Row],[Year]]),ISNUMBER(Table13[[#This Row],[Column4]]),Table13[[#This Row],[Column4]],Table13[[#This Row],[Column4]]="",H182*(1+Table13[[#This Row],[Ávöxtun]]))</f>
        <v>179.97599489464571</v>
      </c>
      <c r="I183" cm="1">
        <f t="array" ref="I183">_xlfn.IFS(Table13[[#This Row],[Column4]]="NEW",_xlfn.XLOOKUP(Table13[[#This Row],[Year]],$N$2:$N$27,$P$2:$P$27),ISNUMBER(Table13[[#This Row],[Column4]]),Table13[[#This Row],[Column4]],Table13[[#This Row],[Column4]]="",I182*(1+Table13[[#This Row],[Ávöxtun]]))</f>
        <v>201.92611085327184</v>
      </c>
      <c r="L183" s="33">
        <v>178.73387115812776</v>
      </c>
      <c r="M183" s="33">
        <v>215.14353757821044</v>
      </c>
    </row>
    <row r="184" spans="1:13">
      <c r="A184" t="s">
        <v>72</v>
      </c>
      <c r="B184">
        <v>2008</v>
      </c>
      <c r="C184" s="16">
        <v>-0.26700000000000002</v>
      </c>
      <c r="D184" s="1">
        <v>211603847</v>
      </c>
      <c r="E184" s="29">
        <f>Table13[[#This Row],[Ávöxtun]]*Table13[[#This Row],[Eignir]]/SUMIFS(Table13[Eignir],Table13[Year],Table13[[#This Row],[Year]])</f>
        <v>-4.5600020036389716E-2</v>
      </c>
      <c r="F184" s="23" t="e">
        <f>IF(B184=1997, 100, IF(COUNTIF(A$1:A183,A184)=0, "NEW", F183*(1+Table13[[#This Row],[Ávöxtun]])))</f>
        <v>#VALUE!</v>
      </c>
      <c r="G184" s="18" t="str" cm="1">
        <f t="array" ref="G184">IFERROR(_xlfn.IFS(ISNUMBER(Table13[[#This Row],[Column3]]),Table13[[#This Row],[Column3]],Table13[[#This Row],[Column3]]="NEW",Table13[[#This Row],[Column3]]),"")</f>
        <v/>
      </c>
      <c r="H184" s="15" cm="1">
        <f t="array" ref="H184">_xlfn.IFS(Table13[[#This Row],[Column4]]="NEW",AVERAGEIFS(Table13[Column4],Table13[Year],Table13[[#This Row],[Year]]),ISNUMBER(Table13[[#This Row],[Column4]]),Table13[[#This Row],[Column4]],Table13[[#This Row],[Column4]]="",H183*(1+Table13[[#This Row],[Ávöxtun]]))</f>
        <v>131.9224042577753</v>
      </c>
      <c r="I184" cm="1">
        <f t="array" ref="I184">_xlfn.IFS(Table13[[#This Row],[Column4]]="NEW",_xlfn.XLOOKUP(Table13[[#This Row],[Year]],$N$2:$N$27,$P$2:$P$27),ISNUMBER(Table13[[#This Row],[Column4]]),Table13[[#This Row],[Column4]],Table13[[#This Row],[Column4]]="",I183*(1+Table13[[#This Row],[Ávöxtun]]))</f>
        <v>148.01183925544825</v>
      </c>
      <c r="L184" s="33">
        <v>131.01192755890764</v>
      </c>
      <c r="M184" s="33">
        <v>157.70021304482825</v>
      </c>
    </row>
    <row r="185" spans="1:13">
      <c r="A185" t="s">
        <v>72</v>
      </c>
      <c r="B185">
        <v>2009</v>
      </c>
      <c r="C185" s="16">
        <v>-1.7000000000000001E-2</v>
      </c>
      <c r="D185" s="1">
        <v>232092994</v>
      </c>
      <c r="E185" s="29">
        <f>Table13[[#This Row],[Ávöxtun]]*Table13[[#This Row],[Eignir]]/SUMIFS(Table13[Eignir],Table13[Year],Table13[[#This Row],[Year]])</f>
        <v>-2.8734460622355704E-3</v>
      </c>
      <c r="F185" s="23" t="e">
        <f>IF(B185=1997, 100, IF(COUNTIF(A$1:A184,A185)=0, "NEW", F184*(1+Table13[[#This Row],[Ávöxtun]])))</f>
        <v>#VALUE!</v>
      </c>
      <c r="G185" s="18" t="str" cm="1">
        <f t="array" ref="G185">IFERROR(_xlfn.IFS(ISNUMBER(Table13[[#This Row],[Column3]]),Table13[[#This Row],[Column3]],Table13[[#This Row],[Column3]]="NEW",Table13[[#This Row],[Column3]]),"")</f>
        <v/>
      </c>
      <c r="H185" s="15" cm="1">
        <f t="array" ref="H185">_xlfn.IFS(Table13[[#This Row],[Column4]]="NEW",AVERAGEIFS(Table13[Column4],Table13[Year],Table13[[#This Row],[Year]]),ISNUMBER(Table13[[#This Row],[Column4]]),Table13[[#This Row],[Column4]],Table13[[#This Row],[Column4]]="",H184*(1+Table13[[#This Row],[Ávöxtun]]))</f>
        <v>129.67972338539312</v>
      </c>
      <c r="I185" cm="1">
        <f t="array" ref="I185">_xlfn.IFS(Table13[[#This Row],[Column4]]="NEW",_xlfn.XLOOKUP(Table13[[#This Row],[Year]],$N$2:$N$27,$P$2:$P$27),ISNUMBER(Table13[[#This Row],[Column4]]),Table13[[#This Row],[Column4]],Table13[[#This Row],[Column4]]="",I184*(1+Table13[[#This Row],[Ávöxtun]]))</f>
        <v>145.49563798810564</v>
      </c>
      <c r="L185" s="33">
        <v>128.78472479040622</v>
      </c>
      <c r="M185" s="33">
        <v>155.01930942306618</v>
      </c>
    </row>
    <row r="186" spans="1:13">
      <c r="A186" t="s">
        <v>72</v>
      </c>
      <c r="B186">
        <v>2010</v>
      </c>
      <c r="C186" s="16">
        <v>1.3700000000000002E-2</v>
      </c>
      <c r="D186" s="1">
        <v>244292253</v>
      </c>
      <c r="E186" s="29">
        <f>Table13[[#This Row],[Ávöxtun]]*Table13[[#This Row],[Eignir]]/SUMIFS(Table13[Eignir],Table13[Year],Table13[[#This Row],[Year]])</f>
        <v>2.2849000219555787E-3</v>
      </c>
      <c r="F186" s="23" t="e">
        <f>IF(B186=1997, 100, IF(COUNTIF(A$1:A185,A186)=0, "NEW", F185*(1+Table13[[#This Row],[Ávöxtun]])))</f>
        <v>#VALUE!</v>
      </c>
      <c r="G186" s="18" t="str" cm="1">
        <f t="array" ref="G186">IFERROR(_xlfn.IFS(ISNUMBER(Table13[[#This Row],[Column3]]),Table13[[#This Row],[Column3]],Table13[[#This Row],[Column3]]="NEW",Table13[[#This Row],[Column3]]),"")</f>
        <v/>
      </c>
      <c r="H186" s="15" cm="1">
        <f t="array" ref="H186">_xlfn.IFS(Table13[[#This Row],[Column4]]="NEW",AVERAGEIFS(Table13[Column4],Table13[Year],Table13[[#This Row],[Year]]),ISNUMBER(Table13[[#This Row],[Column4]]),Table13[[#This Row],[Column4]],Table13[[#This Row],[Column4]]="",H185*(1+Table13[[#This Row],[Ávöxtun]]))</f>
        <v>131.456335595773</v>
      </c>
      <c r="I186" cm="1">
        <f t="array" ref="I186">_xlfn.IFS(Table13[[#This Row],[Column4]]="NEW",_xlfn.XLOOKUP(Table13[[#This Row],[Year]],$N$2:$N$27,$P$2:$P$27),ISNUMBER(Table13[[#This Row],[Column4]]),Table13[[#This Row],[Column4]],Table13[[#This Row],[Column4]]="",I185*(1+Table13[[#This Row],[Ávöxtun]]))</f>
        <v>147.4889282285427</v>
      </c>
      <c r="L186" s="33">
        <v>130.54907552003479</v>
      </c>
      <c r="M186" s="33">
        <v>157.14307396216219</v>
      </c>
    </row>
    <row r="187" spans="1:13">
      <c r="A187" t="s">
        <v>72</v>
      </c>
      <c r="B187">
        <v>2011</v>
      </c>
      <c r="C187" s="16">
        <v>2.7000000000000003E-2</v>
      </c>
      <c r="D187" s="1">
        <v>266064707</v>
      </c>
      <c r="E187" s="29">
        <f>Table13[[#This Row],[Ávöxtun]]*Table13[[#This Row],[Eignir]]/SUMIFS(Table13[Eignir],Table13[Year],Table13[[#This Row],[Year]])</f>
        <v>4.5241166610698489E-3</v>
      </c>
      <c r="F187" s="23" t="e">
        <f>IF(B187=1997, 100, IF(COUNTIF(A$1:A186,A187)=0, "NEW", F186*(1+Table13[[#This Row],[Ávöxtun]])))</f>
        <v>#VALUE!</v>
      </c>
      <c r="G187" s="18" t="str" cm="1">
        <f t="array" ref="G187">IFERROR(_xlfn.IFS(ISNUMBER(Table13[[#This Row],[Column3]]),Table13[[#This Row],[Column3]],Table13[[#This Row],[Column3]]="NEW",Table13[[#This Row],[Column3]]),"")</f>
        <v/>
      </c>
      <c r="H187" s="15" cm="1">
        <f t="array" ref="H187">_xlfn.IFS(Table13[[#This Row],[Column4]]="NEW",AVERAGEIFS(Table13[Column4],Table13[Year],Table13[[#This Row],[Year]]),ISNUMBER(Table13[[#This Row],[Column4]]),Table13[[#This Row],[Column4]],Table13[[#This Row],[Column4]]="",H186*(1+Table13[[#This Row],[Ávöxtun]]))</f>
        <v>135.00565665685886</v>
      </c>
      <c r="I187" cm="1">
        <f t="array" ref="I187">_xlfn.IFS(Table13[[#This Row],[Column4]]="NEW",_xlfn.XLOOKUP(Table13[[#This Row],[Year]],$N$2:$N$27,$P$2:$P$27),ISNUMBER(Table13[[#This Row],[Column4]]),Table13[[#This Row],[Column4]],Table13[[#This Row],[Column4]]="",I186*(1+Table13[[#This Row],[Ávöxtun]]))</f>
        <v>151.47112929071335</v>
      </c>
      <c r="L187" s="33">
        <v>134.07390055907572</v>
      </c>
      <c r="M187" s="33">
        <v>161.38593695914057</v>
      </c>
    </row>
    <row r="188" spans="1:13">
      <c r="A188" t="s">
        <v>72</v>
      </c>
      <c r="B188">
        <v>2012</v>
      </c>
      <c r="C188" s="16">
        <v>7.2999999999999995E-2</v>
      </c>
      <c r="D188" s="1">
        <v>300817878</v>
      </c>
      <c r="E188" s="29">
        <f>Table13[[#This Row],[Ávöxtun]]*Table13[[#This Row],[Eignir]]/SUMIFS(Table13[Eignir],Table13[Year],Table13[[#This Row],[Year]])</f>
        <v>1.2234705931668E-2</v>
      </c>
      <c r="F188" s="23" t="e">
        <f>IF(B188=1997, 100, IF(COUNTIF(A$1:A187,A188)=0, "NEW", F187*(1+Table13[[#This Row],[Ávöxtun]])))</f>
        <v>#VALUE!</v>
      </c>
      <c r="G188" s="18" t="str" cm="1">
        <f t="array" ref="G188">IFERROR(_xlfn.IFS(ISNUMBER(Table13[[#This Row],[Column3]]),Table13[[#This Row],[Column3]],Table13[[#This Row],[Column3]]="NEW",Table13[[#This Row],[Column3]]),"")</f>
        <v/>
      </c>
      <c r="H188" s="15" cm="1">
        <f t="array" ref="H188">_xlfn.IFS(Table13[[#This Row],[Column4]]="NEW",AVERAGEIFS(Table13[Column4],Table13[Year],Table13[[#This Row],[Year]]),ISNUMBER(Table13[[#This Row],[Column4]]),Table13[[#This Row],[Column4]],Table13[[#This Row],[Column4]]="",H187*(1+Table13[[#This Row],[Ávöxtun]]))</f>
        <v>144.86106959280954</v>
      </c>
      <c r="I188" cm="1">
        <f t="array" ref="I188">_xlfn.IFS(Table13[[#This Row],[Column4]]="NEW",_xlfn.XLOOKUP(Table13[[#This Row],[Year]],$N$2:$N$27,$P$2:$P$27),ISNUMBER(Table13[[#This Row],[Column4]]),Table13[[#This Row],[Column4]],Table13[[#This Row],[Column4]]="",I187*(1+Table13[[#This Row],[Ávöxtun]]))</f>
        <v>162.52852172893543</v>
      </c>
      <c r="L188" s="33">
        <v>143.86129529988824</v>
      </c>
      <c r="M188" s="33">
        <v>173.16711035715781</v>
      </c>
    </row>
    <row r="189" spans="1:13">
      <c r="A189" t="s">
        <v>72</v>
      </c>
      <c r="B189">
        <v>2013</v>
      </c>
      <c r="C189" s="16">
        <v>5.2999999999999999E-2</v>
      </c>
      <c r="D189" s="1">
        <v>332759686</v>
      </c>
      <c r="E189" s="29">
        <f>Table13[[#This Row],[Ávöxtun]]*Table13[[#This Row],[Eignir]]/SUMIFS(Table13[Eignir],Table13[Year],Table13[[#This Row],[Year]])</f>
        <v>8.9346684085288008E-3</v>
      </c>
      <c r="F189" s="23" t="e">
        <f>IF(B189=1997, 100, IF(COUNTIF(A$1:A188,A189)=0, "NEW", F188*(1+Table13[[#This Row],[Ávöxtun]])))</f>
        <v>#VALUE!</v>
      </c>
      <c r="G189" s="18" t="str" cm="1">
        <f t="array" ref="G189">IFERROR(_xlfn.IFS(ISNUMBER(Table13[[#This Row],[Column3]]),Table13[[#This Row],[Column3]],Table13[[#This Row],[Column3]]="NEW",Table13[[#This Row],[Column3]]),"")</f>
        <v/>
      </c>
      <c r="H189" s="15" cm="1">
        <f t="array" ref="H189">_xlfn.IFS(Table13[[#This Row],[Column4]]="NEW",AVERAGEIFS(Table13[Column4],Table13[Year],Table13[[#This Row],[Year]]),ISNUMBER(Table13[[#This Row],[Column4]]),Table13[[#This Row],[Column4]],Table13[[#This Row],[Column4]]="",H188*(1+Table13[[#This Row],[Ávöxtun]]))</f>
        <v>152.53870628122843</v>
      </c>
      <c r="I189" cm="1">
        <f t="array" ref="I189">_xlfn.IFS(Table13[[#This Row],[Column4]]="NEW",_xlfn.XLOOKUP(Table13[[#This Row],[Year]],$N$2:$N$27,$P$2:$P$27),ISNUMBER(Table13[[#This Row],[Column4]]),Table13[[#This Row],[Column4]],Table13[[#This Row],[Column4]]="",I188*(1+Table13[[#This Row],[Ávöxtun]]))</f>
        <v>171.14253338056901</v>
      </c>
      <c r="L189" s="33">
        <v>151.48594395078231</v>
      </c>
      <c r="M189" s="33">
        <v>182.34496720608718</v>
      </c>
    </row>
    <row r="190" spans="1:13">
      <c r="A190" t="s">
        <v>72</v>
      </c>
      <c r="B190">
        <v>2014</v>
      </c>
      <c r="C190" s="16">
        <v>8.8000000000000009E-2</v>
      </c>
      <c r="D190" s="1">
        <v>368499662</v>
      </c>
      <c r="E190" s="29">
        <f>Table13[[#This Row],[Ávöxtun]]*Table13[[#This Row],[Eignir]]/SUMIFS(Table13[Eignir],Table13[Year],Table13[[#This Row],[Year]])</f>
        <v>1.5065233230988285E-2</v>
      </c>
      <c r="F190" s="23" t="e">
        <f>IF(B190=1997, 100, IF(COUNTIF(A$1:A189,A190)=0, "NEW", F189*(1+Table13[[#This Row],[Ávöxtun]])))</f>
        <v>#VALUE!</v>
      </c>
      <c r="G190" s="18" t="str" cm="1">
        <f t="array" ref="G190">IFERROR(_xlfn.IFS(ISNUMBER(Table13[[#This Row],[Column3]]),Table13[[#This Row],[Column3]],Table13[[#This Row],[Column3]]="NEW",Table13[[#This Row],[Column3]]),"")</f>
        <v/>
      </c>
      <c r="H190" s="15" cm="1">
        <f t="array" ref="H190">_xlfn.IFS(Table13[[#This Row],[Column4]]="NEW",AVERAGEIFS(Table13[Column4],Table13[Year],Table13[[#This Row],[Year]]),ISNUMBER(Table13[[#This Row],[Column4]]),Table13[[#This Row],[Column4]],Table13[[#This Row],[Column4]]="",H189*(1+Table13[[#This Row],[Ávöxtun]]))</f>
        <v>165.96211243397653</v>
      </c>
      <c r="I190" cm="1">
        <f t="array" ref="I190">_xlfn.IFS(Table13[[#This Row],[Column4]]="NEW",_xlfn.XLOOKUP(Table13[[#This Row],[Year]],$N$2:$N$27,$P$2:$P$27),ISNUMBER(Table13[[#This Row],[Column4]]),Table13[[#This Row],[Column4]],Table13[[#This Row],[Column4]]="",I189*(1+Table13[[#This Row],[Ávöxtun]]))</f>
        <v>186.20307631805909</v>
      </c>
      <c r="L190" s="33">
        <v>164.81670701845118</v>
      </c>
      <c r="M190" s="33">
        <v>198.39132432022285</v>
      </c>
    </row>
    <row r="191" spans="1:13">
      <c r="A191" t="s">
        <v>72</v>
      </c>
      <c r="B191">
        <v>2015</v>
      </c>
      <c r="C191" s="16">
        <v>7.6999999999999999E-2</v>
      </c>
      <c r="D191" s="1">
        <v>451441236</v>
      </c>
      <c r="E191" s="29">
        <f>Table13[[#This Row],[Ávöxtun]]*Table13[[#This Row],[Eignir]]/SUMIFS(Table13[Eignir],Table13[Year],Table13[[#This Row],[Year]])</f>
        <v>1.4557967133169543E-2</v>
      </c>
      <c r="F191" s="23" t="e">
        <f>IF(B191=1997, 100, IF(COUNTIF(A$1:A190,A191)=0, "NEW", F190*(1+Table13[[#This Row],[Ávöxtun]])))</f>
        <v>#VALUE!</v>
      </c>
      <c r="G191" s="18" t="str" cm="1">
        <f t="array" ref="G191">IFERROR(_xlfn.IFS(ISNUMBER(Table13[[#This Row],[Column3]]),Table13[[#This Row],[Column3]],Table13[[#This Row],[Column3]]="NEW",Table13[[#This Row],[Column3]]),"")</f>
        <v/>
      </c>
      <c r="H191" s="15" cm="1">
        <f t="array" ref="H191">_xlfn.IFS(Table13[[#This Row],[Column4]]="NEW",AVERAGEIFS(Table13[Column4],Table13[Year],Table13[[#This Row],[Year]]),ISNUMBER(Table13[[#This Row],[Column4]]),Table13[[#This Row],[Column4]],Table13[[#This Row],[Column4]]="",H190*(1+Table13[[#This Row],[Ávöxtun]]))</f>
        <v>178.74119509139271</v>
      </c>
      <c r="I191" cm="1">
        <f t="array" ref="I191">_xlfn.IFS(Table13[[#This Row],[Column4]]="NEW",_xlfn.XLOOKUP(Table13[[#This Row],[Year]],$N$2:$N$27,$P$2:$P$27),ISNUMBER(Table13[[#This Row],[Column4]]),Table13[[#This Row],[Column4]],Table13[[#This Row],[Column4]]="",I190*(1+Table13[[#This Row],[Ávöxtun]]))</f>
        <v>200.54071319454962</v>
      </c>
      <c r="L191" s="33">
        <v>177.50759345887192</v>
      </c>
      <c r="M191" s="33">
        <v>213.66745629287999</v>
      </c>
    </row>
    <row r="192" spans="1:13">
      <c r="A192" t="s">
        <v>72</v>
      </c>
      <c r="B192">
        <v>2016</v>
      </c>
      <c r="C192" s="16">
        <v>-9.0000000000000011E-3</v>
      </c>
      <c r="D192" s="1">
        <v>467906976.25</v>
      </c>
      <c r="E192" s="29">
        <f>Table13[[#This Row],[Ávöxtun]]*Table13[[#This Row],[Eignir]]/SUMIFS(Table13[Eignir],Table13[Year],Table13[[#This Row],[Year]])</f>
        <v>-1.6147408753597408E-3</v>
      </c>
      <c r="F192" s="23" t="e">
        <f>IF(B192=1997, 100, IF(COUNTIF(A$1:A191,A192)=0, "NEW", F191*(1+Table13[[#This Row],[Ávöxtun]])))</f>
        <v>#VALUE!</v>
      </c>
      <c r="G192" s="18" t="str" cm="1">
        <f t="array" ref="G192">IFERROR(_xlfn.IFS(ISNUMBER(Table13[[#This Row],[Column3]]),Table13[[#This Row],[Column3]],Table13[[#This Row],[Column3]]="NEW",Table13[[#This Row],[Column3]]),"")</f>
        <v/>
      </c>
      <c r="H192" s="15" cm="1">
        <f t="array" ref="H192">_xlfn.IFS(Table13[[#This Row],[Column4]]="NEW",AVERAGEIFS(Table13[Column4],Table13[Year],Table13[[#This Row],[Year]]),ISNUMBER(Table13[[#This Row],[Column4]]),Table13[[#This Row],[Column4]],Table13[[#This Row],[Column4]]="",H191*(1+Table13[[#This Row],[Ávöxtun]]))</f>
        <v>177.13252433557017</v>
      </c>
      <c r="I192" cm="1">
        <f t="array" ref="I192">_xlfn.IFS(Table13[[#This Row],[Column4]]="NEW",_xlfn.XLOOKUP(Table13[[#This Row],[Year]],$N$2:$N$27,$P$2:$P$27),ISNUMBER(Table13[[#This Row],[Column4]]),Table13[[#This Row],[Column4]],Table13[[#This Row],[Column4]]="",I191*(1+Table13[[#This Row],[Ávöxtun]]))</f>
        <v>198.73584677579868</v>
      </c>
      <c r="L192" s="33">
        <v>175.91002511774207</v>
      </c>
      <c r="M192" s="33">
        <v>211.74444918624405</v>
      </c>
    </row>
    <row r="193" spans="1:13">
      <c r="A193" t="s">
        <v>72</v>
      </c>
      <c r="B193">
        <v>2017</v>
      </c>
      <c r="C193" s="16">
        <v>5.7999999999999996E-2</v>
      </c>
      <c r="D193" s="1">
        <v>513247400</v>
      </c>
      <c r="E193" s="29">
        <f>Table13[[#This Row],[Ávöxtun]]*Table13[[#This Row],[Eignir]]/SUMIFS(Table13[Eignir],Table13[Year],Table13[[#This Row],[Year]])</f>
        <v>1.0243329227605459E-2</v>
      </c>
      <c r="F193" s="23" t="e">
        <f>IF(B193=1997, 100, IF(COUNTIF(A$1:A192,A193)=0, "NEW", F192*(1+Table13[[#This Row],[Ávöxtun]])))</f>
        <v>#VALUE!</v>
      </c>
      <c r="G193" s="18" t="str" cm="1">
        <f t="array" ref="G193">IFERROR(_xlfn.IFS(ISNUMBER(Table13[[#This Row],[Column3]]),Table13[[#This Row],[Column3]],Table13[[#This Row],[Column3]]="NEW",Table13[[#This Row],[Column3]]),"")</f>
        <v/>
      </c>
      <c r="H193" s="15" cm="1">
        <f t="array" ref="H193">_xlfn.IFS(Table13[[#This Row],[Column4]]="NEW",AVERAGEIFS(Table13[Column4],Table13[Year],Table13[[#This Row],[Year]]),ISNUMBER(Table13[[#This Row],[Column4]]),Table13[[#This Row],[Column4]],Table13[[#This Row],[Column4]]="",H192*(1+Table13[[#This Row],[Ávöxtun]]))</f>
        <v>187.40621074703324</v>
      </c>
      <c r="I193" cm="1">
        <f t="array" ref="I193">_xlfn.IFS(Table13[[#This Row],[Column4]]="NEW",_xlfn.XLOOKUP(Table13[[#This Row],[Year]],$N$2:$N$27,$P$2:$P$27),ISNUMBER(Table13[[#This Row],[Column4]]),Table13[[#This Row],[Column4]],Table13[[#This Row],[Column4]]="",I192*(1+Table13[[#This Row],[Ávöxtun]]))</f>
        <v>210.26252588879501</v>
      </c>
      <c r="L193" s="33">
        <v>186.11280657457112</v>
      </c>
      <c r="M193" s="33">
        <v>224.02562723904623</v>
      </c>
    </row>
    <row r="194" spans="1:13">
      <c r="A194" t="s">
        <v>72</v>
      </c>
      <c r="B194">
        <v>2018</v>
      </c>
      <c r="C194" s="16">
        <v>2.4E-2</v>
      </c>
      <c r="D194" s="1">
        <v>556757276</v>
      </c>
      <c r="E194" s="29">
        <f>Table13[[#This Row],[Ávöxtun]]*Table13[[#This Row],[Eignir]]/SUMIFS(Table13[Eignir],Table13[Year],Table13[[#This Row],[Year]])</f>
        <v>4.2842310932452807E-3</v>
      </c>
      <c r="F194" s="23" t="e">
        <f>IF(B194=1997, 100, IF(COUNTIF(A$1:A193,A194)=0, "NEW", F193*(1+Table13[[#This Row],[Ávöxtun]])))</f>
        <v>#VALUE!</v>
      </c>
      <c r="G194" s="18" t="str" cm="1">
        <f t="array" ref="G194">IFERROR(_xlfn.IFS(ISNUMBER(Table13[[#This Row],[Column3]]),Table13[[#This Row],[Column3]],Table13[[#This Row],[Column3]]="NEW",Table13[[#This Row],[Column3]]),"")</f>
        <v/>
      </c>
      <c r="H194" s="15" cm="1">
        <f t="array" ref="H194">_xlfn.IFS(Table13[[#This Row],[Column4]]="NEW",AVERAGEIFS(Table13[Column4],Table13[Year],Table13[[#This Row],[Year]]),ISNUMBER(Table13[[#This Row],[Column4]]),Table13[[#This Row],[Column4]],Table13[[#This Row],[Column4]]="",H193*(1+Table13[[#This Row],[Ávöxtun]]))</f>
        <v>191.90395980496206</v>
      </c>
      <c r="I194" cm="1">
        <f t="array" ref="I194">_xlfn.IFS(Table13[[#This Row],[Column4]]="NEW",_xlfn.XLOOKUP(Table13[[#This Row],[Year]],$N$2:$N$27,$P$2:$P$27),ISNUMBER(Table13[[#This Row],[Column4]]),Table13[[#This Row],[Column4]],Table13[[#This Row],[Column4]]="",I193*(1+Table13[[#This Row],[Ávöxtun]]))</f>
        <v>215.3088265101261</v>
      </c>
      <c r="L194" s="33">
        <v>190.57951393236084</v>
      </c>
      <c r="M194" s="33">
        <v>229.40224229278334</v>
      </c>
    </row>
    <row r="195" spans="1:13">
      <c r="A195" t="s">
        <v>72</v>
      </c>
      <c r="B195">
        <v>2019</v>
      </c>
      <c r="C195" s="16">
        <v>0.121</v>
      </c>
      <c r="D195" s="1">
        <v>655831224.77999997</v>
      </c>
      <c r="E195" s="29">
        <f>Table13[[#This Row],[Ávöxtun]]*Table13[[#This Row],[Eignir]]/SUMIFS(Table13[Eignir],Table13[Year],Table13[[#This Row],[Year]])</f>
        <v>2.2188513986003057E-2</v>
      </c>
      <c r="F195" s="23" t="e">
        <f>IF(B195=1997, 100, IF(COUNTIF(A$1:A194,A195)=0, "NEW", F194*(1+Table13[[#This Row],[Ávöxtun]])))</f>
        <v>#VALUE!</v>
      </c>
      <c r="G195" s="18" t="str" cm="1">
        <f t="array" ref="G195">IFERROR(_xlfn.IFS(ISNUMBER(Table13[[#This Row],[Column3]]),Table13[[#This Row],[Column3]],Table13[[#This Row],[Column3]]="NEW",Table13[[#This Row],[Column3]]),"")</f>
        <v/>
      </c>
      <c r="H195" s="15" cm="1">
        <f t="array" ref="H195">_xlfn.IFS(Table13[[#This Row],[Column4]]="NEW",AVERAGEIFS(Table13[Column4],Table13[Year],Table13[[#This Row],[Year]]),ISNUMBER(Table13[[#This Row],[Column4]]),Table13[[#This Row],[Column4]],Table13[[#This Row],[Column4]]="",H194*(1+Table13[[#This Row],[Ávöxtun]]))</f>
        <v>215.12433894136245</v>
      </c>
      <c r="I195" cm="1">
        <f t="array" ref="I195">_xlfn.IFS(Table13[[#This Row],[Column4]]="NEW",_xlfn.XLOOKUP(Table13[[#This Row],[Year]],$N$2:$N$27,$P$2:$P$27),ISNUMBER(Table13[[#This Row],[Column4]]),Table13[[#This Row],[Column4]],Table13[[#This Row],[Column4]]="",I194*(1+Table13[[#This Row],[Ávöxtun]]))</f>
        <v>241.36119451785135</v>
      </c>
      <c r="L195" s="33">
        <v>213.6396351181765</v>
      </c>
      <c r="M195" s="33">
        <v>257.15991361021014</v>
      </c>
    </row>
    <row r="196" spans="1:13">
      <c r="A196" t="s">
        <v>72</v>
      </c>
      <c r="B196">
        <v>2020</v>
      </c>
      <c r="C196" s="16">
        <v>9.6999999999999989E-2</v>
      </c>
      <c r="D196" s="1">
        <v>758131827.01999998</v>
      </c>
      <c r="E196" s="29">
        <f>Table13[[#This Row],[Ávöxtun]]*Table13[[#This Row],[Eignir]]/SUMIFS(Table13[Eignir],Table13[Year],Table13[[#This Row],[Year]])</f>
        <v>1.7745210404460671E-2</v>
      </c>
      <c r="F196" s="23" t="e">
        <f>IF(B196=1997, 100, IF(COUNTIF(A$1:A195,A196)=0, "NEW", F195*(1+Table13[[#This Row],[Ávöxtun]])))</f>
        <v>#VALUE!</v>
      </c>
      <c r="G196" s="18" t="str" cm="1">
        <f t="array" ref="G196">IFERROR(_xlfn.IFS(ISNUMBER(Table13[[#This Row],[Column3]]),Table13[[#This Row],[Column3]],Table13[[#This Row],[Column3]]="NEW",Table13[[#This Row],[Column3]]),"")</f>
        <v/>
      </c>
      <c r="H196" s="15" cm="1">
        <f t="array" ref="H196">_xlfn.IFS(Table13[[#This Row],[Column4]]="NEW",AVERAGEIFS(Table13[Column4],Table13[Year],Table13[[#This Row],[Year]]),ISNUMBER(Table13[[#This Row],[Column4]]),Table13[[#This Row],[Column4]],Table13[[#This Row],[Column4]]="",H195*(1+Table13[[#This Row],[Ávöxtun]]))</f>
        <v>235.99139981867461</v>
      </c>
      <c r="I196" cm="1">
        <f t="array" ref="I196">_xlfn.IFS(Table13[[#This Row],[Column4]]="NEW",_xlfn.XLOOKUP(Table13[[#This Row],[Year]],$N$2:$N$27,$P$2:$P$27),ISNUMBER(Table13[[#This Row],[Column4]]),Table13[[#This Row],[Column4]],Table13[[#This Row],[Column4]]="",I195*(1+Table13[[#This Row],[Ávöxtun]]))</f>
        <v>264.7732303860829</v>
      </c>
      <c r="L196" s="33">
        <v>234.36267972463961</v>
      </c>
      <c r="M196" s="33">
        <v>282.10442523040052</v>
      </c>
    </row>
    <row r="197" spans="1:13">
      <c r="A197" t="s">
        <v>72</v>
      </c>
      <c r="B197">
        <v>2021</v>
      </c>
      <c r="C197" s="16">
        <v>0.12400000000000001</v>
      </c>
      <c r="D197" s="1">
        <v>908990102.27999997</v>
      </c>
      <c r="E197" s="29">
        <f>Table13[[#This Row],[Ávöxtun]]*Table13[[#This Row],[Eignir]]/SUMIFS(Table13[Eignir],Table13[Year],Table13[[#This Row],[Year]])</f>
        <v>2.31742428155177E-2</v>
      </c>
      <c r="F197" s="23" t="e">
        <f>IF(B197=1997, 100, IF(COUNTIF(A$1:A196,A197)=0, "NEW", F196*(1+Table13[[#This Row],[Ávöxtun]])))</f>
        <v>#VALUE!</v>
      </c>
      <c r="G197" s="18" t="str" cm="1">
        <f t="array" ref="G197">IFERROR(_xlfn.IFS(ISNUMBER(Table13[[#This Row],[Column3]]),Table13[[#This Row],[Column3]],Table13[[#This Row],[Column3]]="NEW",Table13[[#This Row],[Column3]]),"")</f>
        <v/>
      </c>
      <c r="H197" s="15" cm="1">
        <f t="array" ref="H197">_xlfn.IFS(Table13[[#This Row],[Column4]]="NEW",AVERAGEIFS(Table13[Column4],Table13[Year],Table13[[#This Row],[Year]]),ISNUMBER(Table13[[#This Row],[Column4]]),Table13[[#This Row],[Column4]],Table13[[#This Row],[Column4]]="",H196*(1+Table13[[#This Row],[Ávöxtun]]))</f>
        <v>265.2543333961903</v>
      </c>
      <c r="I197" cm="1">
        <f t="array" ref="I197">_xlfn.IFS(Table13[[#This Row],[Column4]]="NEW",_xlfn.XLOOKUP(Table13[[#This Row],[Year]],$N$2:$N$27,$P$2:$P$27),ISNUMBER(Table13[[#This Row],[Column4]]),Table13[[#This Row],[Column4]],Table13[[#This Row],[Column4]]="",I196*(1+Table13[[#This Row],[Ávöxtun]]))</f>
        <v>297.60511095395719</v>
      </c>
      <c r="L197" s="33">
        <v>263.42365201049495</v>
      </c>
      <c r="M197" s="33">
        <v>317.08537395897019</v>
      </c>
    </row>
    <row r="198" spans="1:13">
      <c r="A198" t="s">
        <v>136</v>
      </c>
      <c r="B198">
        <v>1999</v>
      </c>
      <c r="C198" s="16">
        <v>0.1</v>
      </c>
      <c r="D198" s="1">
        <v>3482771.87</v>
      </c>
      <c r="E198" s="29">
        <f>Table13[[#This Row],[Ávöxtun]]*Table13[[#This Row],[Eignir]]/SUMIFS(Table13[Eignir],Table13[Year],Table13[[#This Row],[Year]])</f>
        <v>7.8454233755905541E-4</v>
      </c>
      <c r="F198" s="23" t="str">
        <f>IF(B198=1997, 100, IF(COUNTIF(A$1:A197,A198)=0, "NEW", F197*(1+Table13[[#This Row],[Ávöxtun]])))</f>
        <v>NEW</v>
      </c>
      <c r="G198" s="18" t="str" cm="1">
        <f t="array" ref="G198">IFERROR(_xlfn.IFS(ISNUMBER(Table13[[#This Row],[Column3]]),Table13[[#This Row],[Column3]],Table13[[#This Row],[Column3]]="NEW",Table13[[#This Row],[Column3]]),"")</f>
        <v>NEW</v>
      </c>
      <c r="H198" s="15" cm="1">
        <f t="array" ref="H198">_xlfn.IFS(Table13[[#This Row],[Column4]]="NEW",AVERAGEIFS(Table13[Column4],Table13[Year],Table13[[#This Row],[Year]]),ISNUMBER(Table13[[#This Row],[Column4]]),Table13[[#This Row],[Column4]],Table13[[#This Row],[Column4]]="",H197*(1+Table13[[#This Row],[Ávöxtun]]))</f>
        <v>117.24765957446809</v>
      </c>
      <c r="I198" cm="1">
        <f t="array" ref="I198">_xlfn.IFS(Table13[[#This Row],[Column4]]="NEW",_xlfn.XLOOKUP(Table13[[#This Row],[Year]],$N$2:$N$27,$P$2:$P$27),ISNUMBER(Table13[[#This Row],[Column4]]),Table13[[#This Row],[Column4]],Table13[[#This Row],[Column4]]="",I197*(1+Table13[[#This Row],[Ávöxtun]]))</f>
        <v>119.85237726478729</v>
      </c>
      <c r="L198" s="33">
        <v>117.05306122448981</v>
      </c>
      <c r="M198" s="33">
        <v>129.26988390123572</v>
      </c>
    </row>
    <row r="199" spans="1:13">
      <c r="A199" t="s">
        <v>136</v>
      </c>
      <c r="B199">
        <v>2000</v>
      </c>
      <c r="C199" s="16">
        <v>-0.05</v>
      </c>
      <c r="D199" s="1">
        <v>4052011.51</v>
      </c>
      <c r="E199" s="29">
        <f>Table13[[#This Row],[Ávöxtun]]*Table13[[#This Row],[Eignir]]/SUMIFS(Table13[Eignir],Table13[Year],Table13[[#This Row],[Year]])</f>
        <v>-3.2443000586551284E-4</v>
      </c>
      <c r="F199" s="23" t="e">
        <f>IF(B199=1997, 100, IF(COUNTIF(A$1:A198,A199)=0, "NEW", F198*(1+Table13[[#This Row],[Ávöxtun]])))</f>
        <v>#VALUE!</v>
      </c>
      <c r="G199" s="18" t="str" cm="1">
        <f t="array" ref="G199">IFERROR(_xlfn.IFS(ISNUMBER(Table13[[#This Row],[Column3]]),Table13[[#This Row],[Column3]],Table13[[#This Row],[Column3]]="NEW",Table13[[#This Row],[Column3]]),"")</f>
        <v/>
      </c>
      <c r="H199" s="15" cm="1">
        <f t="array" ref="H199">_xlfn.IFS(Table13[[#This Row],[Column4]]="NEW",AVERAGEIFS(Table13[Column4],Table13[Year],Table13[[#This Row],[Year]]),ISNUMBER(Table13[[#This Row],[Column4]]),Table13[[#This Row],[Column4]],Table13[[#This Row],[Column4]]="",H198*(1+Table13[[#This Row],[Ávöxtun]]))</f>
        <v>111.38527659574468</v>
      </c>
      <c r="I199" cm="1">
        <f t="array" ref="I199">_xlfn.IFS(Table13[[#This Row],[Column4]]="NEW",_xlfn.XLOOKUP(Table13[[#This Row],[Year]],$N$2:$N$27,$P$2:$P$27),ISNUMBER(Table13[[#This Row],[Column4]]),Table13[[#This Row],[Column4]],Table13[[#This Row],[Column4]]="",I198*(1+Table13[[#This Row],[Ávöxtun]]))</f>
        <v>113.85975840154792</v>
      </c>
      <c r="L199" s="33">
        <v>111.20040816326531</v>
      </c>
      <c r="M199" s="33">
        <v>122.80638970617392</v>
      </c>
    </row>
    <row r="200" spans="1:13">
      <c r="A200" t="s">
        <v>136</v>
      </c>
      <c r="B200">
        <v>2001</v>
      </c>
      <c r="C200" s="16">
        <v>-0.05</v>
      </c>
      <c r="D200" s="1">
        <v>5197072.95</v>
      </c>
      <c r="E200" s="29">
        <f>Table13[[#This Row],[Ávöxtun]]*Table13[[#This Row],[Eignir]]/SUMIFS(Table13[Eignir],Table13[Year],Table13[[#This Row],[Year]])</f>
        <v>-2.7038782252041492E-4</v>
      </c>
      <c r="F200" s="23" t="e">
        <f>IF(B200=1997, 100, IF(COUNTIF(A$1:A199,A200)=0, "NEW", F199*(1+Table13[[#This Row],[Ávöxtun]])))</f>
        <v>#VALUE!</v>
      </c>
      <c r="G200" s="18" t="str" cm="1">
        <f t="array" ref="G200">IFERROR(_xlfn.IFS(ISNUMBER(Table13[[#This Row],[Column3]]),Table13[[#This Row],[Column3]],Table13[[#This Row],[Column3]]="NEW",Table13[[#This Row],[Column3]]),"")</f>
        <v/>
      </c>
      <c r="H200" s="15" cm="1">
        <f t="array" ref="H200">_xlfn.IFS(Table13[[#This Row],[Column4]]="NEW",AVERAGEIFS(Table13[Column4],Table13[Year],Table13[[#This Row],[Year]]),ISNUMBER(Table13[[#This Row],[Column4]]),Table13[[#This Row],[Column4]],Table13[[#This Row],[Column4]]="",H199*(1+Table13[[#This Row],[Ávöxtun]]))</f>
        <v>105.81601276595745</v>
      </c>
      <c r="I200" cm="1">
        <f t="array" ref="I200">_xlfn.IFS(Table13[[#This Row],[Column4]]="NEW",_xlfn.XLOOKUP(Table13[[#This Row],[Year]],$N$2:$N$27,$P$2:$P$27),ISNUMBER(Table13[[#This Row],[Column4]]),Table13[[#This Row],[Column4]],Table13[[#This Row],[Column4]]="",I199*(1+Table13[[#This Row],[Ávöxtun]]))</f>
        <v>108.16677048147052</v>
      </c>
      <c r="L200" s="33">
        <v>105.64038775510204</v>
      </c>
      <c r="M200" s="33">
        <v>116.66607022086522</v>
      </c>
    </row>
    <row r="201" spans="1:13">
      <c r="A201" t="s">
        <v>136</v>
      </c>
      <c r="B201">
        <v>2002</v>
      </c>
      <c r="C201" s="16">
        <v>-0.02</v>
      </c>
      <c r="D201" s="1">
        <v>445857.1</v>
      </c>
      <c r="E201" s="29">
        <f>Table13[[#This Row],[Ávöxtun]]*Table13[[#This Row],[Eignir]]/SUMIFS(Table13[Eignir],Table13[Year],Table13[[#This Row],[Year]])</f>
        <v>-1.6733797396044956E-5</v>
      </c>
      <c r="F201" s="23" t="e">
        <f>IF(B201=1997, 100, IF(COUNTIF(A$1:A200,A201)=0, "NEW", F200*(1+Table13[[#This Row],[Ávöxtun]])))</f>
        <v>#VALUE!</v>
      </c>
      <c r="G201" s="18" t="str" cm="1">
        <f t="array" ref="G201">IFERROR(_xlfn.IFS(ISNUMBER(Table13[[#This Row],[Column3]]),Table13[[#This Row],[Column3]],Table13[[#This Row],[Column3]]="NEW",Table13[[#This Row],[Column3]]),"")</f>
        <v/>
      </c>
      <c r="H201" s="15" cm="1">
        <f t="array" ref="H201">_xlfn.IFS(Table13[[#This Row],[Column4]]="NEW",AVERAGEIFS(Table13[Column4],Table13[Year],Table13[[#This Row],[Year]]),ISNUMBER(Table13[[#This Row],[Column4]]),Table13[[#This Row],[Column4]],Table13[[#This Row],[Column4]]="",H200*(1+Table13[[#This Row],[Ávöxtun]]))</f>
        <v>103.6996925106383</v>
      </c>
      <c r="I201" cm="1">
        <f t="array" ref="I201">_xlfn.IFS(Table13[[#This Row],[Column4]]="NEW",_xlfn.XLOOKUP(Table13[[#This Row],[Year]],$N$2:$N$27,$P$2:$P$27),ISNUMBER(Table13[[#This Row],[Column4]]),Table13[[#This Row],[Column4]],Table13[[#This Row],[Column4]]="",I200*(1+Table13[[#This Row],[Ávöxtun]]))</f>
        <v>106.00343507184111</v>
      </c>
      <c r="L201" s="33">
        <v>103.52758</v>
      </c>
      <c r="M201" s="33">
        <v>114.33274881644792</v>
      </c>
    </row>
    <row r="202" spans="1:13">
      <c r="A202" t="s">
        <v>136</v>
      </c>
      <c r="B202">
        <v>2003</v>
      </c>
      <c r="C202" s="16">
        <v>0.1</v>
      </c>
      <c r="D202" s="1">
        <v>727539.4</v>
      </c>
      <c r="E202" s="29">
        <f>Table13[[#This Row],[Ávöxtun]]*Table13[[#This Row],[Eignir]]/SUMIFS(Table13[Eignir],Table13[Year],Table13[[#This Row],[Year]])</f>
        <v>1.1407164063806366E-4</v>
      </c>
      <c r="F202" s="23" t="e">
        <f>IF(B202=1997, 100, IF(COUNTIF(A$1:A201,A202)=0, "NEW", F201*(1+Table13[[#This Row],[Ávöxtun]])))</f>
        <v>#VALUE!</v>
      </c>
      <c r="G202" s="18" t="str" cm="1">
        <f t="array" ref="G202">IFERROR(_xlfn.IFS(ISNUMBER(Table13[[#This Row],[Column3]]),Table13[[#This Row],[Column3]],Table13[[#This Row],[Column3]]="NEW",Table13[[#This Row],[Column3]]),"")</f>
        <v/>
      </c>
      <c r="H202" s="15" cm="1">
        <f t="array" ref="H202">_xlfn.IFS(Table13[[#This Row],[Column4]]="NEW",AVERAGEIFS(Table13[Column4],Table13[Year],Table13[[#This Row],[Year]]),ISNUMBER(Table13[[#This Row],[Column4]]),Table13[[#This Row],[Column4]],Table13[[#This Row],[Column4]]="",H201*(1+Table13[[#This Row],[Ávöxtun]]))</f>
        <v>114.06966176170214</v>
      </c>
      <c r="I202" cm="1">
        <f t="array" ref="I202">_xlfn.IFS(Table13[[#This Row],[Column4]]="NEW",_xlfn.XLOOKUP(Table13[[#This Row],[Year]],$N$2:$N$27,$P$2:$P$27),ISNUMBER(Table13[[#This Row],[Column4]]),Table13[[#This Row],[Column4]],Table13[[#This Row],[Column4]]="",I201*(1+Table13[[#This Row],[Ávöxtun]]))</f>
        <v>116.60377857902523</v>
      </c>
      <c r="L202" s="33">
        <v>113.88033800000001</v>
      </c>
      <c r="M202" s="33">
        <v>125.76602369809272</v>
      </c>
    </row>
    <row r="203" spans="1:13">
      <c r="A203" t="s">
        <v>136</v>
      </c>
      <c r="B203">
        <v>2004</v>
      </c>
      <c r="C203" s="16">
        <v>0.06</v>
      </c>
      <c r="D203" s="1">
        <v>1055515.8400000001</v>
      </c>
      <c r="E203" s="29">
        <f>Table13[[#This Row],[Ávöxtun]]*Table13[[#This Row],[Eignir]]/SUMIFS(Table13[Eignir],Table13[Year],Table13[[#This Row],[Year]])</f>
        <v>8.3370520258577155E-5</v>
      </c>
      <c r="F203" s="23" t="e">
        <f>IF(B203=1997, 100, IF(COUNTIF(A$1:A202,A203)=0, "NEW", F202*(1+Table13[[#This Row],[Ávöxtun]])))</f>
        <v>#VALUE!</v>
      </c>
      <c r="G203" s="18" t="str" cm="1">
        <f t="array" ref="G203">IFERROR(_xlfn.IFS(ISNUMBER(Table13[[#This Row],[Column3]]),Table13[[#This Row],[Column3]],Table13[[#This Row],[Column3]]="NEW",Table13[[#This Row],[Column3]]),"")</f>
        <v/>
      </c>
      <c r="H203" s="15" cm="1">
        <f t="array" ref="H203">_xlfn.IFS(Table13[[#This Row],[Column4]]="NEW",AVERAGEIFS(Table13[Column4],Table13[Year],Table13[[#This Row],[Year]]),ISNUMBER(Table13[[#This Row],[Column4]]),Table13[[#This Row],[Column4]],Table13[[#This Row],[Column4]]="",H202*(1+Table13[[#This Row],[Ávöxtun]]))</f>
        <v>120.91384146740427</v>
      </c>
      <c r="I203" cm="1">
        <f t="array" ref="I203">_xlfn.IFS(Table13[[#This Row],[Column4]]="NEW",_xlfn.XLOOKUP(Table13[[#This Row],[Year]],$N$2:$N$27,$P$2:$P$27),ISNUMBER(Table13[[#This Row],[Column4]]),Table13[[#This Row],[Column4]],Table13[[#This Row],[Column4]]="",I202*(1+Table13[[#This Row],[Ávöxtun]]))</f>
        <v>123.60000529376676</v>
      </c>
      <c r="L203" s="33">
        <v>120.71315828000002</v>
      </c>
      <c r="M203" s="33">
        <v>133.31198511997829</v>
      </c>
    </row>
    <row r="204" spans="1:13">
      <c r="A204" t="s">
        <v>136</v>
      </c>
      <c r="B204">
        <v>2005</v>
      </c>
      <c r="C204" s="16">
        <v>0.1</v>
      </c>
      <c r="D204" s="1">
        <v>1588580</v>
      </c>
      <c r="E204" s="29">
        <f>Table13[[#This Row],[Ávöxtun]]*Table13[[#This Row],[Eignir]]/SUMIFS(Table13[Eignir],Table13[Year],Table13[[#This Row],[Year]])</f>
        <v>1.7019115877853444E-4</v>
      </c>
      <c r="F204" s="23" t="e">
        <f>IF(B204=1997, 100, IF(COUNTIF(A$1:A203,A204)=0, "NEW", F203*(1+Table13[[#This Row],[Ávöxtun]])))</f>
        <v>#VALUE!</v>
      </c>
      <c r="G204" s="18" t="str" cm="1">
        <f t="array" ref="G204">IFERROR(_xlfn.IFS(ISNUMBER(Table13[[#This Row],[Column3]]),Table13[[#This Row],[Column3]],Table13[[#This Row],[Column3]]="NEW",Table13[[#This Row],[Column3]]),"")</f>
        <v/>
      </c>
      <c r="H204" s="15" cm="1">
        <f t="array" ref="H204">_xlfn.IFS(Table13[[#This Row],[Column4]]="NEW",AVERAGEIFS(Table13[Column4],Table13[Year],Table13[[#This Row],[Year]]),ISNUMBER(Table13[[#This Row],[Column4]]),Table13[[#This Row],[Column4]],Table13[[#This Row],[Column4]]="",H203*(1+Table13[[#This Row],[Ávöxtun]]))</f>
        <v>133.00522561414471</v>
      </c>
      <c r="I204" cm="1">
        <f t="array" ref="I204">_xlfn.IFS(Table13[[#This Row],[Column4]]="NEW",_xlfn.XLOOKUP(Table13[[#This Row],[Year]],$N$2:$N$27,$P$2:$P$27),ISNUMBER(Table13[[#This Row],[Column4]]),Table13[[#This Row],[Column4]],Table13[[#This Row],[Column4]]="",I203*(1+Table13[[#This Row],[Ávöxtun]]))</f>
        <v>135.96000582314343</v>
      </c>
      <c r="L204" s="33">
        <v>132.78447410800004</v>
      </c>
      <c r="M204" s="33">
        <v>146.64318363197614</v>
      </c>
    </row>
    <row r="205" spans="1:13">
      <c r="A205" t="s">
        <v>136</v>
      </c>
      <c r="B205">
        <v>2006</v>
      </c>
      <c r="C205" s="16">
        <v>0.11900000000000001</v>
      </c>
      <c r="D205" s="1">
        <v>2384071</v>
      </c>
      <c r="E205" s="29">
        <f>Table13[[#This Row],[Ávöxtun]]*Table13[[#This Row],[Eignir]]/SUMIFS(Table13[Eignir],Table13[Year],Table13[[#This Row],[Year]])</f>
        <v>2.4938591264313383E-4</v>
      </c>
      <c r="F205" s="23" t="e">
        <f>IF(B205=1997, 100, IF(COUNTIF(A$1:A204,A205)=0, "NEW", F204*(1+Table13[[#This Row],[Ávöxtun]])))</f>
        <v>#VALUE!</v>
      </c>
      <c r="G205" s="18" t="str" cm="1">
        <f t="array" ref="G205">IFERROR(_xlfn.IFS(ISNUMBER(Table13[[#This Row],[Column3]]),Table13[[#This Row],[Column3]],Table13[[#This Row],[Column3]]="NEW",Table13[[#This Row],[Column3]]),"")</f>
        <v/>
      </c>
      <c r="H205" s="15" cm="1">
        <f t="array" ref="H205">_xlfn.IFS(Table13[[#This Row],[Column4]]="NEW",AVERAGEIFS(Table13[Column4],Table13[Year],Table13[[#This Row],[Year]]),ISNUMBER(Table13[[#This Row],[Column4]]),Table13[[#This Row],[Column4]],Table13[[#This Row],[Column4]]="",H204*(1+Table13[[#This Row],[Ávöxtun]]))</f>
        <v>148.83284746222793</v>
      </c>
      <c r="I205" cm="1">
        <f t="array" ref="I205">_xlfn.IFS(Table13[[#This Row],[Column4]]="NEW",_xlfn.XLOOKUP(Table13[[#This Row],[Year]],$N$2:$N$27,$P$2:$P$27),ISNUMBER(Table13[[#This Row],[Column4]]),Table13[[#This Row],[Column4]],Table13[[#This Row],[Column4]]="",I204*(1+Table13[[#This Row],[Ávöxtun]]))</f>
        <v>152.1392465160975</v>
      </c>
      <c r="L205" s="33">
        <v>148.58582652685203</v>
      </c>
      <c r="M205" s="33">
        <v>164.09372248418131</v>
      </c>
    </row>
    <row r="206" spans="1:13">
      <c r="A206" t="s">
        <v>136</v>
      </c>
      <c r="B206">
        <v>2007</v>
      </c>
      <c r="C206" s="16">
        <v>1.8000000000000002E-2</v>
      </c>
      <c r="D206" s="1">
        <v>2449600</v>
      </c>
      <c r="E206" s="29">
        <f>Table13[[#This Row],[Ávöxtun]]*Table13[[#This Row],[Eignir]]/SUMIFS(Table13[Eignir],Table13[Year],Table13[[#This Row],[Year]])</f>
        <v>3.435463333351999E-5</v>
      </c>
      <c r="F206" s="23" t="e">
        <f>IF(B206=1997, 100, IF(COUNTIF(A$1:A205,A206)=0, "NEW", F205*(1+Table13[[#This Row],[Ávöxtun]])))</f>
        <v>#VALUE!</v>
      </c>
      <c r="G206" s="18" t="str" cm="1">
        <f t="array" ref="G206">IFERROR(_xlfn.IFS(ISNUMBER(Table13[[#This Row],[Column3]]),Table13[[#This Row],[Column3]],Table13[[#This Row],[Column3]]="NEW",Table13[[#This Row],[Column3]]),"")</f>
        <v/>
      </c>
      <c r="H206" s="15" cm="1">
        <f t="array" ref="H206">_xlfn.IFS(Table13[[#This Row],[Column4]]="NEW",AVERAGEIFS(Table13[Column4],Table13[Year],Table13[[#This Row],[Year]]),ISNUMBER(Table13[[#This Row],[Column4]]),Table13[[#This Row],[Column4]],Table13[[#This Row],[Column4]]="",H205*(1+Table13[[#This Row],[Ávöxtun]]))</f>
        <v>151.51183871654803</v>
      </c>
      <c r="I206" cm="1">
        <f t="array" ref="I206">_xlfn.IFS(Table13[[#This Row],[Column4]]="NEW",_xlfn.XLOOKUP(Table13[[#This Row],[Year]],$N$2:$N$27,$P$2:$P$27),ISNUMBER(Table13[[#This Row],[Column4]]),Table13[[#This Row],[Column4]],Table13[[#This Row],[Column4]]="",I205*(1+Table13[[#This Row],[Ávöxtun]]))</f>
        <v>154.87775295338727</v>
      </c>
      <c r="L206" s="33">
        <v>151.26037140433536</v>
      </c>
      <c r="M206" s="33">
        <v>167.04740948889659</v>
      </c>
    </row>
    <row r="207" spans="1:13">
      <c r="A207" t="s">
        <v>136</v>
      </c>
      <c r="B207">
        <v>2008</v>
      </c>
      <c r="C207" s="16">
        <v>-0.31209999999999999</v>
      </c>
      <c r="D207" s="1">
        <v>2487181</v>
      </c>
      <c r="E207" s="29">
        <f>Table13[[#This Row],[Ávöxtun]]*Table13[[#This Row],[Eignir]]/SUMIFS(Table13[Eignir],Table13[Year],Table13[[#This Row],[Year]])</f>
        <v>-6.2651485556246885E-4</v>
      </c>
      <c r="F207" s="23" t="e">
        <f>IF(B207=1997, 100, IF(COUNTIF(A$1:A206,A207)=0, "NEW", F206*(1+Table13[[#This Row],[Ávöxtun]])))</f>
        <v>#VALUE!</v>
      </c>
      <c r="G207" s="18" t="str" cm="1">
        <f t="array" ref="G207">IFERROR(_xlfn.IFS(ISNUMBER(Table13[[#This Row],[Column3]]),Table13[[#This Row],[Column3]],Table13[[#This Row],[Column3]]="NEW",Table13[[#This Row],[Column3]]),"")</f>
        <v/>
      </c>
      <c r="H207" s="15" cm="1">
        <f t="array" ref="H207">_xlfn.IFS(Table13[[#This Row],[Column4]]="NEW",AVERAGEIFS(Table13[Column4],Table13[Year],Table13[[#This Row],[Year]]),ISNUMBER(Table13[[#This Row],[Column4]]),Table13[[#This Row],[Column4]],Table13[[#This Row],[Column4]]="",H206*(1+Table13[[#This Row],[Ávöxtun]]))</f>
        <v>104.22499385311338</v>
      </c>
      <c r="I207" cm="1">
        <f t="array" ref="I207">_xlfn.IFS(Table13[[#This Row],[Column4]]="NEW",_xlfn.XLOOKUP(Table13[[#This Row],[Year]],$N$2:$N$27,$P$2:$P$27),ISNUMBER(Table13[[#This Row],[Column4]]),Table13[[#This Row],[Column4]],Table13[[#This Row],[Column4]]="",I206*(1+Table13[[#This Row],[Ávöxtun]]))</f>
        <v>106.54040625663509</v>
      </c>
      <c r="L207" s="33">
        <v>104.05200948904229</v>
      </c>
      <c r="M207" s="33">
        <v>114.91191298741195</v>
      </c>
    </row>
    <row r="208" spans="1:13">
      <c r="A208" t="s">
        <v>136</v>
      </c>
      <c r="B208">
        <v>2009</v>
      </c>
      <c r="C208" s="16">
        <v>3.1800000000000002E-2</v>
      </c>
      <c r="D208" s="1">
        <v>3454109</v>
      </c>
      <c r="E208" s="29">
        <f>Table13[[#This Row],[Ávöxtun]]*Table13[[#This Row],[Eignir]]/SUMIFS(Table13[Eignir],Table13[Year],Table13[[#This Row],[Year]])</f>
        <v>7.9993602444118915E-5</v>
      </c>
      <c r="F208" s="23" t="e">
        <f>IF(B208=1997, 100, IF(COUNTIF(A$1:A207,A208)=0, "NEW", F207*(1+Table13[[#This Row],[Ávöxtun]])))</f>
        <v>#VALUE!</v>
      </c>
      <c r="G208" s="18" t="str" cm="1">
        <f t="array" ref="G208">IFERROR(_xlfn.IFS(ISNUMBER(Table13[[#This Row],[Column3]]),Table13[[#This Row],[Column3]],Table13[[#This Row],[Column3]]="NEW",Table13[[#This Row],[Column3]]),"")</f>
        <v/>
      </c>
      <c r="H208" s="15" cm="1">
        <f t="array" ref="H208">_xlfn.IFS(Table13[[#This Row],[Column4]]="NEW",AVERAGEIFS(Table13[Column4],Table13[Year],Table13[[#This Row],[Year]]),ISNUMBER(Table13[[#This Row],[Column4]]),Table13[[#This Row],[Column4]],Table13[[#This Row],[Column4]]="",H207*(1+Table13[[#This Row],[Ávöxtun]]))</f>
        <v>107.53934865764239</v>
      </c>
      <c r="I208" cm="1">
        <f t="array" ref="I208">_xlfn.IFS(Table13[[#This Row],[Column4]]="NEW",_xlfn.XLOOKUP(Table13[[#This Row],[Year]],$N$2:$N$27,$P$2:$P$27),ISNUMBER(Table13[[#This Row],[Column4]]),Table13[[#This Row],[Column4]],Table13[[#This Row],[Column4]]="",I207*(1+Table13[[#This Row],[Ávöxtun]]))</f>
        <v>109.92839117559609</v>
      </c>
      <c r="L208" s="33">
        <v>107.36086339079384</v>
      </c>
      <c r="M208" s="33">
        <v>118.56611182041166</v>
      </c>
    </row>
    <row r="209" spans="1:13">
      <c r="A209" t="s">
        <v>136</v>
      </c>
      <c r="B209">
        <v>2010</v>
      </c>
      <c r="C209" s="16">
        <v>4.5999999999999999E-2</v>
      </c>
      <c r="D209" s="1">
        <v>4278252</v>
      </c>
      <c r="E209" s="29">
        <f>Table13[[#This Row],[Ávöxtun]]*Table13[[#This Row],[Eignir]]/SUMIFS(Table13[Eignir],Table13[Year],Table13[[#This Row],[Year]])</f>
        <v>1.34357258468702E-4</v>
      </c>
      <c r="F209" s="23" t="e">
        <f>IF(B209=1997, 100, IF(COUNTIF(A$1:A208,A209)=0, "NEW", F208*(1+Table13[[#This Row],[Ávöxtun]])))</f>
        <v>#VALUE!</v>
      </c>
      <c r="G209" s="18" t="str" cm="1">
        <f t="array" ref="G209">IFERROR(_xlfn.IFS(ISNUMBER(Table13[[#This Row],[Column3]]),Table13[[#This Row],[Column3]],Table13[[#This Row],[Column3]]="NEW",Table13[[#This Row],[Column3]]),"")</f>
        <v/>
      </c>
      <c r="H209" s="15" cm="1">
        <f t="array" ref="H209">_xlfn.IFS(Table13[[#This Row],[Column4]]="NEW",AVERAGEIFS(Table13[Column4],Table13[Year],Table13[[#This Row],[Year]]),ISNUMBER(Table13[[#This Row],[Column4]]),Table13[[#This Row],[Column4]],Table13[[#This Row],[Column4]]="",H208*(1+Table13[[#This Row],[Ávöxtun]]))</f>
        <v>112.48615869589395</v>
      </c>
      <c r="I209" cm="1">
        <f t="array" ref="I209">_xlfn.IFS(Table13[[#This Row],[Column4]]="NEW",_xlfn.XLOOKUP(Table13[[#This Row],[Year]],$N$2:$N$27,$P$2:$P$27),ISNUMBER(Table13[[#This Row],[Column4]]),Table13[[#This Row],[Column4]],Table13[[#This Row],[Column4]]="",I208*(1+Table13[[#This Row],[Ávöxtun]]))</f>
        <v>114.98509716967351</v>
      </c>
      <c r="L209" s="33">
        <v>112.29946310677036</v>
      </c>
      <c r="M209" s="33">
        <v>124.02015296415061</v>
      </c>
    </row>
    <row r="210" spans="1:13">
      <c r="A210" t="s">
        <v>136</v>
      </c>
      <c r="B210">
        <v>2011</v>
      </c>
      <c r="C210" s="16">
        <v>0.02</v>
      </c>
      <c r="D210" s="1">
        <v>5226456</v>
      </c>
      <c r="E210" s="29">
        <f>Table13[[#This Row],[Ávöxtun]]*Table13[[#This Row],[Eignir]]/SUMIFS(Table13[Eignir],Table13[Year],Table13[[#This Row],[Year]])</f>
        <v>6.5829424045717468E-5</v>
      </c>
      <c r="F210" s="23" t="e">
        <f>IF(B210=1997, 100, IF(COUNTIF(A$1:A209,A210)=0, "NEW", F209*(1+Table13[[#This Row],[Ávöxtun]])))</f>
        <v>#VALUE!</v>
      </c>
      <c r="G210" s="18" t="str" cm="1">
        <f t="array" ref="G210">IFERROR(_xlfn.IFS(ISNUMBER(Table13[[#This Row],[Column3]]),Table13[[#This Row],[Column3]],Table13[[#This Row],[Column3]]="NEW",Table13[[#This Row],[Column3]]),"")</f>
        <v/>
      </c>
      <c r="H210" s="15" cm="1">
        <f t="array" ref="H210">_xlfn.IFS(Table13[[#This Row],[Column4]]="NEW",AVERAGEIFS(Table13[Column4],Table13[Year],Table13[[#This Row],[Year]]),ISNUMBER(Table13[[#This Row],[Column4]]),Table13[[#This Row],[Column4]],Table13[[#This Row],[Column4]]="",H209*(1+Table13[[#This Row],[Ávöxtun]]))</f>
        <v>114.73588186981183</v>
      </c>
      <c r="I210" cm="1">
        <f t="array" ref="I210">_xlfn.IFS(Table13[[#This Row],[Column4]]="NEW",_xlfn.XLOOKUP(Table13[[#This Row],[Year]],$N$2:$N$27,$P$2:$P$27),ISNUMBER(Table13[[#This Row],[Column4]]),Table13[[#This Row],[Column4]],Table13[[#This Row],[Column4]]="",I209*(1+Table13[[#This Row],[Ávöxtun]]))</f>
        <v>117.28479911306698</v>
      </c>
      <c r="L210" s="33">
        <v>114.54545236890577</v>
      </c>
      <c r="M210" s="33">
        <v>126.50055602343363</v>
      </c>
    </row>
    <row r="211" spans="1:13">
      <c r="A211" t="s">
        <v>136</v>
      </c>
      <c r="B211">
        <v>2012</v>
      </c>
      <c r="C211" s="16">
        <v>3.2000000000000001E-2</v>
      </c>
      <c r="D211" s="1">
        <v>6254807</v>
      </c>
      <c r="E211" s="29">
        <f>Table13[[#This Row],[Ávöxtun]]*Table13[[#This Row],[Eignir]]/SUMIFS(Table13[Eignir],Table13[Year],Table13[[#This Row],[Year]])</f>
        <v>1.1151439271413164E-4</v>
      </c>
      <c r="F211" s="23" t="e">
        <f>IF(B211=1997, 100, IF(COUNTIF(A$1:A210,A211)=0, "NEW", F210*(1+Table13[[#This Row],[Ávöxtun]])))</f>
        <v>#VALUE!</v>
      </c>
      <c r="G211" s="18" t="str" cm="1">
        <f t="array" ref="G211">IFERROR(_xlfn.IFS(ISNUMBER(Table13[[#This Row],[Column3]]),Table13[[#This Row],[Column3]],Table13[[#This Row],[Column3]]="NEW",Table13[[#This Row],[Column3]]),"")</f>
        <v/>
      </c>
      <c r="H211" s="15" cm="1">
        <f t="array" ref="H211">_xlfn.IFS(Table13[[#This Row],[Column4]]="NEW",AVERAGEIFS(Table13[Column4],Table13[Year],Table13[[#This Row],[Year]]),ISNUMBER(Table13[[#This Row],[Column4]]),Table13[[#This Row],[Column4]],Table13[[#This Row],[Column4]]="",H210*(1+Table13[[#This Row],[Ávöxtun]]))</f>
        <v>118.40743008964581</v>
      </c>
      <c r="I211" cm="1">
        <f t="array" ref="I211">_xlfn.IFS(Table13[[#This Row],[Column4]]="NEW",_xlfn.XLOOKUP(Table13[[#This Row],[Year]],$N$2:$N$27,$P$2:$P$27),ISNUMBER(Table13[[#This Row],[Column4]]),Table13[[#This Row],[Column4]],Table13[[#This Row],[Column4]]="",I210*(1+Table13[[#This Row],[Ávöxtun]]))</f>
        <v>121.03791268468512</v>
      </c>
      <c r="L211" s="33">
        <v>118.21090684471076</v>
      </c>
      <c r="M211" s="33">
        <v>130.54857381618351</v>
      </c>
    </row>
    <row r="212" spans="1:13">
      <c r="A212" t="s">
        <v>136</v>
      </c>
      <c r="B212">
        <v>2013</v>
      </c>
      <c r="C212" s="16">
        <v>5.7000000000000002E-2</v>
      </c>
      <c r="D212" s="1">
        <v>7505895</v>
      </c>
      <c r="E212" s="29">
        <f>Table13[[#This Row],[Ávöxtun]]*Table13[[#This Row],[Eignir]]/SUMIFS(Table13[Eignir],Table13[Year],Table13[[#This Row],[Year]])</f>
        <v>2.1674505815980538E-4</v>
      </c>
      <c r="F212" s="23" t="e">
        <f>IF(B212=1997, 100, IF(COUNTIF(A$1:A211,A212)=0, "NEW", F211*(1+Table13[[#This Row],[Ávöxtun]])))</f>
        <v>#VALUE!</v>
      </c>
      <c r="G212" s="18" t="str" cm="1">
        <f t="array" ref="G212">IFERROR(_xlfn.IFS(ISNUMBER(Table13[[#This Row],[Column3]]),Table13[[#This Row],[Column3]],Table13[[#This Row],[Column3]]="NEW",Table13[[#This Row],[Column3]]),"")</f>
        <v/>
      </c>
      <c r="H212" s="15" cm="1">
        <f t="array" ref="H212">_xlfn.IFS(Table13[[#This Row],[Column4]]="NEW",AVERAGEIFS(Table13[Column4],Table13[Year],Table13[[#This Row],[Year]]),ISNUMBER(Table13[[#This Row],[Column4]]),Table13[[#This Row],[Column4]],Table13[[#This Row],[Column4]]="",H211*(1+Table13[[#This Row],[Ávöxtun]]))</f>
        <v>125.15665360475562</v>
      </c>
      <c r="I212" cm="1">
        <f t="array" ref="I212">_xlfn.IFS(Table13[[#This Row],[Column4]]="NEW",_xlfn.XLOOKUP(Table13[[#This Row],[Year]],$N$2:$N$27,$P$2:$P$27),ISNUMBER(Table13[[#This Row],[Column4]]),Table13[[#This Row],[Column4]],Table13[[#This Row],[Column4]]="",I211*(1+Table13[[#This Row],[Ávöxtun]]))</f>
        <v>127.93707370771217</v>
      </c>
      <c r="L212" s="33">
        <v>124.94892853485926</v>
      </c>
      <c r="M212" s="33">
        <v>137.98984252370596</v>
      </c>
    </row>
    <row r="213" spans="1:13">
      <c r="A213" t="s">
        <v>136</v>
      </c>
      <c r="B213">
        <v>2014</v>
      </c>
      <c r="C213" s="16">
        <v>4.9000000000000002E-2</v>
      </c>
      <c r="D213" s="1">
        <v>8566556</v>
      </c>
      <c r="E213" s="29">
        <f>Table13[[#This Row],[Ávöxtun]]*Table13[[#This Row],[Eignir]]/SUMIFS(Table13[Eignir],Table13[Year],Table13[[#This Row],[Year]])</f>
        <v>1.9501069577488331E-4</v>
      </c>
      <c r="F213" s="23" t="e">
        <f>IF(B213=1997, 100, IF(COUNTIF(A$1:A212,A213)=0, "NEW", F212*(1+Table13[[#This Row],[Ávöxtun]])))</f>
        <v>#VALUE!</v>
      </c>
      <c r="G213" s="18" t="str" cm="1">
        <f t="array" ref="G213">IFERROR(_xlfn.IFS(ISNUMBER(Table13[[#This Row],[Column3]]),Table13[[#This Row],[Column3]],Table13[[#This Row],[Column3]]="NEW",Table13[[#This Row],[Column3]]),"")</f>
        <v/>
      </c>
      <c r="H213" s="15" cm="1">
        <f t="array" ref="H213">_xlfn.IFS(Table13[[#This Row],[Column4]]="NEW",AVERAGEIFS(Table13[Column4],Table13[Year],Table13[[#This Row],[Year]]),ISNUMBER(Table13[[#This Row],[Column4]]),Table13[[#This Row],[Column4]],Table13[[#This Row],[Column4]]="",H212*(1+Table13[[#This Row],[Ávöxtun]]))</f>
        <v>131.28932963138863</v>
      </c>
      <c r="I213" cm="1">
        <f t="array" ref="I213">_xlfn.IFS(Table13[[#This Row],[Column4]]="NEW",_xlfn.XLOOKUP(Table13[[#This Row],[Year]],$N$2:$N$27,$P$2:$P$27),ISNUMBER(Table13[[#This Row],[Column4]]),Table13[[#This Row],[Column4]],Table13[[#This Row],[Column4]]="",I212*(1+Table13[[#This Row],[Ávöxtun]]))</f>
        <v>134.20599031939005</v>
      </c>
      <c r="L213" s="33">
        <v>131.07142603306735</v>
      </c>
      <c r="M213" s="33">
        <v>144.75134480736753</v>
      </c>
    </row>
    <row r="214" spans="1:13">
      <c r="A214" t="s">
        <v>136</v>
      </c>
      <c r="B214">
        <v>2015</v>
      </c>
      <c r="C214" s="16">
        <v>0.11599999999999999</v>
      </c>
      <c r="D214" s="1">
        <v>10638652</v>
      </c>
      <c r="E214" s="29">
        <f>Table13[[#This Row],[Ávöxtun]]*Table13[[#This Row],[Eignir]]/SUMIFS(Table13[Eignir],Table13[Year],Table13[[#This Row],[Year]])</f>
        <v>5.1683673617735346E-4</v>
      </c>
      <c r="F214" s="23" t="e">
        <f>IF(B214=1997, 100, IF(COUNTIF(A$1:A213,A214)=0, "NEW", F213*(1+Table13[[#This Row],[Ávöxtun]])))</f>
        <v>#VALUE!</v>
      </c>
      <c r="G214" s="18" t="str" cm="1">
        <f t="array" ref="G214">IFERROR(_xlfn.IFS(ISNUMBER(Table13[[#This Row],[Column3]]),Table13[[#This Row],[Column3]],Table13[[#This Row],[Column3]]="NEW",Table13[[#This Row],[Column3]]),"")</f>
        <v/>
      </c>
      <c r="H214" s="15" cm="1">
        <f t="array" ref="H214">_xlfn.IFS(Table13[[#This Row],[Column4]]="NEW",AVERAGEIFS(Table13[Column4],Table13[Year],Table13[[#This Row],[Year]]),ISNUMBER(Table13[[#This Row],[Column4]]),Table13[[#This Row],[Column4]],Table13[[#This Row],[Column4]]="",H213*(1+Table13[[#This Row],[Ávöxtun]]))</f>
        <v>146.51889186862971</v>
      </c>
      <c r="I214" cm="1">
        <f t="array" ref="I214">_xlfn.IFS(Table13[[#This Row],[Column4]]="NEW",_xlfn.XLOOKUP(Table13[[#This Row],[Year]],$N$2:$N$27,$P$2:$P$27),ISNUMBER(Table13[[#This Row],[Column4]]),Table13[[#This Row],[Column4]],Table13[[#This Row],[Column4]]="",I213*(1+Table13[[#This Row],[Ávöxtun]]))</f>
        <v>149.77388519643932</v>
      </c>
      <c r="L214" s="33">
        <v>146.27571145290318</v>
      </c>
      <c r="M214" s="33">
        <v>161.54250080502217</v>
      </c>
    </row>
    <row r="215" spans="1:13">
      <c r="A215" t="s">
        <v>136</v>
      </c>
      <c r="B215">
        <v>2016</v>
      </c>
      <c r="C215" s="16">
        <v>1.26E-2</v>
      </c>
      <c r="D215" s="1">
        <v>12326313.23</v>
      </c>
      <c r="E215" s="29">
        <f>Table13[[#This Row],[Ávöxtun]]*Table13[[#This Row],[Eignir]]/SUMIFS(Table13[Eignir],Table13[Year],Table13[[#This Row],[Year]])</f>
        <v>5.9553124777664557E-5</v>
      </c>
      <c r="F215" s="23" t="e">
        <f>IF(B215=1997, 100, IF(COUNTIF(A$1:A214,A215)=0, "NEW", F214*(1+Table13[[#This Row],[Ávöxtun]])))</f>
        <v>#VALUE!</v>
      </c>
      <c r="G215" s="18" t="str" cm="1">
        <f t="array" ref="G215">IFERROR(_xlfn.IFS(ISNUMBER(Table13[[#This Row],[Column3]]),Table13[[#This Row],[Column3]],Table13[[#This Row],[Column3]]="NEW",Table13[[#This Row],[Column3]]),"")</f>
        <v/>
      </c>
      <c r="H215" s="15" cm="1">
        <f t="array" ref="H215">_xlfn.IFS(Table13[[#This Row],[Column4]]="NEW",AVERAGEIFS(Table13[Column4],Table13[Year],Table13[[#This Row],[Year]]),ISNUMBER(Table13[[#This Row],[Column4]]),Table13[[#This Row],[Column4]],Table13[[#This Row],[Column4]]="",H214*(1+Table13[[#This Row],[Ávöxtun]]))</f>
        <v>148.36502990617444</v>
      </c>
      <c r="I215" cm="1">
        <f t="array" ref="I215">_xlfn.IFS(Table13[[#This Row],[Column4]]="NEW",_xlfn.XLOOKUP(Table13[[#This Row],[Year]],$N$2:$N$27,$P$2:$P$27),ISNUMBER(Table13[[#This Row],[Column4]]),Table13[[#This Row],[Column4]],Table13[[#This Row],[Column4]]="",I214*(1+Table13[[#This Row],[Ávöxtun]]))</f>
        <v>151.66103614991445</v>
      </c>
      <c r="L215" s="33">
        <v>148.11878541720975</v>
      </c>
      <c r="M215" s="33">
        <v>163.57793631516543</v>
      </c>
    </row>
    <row r="216" spans="1:13">
      <c r="A216" t="s">
        <v>136</v>
      </c>
      <c r="B216">
        <v>2017</v>
      </c>
      <c r="C216" s="16">
        <v>4.8000000000000001E-2</v>
      </c>
      <c r="D216" s="1">
        <v>14738104</v>
      </c>
      <c r="E216" s="29">
        <f>Table13[[#This Row],[Ávöxtun]]*Table13[[#This Row],[Eignir]]/SUMIFS(Table13[Eignir],Table13[Year],Table13[[#This Row],[Year]])</f>
        <v>2.4342727309208898E-4</v>
      </c>
      <c r="F216" s="23" t="e">
        <f>IF(B216=1997, 100, IF(COUNTIF(A$1:A215,A216)=0, "NEW", F215*(1+Table13[[#This Row],[Ávöxtun]])))</f>
        <v>#VALUE!</v>
      </c>
      <c r="G216" s="18" t="str" cm="1">
        <f t="array" ref="G216">IFERROR(_xlfn.IFS(ISNUMBER(Table13[[#This Row],[Column3]]),Table13[[#This Row],[Column3]],Table13[[#This Row],[Column3]]="NEW",Table13[[#This Row],[Column3]]),"")</f>
        <v/>
      </c>
      <c r="H216" s="15" cm="1">
        <f t="array" ref="H216">_xlfn.IFS(Table13[[#This Row],[Column4]]="NEW",AVERAGEIFS(Table13[Column4],Table13[Year],Table13[[#This Row],[Year]]),ISNUMBER(Table13[[#This Row],[Column4]]),Table13[[#This Row],[Column4]],Table13[[#This Row],[Column4]]="",H215*(1+Table13[[#This Row],[Ávöxtun]]))</f>
        <v>155.48655134167083</v>
      </c>
      <c r="I216" cm="1">
        <f t="array" ref="I216">_xlfn.IFS(Table13[[#This Row],[Column4]]="NEW",_xlfn.XLOOKUP(Table13[[#This Row],[Year]],$N$2:$N$27,$P$2:$P$27),ISNUMBER(Table13[[#This Row],[Column4]]),Table13[[#This Row],[Column4]],Table13[[#This Row],[Column4]]="",I215*(1+Table13[[#This Row],[Ávöxtun]]))</f>
        <v>158.94076588511035</v>
      </c>
      <c r="L216" s="33">
        <v>155.22848711723583</v>
      </c>
      <c r="M216" s="33">
        <v>171.42967725829337</v>
      </c>
    </row>
    <row r="217" spans="1:13">
      <c r="A217" t="s">
        <v>136</v>
      </c>
      <c r="B217">
        <v>2018</v>
      </c>
      <c r="C217" s="16">
        <v>1.1000000000000001E-2</v>
      </c>
      <c r="D217" s="1">
        <v>17195780</v>
      </c>
      <c r="E217" s="29">
        <f>Table13[[#This Row],[Ávöxtun]]*Table13[[#This Row],[Eignir]]/SUMIFS(Table13[Eignir],Table13[Year],Table13[[#This Row],[Year]])</f>
        <v>6.0647138032392378E-5</v>
      </c>
      <c r="F217" s="23" t="e">
        <f>IF(B217=1997, 100, IF(COUNTIF(A$1:A216,A217)=0, "NEW", F216*(1+Table13[[#This Row],[Ávöxtun]])))</f>
        <v>#VALUE!</v>
      </c>
      <c r="G217" s="18" t="str" cm="1">
        <f t="array" ref="G217">IFERROR(_xlfn.IFS(ISNUMBER(Table13[[#This Row],[Column3]]),Table13[[#This Row],[Column3]],Table13[[#This Row],[Column3]]="NEW",Table13[[#This Row],[Column3]]),"")</f>
        <v/>
      </c>
      <c r="H217" s="15" cm="1">
        <f t="array" ref="H217">_xlfn.IFS(Table13[[#This Row],[Column4]]="NEW",AVERAGEIFS(Table13[Column4],Table13[Year],Table13[[#This Row],[Year]]),ISNUMBER(Table13[[#This Row],[Column4]]),Table13[[#This Row],[Column4]],Table13[[#This Row],[Column4]]="",H216*(1+Table13[[#This Row],[Ávöxtun]]))</f>
        <v>157.19690340642919</v>
      </c>
      <c r="I217" cm="1">
        <f t="array" ref="I217">_xlfn.IFS(Table13[[#This Row],[Column4]]="NEW",_xlfn.XLOOKUP(Table13[[#This Row],[Year]],$N$2:$N$27,$P$2:$P$27),ISNUMBER(Table13[[#This Row],[Column4]]),Table13[[#This Row],[Column4]],Table13[[#This Row],[Column4]]="",I216*(1+Table13[[#This Row],[Ávöxtun]]))</f>
        <v>160.68911430984656</v>
      </c>
      <c r="L217" s="33">
        <v>156.93600047552542</v>
      </c>
      <c r="M217" s="33">
        <v>173.31540370813457</v>
      </c>
    </row>
    <row r="218" spans="1:13">
      <c r="A218" t="s">
        <v>136</v>
      </c>
      <c r="B218">
        <v>2019</v>
      </c>
      <c r="C218" s="16">
        <v>0.10189999999999999</v>
      </c>
      <c r="D218" s="1">
        <v>21479748.140000001</v>
      </c>
      <c r="E218" s="29">
        <f>Table13[[#This Row],[Ávöxtun]]*Table13[[#This Row],[Eignir]]/SUMIFS(Table13[Eignir],Table13[Year],Table13[[#This Row],[Year]])</f>
        <v>6.1200381018521976E-4</v>
      </c>
      <c r="F218" s="23" t="e">
        <f>IF(B218=1997, 100, IF(COUNTIF(A$1:A217,A218)=0, "NEW", F217*(1+Table13[[#This Row],[Ávöxtun]])))</f>
        <v>#VALUE!</v>
      </c>
      <c r="G218" s="18" t="str" cm="1">
        <f t="array" ref="G218">IFERROR(_xlfn.IFS(ISNUMBER(Table13[[#This Row],[Column3]]),Table13[[#This Row],[Column3]],Table13[[#This Row],[Column3]]="NEW",Table13[[#This Row],[Column3]]),"")</f>
        <v/>
      </c>
      <c r="H218" s="15" cm="1">
        <f t="array" ref="H218">_xlfn.IFS(Table13[[#This Row],[Column4]]="NEW",AVERAGEIFS(Table13[Column4],Table13[Year],Table13[[#This Row],[Year]]),ISNUMBER(Table13[[#This Row],[Column4]]),Table13[[#This Row],[Column4]],Table13[[#This Row],[Column4]]="",H217*(1+Table13[[#This Row],[Ávöxtun]]))</f>
        <v>173.21526786354434</v>
      </c>
      <c r="I218" cm="1">
        <f t="array" ref="I218">_xlfn.IFS(Table13[[#This Row],[Column4]]="NEW",_xlfn.XLOOKUP(Table13[[#This Row],[Year]],$N$2:$N$27,$P$2:$P$27),ISNUMBER(Table13[[#This Row],[Column4]]),Table13[[#This Row],[Column4]],Table13[[#This Row],[Column4]]="",I217*(1+Table13[[#This Row],[Ávöxtun]]))</f>
        <v>177.06333505801993</v>
      </c>
      <c r="L218" s="33">
        <v>172.92777892398146</v>
      </c>
      <c r="M218" s="33">
        <v>190.97624334599351</v>
      </c>
    </row>
    <row r="219" spans="1:13">
      <c r="A219" t="s">
        <v>136</v>
      </c>
      <c r="B219">
        <v>2020</v>
      </c>
      <c r="C219" s="16">
        <v>8.5900000000000004E-2</v>
      </c>
      <c r="D219" s="1">
        <v>26365091.859999999</v>
      </c>
      <c r="E219" s="29">
        <f>Table13[[#This Row],[Ávöxtun]]*Table13[[#This Row],[Eignir]]/SUMIFS(Table13[Eignir],Table13[Year],Table13[[#This Row],[Year]])</f>
        <v>5.4649619491875415E-4</v>
      </c>
      <c r="F219" s="23" t="e">
        <f>IF(B219=1997, 100, IF(COUNTIF(A$1:A218,A219)=0, "NEW", F218*(1+Table13[[#This Row],[Ávöxtun]])))</f>
        <v>#VALUE!</v>
      </c>
      <c r="G219" s="18" t="str" cm="1">
        <f t="array" ref="G219">IFERROR(_xlfn.IFS(ISNUMBER(Table13[[#This Row],[Column3]]),Table13[[#This Row],[Column3]],Table13[[#This Row],[Column3]]="NEW",Table13[[#This Row],[Column3]]),"")</f>
        <v/>
      </c>
      <c r="H219" s="15" cm="1">
        <f t="array" ref="H219">_xlfn.IFS(Table13[[#This Row],[Column4]]="NEW",AVERAGEIFS(Table13[Column4],Table13[Year],Table13[[#This Row],[Year]]),ISNUMBER(Table13[[#This Row],[Column4]]),Table13[[#This Row],[Column4]],Table13[[#This Row],[Column4]]="",H218*(1+Table13[[#This Row],[Ávöxtun]]))</f>
        <v>188.0944593730228</v>
      </c>
      <c r="I219" cm="1">
        <f t="array" ref="I219">_xlfn.IFS(Table13[[#This Row],[Column4]]="NEW",_xlfn.XLOOKUP(Table13[[#This Row],[Year]],$N$2:$N$27,$P$2:$P$27),ISNUMBER(Table13[[#This Row],[Column4]]),Table13[[#This Row],[Column4]],Table13[[#This Row],[Column4]]="",I218*(1+Table13[[#This Row],[Ávöxtun]]))</f>
        <v>192.27307553950385</v>
      </c>
      <c r="L219" s="33">
        <v>187.78227513355148</v>
      </c>
      <c r="M219" s="33">
        <v>207.38110264941437</v>
      </c>
    </row>
    <row r="220" spans="1:13">
      <c r="A220" t="s">
        <v>136</v>
      </c>
      <c r="B220">
        <v>2021</v>
      </c>
      <c r="C220" s="16">
        <v>7.6999999999999999E-2</v>
      </c>
      <c r="D220" s="1">
        <v>32258649.73</v>
      </c>
      <c r="E220" s="29">
        <f>Table13[[#This Row],[Ávöxtun]]*Table13[[#This Row],[Eignir]]/SUMIFS(Table13[Eignir],Table13[Year],Table13[[#This Row],[Year]])</f>
        <v>5.1069502092953168E-4</v>
      </c>
      <c r="F220" s="23" t="e">
        <f>IF(B220=1997, 100, IF(COUNTIF(A$1:A219,A220)=0, "NEW", F219*(1+Table13[[#This Row],[Ávöxtun]])))</f>
        <v>#VALUE!</v>
      </c>
      <c r="G220" s="18" t="str" cm="1">
        <f t="array" ref="G220">IFERROR(_xlfn.IFS(ISNUMBER(Table13[[#This Row],[Column3]]),Table13[[#This Row],[Column3]],Table13[[#This Row],[Column3]]="NEW",Table13[[#This Row],[Column3]]),"")</f>
        <v/>
      </c>
      <c r="H220" s="15" cm="1">
        <f t="array" ref="H220">_xlfn.IFS(Table13[[#This Row],[Column4]]="NEW",AVERAGEIFS(Table13[Column4],Table13[Year],Table13[[#This Row],[Year]]),ISNUMBER(Table13[[#This Row],[Column4]]),Table13[[#This Row],[Column4]],Table13[[#This Row],[Column4]]="",H219*(1+Table13[[#This Row],[Ávöxtun]]))</f>
        <v>202.57773274474556</v>
      </c>
      <c r="I220" cm="1">
        <f t="array" ref="I220">_xlfn.IFS(Table13[[#This Row],[Column4]]="NEW",_xlfn.XLOOKUP(Table13[[#This Row],[Year]],$N$2:$N$27,$P$2:$P$27),ISNUMBER(Table13[[#This Row],[Column4]]),Table13[[#This Row],[Column4]],Table13[[#This Row],[Column4]]="",I219*(1+Table13[[#This Row],[Ávöxtun]]))</f>
        <v>207.07810235604563</v>
      </c>
      <c r="L220" s="33">
        <v>202.24151031883494</v>
      </c>
      <c r="M220" s="33">
        <v>223.34944755341928</v>
      </c>
    </row>
    <row r="221" spans="1:13">
      <c r="A221" t="s">
        <v>73</v>
      </c>
      <c r="B221">
        <v>2007</v>
      </c>
      <c r="C221" s="16">
        <v>3.1000000000000003E-2</v>
      </c>
      <c r="D221" s="1">
        <v>10148626</v>
      </c>
      <c r="E221" s="29">
        <f>Table13[[#This Row],[Ávöxtun]]*Table13[[#This Row],[Eignir]]/SUMIFS(Table13[Eignir],Table13[Year],Table13[[#This Row],[Year]])</f>
        <v>2.4512442115583172E-4</v>
      </c>
      <c r="F221" s="23" t="str">
        <f>IF(B221=1997, 100, IF(COUNTIF(A$1:A220,A221)=0, "NEW", F220*(1+Table13[[#This Row],[Ávöxtun]])))</f>
        <v>NEW</v>
      </c>
      <c r="G221" s="18" t="str" cm="1">
        <f t="array" ref="G221">IFERROR(_xlfn.IFS(ISNUMBER(Table13[[#This Row],[Column3]]),Table13[[#This Row],[Column3]],Table13[[#This Row],[Column3]]="NEW",Table13[[#This Row],[Column3]]),"")</f>
        <v>NEW</v>
      </c>
      <c r="H221" s="15" cm="1">
        <f t="array" ref="H221">_xlfn.IFS(Table13[[#This Row],[Column4]]="NEW",AVERAGEIFS(Table13[Column4],Table13[Year],Table13[[#This Row],[Year]]),ISNUMBER(Table13[[#This Row],[Column4]]),Table13[[#This Row],[Column4]],Table13[[#This Row],[Column4]]="",H220*(1+Table13[[#This Row],[Ávöxtun]]))</f>
        <v>181.28886909669129</v>
      </c>
      <c r="I221" cm="1">
        <f t="array" ref="I221">_xlfn.IFS(Table13[[#This Row],[Column4]]="NEW",_xlfn.XLOOKUP(Table13[[#This Row],[Year]],$N$2:$N$27,$P$2:$P$27),ISNUMBER(Table13[[#This Row],[Column4]]),Table13[[#This Row],[Column4]],Table13[[#This Row],[Column4]]="",I220*(1+Table13[[#This Row],[Ávöxtun]]))</f>
        <v>207.65019104512325</v>
      </c>
      <c r="L221" s="33">
        <v>178.53851178563048</v>
      </c>
      <c r="M221" s="33">
        <v>220.80682239490886</v>
      </c>
    </row>
    <row r="222" spans="1:13">
      <c r="A222" t="s">
        <v>73</v>
      </c>
      <c r="B222">
        <v>2008</v>
      </c>
      <c r="C222" s="16">
        <v>-0.2772</v>
      </c>
      <c r="D222" s="1">
        <v>8077065</v>
      </c>
      <c r="E222" s="29">
        <f>Table13[[#This Row],[Ávöxtun]]*Table13[[#This Row],[Eignir]]/SUMIFS(Table13[Eignir],Table13[Year],Table13[[#This Row],[Year]])</f>
        <v>-1.8070784920785014E-3</v>
      </c>
      <c r="F222" s="23" t="e">
        <f>IF(B222=1997, 100, IF(COUNTIF(A$1:A221,A222)=0, "NEW", F221*(1+Table13[[#This Row],[Ávöxtun]])))</f>
        <v>#VALUE!</v>
      </c>
      <c r="G222" s="18" t="str" cm="1">
        <f t="array" ref="G222">IFERROR(_xlfn.IFS(ISNUMBER(Table13[[#This Row],[Column3]]),Table13[[#This Row],[Column3]],Table13[[#This Row],[Column3]]="NEW",Table13[[#This Row],[Column3]]),"")</f>
        <v/>
      </c>
      <c r="H222" s="15" cm="1">
        <f t="array" ref="H222">_xlfn.IFS(Table13[[#This Row],[Column4]]="NEW",AVERAGEIFS(Table13[Column4],Table13[Year],Table13[[#This Row],[Year]]),ISNUMBER(Table13[[#This Row],[Column4]]),Table13[[#This Row],[Column4]],Table13[[#This Row],[Column4]]="",H221*(1+Table13[[#This Row],[Ávöxtun]]))</f>
        <v>131.03559458308845</v>
      </c>
      <c r="I222" cm="1">
        <f t="array" ref="I222">_xlfn.IFS(Table13[[#This Row],[Column4]]="NEW",_xlfn.XLOOKUP(Table13[[#This Row],[Year]],$N$2:$N$27,$P$2:$P$27),ISNUMBER(Table13[[#This Row],[Column4]]),Table13[[#This Row],[Column4]],Table13[[#This Row],[Column4]]="",I221*(1+Table13[[#This Row],[Ávöxtun]]))</f>
        <v>150.08955808741507</v>
      </c>
      <c r="L222" s="33">
        <v>129.0476363186537</v>
      </c>
      <c r="M222" s="33">
        <v>159.59917122704013</v>
      </c>
    </row>
    <row r="223" spans="1:13">
      <c r="A223" t="s">
        <v>73</v>
      </c>
      <c r="B223">
        <v>2009</v>
      </c>
      <c r="C223" s="16">
        <v>-8.1000000000000013E-3</v>
      </c>
      <c r="D223" s="1">
        <v>8053248</v>
      </c>
      <c r="E223" s="29">
        <f>Table13[[#This Row],[Ávöxtun]]*Table13[[#This Row],[Eignir]]/SUMIFS(Table13[Eignir],Table13[Year],Table13[[#This Row],[Year]])</f>
        <v>-4.7505969906951974E-5</v>
      </c>
      <c r="F223" s="23" t="e">
        <f>IF(B223=1997, 100, IF(COUNTIF(A$1:A222,A223)=0, "NEW", F222*(1+Table13[[#This Row],[Ávöxtun]])))</f>
        <v>#VALUE!</v>
      </c>
      <c r="G223" s="18" t="str" cm="1">
        <f t="array" ref="G223">IFERROR(_xlfn.IFS(ISNUMBER(Table13[[#This Row],[Column3]]),Table13[[#This Row],[Column3]],Table13[[#This Row],[Column3]]="NEW",Table13[[#This Row],[Column3]]),"")</f>
        <v/>
      </c>
      <c r="H223" s="15" cm="1">
        <f t="array" ref="H223">_xlfn.IFS(Table13[[#This Row],[Column4]]="NEW",AVERAGEIFS(Table13[Column4],Table13[Year],Table13[[#This Row],[Year]]),ISNUMBER(Table13[[#This Row],[Column4]]),Table13[[#This Row],[Column4]],Table13[[#This Row],[Column4]]="",H222*(1+Table13[[#This Row],[Ávöxtun]]))</f>
        <v>129.97420626696544</v>
      </c>
      <c r="I223" cm="1">
        <f t="array" ref="I223">_xlfn.IFS(Table13[[#This Row],[Column4]]="NEW",_xlfn.XLOOKUP(Table13[[#This Row],[Year]],$N$2:$N$27,$P$2:$P$27),ISNUMBER(Table13[[#This Row],[Column4]]),Table13[[#This Row],[Column4]],Table13[[#This Row],[Column4]]="",I222*(1+Table13[[#This Row],[Ávöxtun]]))</f>
        <v>148.87383266690702</v>
      </c>
      <c r="L223" s="33">
        <v>128.00235046447261</v>
      </c>
      <c r="M223" s="33">
        <v>158.30641794010111</v>
      </c>
    </row>
    <row r="224" spans="1:13">
      <c r="A224" t="s">
        <v>73</v>
      </c>
      <c r="B224">
        <v>2010</v>
      </c>
      <c r="C224" s="16">
        <v>0.04</v>
      </c>
      <c r="D224" s="1">
        <v>8089047</v>
      </c>
      <c r="E224" s="29">
        <f>Table13[[#This Row],[Ávöxtun]]*Table13[[#This Row],[Eignir]]/SUMIFS(Table13[Eignir],Table13[Year],Table13[[#This Row],[Year]])</f>
        <v>2.2089927473924406E-4</v>
      </c>
      <c r="F224" s="23" t="e">
        <f>IF(B224=1997, 100, IF(COUNTIF(A$1:A223,A224)=0, "NEW", F223*(1+Table13[[#This Row],[Ávöxtun]])))</f>
        <v>#VALUE!</v>
      </c>
      <c r="G224" s="18" t="str" cm="1">
        <f t="array" ref="G224">IFERROR(_xlfn.IFS(ISNUMBER(Table13[[#This Row],[Column3]]),Table13[[#This Row],[Column3]],Table13[[#This Row],[Column3]]="NEW",Table13[[#This Row],[Column3]]),"")</f>
        <v/>
      </c>
      <c r="H224" s="15" cm="1">
        <f t="array" ref="H224">_xlfn.IFS(Table13[[#This Row],[Column4]]="NEW",AVERAGEIFS(Table13[Column4],Table13[Year],Table13[[#This Row],[Year]]),ISNUMBER(Table13[[#This Row],[Column4]]),Table13[[#This Row],[Column4]],Table13[[#This Row],[Column4]]="",H223*(1+Table13[[#This Row],[Ávöxtun]]))</f>
        <v>135.17317451764407</v>
      </c>
      <c r="I224" cm="1">
        <f t="array" ref="I224">_xlfn.IFS(Table13[[#This Row],[Column4]]="NEW",_xlfn.XLOOKUP(Table13[[#This Row],[Year]],$N$2:$N$27,$P$2:$P$27),ISNUMBER(Table13[[#This Row],[Column4]]),Table13[[#This Row],[Column4]],Table13[[#This Row],[Column4]]="",I223*(1+Table13[[#This Row],[Ávöxtun]]))</f>
        <v>154.82878597358331</v>
      </c>
      <c r="L224" s="33">
        <v>133.12244448305151</v>
      </c>
      <c r="M224" s="33">
        <v>164.63867465770517</v>
      </c>
    </row>
    <row r="225" spans="1:13">
      <c r="A225" t="s">
        <v>73</v>
      </c>
      <c r="B225">
        <v>2011</v>
      </c>
      <c r="C225" s="16">
        <v>0.04</v>
      </c>
      <c r="D225" s="1">
        <v>8352348</v>
      </c>
      <c r="E225" s="29">
        <f>Table13[[#This Row],[Ávöxtun]]*Table13[[#This Row],[Eignir]]/SUMIFS(Table13[Eignir],Table13[Year],Table13[[#This Row],[Year]])</f>
        <v>2.1040271199811124E-4</v>
      </c>
      <c r="F225" s="23" t="e">
        <f>IF(B225=1997, 100, IF(COUNTIF(A$1:A224,A225)=0, "NEW", F224*(1+Table13[[#This Row],[Ávöxtun]])))</f>
        <v>#VALUE!</v>
      </c>
      <c r="G225" s="18" t="str" cm="1">
        <f t="array" ref="G225">IFERROR(_xlfn.IFS(ISNUMBER(Table13[[#This Row],[Column3]]),Table13[[#This Row],[Column3]],Table13[[#This Row],[Column3]]="NEW",Table13[[#This Row],[Column3]]),"")</f>
        <v/>
      </c>
      <c r="H225" s="15" cm="1">
        <f t="array" ref="H225">_xlfn.IFS(Table13[[#This Row],[Column4]]="NEW",AVERAGEIFS(Table13[Column4],Table13[Year],Table13[[#This Row],[Year]]),ISNUMBER(Table13[[#This Row],[Column4]]),Table13[[#This Row],[Column4]],Table13[[#This Row],[Column4]]="",H224*(1+Table13[[#This Row],[Ávöxtun]]))</f>
        <v>140.58010149834985</v>
      </c>
      <c r="I225" cm="1">
        <f t="array" ref="I225">_xlfn.IFS(Table13[[#This Row],[Column4]]="NEW",_xlfn.XLOOKUP(Table13[[#This Row],[Year]],$N$2:$N$27,$P$2:$P$27),ISNUMBER(Table13[[#This Row],[Column4]]),Table13[[#This Row],[Column4]],Table13[[#This Row],[Column4]]="",I224*(1+Table13[[#This Row],[Ávöxtun]]))</f>
        <v>161.02193741252665</v>
      </c>
      <c r="L225" s="33">
        <v>138.44734226237358</v>
      </c>
      <c r="M225" s="33">
        <v>171.22422164401337</v>
      </c>
    </row>
    <row r="226" spans="1:13">
      <c r="A226" t="s">
        <v>77</v>
      </c>
      <c r="B226">
        <v>1997</v>
      </c>
      <c r="C226" s="16">
        <v>0.08</v>
      </c>
      <c r="D226" s="1">
        <v>7673160.8099999996</v>
      </c>
      <c r="E226" s="29">
        <f>Table13[[#This Row],[Ávöxtun]]*Table13[[#This Row],[Eignir]]/SUMIFS(Table13[Eignir],Table13[Year],Table13[[#This Row],[Year]])</f>
        <v>2.1511846385052283E-3</v>
      </c>
      <c r="F226" s="23">
        <f>IF(B226=1997, 100, IF(COUNTIF(A$1:A225,A226)=0, "NEW", F225*(1+Table13[[#This Row],[Ávöxtun]])))</f>
        <v>100</v>
      </c>
      <c r="G226" s="18" cm="1">
        <f t="array" ref="G226">IFERROR(_xlfn.IFS(ISNUMBER(Table13[[#This Row],[Column3]]),Table13[[#This Row],[Column3]],Table13[[#This Row],[Column3]]="NEW",Table13[[#This Row],[Column3]]),"")</f>
        <v>100</v>
      </c>
      <c r="H226" s="15" cm="1">
        <f t="array" ref="H226">_xlfn.IFS(Table13[[#This Row],[Column4]]="NEW",AVERAGEIFS(Table13[Column4],Table13[Year],Table13[[#This Row],[Year]]),ISNUMBER(Table13[[#This Row],[Column4]]),Table13[[#This Row],[Column4]],Table13[[#This Row],[Column4]]="",H225*(1+Table13[[#This Row],[Ávöxtun]]))</f>
        <v>100</v>
      </c>
      <c r="I226" cm="1">
        <f t="array" ref="I226">_xlfn.IFS(Table13[[#This Row],[Column4]]="NEW",_xlfn.XLOOKUP(Table13[[#This Row],[Year]],$N$2:$N$27,$P$2:$P$27),ISNUMBER(Table13[[#This Row],[Column4]]),Table13[[#This Row],[Column4]],Table13[[#This Row],[Column4]]="",I225*(1+Table13[[#This Row],[Ávöxtun]]))</f>
        <v>100</v>
      </c>
      <c r="L226" s="33">
        <v>100</v>
      </c>
      <c r="M226" s="33">
        <v>100</v>
      </c>
    </row>
    <row r="227" spans="1:13">
      <c r="A227" t="s">
        <v>77</v>
      </c>
      <c r="B227">
        <v>1998</v>
      </c>
      <c r="C227" s="16">
        <v>0.08</v>
      </c>
      <c r="D227" s="1">
        <v>8942160.8100000005</v>
      </c>
      <c r="E227" s="29">
        <f>Table13[[#This Row],[Ávöxtun]]*Table13[[#This Row],[Eignir]]/SUMIFS(Table13[Eignir],Table13[Year],Table13[[#This Row],[Year]])</f>
        <v>2.164527247878086E-3</v>
      </c>
      <c r="F227" s="23">
        <f>IF(B227=1997, 100, IF(COUNTIF(A$1:A226,A227)=0, "NEW", F226*(1+Table13[[#This Row],[Ávöxtun]])))</f>
        <v>108</v>
      </c>
      <c r="G227" s="18" cm="1">
        <f t="array" ref="G227">IFERROR(_xlfn.IFS(ISNUMBER(Table13[[#This Row],[Column3]]),Table13[[#This Row],[Column3]],Table13[[#This Row],[Column3]]="NEW",Table13[[#This Row],[Column3]]),"")</f>
        <v>108</v>
      </c>
      <c r="H227" s="15" cm="1">
        <f t="array" ref="H227">_xlfn.IFS(Table13[[#This Row],[Column4]]="NEW",AVERAGEIFS(Table13[Column4],Table13[Year],Table13[[#This Row],[Year]]),ISNUMBER(Table13[[#This Row],[Column4]]),Table13[[#This Row],[Column4]],Table13[[#This Row],[Column4]]="",H226*(1+Table13[[#This Row],[Ávöxtun]]))</f>
        <v>108</v>
      </c>
      <c r="I227" cm="1">
        <f t="array" ref="I227">_xlfn.IFS(Table13[[#This Row],[Column4]]="NEW",_xlfn.XLOOKUP(Table13[[#This Row],[Year]],$N$2:$N$27,$P$2:$P$27),ISNUMBER(Table13[[#This Row],[Column4]]),Table13[[#This Row],[Column4]],Table13[[#This Row],[Column4]]="",I226*(1+Table13[[#This Row],[Ávöxtun]]))</f>
        <v>108</v>
      </c>
      <c r="L227" s="33">
        <v>108</v>
      </c>
      <c r="M227" s="33">
        <v>108</v>
      </c>
    </row>
    <row r="228" spans="1:13">
      <c r="A228" t="s">
        <v>77</v>
      </c>
      <c r="B228">
        <v>1999</v>
      </c>
      <c r="C228" s="16">
        <v>0.16</v>
      </c>
      <c r="D228" s="1">
        <v>11388315.029999999</v>
      </c>
      <c r="E228" s="29">
        <f>Table13[[#This Row],[Ávöxtun]]*Table13[[#This Row],[Eignir]]/SUMIFS(Table13[Eignir],Table13[Year],Table13[[#This Row],[Year]])</f>
        <v>4.104599728259605E-3</v>
      </c>
      <c r="F228" s="23">
        <f>IF(B228=1997, 100, IF(COUNTIF(A$1:A227,A228)=0, "NEW", F227*(1+Table13[[#This Row],[Ávöxtun]])))</f>
        <v>125.27999999999999</v>
      </c>
      <c r="G228" s="18" cm="1">
        <f t="array" ref="G228">IFERROR(_xlfn.IFS(ISNUMBER(Table13[[#This Row],[Column3]]),Table13[[#This Row],[Column3]],Table13[[#This Row],[Column3]]="NEW",Table13[[#This Row],[Column3]]),"")</f>
        <v>125.27999999999999</v>
      </c>
      <c r="H228" s="15" cm="1">
        <f t="array" ref="H228">_xlfn.IFS(Table13[[#This Row],[Column4]]="NEW",AVERAGEIFS(Table13[Column4],Table13[Year],Table13[[#This Row],[Year]]),ISNUMBER(Table13[[#This Row],[Column4]]),Table13[[#This Row],[Column4]],Table13[[#This Row],[Column4]]="",H227*(1+Table13[[#This Row],[Ávöxtun]]))</f>
        <v>125.27999999999999</v>
      </c>
      <c r="I228" cm="1">
        <f t="array" ref="I228">_xlfn.IFS(Table13[[#This Row],[Column4]]="NEW",_xlfn.XLOOKUP(Table13[[#This Row],[Year]],$N$2:$N$27,$P$2:$P$27),ISNUMBER(Table13[[#This Row],[Column4]]),Table13[[#This Row],[Column4]],Table13[[#This Row],[Column4]]="",I227*(1+Table13[[#This Row],[Ávöxtun]]))</f>
        <v>125.27999999999999</v>
      </c>
      <c r="L228" s="33">
        <v>125.27999999999999</v>
      </c>
      <c r="M228" s="33">
        <v>125.27999999999999</v>
      </c>
    </row>
    <row r="229" spans="1:13">
      <c r="A229" t="s">
        <v>77</v>
      </c>
      <c r="B229">
        <v>2000</v>
      </c>
      <c r="C229" s="16">
        <v>-0.04</v>
      </c>
      <c r="D229" s="1">
        <v>11743787</v>
      </c>
      <c r="E229" s="29">
        <f>Table13[[#This Row],[Ávöxtun]]*Table13[[#This Row],[Eignir]]/SUMIFS(Table13[Eignir],Table13[Year],Table13[[#This Row],[Year]])</f>
        <v>-7.5222627100451315E-4</v>
      </c>
      <c r="F229" s="23">
        <f>IF(B229=1997, 100, IF(COUNTIF(A$1:A228,A229)=0, "NEW", F228*(1+Table13[[#This Row],[Ávöxtun]])))</f>
        <v>120.26879999999998</v>
      </c>
      <c r="G229" s="18" cm="1">
        <f t="array" ref="G229">IFERROR(_xlfn.IFS(ISNUMBER(Table13[[#This Row],[Column3]]),Table13[[#This Row],[Column3]],Table13[[#This Row],[Column3]]="NEW",Table13[[#This Row],[Column3]]),"")</f>
        <v>120.26879999999998</v>
      </c>
      <c r="H229" s="15" cm="1">
        <f t="array" ref="H229">_xlfn.IFS(Table13[[#This Row],[Column4]]="NEW",AVERAGEIFS(Table13[Column4],Table13[Year],Table13[[#This Row],[Year]]),ISNUMBER(Table13[[#This Row],[Column4]]),Table13[[#This Row],[Column4]],Table13[[#This Row],[Column4]]="",H228*(1+Table13[[#This Row],[Ávöxtun]]))</f>
        <v>120.26879999999998</v>
      </c>
      <c r="I229" cm="1">
        <f t="array" ref="I229">_xlfn.IFS(Table13[[#This Row],[Column4]]="NEW",_xlfn.XLOOKUP(Table13[[#This Row],[Year]],$N$2:$N$27,$P$2:$P$27),ISNUMBER(Table13[[#This Row],[Column4]]),Table13[[#This Row],[Column4]],Table13[[#This Row],[Column4]]="",I228*(1+Table13[[#This Row],[Ávöxtun]]))</f>
        <v>120.26879999999998</v>
      </c>
      <c r="L229" s="33">
        <v>120.26879999999998</v>
      </c>
      <c r="M229" s="33">
        <v>120.26879999999998</v>
      </c>
    </row>
    <row r="230" spans="1:13">
      <c r="A230" t="s">
        <v>77</v>
      </c>
      <c r="B230">
        <v>2001</v>
      </c>
      <c r="C230" s="16">
        <v>-0.03</v>
      </c>
      <c r="D230" s="1">
        <v>12836744</v>
      </c>
      <c r="E230" s="29">
        <f>Table13[[#This Row],[Ávöxtun]]*Table13[[#This Row],[Eignir]]/SUMIFS(Table13[Eignir],Table13[Year],Table13[[#This Row],[Year]])</f>
        <v>-4.007139355331159E-4</v>
      </c>
      <c r="F230" s="23">
        <f>IF(B230=1997, 100, IF(COUNTIF(A$1:A229,A230)=0, "NEW", F229*(1+Table13[[#This Row],[Ávöxtun]])))</f>
        <v>116.66073599999999</v>
      </c>
      <c r="G230" s="18" cm="1">
        <f t="array" ref="G230">IFERROR(_xlfn.IFS(ISNUMBER(Table13[[#This Row],[Column3]]),Table13[[#This Row],[Column3]],Table13[[#This Row],[Column3]]="NEW",Table13[[#This Row],[Column3]]),"")</f>
        <v>116.66073599999999</v>
      </c>
      <c r="H230" s="15" cm="1">
        <f t="array" ref="H230">_xlfn.IFS(Table13[[#This Row],[Column4]]="NEW",AVERAGEIFS(Table13[Column4],Table13[Year],Table13[[#This Row],[Year]]),ISNUMBER(Table13[[#This Row],[Column4]]),Table13[[#This Row],[Column4]],Table13[[#This Row],[Column4]]="",H229*(1+Table13[[#This Row],[Ávöxtun]]))</f>
        <v>116.66073599999999</v>
      </c>
      <c r="I230" cm="1">
        <f t="array" ref="I230">_xlfn.IFS(Table13[[#This Row],[Column4]]="NEW",_xlfn.XLOOKUP(Table13[[#This Row],[Year]],$N$2:$N$27,$P$2:$P$27),ISNUMBER(Table13[[#This Row],[Column4]]),Table13[[#This Row],[Column4]],Table13[[#This Row],[Column4]]="",I229*(1+Table13[[#This Row],[Ávöxtun]]))</f>
        <v>116.66073599999999</v>
      </c>
      <c r="L230" s="33">
        <v>116.66073599999999</v>
      </c>
      <c r="M230" s="33">
        <v>116.66073599999999</v>
      </c>
    </row>
    <row r="231" spans="1:13">
      <c r="A231" t="s">
        <v>77</v>
      </c>
      <c r="B231">
        <v>2002</v>
      </c>
      <c r="C231" s="16">
        <v>-0.04</v>
      </c>
      <c r="D231" s="1">
        <v>13029503.6</v>
      </c>
      <c r="E231" s="29">
        <f>Table13[[#This Row],[Ávöxtun]]*Table13[[#This Row],[Eignir]]/SUMIFS(Table13[Eignir],Table13[Year],Table13[[#This Row],[Year]])</f>
        <v>-9.7804015418141103E-4</v>
      </c>
      <c r="F231" s="23">
        <f>IF(B231=1997, 100, IF(COUNTIF(A$1:A230,A231)=0, "NEW", F230*(1+Table13[[#This Row],[Ávöxtun]])))</f>
        <v>111.99430655999998</v>
      </c>
      <c r="G231" s="18" cm="1">
        <f t="array" ref="G231">IFERROR(_xlfn.IFS(ISNUMBER(Table13[[#This Row],[Column3]]),Table13[[#This Row],[Column3]],Table13[[#This Row],[Column3]]="NEW",Table13[[#This Row],[Column3]]),"")</f>
        <v>111.99430655999998</v>
      </c>
      <c r="H231" s="15" cm="1">
        <f t="array" ref="H231">_xlfn.IFS(Table13[[#This Row],[Column4]]="NEW",AVERAGEIFS(Table13[Column4],Table13[Year],Table13[[#This Row],[Year]]),ISNUMBER(Table13[[#This Row],[Column4]]),Table13[[#This Row],[Column4]],Table13[[#This Row],[Column4]]="",H230*(1+Table13[[#This Row],[Ávöxtun]]))</f>
        <v>111.99430655999998</v>
      </c>
      <c r="I231" cm="1">
        <f t="array" ref="I231">_xlfn.IFS(Table13[[#This Row],[Column4]]="NEW",_xlfn.XLOOKUP(Table13[[#This Row],[Year]],$N$2:$N$27,$P$2:$P$27),ISNUMBER(Table13[[#This Row],[Column4]]),Table13[[#This Row],[Column4]],Table13[[#This Row],[Column4]]="",I230*(1+Table13[[#This Row],[Ávöxtun]]))</f>
        <v>111.99430655999998</v>
      </c>
      <c r="L231" s="33">
        <v>111.99430655999998</v>
      </c>
      <c r="M231" s="33">
        <v>111.99430655999998</v>
      </c>
    </row>
    <row r="232" spans="1:13">
      <c r="A232" t="s">
        <v>77</v>
      </c>
      <c r="B232">
        <v>2003</v>
      </c>
      <c r="C232" s="16">
        <v>0.13</v>
      </c>
      <c r="D232" s="1">
        <v>15566304</v>
      </c>
      <c r="E232" s="29">
        <f>Table13[[#This Row],[Ávöxtun]]*Table13[[#This Row],[Eignir]]/SUMIFS(Table13[Eignir],Table13[Year],Table13[[#This Row],[Year]])</f>
        <v>3.1728535756772882E-3</v>
      </c>
      <c r="F232" s="23">
        <f>IF(B232=1997, 100, IF(COUNTIF(A$1:A231,A232)=0, "NEW", F231*(1+Table13[[#This Row],[Ávöxtun]])))</f>
        <v>126.55356641279997</v>
      </c>
      <c r="G232" s="18" cm="1">
        <f t="array" ref="G232">IFERROR(_xlfn.IFS(ISNUMBER(Table13[[#This Row],[Column3]]),Table13[[#This Row],[Column3]],Table13[[#This Row],[Column3]]="NEW",Table13[[#This Row],[Column3]]),"")</f>
        <v>126.55356641279997</v>
      </c>
      <c r="H232" s="15" cm="1">
        <f t="array" ref="H232">_xlfn.IFS(Table13[[#This Row],[Column4]]="NEW",AVERAGEIFS(Table13[Column4],Table13[Year],Table13[[#This Row],[Year]]),ISNUMBER(Table13[[#This Row],[Column4]]),Table13[[#This Row],[Column4]],Table13[[#This Row],[Column4]]="",H231*(1+Table13[[#This Row],[Ávöxtun]]))</f>
        <v>126.55356641279997</v>
      </c>
      <c r="I232" cm="1">
        <f t="array" ref="I232">_xlfn.IFS(Table13[[#This Row],[Column4]]="NEW",_xlfn.XLOOKUP(Table13[[#This Row],[Year]],$N$2:$N$27,$P$2:$P$27),ISNUMBER(Table13[[#This Row],[Column4]]),Table13[[#This Row],[Column4]],Table13[[#This Row],[Column4]]="",I231*(1+Table13[[#This Row],[Ávöxtun]]))</f>
        <v>126.55356641279997</v>
      </c>
      <c r="L232" s="33">
        <v>126.55356641279997</v>
      </c>
      <c r="M232" s="33">
        <v>126.55356641279997</v>
      </c>
    </row>
    <row r="233" spans="1:13">
      <c r="A233" t="s">
        <v>77</v>
      </c>
      <c r="B233">
        <v>2004</v>
      </c>
      <c r="C233" s="16">
        <v>0.12</v>
      </c>
      <c r="D233" s="1">
        <v>18636197</v>
      </c>
      <c r="E233" s="29">
        <f>Table13[[#This Row],[Ávöxtun]]*Table13[[#This Row],[Eignir]]/SUMIFS(Table13[Eignir],Table13[Year],Table13[[#This Row],[Year]])</f>
        <v>2.9439812850773225E-3</v>
      </c>
      <c r="F233" s="23">
        <f>IF(B233=1997, 100, IF(COUNTIF(A$1:A232,A233)=0, "NEW", F232*(1+Table13[[#This Row],[Ávöxtun]])))</f>
        <v>141.73999438233596</v>
      </c>
      <c r="G233" s="18" cm="1">
        <f t="array" ref="G233">IFERROR(_xlfn.IFS(ISNUMBER(Table13[[#This Row],[Column3]]),Table13[[#This Row],[Column3]],Table13[[#This Row],[Column3]]="NEW",Table13[[#This Row],[Column3]]),"")</f>
        <v>141.73999438233596</v>
      </c>
      <c r="H233" s="15" cm="1">
        <f t="array" ref="H233">_xlfn.IFS(Table13[[#This Row],[Column4]]="NEW",AVERAGEIFS(Table13[Column4],Table13[Year],Table13[[#This Row],[Year]]),ISNUMBER(Table13[[#This Row],[Column4]]),Table13[[#This Row],[Column4]],Table13[[#This Row],[Column4]]="",H232*(1+Table13[[#This Row],[Ávöxtun]]))</f>
        <v>141.73999438233596</v>
      </c>
      <c r="I233" cm="1">
        <f t="array" ref="I233">_xlfn.IFS(Table13[[#This Row],[Column4]]="NEW",_xlfn.XLOOKUP(Table13[[#This Row],[Year]],$N$2:$N$27,$P$2:$P$27),ISNUMBER(Table13[[#This Row],[Column4]]),Table13[[#This Row],[Column4]],Table13[[#This Row],[Column4]]="",I232*(1+Table13[[#This Row],[Ávöxtun]]))</f>
        <v>141.73999438233596</v>
      </c>
      <c r="L233" s="33">
        <v>141.73999438233596</v>
      </c>
      <c r="M233" s="33">
        <v>141.73999438233596</v>
      </c>
    </row>
    <row r="234" spans="1:13">
      <c r="A234" t="s">
        <v>77</v>
      </c>
      <c r="B234">
        <v>2005</v>
      </c>
      <c r="C234" s="16">
        <v>0.12</v>
      </c>
      <c r="D234" s="1">
        <v>22145651</v>
      </c>
      <c r="E234" s="29">
        <f>Table13[[#This Row],[Ávöxtun]]*Table13[[#This Row],[Eignir]]/SUMIFS(Table13[Eignir],Table13[Year],Table13[[#This Row],[Year]])</f>
        <v>2.8470664409183119E-3</v>
      </c>
      <c r="F234" s="23">
        <f>IF(B234=1997, 100, IF(COUNTIF(A$1:A233,A234)=0, "NEW", F233*(1+Table13[[#This Row],[Ávöxtun]])))</f>
        <v>158.74879370821628</v>
      </c>
      <c r="G234" s="18" cm="1">
        <f t="array" ref="G234">IFERROR(_xlfn.IFS(ISNUMBER(Table13[[#This Row],[Column3]]),Table13[[#This Row],[Column3]],Table13[[#This Row],[Column3]]="NEW",Table13[[#This Row],[Column3]]),"")</f>
        <v>158.74879370821628</v>
      </c>
      <c r="H234" s="15" cm="1">
        <f t="array" ref="H234">_xlfn.IFS(Table13[[#This Row],[Column4]]="NEW",AVERAGEIFS(Table13[Column4],Table13[Year],Table13[[#This Row],[Year]]),ISNUMBER(Table13[[#This Row],[Column4]]),Table13[[#This Row],[Column4]],Table13[[#This Row],[Column4]]="",H233*(1+Table13[[#This Row],[Ávöxtun]]))</f>
        <v>158.74879370821628</v>
      </c>
      <c r="I234" cm="1">
        <f t="array" ref="I234">_xlfn.IFS(Table13[[#This Row],[Column4]]="NEW",_xlfn.XLOOKUP(Table13[[#This Row],[Year]],$N$2:$N$27,$P$2:$P$27),ISNUMBER(Table13[[#This Row],[Column4]]),Table13[[#This Row],[Column4]],Table13[[#This Row],[Column4]]="",I233*(1+Table13[[#This Row],[Ávöxtun]]))</f>
        <v>158.74879370821628</v>
      </c>
      <c r="L234" s="33">
        <v>158.74879370821628</v>
      </c>
      <c r="M234" s="33">
        <v>158.74879370821628</v>
      </c>
    </row>
    <row r="235" spans="1:13">
      <c r="A235" t="s">
        <v>76</v>
      </c>
      <c r="B235">
        <v>1998</v>
      </c>
      <c r="C235" s="16">
        <v>7.0000000000000007E-2</v>
      </c>
      <c r="D235" s="1">
        <v>3921718.43</v>
      </c>
      <c r="E235" s="29">
        <f>Table13[[#This Row],[Ávöxtun]]*Table13[[#This Row],[Eignir]]/SUMIFS(Table13[Eignir],Table13[Year],Table13[[#This Row],[Year]])</f>
        <v>8.3062508693696651E-4</v>
      </c>
      <c r="F235" s="23" t="str">
        <f>IF(B235=1997, 100, IF(COUNTIF(A$1:A234,A235)=0, "NEW", F234*(1+Table13[[#This Row],[Ávöxtun]])))</f>
        <v>NEW</v>
      </c>
      <c r="G235" s="18" t="str" cm="1">
        <f t="array" ref="G235">IFERROR(_xlfn.IFS(ISNUMBER(Table13[[#This Row],[Column3]]),Table13[[#This Row],[Column3]],Table13[[#This Row],[Column3]]="NEW",Table13[[#This Row],[Column3]]),"")</f>
        <v>NEW</v>
      </c>
      <c r="H235" s="15" cm="1">
        <f t="array" ref="H235">_xlfn.IFS(Table13[[#This Row],[Column4]]="NEW",AVERAGEIFS(Table13[Column4],Table13[Year],Table13[[#This Row],[Year]]),ISNUMBER(Table13[[#This Row],[Column4]]),Table13[[#This Row],[Column4]],Table13[[#This Row],[Column4]]="",H234*(1+Table13[[#This Row],[Ávöxtun]]))</f>
        <v>106.73469387755102</v>
      </c>
      <c r="I235" cm="1">
        <f t="array" ref="I235">_xlfn.IFS(Table13[[#This Row],[Column4]]="NEW",_xlfn.XLOOKUP(Table13[[#This Row],[Year]],$N$2:$N$27,$P$2:$P$27),ISNUMBER(Table13[[#This Row],[Column4]]),Table13[[#This Row],[Column4]],Table13[[#This Row],[Column4]]="",I234*(1+Table13[[#This Row],[Ávöxtun]]))</f>
        <v>106.95001927823813</v>
      </c>
      <c r="L235" s="33">
        <v>106.70588235294117</v>
      </c>
      <c r="M235" s="33">
        <v>115.36660895196104</v>
      </c>
    </row>
    <row r="236" spans="1:13">
      <c r="A236" t="s">
        <v>76</v>
      </c>
      <c r="B236">
        <v>1999</v>
      </c>
      <c r="C236" s="16">
        <v>0.14000000000000001</v>
      </c>
      <c r="D236" s="1">
        <v>4937143.1900000004</v>
      </c>
      <c r="E236" s="29">
        <f>Table13[[#This Row],[Ávöxtun]]*Table13[[#This Row],[Eignir]]/SUMIFS(Table13[Eignir],Table13[Year],Table13[[#This Row],[Year]])</f>
        <v>1.5570233151116272E-3</v>
      </c>
      <c r="F236" s="23" t="e">
        <f>IF(B236=1997, 100, IF(COUNTIF(A$1:A235,A236)=0, "NEW", F235*(1+Table13[[#This Row],[Ávöxtun]])))</f>
        <v>#VALUE!</v>
      </c>
      <c r="G236" s="18" t="str" cm="1">
        <f t="array" ref="G236">IFERROR(_xlfn.IFS(ISNUMBER(Table13[[#This Row],[Column3]]),Table13[[#This Row],[Column3]],Table13[[#This Row],[Column3]]="NEW",Table13[[#This Row],[Column3]]),"")</f>
        <v/>
      </c>
      <c r="H236" s="15" cm="1">
        <f t="array" ref="H236">_xlfn.IFS(Table13[[#This Row],[Column4]]="NEW",AVERAGEIFS(Table13[Column4],Table13[Year],Table13[[#This Row],[Year]]),ISNUMBER(Table13[[#This Row],[Column4]]),Table13[[#This Row],[Column4]],Table13[[#This Row],[Column4]]="",H235*(1+Table13[[#This Row],[Ávöxtun]]))</f>
        <v>121.67755102040817</v>
      </c>
      <c r="I236" cm="1">
        <f t="array" ref="I236">_xlfn.IFS(Table13[[#This Row],[Column4]]="NEW",_xlfn.XLOOKUP(Table13[[#This Row],[Year]],$N$2:$N$27,$P$2:$P$27),ISNUMBER(Table13[[#This Row],[Column4]]),Table13[[#This Row],[Column4]],Table13[[#This Row],[Column4]]="",I235*(1+Table13[[#This Row],[Ávöxtun]]))</f>
        <v>121.92302197719148</v>
      </c>
      <c r="L236" s="33">
        <v>121.64470588235295</v>
      </c>
      <c r="M236" s="33">
        <v>131.5179342052356</v>
      </c>
    </row>
    <row r="237" spans="1:13">
      <c r="A237" t="s">
        <v>76</v>
      </c>
      <c r="B237">
        <v>2000</v>
      </c>
      <c r="C237" s="16">
        <v>-0.02</v>
      </c>
      <c r="D237" s="1">
        <v>5213181.3099999996</v>
      </c>
      <c r="E237" s="29">
        <f>Table13[[#This Row],[Ávöxtun]]*Table13[[#This Row],[Eignir]]/SUMIFS(Table13[Eignir],Table13[Year],Table13[[#This Row],[Year]])</f>
        <v>-1.669602802269712E-4</v>
      </c>
      <c r="F237" s="23" t="e">
        <f>IF(B237=1997, 100, IF(COUNTIF(A$1:A236,A237)=0, "NEW", F236*(1+Table13[[#This Row],[Ávöxtun]])))</f>
        <v>#VALUE!</v>
      </c>
      <c r="G237" s="18" t="str" cm="1">
        <f t="array" ref="G237">IFERROR(_xlfn.IFS(ISNUMBER(Table13[[#This Row],[Column3]]),Table13[[#This Row],[Column3]],Table13[[#This Row],[Column3]]="NEW",Table13[[#This Row],[Column3]]),"")</f>
        <v/>
      </c>
      <c r="H237" s="15" cm="1">
        <f t="array" ref="H237">_xlfn.IFS(Table13[[#This Row],[Column4]]="NEW",AVERAGEIFS(Table13[Column4],Table13[Year],Table13[[#This Row],[Year]]),ISNUMBER(Table13[[#This Row],[Column4]]),Table13[[#This Row],[Column4]],Table13[[#This Row],[Column4]]="",H236*(1+Table13[[#This Row],[Ávöxtun]]))</f>
        <v>119.24400000000001</v>
      </c>
      <c r="I237" cm="1">
        <f t="array" ref="I237">_xlfn.IFS(Table13[[#This Row],[Column4]]="NEW",_xlfn.XLOOKUP(Table13[[#This Row],[Year]],$N$2:$N$27,$P$2:$P$27),ISNUMBER(Table13[[#This Row],[Column4]]),Table13[[#This Row],[Column4]],Table13[[#This Row],[Column4]]="",I236*(1+Table13[[#This Row],[Ávöxtun]]))</f>
        <v>119.48456153764765</v>
      </c>
      <c r="L237" s="33">
        <v>119.21181176470589</v>
      </c>
      <c r="M237" s="33">
        <v>128.88757552113088</v>
      </c>
    </row>
    <row r="238" spans="1:13">
      <c r="A238" t="s">
        <v>76</v>
      </c>
      <c r="B238">
        <v>2001</v>
      </c>
      <c r="C238" s="16">
        <v>-0.06</v>
      </c>
      <c r="D238" s="1">
        <v>5542788</v>
      </c>
      <c r="E238" s="29">
        <f>Table13[[#This Row],[Ávöxtun]]*Table13[[#This Row],[Eignir]]/SUMIFS(Table13[Eignir],Table13[Year],Table13[[#This Row],[Year]])</f>
        <v>-3.4604918401515654E-4</v>
      </c>
      <c r="F238" s="23" t="e">
        <f>IF(B238=1997, 100, IF(COUNTIF(A$1:A237,A238)=0, "NEW", F237*(1+Table13[[#This Row],[Ávöxtun]])))</f>
        <v>#VALUE!</v>
      </c>
      <c r="G238" s="18" t="str" cm="1">
        <f t="array" ref="G238">IFERROR(_xlfn.IFS(ISNUMBER(Table13[[#This Row],[Column3]]),Table13[[#This Row],[Column3]],Table13[[#This Row],[Column3]]="NEW",Table13[[#This Row],[Column3]]),"")</f>
        <v/>
      </c>
      <c r="H238" s="15" cm="1">
        <f t="array" ref="H238">_xlfn.IFS(Table13[[#This Row],[Column4]]="NEW",AVERAGEIFS(Table13[Column4],Table13[Year],Table13[[#This Row],[Year]]),ISNUMBER(Table13[[#This Row],[Column4]]),Table13[[#This Row],[Column4]],Table13[[#This Row],[Column4]]="",H237*(1+Table13[[#This Row],[Ávöxtun]]))</f>
        <v>112.08936000000001</v>
      </c>
      <c r="I238" cm="1">
        <f t="array" ref="I238">_xlfn.IFS(Table13[[#This Row],[Column4]]="NEW",_xlfn.XLOOKUP(Table13[[#This Row],[Year]],$N$2:$N$27,$P$2:$P$27),ISNUMBER(Table13[[#This Row],[Column4]]),Table13[[#This Row],[Column4]],Table13[[#This Row],[Column4]]="",I237*(1+Table13[[#This Row],[Ávöxtun]]))</f>
        <v>112.31548784538879</v>
      </c>
      <c r="L238" s="33">
        <v>112.05910305882352</v>
      </c>
      <c r="M238" s="33">
        <v>121.15432098986302</v>
      </c>
    </row>
    <row r="239" spans="1:13">
      <c r="A239" t="s">
        <v>76</v>
      </c>
      <c r="B239">
        <v>2002</v>
      </c>
      <c r="C239" s="16">
        <v>-0.05</v>
      </c>
      <c r="D239" s="1">
        <v>5461028.79</v>
      </c>
      <c r="E239" s="29">
        <f>Table13[[#This Row],[Ávöxtun]]*Table13[[#This Row],[Eignir]]/SUMIFS(Table13[Eignir],Table13[Year],Table13[[#This Row],[Year]])</f>
        <v>-5.1240492383001503E-4</v>
      </c>
      <c r="F239" s="23" t="e">
        <f>IF(B239=1997, 100, IF(COUNTIF(A$1:A238,A239)=0, "NEW", F238*(1+Table13[[#This Row],[Ávöxtun]])))</f>
        <v>#VALUE!</v>
      </c>
      <c r="G239" s="18" t="str" cm="1">
        <f t="array" ref="G239">IFERROR(_xlfn.IFS(ISNUMBER(Table13[[#This Row],[Column3]]),Table13[[#This Row],[Column3]],Table13[[#This Row],[Column3]]="NEW",Table13[[#This Row],[Column3]]),"")</f>
        <v/>
      </c>
      <c r="H239" s="15" cm="1">
        <f t="array" ref="H239">_xlfn.IFS(Table13[[#This Row],[Column4]]="NEW",AVERAGEIFS(Table13[Column4],Table13[Year],Table13[[#This Row],[Year]]),ISNUMBER(Table13[[#This Row],[Column4]]),Table13[[#This Row],[Column4]],Table13[[#This Row],[Column4]]="",H238*(1+Table13[[#This Row],[Ávöxtun]]))</f>
        <v>106.484892</v>
      </c>
      <c r="I239" cm="1">
        <f t="array" ref="I239">_xlfn.IFS(Table13[[#This Row],[Column4]]="NEW",_xlfn.XLOOKUP(Table13[[#This Row],[Year]],$N$2:$N$27,$P$2:$P$27),ISNUMBER(Table13[[#This Row],[Column4]]),Table13[[#This Row],[Column4]],Table13[[#This Row],[Column4]]="",I238*(1+Table13[[#This Row],[Ávöxtun]]))</f>
        <v>106.69971345311934</v>
      </c>
      <c r="L239" s="33">
        <v>106.45614790588235</v>
      </c>
      <c r="M239" s="33">
        <v>115.09660494036987</v>
      </c>
    </row>
    <row r="240" spans="1:13">
      <c r="A240" t="s">
        <v>76</v>
      </c>
      <c r="B240">
        <v>2003</v>
      </c>
      <c r="C240" s="16">
        <v>0.11</v>
      </c>
      <c r="D240" s="1">
        <v>6409499</v>
      </c>
      <c r="E240" s="29">
        <f>Table13[[#This Row],[Ávöxtun]]*Table13[[#This Row],[Eignir]]/SUMIFS(Table13[Eignir],Table13[Year],Table13[[#This Row],[Year]])</f>
        <v>1.1054470359376156E-3</v>
      </c>
      <c r="F240" s="23" t="e">
        <f>IF(B240=1997, 100, IF(COUNTIF(A$1:A239,A240)=0, "NEW", F239*(1+Table13[[#This Row],[Ávöxtun]])))</f>
        <v>#VALUE!</v>
      </c>
      <c r="G240" s="18" t="str" cm="1">
        <f t="array" ref="G240">IFERROR(_xlfn.IFS(ISNUMBER(Table13[[#This Row],[Column3]]),Table13[[#This Row],[Column3]],Table13[[#This Row],[Column3]]="NEW",Table13[[#This Row],[Column3]]),"")</f>
        <v/>
      </c>
      <c r="H240" s="15" cm="1">
        <f t="array" ref="H240">_xlfn.IFS(Table13[[#This Row],[Column4]]="NEW",AVERAGEIFS(Table13[Column4],Table13[Year],Table13[[#This Row],[Year]]),ISNUMBER(Table13[[#This Row],[Column4]]),Table13[[#This Row],[Column4]],Table13[[#This Row],[Column4]]="",H239*(1+Table13[[#This Row],[Ávöxtun]]))</f>
        <v>118.19823012000002</v>
      </c>
      <c r="I240" cm="1">
        <f t="array" ref="I240">_xlfn.IFS(Table13[[#This Row],[Column4]]="NEW",_xlfn.XLOOKUP(Table13[[#This Row],[Year]],$N$2:$N$27,$P$2:$P$27),ISNUMBER(Table13[[#This Row],[Column4]]),Table13[[#This Row],[Column4]],Table13[[#This Row],[Column4]]="",I239*(1+Table13[[#This Row],[Ávöxtun]]))</f>
        <v>118.43668193296249</v>
      </c>
      <c r="L240" s="33">
        <v>118.16632417552941</v>
      </c>
      <c r="M240" s="33">
        <v>127.75723148381057</v>
      </c>
    </row>
    <row r="241" spans="1:13">
      <c r="A241" t="s">
        <v>76</v>
      </c>
      <c r="B241">
        <v>2004</v>
      </c>
      <c r="C241" s="16">
        <v>7.0000000000000007E-2</v>
      </c>
      <c r="D241" s="1">
        <v>7326024</v>
      </c>
      <c r="E241" s="29">
        <f>Table13[[#This Row],[Ávöxtun]]*Table13[[#This Row],[Eignir]]/SUMIFS(Table13[Eignir],Table13[Year],Table13[[#This Row],[Year]])</f>
        <v>6.7509187832238146E-4</v>
      </c>
      <c r="F241" s="23" t="e">
        <f>IF(B241=1997, 100, IF(COUNTIF(A$1:A240,A241)=0, "NEW", F240*(1+Table13[[#This Row],[Ávöxtun]])))</f>
        <v>#VALUE!</v>
      </c>
      <c r="G241" s="18" t="str" cm="1">
        <f t="array" ref="G241">IFERROR(_xlfn.IFS(ISNUMBER(Table13[[#This Row],[Column3]]),Table13[[#This Row],[Column3]],Table13[[#This Row],[Column3]]="NEW",Table13[[#This Row],[Column3]]),"")</f>
        <v/>
      </c>
      <c r="H241" s="15" cm="1">
        <f t="array" ref="H241">_xlfn.IFS(Table13[[#This Row],[Column4]]="NEW",AVERAGEIFS(Table13[Column4],Table13[Year],Table13[[#This Row],[Year]]),ISNUMBER(Table13[[#This Row],[Column4]]),Table13[[#This Row],[Column4]],Table13[[#This Row],[Column4]]="",H240*(1+Table13[[#This Row],[Ávöxtun]]))</f>
        <v>126.47210622840002</v>
      </c>
      <c r="I241" cm="1">
        <f t="array" ref="I241">_xlfn.IFS(Table13[[#This Row],[Column4]]="NEW",_xlfn.XLOOKUP(Table13[[#This Row],[Year]],$N$2:$N$27,$P$2:$P$27),ISNUMBER(Table13[[#This Row],[Column4]]),Table13[[#This Row],[Column4]],Table13[[#This Row],[Column4]]="",I240*(1+Table13[[#This Row],[Ávöxtun]]))</f>
        <v>126.72724966826986</v>
      </c>
      <c r="L241" s="33">
        <v>126.43796686781647</v>
      </c>
      <c r="M241" s="33">
        <v>136.70023768767732</v>
      </c>
    </row>
    <row r="242" spans="1:13">
      <c r="A242" t="s">
        <v>76</v>
      </c>
      <c r="B242">
        <v>2005</v>
      </c>
      <c r="C242" s="16">
        <v>0.06</v>
      </c>
      <c r="D242" s="1">
        <v>26227815</v>
      </c>
      <c r="E242" s="29">
        <f>Table13[[#This Row],[Ávöxtun]]*Table13[[#This Row],[Eignir]]/SUMIFS(Table13[Eignir],Table13[Year],Table13[[#This Row],[Year]])</f>
        <v>1.6859367084109181E-3</v>
      </c>
      <c r="F242" s="23" t="e">
        <f>IF(B242=1997, 100, IF(COUNTIF(A$1:A241,A242)=0, "NEW", F241*(1+Table13[[#This Row],[Ávöxtun]])))</f>
        <v>#VALUE!</v>
      </c>
      <c r="G242" s="18" t="str" cm="1">
        <f t="array" ref="G242">IFERROR(_xlfn.IFS(ISNUMBER(Table13[[#This Row],[Column3]]),Table13[[#This Row],[Column3]],Table13[[#This Row],[Column3]]="NEW",Table13[[#This Row],[Column3]]),"")</f>
        <v/>
      </c>
      <c r="H242" s="15" cm="1">
        <f t="array" ref="H242">_xlfn.IFS(Table13[[#This Row],[Column4]]="NEW",AVERAGEIFS(Table13[Column4],Table13[Year],Table13[[#This Row],[Year]]),ISNUMBER(Table13[[#This Row],[Column4]]),Table13[[#This Row],[Column4]],Table13[[#This Row],[Column4]]="",H241*(1+Table13[[#This Row],[Ávöxtun]]))</f>
        <v>134.06043260210404</v>
      </c>
      <c r="I242" cm="1">
        <f t="array" ref="I242">_xlfn.IFS(Table13[[#This Row],[Column4]]="NEW",_xlfn.XLOOKUP(Table13[[#This Row],[Year]],$N$2:$N$27,$P$2:$P$27),ISNUMBER(Table13[[#This Row],[Column4]]),Table13[[#This Row],[Column4]],Table13[[#This Row],[Column4]]="",I241*(1+Table13[[#This Row],[Ávöxtun]]))</f>
        <v>134.33088464836607</v>
      </c>
      <c r="L242" s="33">
        <v>134.02424487988546</v>
      </c>
      <c r="M242" s="33">
        <v>144.90225194893796</v>
      </c>
    </row>
    <row r="243" spans="1:13">
      <c r="A243" t="s">
        <v>78</v>
      </c>
      <c r="B243">
        <v>1997</v>
      </c>
      <c r="C243" s="16">
        <v>7.0000000000000007E-2</v>
      </c>
      <c r="D243" s="1">
        <v>391064.47</v>
      </c>
      <c r="E243" s="29">
        <f>Table13[[#This Row],[Ávöxtun]]*Table13[[#This Row],[Eignir]]/SUMIFS(Table13[Eignir],Table13[Year],Table13[[#This Row],[Year]])</f>
        <v>9.5931183209887691E-5</v>
      </c>
      <c r="F243" s="23">
        <f>IF(B243=1997, 100, IF(COUNTIF(A$1:A242,A243)=0, "NEW", F242*(1+Table13[[#This Row],[Ávöxtun]])))</f>
        <v>100</v>
      </c>
      <c r="G243" s="18" cm="1">
        <f t="array" ref="G243">IFERROR(_xlfn.IFS(ISNUMBER(Table13[[#This Row],[Column3]]),Table13[[#This Row],[Column3]],Table13[[#This Row],[Column3]]="NEW",Table13[[#This Row],[Column3]]),"")</f>
        <v>100</v>
      </c>
      <c r="H243" s="15" cm="1">
        <f t="array" ref="H243">_xlfn.IFS(Table13[[#This Row],[Column4]]="NEW",AVERAGEIFS(Table13[Column4],Table13[Year],Table13[[#This Row],[Year]]),ISNUMBER(Table13[[#This Row],[Column4]]),Table13[[#This Row],[Column4]],Table13[[#This Row],[Column4]]="",H242*(1+Table13[[#This Row],[Ávöxtun]]))</f>
        <v>100</v>
      </c>
      <c r="I243" cm="1">
        <f t="array" ref="I243">_xlfn.IFS(Table13[[#This Row],[Column4]]="NEW",_xlfn.XLOOKUP(Table13[[#This Row],[Year]],$N$2:$N$27,$P$2:$P$27),ISNUMBER(Table13[[#This Row],[Column4]]),Table13[[#This Row],[Column4]],Table13[[#This Row],[Column4]]="",I242*(1+Table13[[#This Row],[Ávöxtun]]))</f>
        <v>100</v>
      </c>
      <c r="L243" s="33">
        <v>100</v>
      </c>
      <c r="M243" s="33">
        <v>100</v>
      </c>
    </row>
    <row r="244" spans="1:13">
      <c r="A244" t="s">
        <v>78</v>
      </c>
      <c r="B244">
        <v>1998</v>
      </c>
      <c r="C244" s="16">
        <v>0.08</v>
      </c>
      <c r="D244" s="1">
        <v>391511.84</v>
      </c>
      <c r="E244" s="29">
        <f>Table13[[#This Row],[Ávöxtun]]*Table13[[#This Row],[Eignir]]/SUMIFS(Table13[Eignir],Table13[Year],Table13[[#This Row],[Year]])</f>
        <v>9.4768821938339247E-5</v>
      </c>
      <c r="F244" s="23">
        <f>IF(B244=1997, 100, IF(COUNTIF(A$1:A243,A244)=0, "NEW", F243*(1+Table13[[#This Row],[Ávöxtun]])))</f>
        <v>108</v>
      </c>
      <c r="G244" s="18" cm="1">
        <f t="array" ref="G244">IFERROR(_xlfn.IFS(ISNUMBER(Table13[[#This Row],[Column3]]),Table13[[#This Row],[Column3]],Table13[[#This Row],[Column3]]="NEW",Table13[[#This Row],[Column3]]),"")</f>
        <v>108</v>
      </c>
      <c r="H244" s="15" cm="1">
        <f t="array" ref="H244">_xlfn.IFS(Table13[[#This Row],[Column4]]="NEW",AVERAGEIFS(Table13[Column4],Table13[Year],Table13[[#This Row],[Year]]),ISNUMBER(Table13[[#This Row],[Column4]]),Table13[[#This Row],[Column4]],Table13[[#This Row],[Column4]]="",H243*(1+Table13[[#This Row],[Ávöxtun]]))</f>
        <v>108</v>
      </c>
      <c r="I244" cm="1">
        <f t="array" ref="I244">_xlfn.IFS(Table13[[#This Row],[Column4]]="NEW",_xlfn.XLOOKUP(Table13[[#This Row],[Year]],$N$2:$N$27,$P$2:$P$27),ISNUMBER(Table13[[#This Row],[Column4]]),Table13[[#This Row],[Column4]],Table13[[#This Row],[Column4]]="",I243*(1+Table13[[#This Row],[Ávöxtun]]))</f>
        <v>108</v>
      </c>
      <c r="L244" s="33">
        <v>108</v>
      </c>
      <c r="M244" s="33">
        <v>108</v>
      </c>
    </row>
    <row r="245" spans="1:13">
      <c r="A245" t="s">
        <v>78</v>
      </c>
      <c r="B245">
        <v>1999</v>
      </c>
      <c r="C245" s="16">
        <v>7.0000000000000007E-2</v>
      </c>
      <c r="D245" s="1">
        <v>404826.63</v>
      </c>
      <c r="E245" s="29">
        <f>Table13[[#This Row],[Ávöxtun]]*Table13[[#This Row],[Eignir]]/SUMIFS(Table13[Eignir],Table13[Year],Table13[[#This Row],[Year]])</f>
        <v>6.3834942316921947E-5</v>
      </c>
      <c r="F245" s="23">
        <f>IF(B245=1997, 100, IF(COUNTIF(A$1:A244,A245)=0, "NEW", F244*(1+Table13[[#This Row],[Ávöxtun]])))</f>
        <v>115.56</v>
      </c>
      <c r="G245" s="18" cm="1">
        <f t="array" ref="G245">IFERROR(_xlfn.IFS(ISNUMBER(Table13[[#This Row],[Column3]]),Table13[[#This Row],[Column3]],Table13[[#This Row],[Column3]]="NEW",Table13[[#This Row],[Column3]]),"")</f>
        <v>115.56</v>
      </c>
      <c r="H245" s="15" cm="1">
        <f t="array" ref="H245">_xlfn.IFS(Table13[[#This Row],[Column4]]="NEW",AVERAGEIFS(Table13[Column4],Table13[Year],Table13[[#This Row],[Year]]),ISNUMBER(Table13[[#This Row],[Column4]]),Table13[[#This Row],[Column4]],Table13[[#This Row],[Column4]]="",H244*(1+Table13[[#This Row],[Ávöxtun]]))</f>
        <v>115.56</v>
      </c>
      <c r="I245" cm="1">
        <f t="array" ref="I245">_xlfn.IFS(Table13[[#This Row],[Column4]]="NEW",_xlfn.XLOOKUP(Table13[[#This Row],[Year]],$N$2:$N$27,$P$2:$P$27),ISNUMBER(Table13[[#This Row],[Column4]]),Table13[[#This Row],[Column4]],Table13[[#This Row],[Column4]]="",I244*(1+Table13[[#This Row],[Ávöxtun]]))</f>
        <v>115.56</v>
      </c>
      <c r="L245" s="33">
        <v>115.56</v>
      </c>
      <c r="M245" s="33">
        <v>115.56</v>
      </c>
    </row>
    <row r="246" spans="1:13">
      <c r="A246" t="s">
        <v>78</v>
      </c>
      <c r="B246">
        <v>2000</v>
      </c>
      <c r="C246" s="16">
        <v>7.0000000000000007E-2</v>
      </c>
      <c r="D246" s="1">
        <v>417759.47</v>
      </c>
      <c r="E246" s="29">
        <f>Table13[[#This Row],[Ávöxtun]]*Table13[[#This Row],[Eignir]]/SUMIFS(Table13[Eignir],Table13[Year],Table13[[#This Row],[Year]])</f>
        <v>4.6827900107189715E-5</v>
      </c>
      <c r="F246" s="23">
        <f>IF(B246=1997, 100, IF(COUNTIF(A$1:A245,A246)=0, "NEW", F245*(1+Table13[[#This Row],[Ávöxtun]])))</f>
        <v>123.64920000000001</v>
      </c>
      <c r="G246" s="18" cm="1">
        <f t="array" ref="G246">IFERROR(_xlfn.IFS(ISNUMBER(Table13[[#This Row],[Column3]]),Table13[[#This Row],[Column3]],Table13[[#This Row],[Column3]]="NEW",Table13[[#This Row],[Column3]]),"")</f>
        <v>123.64920000000001</v>
      </c>
      <c r="H246" s="15" cm="1">
        <f t="array" ref="H246">_xlfn.IFS(Table13[[#This Row],[Column4]]="NEW",AVERAGEIFS(Table13[Column4],Table13[Year],Table13[[#This Row],[Year]]),ISNUMBER(Table13[[#This Row],[Column4]]),Table13[[#This Row],[Column4]],Table13[[#This Row],[Column4]]="",H245*(1+Table13[[#This Row],[Ávöxtun]]))</f>
        <v>123.64920000000001</v>
      </c>
      <c r="I246" cm="1">
        <f t="array" ref="I246">_xlfn.IFS(Table13[[#This Row],[Column4]]="NEW",_xlfn.XLOOKUP(Table13[[#This Row],[Year]],$N$2:$N$27,$P$2:$P$27),ISNUMBER(Table13[[#This Row],[Column4]]),Table13[[#This Row],[Column4]],Table13[[#This Row],[Column4]]="",I245*(1+Table13[[#This Row],[Ávöxtun]]))</f>
        <v>123.64920000000001</v>
      </c>
      <c r="L246" s="33">
        <v>123.64920000000001</v>
      </c>
      <c r="M246" s="33">
        <v>123.64920000000001</v>
      </c>
    </row>
    <row r="247" spans="1:13">
      <c r="A247" t="s">
        <v>78</v>
      </c>
      <c r="B247">
        <v>2001</v>
      </c>
      <c r="C247" s="16">
        <v>0.06</v>
      </c>
      <c r="D247" s="1">
        <v>445780.39</v>
      </c>
      <c r="E247" s="29">
        <f>Table13[[#This Row],[Ávöxtun]]*Table13[[#This Row],[Eignir]]/SUMIFS(Table13[Eignir],Table13[Year],Table13[[#This Row],[Year]])</f>
        <v>2.7831109580496002E-5</v>
      </c>
      <c r="F247" s="23">
        <f>IF(B247=1997, 100, IF(COUNTIF(A$1:A246,A247)=0, "NEW", F246*(1+Table13[[#This Row],[Ávöxtun]])))</f>
        <v>131.06815200000003</v>
      </c>
      <c r="G247" s="18" cm="1">
        <f t="array" ref="G247">IFERROR(_xlfn.IFS(ISNUMBER(Table13[[#This Row],[Column3]]),Table13[[#This Row],[Column3]],Table13[[#This Row],[Column3]]="NEW",Table13[[#This Row],[Column3]]),"")</f>
        <v>131.06815200000003</v>
      </c>
      <c r="H247" s="15" cm="1">
        <f t="array" ref="H247">_xlfn.IFS(Table13[[#This Row],[Column4]]="NEW",AVERAGEIFS(Table13[Column4],Table13[Year],Table13[[#This Row],[Year]]),ISNUMBER(Table13[[#This Row],[Column4]]),Table13[[#This Row],[Column4]],Table13[[#This Row],[Column4]]="",H246*(1+Table13[[#This Row],[Ávöxtun]]))</f>
        <v>131.06815200000003</v>
      </c>
      <c r="I247" cm="1">
        <f t="array" ref="I247">_xlfn.IFS(Table13[[#This Row],[Column4]]="NEW",_xlfn.XLOOKUP(Table13[[#This Row],[Year]],$N$2:$N$27,$P$2:$P$27),ISNUMBER(Table13[[#This Row],[Column4]]),Table13[[#This Row],[Column4]],Table13[[#This Row],[Column4]]="",I246*(1+Table13[[#This Row],[Ávöxtun]]))</f>
        <v>131.06815200000003</v>
      </c>
      <c r="L247" s="33">
        <v>131.06815200000003</v>
      </c>
      <c r="M247" s="33">
        <v>131.06815200000003</v>
      </c>
    </row>
    <row r="248" spans="1:13">
      <c r="A248" t="s">
        <v>78</v>
      </c>
      <c r="B248">
        <v>2002</v>
      </c>
      <c r="C248" s="16">
        <v>7.0000000000000007E-2</v>
      </c>
      <c r="D248" s="1">
        <v>446348.6</v>
      </c>
      <c r="E248" s="29">
        <f>Table13[[#This Row],[Ávöxtun]]*Table13[[#This Row],[Eignir]]/SUMIFS(Table13[Eignir],Table13[Year],Table13[[#This Row],[Year]])</f>
        <v>5.8632854879801386E-5</v>
      </c>
      <c r="F248" s="23">
        <f>IF(B248=1997, 100, IF(COUNTIF(A$1:A247,A248)=0, "NEW", F247*(1+Table13[[#This Row],[Ávöxtun]])))</f>
        <v>140.24292264000005</v>
      </c>
      <c r="G248" s="18" cm="1">
        <f t="array" ref="G248">IFERROR(_xlfn.IFS(ISNUMBER(Table13[[#This Row],[Column3]]),Table13[[#This Row],[Column3]],Table13[[#This Row],[Column3]]="NEW",Table13[[#This Row],[Column3]]),"")</f>
        <v>140.24292264000005</v>
      </c>
      <c r="H248" s="15" cm="1">
        <f t="array" ref="H248">_xlfn.IFS(Table13[[#This Row],[Column4]]="NEW",AVERAGEIFS(Table13[Column4],Table13[Year],Table13[[#This Row],[Year]]),ISNUMBER(Table13[[#This Row],[Column4]]),Table13[[#This Row],[Column4]],Table13[[#This Row],[Column4]]="",H247*(1+Table13[[#This Row],[Ávöxtun]]))</f>
        <v>140.24292264000005</v>
      </c>
      <c r="I248" cm="1">
        <f t="array" ref="I248">_xlfn.IFS(Table13[[#This Row],[Column4]]="NEW",_xlfn.XLOOKUP(Table13[[#This Row],[Year]],$N$2:$N$27,$P$2:$P$27),ISNUMBER(Table13[[#This Row],[Column4]]),Table13[[#This Row],[Column4]],Table13[[#This Row],[Column4]]="",I247*(1+Table13[[#This Row],[Ávöxtun]]))</f>
        <v>140.24292264000005</v>
      </c>
      <c r="L248" s="33">
        <v>140.24292264000005</v>
      </c>
      <c r="M248" s="33">
        <v>140.24292264000005</v>
      </c>
    </row>
    <row r="249" spans="1:13">
      <c r="A249" t="s">
        <v>78</v>
      </c>
      <c r="B249">
        <v>2003</v>
      </c>
      <c r="C249" s="16">
        <v>0.08</v>
      </c>
      <c r="D249" s="1">
        <v>452728.27</v>
      </c>
      <c r="E249" s="29">
        <f>Table13[[#This Row],[Ávöxtun]]*Table13[[#This Row],[Eignir]]/SUMIFS(Table13[Eignir],Table13[Year],Table13[[#This Row],[Year]])</f>
        <v>5.67869798085242E-5</v>
      </c>
      <c r="F249" s="23">
        <f>IF(B249=1997, 100, IF(COUNTIF(A$1:A248,A249)=0, "NEW", F248*(1+Table13[[#This Row],[Ávöxtun]])))</f>
        <v>151.46235645120007</v>
      </c>
      <c r="G249" s="18" cm="1">
        <f t="array" ref="G249">IFERROR(_xlfn.IFS(ISNUMBER(Table13[[#This Row],[Column3]]),Table13[[#This Row],[Column3]],Table13[[#This Row],[Column3]]="NEW",Table13[[#This Row],[Column3]]),"")</f>
        <v>151.46235645120007</v>
      </c>
      <c r="H249" s="15" cm="1">
        <f t="array" ref="H249">_xlfn.IFS(Table13[[#This Row],[Column4]]="NEW",AVERAGEIFS(Table13[Column4],Table13[Year],Table13[[#This Row],[Year]]),ISNUMBER(Table13[[#This Row],[Column4]]),Table13[[#This Row],[Column4]],Table13[[#This Row],[Column4]]="",H248*(1+Table13[[#This Row],[Ávöxtun]]))</f>
        <v>151.46235645120007</v>
      </c>
      <c r="I249" cm="1">
        <f t="array" ref="I249">_xlfn.IFS(Table13[[#This Row],[Column4]]="NEW",_xlfn.XLOOKUP(Table13[[#This Row],[Year]],$N$2:$N$27,$P$2:$P$27),ISNUMBER(Table13[[#This Row],[Column4]]),Table13[[#This Row],[Column4]],Table13[[#This Row],[Column4]]="",I248*(1+Table13[[#This Row],[Ávöxtun]]))</f>
        <v>151.46235645120007</v>
      </c>
      <c r="L249" s="33">
        <v>151.46235645120007</v>
      </c>
      <c r="M249" s="33">
        <v>151.46235645120007</v>
      </c>
    </row>
    <row r="250" spans="1:13">
      <c r="A250" t="s">
        <v>78</v>
      </c>
      <c r="B250">
        <v>2004</v>
      </c>
      <c r="C250" s="16">
        <v>0.06</v>
      </c>
      <c r="D250" s="1">
        <v>458796</v>
      </c>
      <c r="E250" s="29">
        <f>Table13[[#This Row],[Ávöxtun]]*Table13[[#This Row],[Eignir]]/SUMIFS(Table13[Eignir],Table13[Year],Table13[[#This Row],[Year]])</f>
        <v>3.6238263570307162E-5</v>
      </c>
      <c r="F250" s="23">
        <f>IF(B250=1997, 100, IF(COUNTIF(A$1:A249,A250)=0, "NEW", F249*(1+Table13[[#This Row],[Ávöxtun]])))</f>
        <v>160.55009783827208</v>
      </c>
      <c r="G250" s="18" cm="1">
        <f t="array" ref="G250">IFERROR(_xlfn.IFS(ISNUMBER(Table13[[#This Row],[Column3]]),Table13[[#This Row],[Column3]],Table13[[#This Row],[Column3]]="NEW",Table13[[#This Row],[Column3]]),"")</f>
        <v>160.55009783827208</v>
      </c>
      <c r="H250" s="15" cm="1">
        <f t="array" ref="H250">_xlfn.IFS(Table13[[#This Row],[Column4]]="NEW",AVERAGEIFS(Table13[Column4],Table13[Year],Table13[[#This Row],[Year]]),ISNUMBER(Table13[[#This Row],[Column4]]),Table13[[#This Row],[Column4]],Table13[[#This Row],[Column4]]="",H249*(1+Table13[[#This Row],[Ávöxtun]]))</f>
        <v>160.55009783827208</v>
      </c>
      <c r="I250" cm="1">
        <f t="array" ref="I250">_xlfn.IFS(Table13[[#This Row],[Column4]]="NEW",_xlfn.XLOOKUP(Table13[[#This Row],[Year]],$N$2:$N$27,$P$2:$P$27),ISNUMBER(Table13[[#This Row],[Column4]]),Table13[[#This Row],[Column4]],Table13[[#This Row],[Column4]]="",I249*(1+Table13[[#This Row],[Ávöxtun]]))</f>
        <v>160.55009783827208</v>
      </c>
      <c r="L250" s="33">
        <v>160.55009783827208</v>
      </c>
      <c r="M250" s="33">
        <v>160.55009783827208</v>
      </c>
    </row>
    <row r="251" spans="1:13">
      <c r="A251" t="s">
        <v>78</v>
      </c>
      <c r="B251">
        <v>2005</v>
      </c>
      <c r="C251" s="16">
        <v>0.05</v>
      </c>
      <c r="D251" s="1">
        <v>457851</v>
      </c>
      <c r="E251" s="29">
        <f>Table13[[#This Row],[Ávöxtun]]*Table13[[#This Row],[Eignir]]/SUMIFS(Table13[Eignir],Table13[Year],Table13[[#This Row],[Year]])</f>
        <v>2.4525737525938504E-5</v>
      </c>
      <c r="F251" s="23">
        <f>IF(B251=1997, 100, IF(COUNTIF(A$1:A250,A251)=0, "NEW", F250*(1+Table13[[#This Row],[Ávöxtun]])))</f>
        <v>168.5776027301857</v>
      </c>
      <c r="G251" s="18" cm="1">
        <f t="array" ref="G251">IFERROR(_xlfn.IFS(ISNUMBER(Table13[[#This Row],[Column3]]),Table13[[#This Row],[Column3]],Table13[[#This Row],[Column3]]="NEW",Table13[[#This Row],[Column3]]),"")</f>
        <v>168.5776027301857</v>
      </c>
      <c r="H251" s="15" cm="1">
        <f t="array" ref="H251">_xlfn.IFS(Table13[[#This Row],[Column4]]="NEW",AVERAGEIFS(Table13[Column4],Table13[Year],Table13[[#This Row],[Year]]),ISNUMBER(Table13[[#This Row],[Column4]]),Table13[[#This Row],[Column4]],Table13[[#This Row],[Column4]]="",H250*(1+Table13[[#This Row],[Ávöxtun]]))</f>
        <v>168.5776027301857</v>
      </c>
      <c r="I251" cm="1">
        <f t="array" ref="I251">_xlfn.IFS(Table13[[#This Row],[Column4]]="NEW",_xlfn.XLOOKUP(Table13[[#This Row],[Year]],$N$2:$N$27,$P$2:$P$27),ISNUMBER(Table13[[#This Row],[Column4]]),Table13[[#This Row],[Column4]],Table13[[#This Row],[Column4]]="",I250*(1+Table13[[#This Row],[Ávöxtun]]))</f>
        <v>168.5776027301857</v>
      </c>
      <c r="L251" s="33">
        <v>168.5776027301857</v>
      </c>
      <c r="M251" s="33">
        <v>168.5776027301857</v>
      </c>
    </row>
    <row r="252" spans="1:13">
      <c r="A252" t="s">
        <v>78</v>
      </c>
      <c r="B252">
        <v>2006</v>
      </c>
      <c r="C252" s="16">
        <v>5.1100000000000007E-2</v>
      </c>
      <c r="D252" s="1">
        <v>470205</v>
      </c>
      <c r="E252" s="29">
        <f>Table13[[#This Row],[Ávöxtun]]*Table13[[#This Row],[Eignir]]/SUMIFS(Table13[Eignir],Table13[Year],Table13[[#This Row],[Year]])</f>
        <v>2.1120972643182058E-5</v>
      </c>
      <c r="F252" s="23">
        <f>IF(B252=1997, 100, IF(COUNTIF(A$1:A251,A252)=0, "NEW", F251*(1+Table13[[#This Row],[Ávöxtun]])))</f>
        <v>177.19191822969819</v>
      </c>
      <c r="G252" s="18" cm="1">
        <f t="array" ref="G252">IFERROR(_xlfn.IFS(ISNUMBER(Table13[[#This Row],[Column3]]),Table13[[#This Row],[Column3]],Table13[[#This Row],[Column3]]="NEW",Table13[[#This Row],[Column3]]),"")</f>
        <v>177.19191822969819</v>
      </c>
      <c r="H252" s="15" cm="1">
        <f t="array" ref="H252">_xlfn.IFS(Table13[[#This Row],[Column4]]="NEW",AVERAGEIFS(Table13[Column4],Table13[Year],Table13[[#This Row],[Year]]),ISNUMBER(Table13[[#This Row],[Column4]]),Table13[[#This Row],[Column4]],Table13[[#This Row],[Column4]]="",H251*(1+Table13[[#This Row],[Ávöxtun]]))</f>
        <v>177.19191822969819</v>
      </c>
      <c r="I252" cm="1">
        <f t="array" ref="I252">_xlfn.IFS(Table13[[#This Row],[Column4]]="NEW",_xlfn.XLOOKUP(Table13[[#This Row],[Year]],$N$2:$N$27,$P$2:$P$27),ISNUMBER(Table13[[#This Row],[Column4]]),Table13[[#This Row],[Column4]],Table13[[#This Row],[Column4]]="",I251*(1+Table13[[#This Row],[Ávöxtun]]))</f>
        <v>177.19191822969819</v>
      </c>
      <c r="L252" s="33">
        <v>177.19191822969819</v>
      </c>
      <c r="M252" s="33">
        <v>177.19191822969819</v>
      </c>
    </row>
    <row r="253" spans="1:13">
      <c r="A253" t="s">
        <v>78</v>
      </c>
      <c r="B253">
        <v>2007</v>
      </c>
      <c r="C253" s="16">
        <v>3.9700000000000006E-2</v>
      </c>
      <c r="D253" s="1">
        <v>472544</v>
      </c>
      <c r="E253" s="29">
        <f>Table13[[#This Row],[Ávöxtun]]*Table13[[#This Row],[Eignir]]/SUMIFS(Table13[Eignir],Table13[Year],Table13[[#This Row],[Year]])</f>
        <v>1.4616735870754602E-5</v>
      </c>
      <c r="F253" s="23">
        <f>IF(B253=1997, 100, IF(COUNTIF(A$1:A252,A253)=0, "NEW", F252*(1+Table13[[#This Row],[Ávöxtun]])))</f>
        <v>184.22643738341722</v>
      </c>
      <c r="G253" s="18" cm="1">
        <f t="array" ref="G253">IFERROR(_xlfn.IFS(ISNUMBER(Table13[[#This Row],[Column3]]),Table13[[#This Row],[Column3]],Table13[[#This Row],[Column3]]="NEW",Table13[[#This Row],[Column3]]),"")</f>
        <v>184.22643738341722</v>
      </c>
      <c r="H253" s="15" cm="1">
        <f t="array" ref="H253">_xlfn.IFS(Table13[[#This Row],[Column4]]="NEW",AVERAGEIFS(Table13[Column4],Table13[Year],Table13[[#This Row],[Year]]),ISNUMBER(Table13[[#This Row],[Column4]]),Table13[[#This Row],[Column4]],Table13[[#This Row],[Column4]]="",H252*(1+Table13[[#This Row],[Ávöxtun]]))</f>
        <v>184.22643738341722</v>
      </c>
      <c r="I253" cm="1">
        <f t="array" ref="I253">_xlfn.IFS(Table13[[#This Row],[Column4]]="NEW",_xlfn.XLOOKUP(Table13[[#This Row],[Year]],$N$2:$N$27,$P$2:$P$27),ISNUMBER(Table13[[#This Row],[Column4]]),Table13[[#This Row],[Column4]],Table13[[#This Row],[Column4]]="",I252*(1+Table13[[#This Row],[Ávöxtun]]))</f>
        <v>184.22643738341722</v>
      </c>
      <c r="L253" s="33">
        <v>184.22643738341722</v>
      </c>
      <c r="M253" s="33">
        <v>184.22643738341722</v>
      </c>
    </row>
    <row r="254" spans="1:13">
      <c r="A254" t="s">
        <v>78</v>
      </c>
      <c r="B254">
        <v>2008</v>
      </c>
      <c r="C254" s="16">
        <v>-0.21199999999999999</v>
      </c>
      <c r="D254" s="1">
        <v>390067</v>
      </c>
      <c r="E254" s="29">
        <f>Table13[[#This Row],[Ávöxtun]]*Table13[[#This Row],[Eignir]]/SUMIFS(Table13[Eignir],Table13[Year],Table13[[#This Row],[Year]])</f>
        <v>-6.6742932470227815E-5</v>
      </c>
      <c r="F254" s="23">
        <f>IF(B254=1997, 100, IF(COUNTIF(A$1:A253,A254)=0, "NEW", F253*(1+Table13[[#This Row],[Ávöxtun]])))</f>
        <v>145.17043265813277</v>
      </c>
      <c r="G254" s="18" cm="1">
        <f t="array" ref="G254">IFERROR(_xlfn.IFS(ISNUMBER(Table13[[#This Row],[Column3]]),Table13[[#This Row],[Column3]],Table13[[#This Row],[Column3]]="NEW",Table13[[#This Row],[Column3]]),"")</f>
        <v>145.17043265813277</v>
      </c>
      <c r="H254" s="15" cm="1">
        <f t="array" ref="H254">_xlfn.IFS(Table13[[#This Row],[Column4]]="NEW",AVERAGEIFS(Table13[Column4],Table13[Year],Table13[[#This Row],[Year]]),ISNUMBER(Table13[[#This Row],[Column4]]),Table13[[#This Row],[Column4]],Table13[[#This Row],[Column4]]="",H253*(1+Table13[[#This Row],[Ávöxtun]]))</f>
        <v>145.17043265813277</v>
      </c>
      <c r="I254" cm="1">
        <f t="array" ref="I254">_xlfn.IFS(Table13[[#This Row],[Column4]]="NEW",_xlfn.XLOOKUP(Table13[[#This Row],[Year]],$N$2:$N$27,$P$2:$P$27),ISNUMBER(Table13[[#This Row],[Column4]]),Table13[[#This Row],[Column4]],Table13[[#This Row],[Column4]]="",I253*(1+Table13[[#This Row],[Ávöxtun]]))</f>
        <v>145.17043265813277</v>
      </c>
      <c r="L254" s="33">
        <v>145.17043265813277</v>
      </c>
      <c r="M254" s="33">
        <v>145.17043265813277</v>
      </c>
    </row>
    <row r="255" spans="1:13">
      <c r="A255" t="s">
        <v>78</v>
      </c>
      <c r="B255">
        <v>2009</v>
      </c>
      <c r="C255" s="16">
        <v>-0.12810000000000002</v>
      </c>
      <c r="D255" s="1">
        <v>327142</v>
      </c>
      <c r="E255" s="29">
        <f>Table13[[#This Row],[Ávöxtun]]*Table13[[#This Row],[Eignir]]/SUMIFS(Table13[Eignir],Table13[Year],Table13[[#This Row],[Year]])</f>
        <v>-3.0519508214054726E-5</v>
      </c>
      <c r="F255" s="23">
        <f>IF(B255=1997, 100, IF(COUNTIF(A$1:A254,A255)=0, "NEW", F254*(1+Table13[[#This Row],[Ávöxtun]])))</f>
        <v>126.57410023462596</v>
      </c>
      <c r="G255" s="18" cm="1">
        <f t="array" ref="G255">IFERROR(_xlfn.IFS(ISNUMBER(Table13[[#This Row],[Column3]]),Table13[[#This Row],[Column3]],Table13[[#This Row],[Column3]]="NEW",Table13[[#This Row],[Column3]]),"")</f>
        <v>126.57410023462596</v>
      </c>
      <c r="H255" s="15" cm="1">
        <f t="array" ref="H255">_xlfn.IFS(Table13[[#This Row],[Column4]]="NEW",AVERAGEIFS(Table13[Column4],Table13[Year],Table13[[#This Row],[Year]]),ISNUMBER(Table13[[#This Row],[Column4]]),Table13[[#This Row],[Column4]],Table13[[#This Row],[Column4]]="",H254*(1+Table13[[#This Row],[Ávöxtun]]))</f>
        <v>126.57410023462596</v>
      </c>
      <c r="I255" cm="1">
        <f t="array" ref="I255">_xlfn.IFS(Table13[[#This Row],[Column4]]="NEW",_xlfn.XLOOKUP(Table13[[#This Row],[Year]],$N$2:$N$27,$P$2:$P$27),ISNUMBER(Table13[[#This Row],[Column4]]),Table13[[#This Row],[Column4]],Table13[[#This Row],[Column4]]="",I254*(1+Table13[[#This Row],[Ávöxtun]]))</f>
        <v>126.57410023462596</v>
      </c>
      <c r="L255" s="33">
        <v>126.57410023462596</v>
      </c>
      <c r="M255" s="33">
        <v>126.57410023462596</v>
      </c>
    </row>
    <row r="256" spans="1:13">
      <c r="A256" t="s">
        <v>79</v>
      </c>
      <c r="B256">
        <v>1999</v>
      </c>
      <c r="C256" s="16">
        <v>0.1</v>
      </c>
      <c r="D256" s="1">
        <v>5470253</v>
      </c>
      <c r="E256" s="29">
        <f>Table13[[#This Row],[Ávöxtun]]*Table13[[#This Row],[Eignir]]/SUMIFS(Table13[Eignir],Table13[Year],Table13[[#This Row],[Year]])</f>
        <v>1.2322498388788914E-3</v>
      </c>
      <c r="F256" s="23" t="str">
        <f>IF(B256=1997, 100, IF(COUNTIF(A$1:A255,A256)=0, "NEW", F255*(1+Table13[[#This Row],[Ávöxtun]])))</f>
        <v>NEW</v>
      </c>
      <c r="G256" s="18" t="str" cm="1">
        <f t="array" ref="G256">IFERROR(_xlfn.IFS(ISNUMBER(Table13[[#This Row],[Column3]]),Table13[[#This Row],[Column3]],Table13[[#This Row],[Column3]]="NEW",Table13[[#This Row],[Column3]]),"")</f>
        <v>NEW</v>
      </c>
      <c r="H256" s="15" cm="1">
        <f t="array" ref="H256">_xlfn.IFS(Table13[[#This Row],[Column4]]="NEW",AVERAGEIFS(Table13[Column4],Table13[Year],Table13[[#This Row],[Year]]),ISNUMBER(Table13[[#This Row],[Column4]]),Table13[[#This Row],[Column4]],Table13[[#This Row],[Column4]]="",H255*(1+Table13[[#This Row],[Ávöxtun]]))</f>
        <v>117.24765957446809</v>
      </c>
      <c r="I256" cm="1">
        <f t="array" ref="I256">_xlfn.IFS(Table13[[#This Row],[Column4]]="NEW",_xlfn.XLOOKUP(Table13[[#This Row],[Year]],$N$2:$N$27,$P$2:$P$27),ISNUMBER(Table13[[#This Row],[Column4]]),Table13[[#This Row],[Column4]],Table13[[#This Row],[Column4]]="",I255*(1+Table13[[#This Row],[Ávöxtun]]))</f>
        <v>119.85237726478729</v>
      </c>
      <c r="L256" s="33">
        <v>117.05306122448981</v>
      </c>
      <c r="M256" s="33">
        <v>129.26988390123572</v>
      </c>
    </row>
    <row r="257" spans="1:13">
      <c r="A257" t="s">
        <v>79</v>
      </c>
      <c r="B257">
        <v>2000</v>
      </c>
      <c r="C257" s="16">
        <v>-7.0000000000000007E-2</v>
      </c>
      <c r="D257" s="1">
        <v>6470029</v>
      </c>
      <c r="E257" s="29">
        <f>Table13[[#This Row],[Ávöxtun]]*Table13[[#This Row],[Eignir]]/SUMIFS(Table13[Eignir],Table13[Year],Table13[[#This Row],[Year]])</f>
        <v>-7.2524477231508493E-4</v>
      </c>
      <c r="F257" s="23" t="e">
        <f>IF(B257=1997, 100, IF(COUNTIF(A$1:A256,A257)=0, "NEW", F256*(1+Table13[[#This Row],[Ávöxtun]])))</f>
        <v>#VALUE!</v>
      </c>
      <c r="G257" s="18" t="str" cm="1">
        <f t="array" ref="G257">IFERROR(_xlfn.IFS(ISNUMBER(Table13[[#This Row],[Column3]]),Table13[[#This Row],[Column3]],Table13[[#This Row],[Column3]]="NEW",Table13[[#This Row],[Column3]]),"")</f>
        <v/>
      </c>
      <c r="H257" s="15" cm="1">
        <f t="array" ref="H257">_xlfn.IFS(Table13[[#This Row],[Column4]]="NEW",AVERAGEIFS(Table13[Column4],Table13[Year],Table13[[#This Row],[Year]]),ISNUMBER(Table13[[#This Row],[Column4]]),Table13[[#This Row],[Column4]],Table13[[#This Row],[Column4]]="",H256*(1+Table13[[#This Row],[Ávöxtun]]))</f>
        <v>109.04032340425532</v>
      </c>
      <c r="I257" cm="1">
        <f t="array" ref="I257">_xlfn.IFS(Table13[[#This Row],[Column4]]="NEW",_xlfn.XLOOKUP(Table13[[#This Row],[Year]],$N$2:$N$27,$P$2:$P$27),ISNUMBER(Table13[[#This Row],[Column4]]),Table13[[#This Row],[Column4]],Table13[[#This Row],[Column4]]="",I256*(1+Table13[[#This Row],[Ávöxtun]]))</f>
        <v>111.46271085625217</v>
      </c>
      <c r="L257" s="33">
        <v>108.85934693877552</v>
      </c>
      <c r="M257" s="33">
        <v>120.22099202814921</v>
      </c>
    </row>
    <row r="258" spans="1:13">
      <c r="A258" t="s">
        <v>79</v>
      </c>
      <c r="B258">
        <v>2001</v>
      </c>
      <c r="C258" s="16">
        <v>-0.08</v>
      </c>
      <c r="D258" s="1">
        <v>8373891</v>
      </c>
      <c r="E258" s="29">
        <f>Table13[[#This Row],[Ávöxtun]]*Table13[[#This Row],[Eignir]]/SUMIFS(Table13[Eignir],Table13[Year],Table13[[#This Row],[Year]])</f>
        <v>-6.9706873089423914E-4</v>
      </c>
      <c r="F258" s="23" t="e">
        <f>IF(B258=1997, 100, IF(COUNTIF(A$1:A257,A258)=0, "NEW", F257*(1+Table13[[#This Row],[Ávöxtun]])))</f>
        <v>#VALUE!</v>
      </c>
      <c r="G258" s="18" t="str" cm="1">
        <f t="array" ref="G258">IFERROR(_xlfn.IFS(ISNUMBER(Table13[[#This Row],[Column3]]),Table13[[#This Row],[Column3]],Table13[[#This Row],[Column3]]="NEW",Table13[[#This Row],[Column3]]),"")</f>
        <v/>
      </c>
      <c r="H258" s="15" cm="1">
        <f t="array" ref="H258">_xlfn.IFS(Table13[[#This Row],[Column4]]="NEW",AVERAGEIFS(Table13[Column4],Table13[Year],Table13[[#This Row],[Year]]),ISNUMBER(Table13[[#This Row],[Column4]]),Table13[[#This Row],[Column4]],Table13[[#This Row],[Column4]]="",H257*(1+Table13[[#This Row],[Ávöxtun]]))</f>
        <v>100.3170975319149</v>
      </c>
      <c r="I258" cm="1">
        <f t="array" ref="I258">_xlfn.IFS(Table13[[#This Row],[Column4]]="NEW",_xlfn.XLOOKUP(Table13[[#This Row],[Year]],$N$2:$N$27,$P$2:$P$27),ISNUMBER(Table13[[#This Row],[Column4]]),Table13[[#This Row],[Column4]],Table13[[#This Row],[Column4]]="",I257*(1+Table13[[#This Row],[Ávöxtun]]))</f>
        <v>102.545693987752</v>
      </c>
      <c r="L258" s="33">
        <v>100.15059918367348</v>
      </c>
      <c r="M258" s="33">
        <v>110.60331266589728</v>
      </c>
    </row>
    <row r="259" spans="1:13">
      <c r="A259" t="s">
        <v>80</v>
      </c>
      <c r="B259">
        <v>1997</v>
      </c>
      <c r="C259" s="16">
        <v>0.13</v>
      </c>
      <c r="D259" s="1">
        <v>2027792.29</v>
      </c>
      <c r="E259" s="29">
        <f>Table13[[#This Row],[Ávöxtun]]*Table13[[#This Row],[Eignir]]/SUMIFS(Table13[Eignir],Table13[Year],Table13[[#This Row],[Year]])</f>
        <v>9.2380481330377943E-4</v>
      </c>
      <c r="F259" s="23">
        <f>IF(B259=1997, 100, IF(COUNTIF(A$1:A258,A259)=0, "NEW", F258*(1+Table13[[#This Row],[Ávöxtun]])))</f>
        <v>100</v>
      </c>
      <c r="G259" s="18" cm="1">
        <f t="array" ref="G259">IFERROR(_xlfn.IFS(ISNUMBER(Table13[[#This Row],[Column3]]),Table13[[#This Row],[Column3]],Table13[[#This Row],[Column3]]="NEW",Table13[[#This Row],[Column3]]),"")</f>
        <v>100</v>
      </c>
      <c r="H259" s="15" cm="1">
        <f t="array" ref="H259">_xlfn.IFS(Table13[[#This Row],[Column4]]="NEW",AVERAGEIFS(Table13[Column4],Table13[Year],Table13[[#This Row],[Year]]),ISNUMBER(Table13[[#This Row],[Column4]]),Table13[[#This Row],[Column4]],Table13[[#This Row],[Column4]]="",H258*(1+Table13[[#This Row],[Ávöxtun]]))</f>
        <v>100</v>
      </c>
      <c r="I259" cm="1">
        <f t="array" ref="I259">_xlfn.IFS(Table13[[#This Row],[Column4]]="NEW",_xlfn.XLOOKUP(Table13[[#This Row],[Year]],$N$2:$N$27,$P$2:$P$27),ISNUMBER(Table13[[#This Row],[Column4]]),Table13[[#This Row],[Column4]],Table13[[#This Row],[Column4]]="",I258*(1+Table13[[#This Row],[Ávöxtun]]))</f>
        <v>100</v>
      </c>
      <c r="L259" s="33">
        <v>100</v>
      </c>
      <c r="M259" s="33">
        <v>100</v>
      </c>
    </row>
    <row r="260" spans="1:13">
      <c r="A260" t="s">
        <v>80</v>
      </c>
      <c r="B260">
        <v>1998</v>
      </c>
      <c r="C260" s="16">
        <v>0.02</v>
      </c>
      <c r="D260" s="1">
        <v>2161732.56</v>
      </c>
      <c r="E260" s="29">
        <f>Table13[[#This Row],[Ávöxtun]]*Table13[[#This Row],[Eignir]]/SUMIFS(Table13[Eignir],Table13[Year],Table13[[#This Row],[Year]])</f>
        <v>1.3081650867630864E-4</v>
      </c>
      <c r="F260" s="23">
        <f>IF(B260=1997, 100, IF(COUNTIF(A$1:A259,A260)=0, "NEW", F259*(1+Table13[[#This Row],[Ávöxtun]])))</f>
        <v>102</v>
      </c>
      <c r="G260" s="18" cm="1">
        <f t="array" ref="G260">IFERROR(_xlfn.IFS(ISNUMBER(Table13[[#This Row],[Column3]]),Table13[[#This Row],[Column3]],Table13[[#This Row],[Column3]]="NEW",Table13[[#This Row],[Column3]]),"")</f>
        <v>102</v>
      </c>
      <c r="H260" s="15" cm="1">
        <f t="array" ref="H260">_xlfn.IFS(Table13[[#This Row],[Column4]]="NEW",AVERAGEIFS(Table13[Column4],Table13[Year],Table13[[#This Row],[Year]]),ISNUMBER(Table13[[#This Row],[Column4]]),Table13[[#This Row],[Column4]],Table13[[#This Row],[Column4]]="",H259*(1+Table13[[#This Row],[Ávöxtun]]))</f>
        <v>102</v>
      </c>
      <c r="I260" cm="1">
        <f t="array" ref="I260">_xlfn.IFS(Table13[[#This Row],[Column4]]="NEW",_xlfn.XLOOKUP(Table13[[#This Row],[Year]],$N$2:$N$27,$P$2:$P$27),ISNUMBER(Table13[[#This Row],[Column4]]),Table13[[#This Row],[Column4]],Table13[[#This Row],[Column4]]="",I259*(1+Table13[[#This Row],[Ávöxtun]]))</f>
        <v>102</v>
      </c>
      <c r="L260" s="33">
        <v>102</v>
      </c>
      <c r="M260" s="33">
        <v>102</v>
      </c>
    </row>
    <row r="261" spans="1:13">
      <c r="A261" t="s">
        <v>80</v>
      </c>
      <c r="B261">
        <v>1999</v>
      </c>
      <c r="C261" s="16">
        <v>0.22</v>
      </c>
      <c r="D261" s="1">
        <v>2890350.92</v>
      </c>
      <c r="E261" s="29">
        <f>Table13[[#This Row],[Ávöxtun]]*Table13[[#This Row],[Eignir]]/SUMIFS(Table13[Eignir],Table13[Year],Table13[[#This Row],[Year]])</f>
        <v>1.4324009880423449E-3</v>
      </c>
      <c r="F261" s="23">
        <f>IF(B261=1997, 100, IF(COUNTIF(A$1:A260,A261)=0, "NEW", F260*(1+Table13[[#This Row],[Ávöxtun]])))</f>
        <v>124.44</v>
      </c>
      <c r="G261" s="18" cm="1">
        <f t="array" ref="G261">IFERROR(_xlfn.IFS(ISNUMBER(Table13[[#This Row],[Column3]]),Table13[[#This Row],[Column3]],Table13[[#This Row],[Column3]]="NEW",Table13[[#This Row],[Column3]]),"")</f>
        <v>124.44</v>
      </c>
      <c r="H261" s="15" cm="1">
        <f t="array" ref="H261">_xlfn.IFS(Table13[[#This Row],[Column4]]="NEW",AVERAGEIFS(Table13[Column4],Table13[Year],Table13[[#This Row],[Year]]),ISNUMBER(Table13[[#This Row],[Column4]]),Table13[[#This Row],[Column4]],Table13[[#This Row],[Column4]]="",H260*(1+Table13[[#This Row],[Ávöxtun]]))</f>
        <v>124.44</v>
      </c>
      <c r="I261" cm="1">
        <f t="array" ref="I261">_xlfn.IFS(Table13[[#This Row],[Column4]]="NEW",_xlfn.XLOOKUP(Table13[[#This Row],[Year]],$N$2:$N$27,$P$2:$P$27),ISNUMBER(Table13[[#This Row],[Column4]]),Table13[[#This Row],[Column4]],Table13[[#This Row],[Column4]]="",I260*(1+Table13[[#This Row],[Ávöxtun]]))</f>
        <v>124.44</v>
      </c>
      <c r="L261" s="33">
        <v>124.44</v>
      </c>
      <c r="M261" s="33">
        <v>124.44</v>
      </c>
    </row>
    <row r="262" spans="1:13">
      <c r="A262" t="s">
        <v>80</v>
      </c>
      <c r="B262">
        <v>2000</v>
      </c>
      <c r="C262" s="16">
        <v>0.04</v>
      </c>
      <c r="D262" s="1">
        <v>3403773.29</v>
      </c>
      <c r="E262" s="29">
        <f>Table13[[#This Row],[Ávöxtun]]*Table13[[#This Row],[Eignir]]/SUMIFS(Table13[Eignir],Table13[Year],Table13[[#This Row],[Year]])</f>
        <v>2.1802232016652411E-4</v>
      </c>
      <c r="F262" s="23">
        <f>IF(B262=1997, 100, IF(COUNTIF(A$1:A261,A262)=0, "NEW", F261*(1+Table13[[#This Row],[Ávöxtun]])))</f>
        <v>129.41759999999999</v>
      </c>
      <c r="G262" s="18" cm="1">
        <f t="array" ref="G262">IFERROR(_xlfn.IFS(ISNUMBER(Table13[[#This Row],[Column3]]),Table13[[#This Row],[Column3]],Table13[[#This Row],[Column3]]="NEW",Table13[[#This Row],[Column3]]),"")</f>
        <v>129.41759999999999</v>
      </c>
      <c r="H262" s="15" cm="1">
        <f t="array" ref="H262">_xlfn.IFS(Table13[[#This Row],[Column4]]="NEW",AVERAGEIFS(Table13[Column4],Table13[Year],Table13[[#This Row],[Year]]),ISNUMBER(Table13[[#This Row],[Column4]]),Table13[[#This Row],[Column4]],Table13[[#This Row],[Column4]]="",H261*(1+Table13[[#This Row],[Ávöxtun]]))</f>
        <v>129.41759999999999</v>
      </c>
      <c r="I262" cm="1">
        <f t="array" ref="I262">_xlfn.IFS(Table13[[#This Row],[Column4]]="NEW",_xlfn.XLOOKUP(Table13[[#This Row],[Year]],$N$2:$N$27,$P$2:$P$27),ISNUMBER(Table13[[#This Row],[Column4]]),Table13[[#This Row],[Column4]],Table13[[#This Row],[Column4]]="",I261*(1+Table13[[#This Row],[Ávöxtun]]))</f>
        <v>129.41759999999999</v>
      </c>
      <c r="L262" s="33">
        <v>129.41759999999999</v>
      </c>
      <c r="M262" s="33">
        <v>129.41759999999999</v>
      </c>
    </row>
    <row r="263" spans="1:13">
      <c r="A263" t="s">
        <v>80</v>
      </c>
      <c r="B263">
        <v>2001</v>
      </c>
      <c r="C263" s="16">
        <v>-0.23</v>
      </c>
      <c r="D263" s="1">
        <v>3087068</v>
      </c>
      <c r="E263" s="29">
        <f>Table13[[#This Row],[Ávöxtun]]*Table13[[#This Row],[Eignir]]/SUMIFS(Table13[Eignir],Table13[Year],Table13[[#This Row],[Year]])</f>
        <v>-7.3880928199502769E-4</v>
      </c>
      <c r="F263" s="23">
        <f>IF(B263=1997, 100, IF(COUNTIF(A$1:A262,A263)=0, "NEW", F262*(1+Table13[[#This Row],[Ávöxtun]])))</f>
        <v>99.651551999999995</v>
      </c>
      <c r="G263" s="18" cm="1">
        <f t="array" ref="G263">IFERROR(_xlfn.IFS(ISNUMBER(Table13[[#This Row],[Column3]]),Table13[[#This Row],[Column3]],Table13[[#This Row],[Column3]]="NEW",Table13[[#This Row],[Column3]]),"")</f>
        <v>99.651551999999995</v>
      </c>
      <c r="H263" s="15" cm="1">
        <f t="array" ref="H263">_xlfn.IFS(Table13[[#This Row],[Column4]]="NEW",AVERAGEIFS(Table13[Column4],Table13[Year],Table13[[#This Row],[Year]]),ISNUMBER(Table13[[#This Row],[Column4]]),Table13[[#This Row],[Column4]],Table13[[#This Row],[Column4]]="",H262*(1+Table13[[#This Row],[Ávöxtun]]))</f>
        <v>99.651551999999995</v>
      </c>
      <c r="I263" cm="1">
        <f t="array" ref="I263">_xlfn.IFS(Table13[[#This Row],[Column4]]="NEW",_xlfn.XLOOKUP(Table13[[#This Row],[Year]],$N$2:$N$27,$P$2:$P$27),ISNUMBER(Table13[[#This Row],[Column4]]),Table13[[#This Row],[Column4]],Table13[[#This Row],[Column4]]="",I262*(1+Table13[[#This Row],[Ávöxtun]]))</f>
        <v>99.651551999999995</v>
      </c>
      <c r="L263" s="33">
        <v>99.651551999999995</v>
      </c>
      <c r="M263" s="33">
        <v>99.651551999999995</v>
      </c>
    </row>
    <row r="264" spans="1:13">
      <c r="A264" t="s">
        <v>81</v>
      </c>
      <c r="B264">
        <v>1997</v>
      </c>
      <c r="C264" s="16">
        <v>0.06</v>
      </c>
      <c r="D264" s="1">
        <v>607931.47</v>
      </c>
      <c r="E264" s="29">
        <f>Table13[[#This Row],[Ávöxtun]]*Table13[[#This Row],[Eignir]]/SUMIFS(Table13[Eignir],Table13[Year],Table13[[#This Row],[Year]])</f>
        <v>1.2782602293016798E-4</v>
      </c>
      <c r="F264" s="23">
        <f>IF(B264=1997, 100, IF(COUNTIF(A$1:A263,A264)=0, "NEW", F263*(1+Table13[[#This Row],[Ávöxtun]])))</f>
        <v>100</v>
      </c>
      <c r="G264" s="18" cm="1">
        <f t="array" ref="G264">IFERROR(_xlfn.IFS(ISNUMBER(Table13[[#This Row],[Column3]]),Table13[[#This Row],[Column3]],Table13[[#This Row],[Column3]]="NEW",Table13[[#This Row],[Column3]]),"")</f>
        <v>100</v>
      </c>
      <c r="H264" s="15" cm="1">
        <f t="array" ref="H264">_xlfn.IFS(Table13[[#This Row],[Column4]]="NEW",AVERAGEIFS(Table13[Column4],Table13[Year],Table13[[#This Row],[Year]]),ISNUMBER(Table13[[#This Row],[Column4]]),Table13[[#This Row],[Column4]],Table13[[#This Row],[Column4]]="",H263*(1+Table13[[#This Row],[Ávöxtun]]))</f>
        <v>100</v>
      </c>
      <c r="I264" cm="1">
        <f t="array" ref="I264">_xlfn.IFS(Table13[[#This Row],[Column4]]="NEW",_xlfn.XLOOKUP(Table13[[#This Row],[Year]],$N$2:$N$27,$P$2:$P$27),ISNUMBER(Table13[[#This Row],[Column4]]),Table13[[#This Row],[Column4]],Table13[[#This Row],[Column4]]="",I263*(1+Table13[[#This Row],[Ávöxtun]]))</f>
        <v>100</v>
      </c>
      <c r="L264" s="33">
        <v>100</v>
      </c>
      <c r="M264" s="33">
        <v>100</v>
      </c>
    </row>
    <row r="265" spans="1:13">
      <c r="A265" t="s">
        <v>81</v>
      </c>
      <c r="B265">
        <v>1998</v>
      </c>
      <c r="C265" s="16">
        <v>0.06</v>
      </c>
      <c r="D265" s="1">
        <v>653462.76</v>
      </c>
      <c r="E265" s="29">
        <f>Table13[[#This Row],[Ávöxtun]]*Table13[[#This Row],[Eignir]]/SUMIFS(Table13[Eignir],Table13[Year],Table13[[#This Row],[Year]])</f>
        <v>1.1863222823435374E-4</v>
      </c>
      <c r="F265" s="23">
        <f>IF(B265=1997, 100, IF(COUNTIF(A$1:A264,A265)=0, "NEW", F264*(1+Table13[[#This Row],[Ávöxtun]])))</f>
        <v>106</v>
      </c>
      <c r="G265" s="18" cm="1">
        <f t="array" ref="G265">IFERROR(_xlfn.IFS(ISNUMBER(Table13[[#This Row],[Column3]]),Table13[[#This Row],[Column3]],Table13[[#This Row],[Column3]]="NEW",Table13[[#This Row],[Column3]]),"")</f>
        <v>106</v>
      </c>
      <c r="H265" s="15" cm="1">
        <f t="array" ref="H265">_xlfn.IFS(Table13[[#This Row],[Column4]]="NEW",AVERAGEIFS(Table13[Column4],Table13[Year],Table13[[#This Row],[Year]]),ISNUMBER(Table13[[#This Row],[Column4]]),Table13[[#This Row],[Column4]],Table13[[#This Row],[Column4]]="",H264*(1+Table13[[#This Row],[Ávöxtun]]))</f>
        <v>106</v>
      </c>
      <c r="I265" cm="1">
        <f t="array" ref="I265">_xlfn.IFS(Table13[[#This Row],[Column4]]="NEW",_xlfn.XLOOKUP(Table13[[#This Row],[Year]],$N$2:$N$27,$P$2:$P$27),ISNUMBER(Table13[[#This Row],[Column4]]),Table13[[#This Row],[Column4]],Table13[[#This Row],[Column4]]="",I264*(1+Table13[[#This Row],[Ávöxtun]]))</f>
        <v>106</v>
      </c>
      <c r="L265" s="33">
        <v>106</v>
      </c>
      <c r="M265" s="33">
        <v>106</v>
      </c>
    </row>
    <row r="266" spans="1:13">
      <c r="A266" t="s">
        <v>81</v>
      </c>
      <c r="B266">
        <v>1999</v>
      </c>
      <c r="C266" s="16">
        <v>0.05</v>
      </c>
      <c r="D266" s="1">
        <v>715019</v>
      </c>
      <c r="E266" s="29">
        <f>Table13[[#This Row],[Ávöxtun]]*Table13[[#This Row],[Eignir]]/SUMIFS(Table13[Eignir],Table13[Year],Table13[[#This Row],[Year]])</f>
        <v>8.0533939430712457E-5</v>
      </c>
      <c r="F266" s="23">
        <f>IF(B266=1997, 100, IF(COUNTIF(A$1:A265,A266)=0, "NEW", F265*(1+Table13[[#This Row],[Ávöxtun]])))</f>
        <v>111.30000000000001</v>
      </c>
      <c r="G266" s="18" cm="1">
        <f t="array" ref="G266">IFERROR(_xlfn.IFS(ISNUMBER(Table13[[#This Row],[Column3]]),Table13[[#This Row],[Column3]],Table13[[#This Row],[Column3]]="NEW",Table13[[#This Row],[Column3]]),"")</f>
        <v>111.30000000000001</v>
      </c>
      <c r="H266" s="15" cm="1">
        <f t="array" ref="H266">_xlfn.IFS(Table13[[#This Row],[Column4]]="NEW",AVERAGEIFS(Table13[Column4],Table13[Year],Table13[[#This Row],[Year]]),ISNUMBER(Table13[[#This Row],[Column4]]),Table13[[#This Row],[Column4]],Table13[[#This Row],[Column4]]="",H265*(1+Table13[[#This Row],[Ávöxtun]]))</f>
        <v>111.30000000000001</v>
      </c>
      <c r="I266" cm="1">
        <f t="array" ref="I266">_xlfn.IFS(Table13[[#This Row],[Column4]]="NEW",_xlfn.XLOOKUP(Table13[[#This Row],[Year]],$N$2:$N$27,$P$2:$P$27),ISNUMBER(Table13[[#This Row],[Column4]]),Table13[[#This Row],[Column4]],Table13[[#This Row],[Column4]]="",I265*(1+Table13[[#This Row],[Ávöxtun]]))</f>
        <v>111.30000000000001</v>
      </c>
      <c r="L266" s="33">
        <v>111.30000000000001</v>
      </c>
      <c r="M266" s="33">
        <v>111.30000000000001</v>
      </c>
    </row>
    <row r="267" spans="1:13">
      <c r="A267" t="s">
        <v>81</v>
      </c>
      <c r="B267">
        <v>2000</v>
      </c>
      <c r="C267" s="16">
        <v>0.06</v>
      </c>
      <c r="D267" s="1">
        <v>767206.91</v>
      </c>
      <c r="E267" s="29">
        <f>Table13[[#This Row],[Ávöxtun]]*Table13[[#This Row],[Eignir]]/SUMIFS(Table13[Eignir],Table13[Year],Table13[[#This Row],[Year]])</f>
        <v>7.3713001563915695E-5</v>
      </c>
      <c r="F267" s="23">
        <f>IF(B267=1997, 100, IF(COUNTIF(A$1:A266,A267)=0, "NEW", F266*(1+Table13[[#This Row],[Ávöxtun]])))</f>
        <v>117.97800000000002</v>
      </c>
      <c r="G267" s="18" cm="1">
        <f t="array" ref="G267">IFERROR(_xlfn.IFS(ISNUMBER(Table13[[#This Row],[Column3]]),Table13[[#This Row],[Column3]],Table13[[#This Row],[Column3]]="NEW",Table13[[#This Row],[Column3]]),"")</f>
        <v>117.97800000000002</v>
      </c>
      <c r="H267" s="15" cm="1">
        <f t="array" ref="H267">_xlfn.IFS(Table13[[#This Row],[Column4]]="NEW",AVERAGEIFS(Table13[Column4],Table13[Year],Table13[[#This Row],[Year]]),ISNUMBER(Table13[[#This Row],[Column4]]),Table13[[#This Row],[Column4]],Table13[[#This Row],[Column4]]="",H266*(1+Table13[[#This Row],[Ávöxtun]]))</f>
        <v>117.97800000000002</v>
      </c>
      <c r="I267" cm="1">
        <f t="array" ref="I267">_xlfn.IFS(Table13[[#This Row],[Column4]]="NEW",_xlfn.XLOOKUP(Table13[[#This Row],[Year]],$N$2:$N$27,$P$2:$P$27),ISNUMBER(Table13[[#This Row],[Column4]]),Table13[[#This Row],[Column4]],Table13[[#This Row],[Column4]]="",I266*(1+Table13[[#This Row],[Ávöxtun]]))</f>
        <v>117.97800000000002</v>
      </c>
      <c r="L267" s="33">
        <v>117.97800000000002</v>
      </c>
      <c r="M267" s="33">
        <v>117.97800000000002</v>
      </c>
    </row>
    <row r="268" spans="1:13">
      <c r="A268" t="s">
        <v>81</v>
      </c>
      <c r="B268">
        <v>2001</v>
      </c>
      <c r="C268" s="16">
        <v>0.04</v>
      </c>
      <c r="D268" s="1">
        <v>856495</v>
      </c>
      <c r="E268" s="29">
        <f>Table13[[#This Row],[Ávöxtun]]*Table13[[#This Row],[Eignir]]/SUMIFS(Table13[Eignir],Table13[Year],Table13[[#This Row],[Year]])</f>
        <v>3.5648653813816145E-5</v>
      </c>
      <c r="F268" s="23">
        <f>IF(B268=1997, 100, IF(COUNTIF(A$1:A267,A268)=0, "NEW", F267*(1+Table13[[#This Row],[Ávöxtun]])))</f>
        <v>122.69712000000003</v>
      </c>
      <c r="G268" s="18" cm="1">
        <f t="array" ref="G268">IFERROR(_xlfn.IFS(ISNUMBER(Table13[[#This Row],[Column3]]),Table13[[#This Row],[Column3]],Table13[[#This Row],[Column3]]="NEW",Table13[[#This Row],[Column3]]),"")</f>
        <v>122.69712000000003</v>
      </c>
      <c r="H268" s="15" cm="1">
        <f t="array" ref="H268">_xlfn.IFS(Table13[[#This Row],[Column4]]="NEW",AVERAGEIFS(Table13[Column4],Table13[Year],Table13[[#This Row],[Year]]),ISNUMBER(Table13[[#This Row],[Column4]]),Table13[[#This Row],[Column4]],Table13[[#This Row],[Column4]]="",H267*(1+Table13[[#This Row],[Ávöxtun]]))</f>
        <v>122.69712000000003</v>
      </c>
      <c r="I268" cm="1">
        <f t="array" ref="I268">_xlfn.IFS(Table13[[#This Row],[Column4]]="NEW",_xlfn.XLOOKUP(Table13[[#This Row],[Year]],$N$2:$N$27,$P$2:$P$27),ISNUMBER(Table13[[#This Row],[Column4]]),Table13[[#This Row],[Column4]],Table13[[#This Row],[Column4]]="",I267*(1+Table13[[#This Row],[Ávöxtun]]))</f>
        <v>122.69712000000003</v>
      </c>
      <c r="L268" s="33">
        <v>122.69712000000003</v>
      </c>
      <c r="M268" s="33">
        <v>122.69712000000003</v>
      </c>
    </row>
    <row r="269" spans="1:13">
      <c r="A269" t="s">
        <v>81</v>
      </c>
      <c r="B269">
        <v>2002</v>
      </c>
      <c r="C269" s="16">
        <v>-0.04</v>
      </c>
      <c r="D269" s="1">
        <v>795606</v>
      </c>
      <c r="E269" s="29">
        <f>Table13[[#This Row],[Ávöxtun]]*Table13[[#This Row],[Eignir]]/SUMIFS(Table13[Eignir],Table13[Year],Table13[[#This Row],[Year]])</f>
        <v>-5.9720971634533781E-5</v>
      </c>
      <c r="F269" s="23">
        <f>IF(B269=1997, 100, IF(COUNTIF(A$1:A268,A269)=0, "NEW", F268*(1+Table13[[#This Row],[Ávöxtun]])))</f>
        <v>117.78923520000002</v>
      </c>
      <c r="G269" s="18" cm="1">
        <f t="array" ref="G269">IFERROR(_xlfn.IFS(ISNUMBER(Table13[[#This Row],[Column3]]),Table13[[#This Row],[Column3]],Table13[[#This Row],[Column3]]="NEW",Table13[[#This Row],[Column3]]),"")</f>
        <v>117.78923520000002</v>
      </c>
      <c r="H269" s="15" cm="1">
        <f t="array" ref="H269">_xlfn.IFS(Table13[[#This Row],[Column4]]="NEW",AVERAGEIFS(Table13[Column4],Table13[Year],Table13[[#This Row],[Year]]),ISNUMBER(Table13[[#This Row],[Column4]]),Table13[[#This Row],[Column4]],Table13[[#This Row],[Column4]]="",H268*(1+Table13[[#This Row],[Ávöxtun]]))</f>
        <v>117.78923520000002</v>
      </c>
      <c r="I269" cm="1">
        <f t="array" ref="I269">_xlfn.IFS(Table13[[#This Row],[Column4]]="NEW",_xlfn.XLOOKUP(Table13[[#This Row],[Year]],$N$2:$N$27,$P$2:$P$27),ISNUMBER(Table13[[#This Row],[Column4]]),Table13[[#This Row],[Column4]],Table13[[#This Row],[Column4]]="",I268*(1+Table13[[#This Row],[Ávöxtun]]))</f>
        <v>117.78923520000002</v>
      </c>
      <c r="L269" s="33">
        <v>117.78923520000002</v>
      </c>
      <c r="M269" s="33">
        <v>117.78923520000002</v>
      </c>
    </row>
    <row r="270" spans="1:13">
      <c r="A270" t="s">
        <v>81</v>
      </c>
      <c r="B270">
        <v>2003</v>
      </c>
      <c r="C270" s="16">
        <v>0.13</v>
      </c>
      <c r="D270" s="1">
        <v>886250</v>
      </c>
      <c r="E270" s="29">
        <f>Table13[[#This Row],[Ávöxtun]]*Table13[[#This Row],[Eignir]]/SUMIFS(Table13[Eignir],Table13[Year],Table13[[#This Row],[Year]])</f>
        <v>1.8064284761777725E-4</v>
      </c>
      <c r="F270" s="23">
        <f>IF(B270=1997, 100, IF(COUNTIF(A$1:A269,A270)=0, "NEW", F269*(1+Table13[[#This Row],[Ávöxtun]])))</f>
        <v>133.101835776</v>
      </c>
      <c r="G270" s="18" cm="1">
        <f t="array" ref="G270">IFERROR(_xlfn.IFS(ISNUMBER(Table13[[#This Row],[Column3]]),Table13[[#This Row],[Column3]],Table13[[#This Row],[Column3]]="NEW",Table13[[#This Row],[Column3]]),"")</f>
        <v>133.101835776</v>
      </c>
      <c r="H270" s="15" cm="1">
        <f t="array" ref="H270">_xlfn.IFS(Table13[[#This Row],[Column4]]="NEW",AVERAGEIFS(Table13[Column4],Table13[Year],Table13[[#This Row],[Year]]),ISNUMBER(Table13[[#This Row],[Column4]]),Table13[[#This Row],[Column4]],Table13[[#This Row],[Column4]]="",H269*(1+Table13[[#This Row],[Ávöxtun]]))</f>
        <v>133.101835776</v>
      </c>
      <c r="I270" cm="1">
        <f t="array" ref="I270">_xlfn.IFS(Table13[[#This Row],[Column4]]="NEW",_xlfn.XLOOKUP(Table13[[#This Row],[Year]],$N$2:$N$27,$P$2:$P$27),ISNUMBER(Table13[[#This Row],[Column4]]),Table13[[#This Row],[Column4]],Table13[[#This Row],[Column4]]="",I269*(1+Table13[[#This Row],[Ávöxtun]]))</f>
        <v>133.101835776</v>
      </c>
      <c r="L270" s="33">
        <v>133.101835776</v>
      </c>
      <c r="M270" s="33">
        <v>133.101835776</v>
      </c>
    </row>
    <row r="271" spans="1:13">
      <c r="A271" t="s">
        <v>81</v>
      </c>
      <c r="B271">
        <v>2004</v>
      </c>
      <c r="C271" s="16">
        <v>0.09</v>
      </c>
      <c r="D271" s="1">
        <v>948503</v>
      </c>
      <c r="E271" s="29">
        <f>Table13[[#This Row],[Ávöxtun]]*Table13[[#This Row],[Eignir]]/SUMIFS(Table13[Eignir],Table13[Year],Table13[[#This Row],[Year]])</f>
        <v>1.1237707514198158E-4</v>
      </c>
      <c r="F271" s="23">
        <f>IF(B271=1997, 100, IF(COUNTIF(A$1:A270,A271)=0, "NEW", F270*(1+Table13[[#This Row],[Ávöxtun]])))</f>
        <v>145.08100099584001</v>
      </c>
      <c r="G271" s="18" cm="1">
        <f t="array" ref="G271">IFERROR(_xlfn.IFS(ISNUMBER(Table13[[#This Row],[Column3]]),Table13[[#This Row],[Column3]],Table13[[#This Row],[Column3]]="NEW",Table13[[#This Row],[Column3]]),"")</f>
        <v>145.08100099584001</v>
      </c>
      <c r="H271" s="15" cm="1">
        <f t="array" ref="H271">_xlfn.IFS(Table13[[#This Row],[Column4]]="NEW",AVERAGEIFS(Table13[Column4],Table13[Year],Table13[[#This Row],[Year]]),ISNUMBER(Table13[[#This Row],[Column4]]),Table13[[#This Row],[Column4]],Table13[[#This Row],[Column4]]="",H270*(1+Table13[[#This Row],[Ávöxtun]]))</f>
        <v>145.08100099584001</v>
      </c>
      <c r="I271" cm="1">
        <f t="array" ref="I271">_xlfn.IFS(Table13[[#This Row],[Column4]]="NEW",_xlfn.XLOOKUP(Table13[[#This Row],[Year]],$N$2:$N$27,$P$2:$P$27),ISNUMBER(Table13[[#This Row],[Column4]]),Table13[[#This Row],[Column4]],Table13[[#This Row],[Column4]]="",I270*(1+Table13[[#This Row],[Ávöxtun]]))</f>
        <v>145.08100099584001</v>
      </c>
      <c r="L271" s="33">
        <v>145.08100099584001</v>
      </c>
      <c r="M271" s="33">
        <v>145.08100099584001</v>
      </c>
    </row>
    <row r="272" spans="1:13">
      <c r="A272" t="s">
        <v>81</v>
      </c>
      <c r="B272">
        <v>2005</v>
      </c>
      <c r="C272" s="16">
        <v>0.1</v>
      </c>
      <c r="D272" s="1">
        <v>1044473</v>
      </c>
      <c r="E272" s="29">
        <f>Table13[[#This Row],[Ávöxtun]]*Table13[[#This Row],[Eignir]]/SUMIFS(Table13[Eignir],Table13[Year],Table13[[#This Row],[Year]])</f>
        <v>1.118987209853405E-4</v>
      </c>
      <c r="F272" s="23">
        <f>IF(B272=1997, 100, IF(COUNTIF(A$1:A271,A272)=0, "NEW", F271*(1+Table13[[#This Row],[Ávöxtun]])))</f>
        <v>159.58910109542404</v>
      </c>
      <c r="G272" s="18" cm="1">
        <f t="array" ref="G272">IFERROR(_xlfn.IFS(ISNUMBER(Table13[[#This Row],[Column3]]),Table13[[#This Row],[Column3]],Table13[[#This Row],[Column3]]="NEW",Table13[[#This Row],[Column3]]),"")</f>
        <v>159.58910109542404</v>
      </c>
      <c r="H272" s="15" cm="1">
        <f t="array" ref="H272">_xlfn.IFS(Table13[[#This Row],[Column4]]="NEW",AVERAGEIFS(Table13[Column4],Table13[Year],Table13[[#This Row],[Year]]),ISNUMBER(Table13[[#This Row],[Column4]]),Table13[[#This Row],[Column4]],Table13[[#This Row],[Column4]]="",H271*(1+Table13[[#This Row],[Ávöxtun]]))</f>
        <v>159.58910109542404</v>
      </c>
      <c r="I272" cm="1">
        <f t="array" ref="I272">_xlfn.IFS(Table13[[#This Row],[Column4]]="NEW",_xlfn.XLOOKUP(Table13[[#This Row],[Year]],$N$2:$N$27,$P$2:$P$27),ISNUMBER(Table13[[#This Row],[Column4]]),Table13[[#This Row],[Column4]],Table13[[#This Row],[Column4]]="",I271*(1+Table13[[#This Row],[Ávöxtun]]))</f>
        <v>159.58910109542404</v>
      </c>
      <c r="L272" s="33">
        <v>159.58910109542404</v>
      </c>
      <c r="M272" s="33">
        <v>159.58910109542404</v>
      </c>
    </row>
    <row r="273" spans="1:13">
      <c r="A273" t="s">
        <v>81</v>
      </c>
      <c r="B273">
        <v>2006</v>
      </c>
      <c r="C273" s="16">
        <v>8.0700000000000008E-2</v>
      </c>
      <c r="D273" s="1">
        <v>1210212</v>
      </c>
      <c r="E273" s="29">
        <f>Table13[[#This Row],[Ávöxtun]]*Table13[[#This Row],[Eignir]]/SUMIFS(Table13[Eignir],Table13[Year],Table13[[#This Row],[Year]])</f>
        <v>8.585009114824264E-5</v>
      </c>
      <c r="F273" s="23">
        <f>IF(B273=1997, 100, IF(COUNTIF(A$1:A272,A273)=0, "NEW", F272*(1+Table13[[#This Row],[Ávöxtun]])))</f>
        <v>172.46794155382477</v>
      </c>
      <c r="G273" s="18" cm="1">
        <f t="array" ref="G273">IFERROR(_xlfn.IFS(ISNUMBER(Table13[[#This Row],[Column3]]),Table13[[#This Row],[Column3]],Table13[[#This Row],[Column3]]="NEW",Table13[[#This Row],[Column3]]),"")</f>
        <v>172.46794155382477</v>
      </c>
      <c r="H273" s="15" cm="1">
        <f t="array" ref="H273">_xlfn.IFS(Table13[[#This Row],[Column4]]="NEW",AVERAGEIFS(Table13[Column4],Table13[Year],Table13[[#This Row],[Year]]),ISNUMBER(Table13[[#This Row],[Column4]]),Table13[[#This Row],[Column4]],Table13[[#This Row],[Column4]]="",H272*(1+Table13[[#This Row],[Ávöxtun]]))</f>
        <v>172.46794155382477</v>
      </c>
      <c r="I273" cm="1">
        <f t="array" ref="I273">_xlfn.IFS(Table13[[#This Row],[Column4]]="NEW",_xlfn.XLOOKUP(Table13[[#This Row],[Year]],$N$2:$N$27,$P$2:$P$27),ISNUMBER(Table13[[#This Row],[Column4]]),Table13[[#This Row],[Column4]],Table13[[#This Row],[Column4]]="",I272*(1+Table13[[#This Row],[Ávöxtun]]))</f>
        <v>172.46794155382477</v>
      </c>
      <c r="L273" s="33">
        <v>172.46794155382477</v>
      </c>
      <c r="M273" s="33">
        <v>172.46794155382477</v>
      </c>
    </row>
    <row r="274" spans="1:13">
      <c r="A274" t="s">
        <v>81</v>
      </c>
      <c r="B274">
        <v>2007</v>
      </c>
      <c r="C274" s="16">
        <v>1.43E-2</v>
      </c>
      <c r="D274" s="1">
        <v>1166026</v>
      </c>
      <c r="E274" s="29">
        <f>Table13[[#This Row],[Ávöxtun]]*Table13[[#This Row],[Eignir]]/SUMIFS(Table13[Eignir],Table13[Year],Table13[[#This Row],[Year]])</f>
        <v>1.2991578178957087E-5</v>
      </c>
      <c r="F274" s="23">
        <f>IF(B274=1997, 100, IF(COUNTIF(A$1:A273,A274)=0, "NEW", F273*(1+Table13[[#This Row],[Ávöxtun]])))</f>
        <v>174.93423311804446</v>
      </c>
      <c r="G274" s="18" cm="1">
        <f t="array" ref="G274">IFERROR(_xlfn.IFS(ISNUMBER(Table13[[#This Row],[Column3]]),Table13[[#This Row],[Column3]],Table13[[#This Row],[Column3]]="NEW",Table13[[#This Row],[Column3]]),"")</f>
        <v>174.93423311804446</v>
      </c>
      <c r="H274" s="15" cm="1">
        <f t="array" ref="H274">_xlfn.IFS(Table13[[#This Row],[Column4]]="NEW",AVERAGEIFS(Table13[Column4],Table13[Year],Table13[[#This Row],[Year]]),ISNUMBER(Table13[[#This Row],[Column4]]),Table13[[#This Row],[Column4]],Table13[[#This Row],[Column4]]="",H273*(1+Table13[[#This Row],[Ávöxtun]]))</f>
        <v>174.93423311804446</v>
      </c>
      <c r="I274" cm="1">
        <f t="array" ref="I274">_xlfn.IFS(Table13[[#This Row],[Column4]]="NEW",_xlfn.XLOOKUP(Table13[[#This Row],[Year]],$N$2:$N$27,$P$2:$P$27),ISNUMBER(Table13[[#This Row],[Column4]]),Table13[[#This Row],[Column4]],Table13[[#This Row],[Column4]]="",I273*(1+Table13[[#This Row],[Ávöxtun]]))</f>
        <v>174.93423311804446</v>
      </c>
      <c r="L274" s="33">
        <v>174.93423311804446</v>
      </c>
      <c r="M274" s="33">
        <v>174.93423311804446</v>
      </c>
    </row>
    <row r="275" spans="1:13">
      <c r="A275" t="s">
        <v>81</v>
      </c>
      <c r="B275">
        <v>2008</v>
      </c>
      <c r="C275" s="16">
        <v>-0.28350000000000003</v>
      </c>
      <c r="D275" s="1">
        <v>894663</v>
      </c>
      <c r="E275" s="29">
        <f>Table13[[#This Row],[Ávöxtun]]*Table13[[#This Row],[Eignir]]/SUMIFS(Table13[Eignir],Table13[Year],Table13[[#This Row],[Year]])</f>
        <v>-2.0471174166698962E-4</v>
      </c>
      <c r="F275" s="23">
        <f>IF(B275=1997, 100, IF(COUNTIF(A$1:A274,A275)=0, "NEW", F274*(1+Table13[[#This Row],[Ávöxtun]])))</f>
        <v>125.34037802907883</v>
      </c>
      <c r="G275" s="18" cm="1">
        <f t="array" ref="G275">IFERROR(_xlfn.IFS(ISNUMBER(Table13[[#This Row],[Column3]]),Table13[[#This Row],[Column3]],Table13[[#This Row],[Column3]]="NEW",Table13[[#This Row],[Column3]]),"")</f>
        <v>125.34037802907883</v>
      </c>
      <c r="H275" s="15" cm="1">
        <f t="array" ref="H275">_xlfn.IFS(Table13[[#This Row],[Column4]]="NEW",AVERAGEIFS(Table13[Column4],Table13[Year],Table13[[#This Row],[Year]]),ISNUMBER(Table13[[#This Row],[Column4]]),Table13[[#This Row],[Column4]],Table13[[#This Row],[Column4]]="",H274*(1+Table13[[#This Row],[Ávöxtun]]))</f>
        <v>125.34037802907883</v>
      </c>
      <c r="I275" cm="1">
        <f t="array" ref="I275">_xlfn.IFS(Table13[[#This Row],[Column4]]="NEW",_xlfn.XLOOKUP(Table13[[#This Row],[Year]],$N$2:$N$27,$P$2:$P$27),ISNUMBER(Table13[[#This Row],[Column4]]),Table13[[#This Row],[Column4]],Table13[[#This Row],[Column4]]="",I274*(1+Table13[[#This Row],[Ávöxtun]]))</f>
        <v>125.34037802907883</v>
      </c>
      <c r="L275" s="33">
        <v>125.34037802907883</v>
      </c>
      <c r="M275" s="33">
        <v>125.34037802907883</v>
      </c>
    </row>
    <row r="276" spans="1:13">
      <c r="A276" t="s">
        <v>81</v>
      </c>
      <c r="B276">
        <v>2009</v>
      </c>
      <c r="C276" s="16">
        <v>4.1100000000000005E-2</v>
      </c>
      <c r="D276" s="1">
        <v>926331</v>
      </c>
      <c r="E276" s="29">
        <f>Table13[[#This Row],[Ávöxtun]]*Table13[[#This Row],[Eignir]]/SUMIFS(Table13[Eignir],Table13[Year],Table13[[#This Row],[Year]])</f>
        <v>2.772682344625796E-5</v>
      </c>
      <c r="F276" s="23">
        <f>IF(B276=1997, 100, IF(COUNTIF(A$1:A275,A276)=0, "NEW", F275*(1+Table13[[#This Row],[Ávöxtun]])))</f>
        <v>130.49186756607398</v>
      </c>
      <c r="G276" s="18" cm="1">
        <f t="array" ref="G276">IFERROR(_xlfn.IFS(ISNUMBER(Table13[[#This Row],[Column3]]),Table13[[#This Row],[Column3]],Table13[[#This Row],[Column3]]="NEW",Table13[[#This Row],[Column3]]),"")</f>
        <v>130.49186756607398</v>
      </c>
      <c r="H276" s="15" cm="1">
        <f t="array" ref="H276">_xlfn.IFS(Table13[[#This Row],[Column4]]="NEW",AVERAGEIFS(Table13[Column4],Table13[Year],Table13[[#This Row],[Year]]),ISNUMBER(Table13[[#This Row],[Column4]]),Table13[[#This Row],[Column4]],Table13[[#This Row],[Column4]]="",H275*(1+Table13[[#This Row],[Ávöxtun]]))</f>
        <v>130.49186756607398</v>
      </c>
      <c r="I276" cm="1">
        <f t="array" ref="I276">_xlfn.IFS(Table13[[#This Row],[Column4]]="NEW",_xlfn.XLOOKUP(Table13[[#This Row],[Year]],$N$2:$N$27,$P$2:$P$27),ISNUMBER(Table13[[#This Row],[Column4]]),Table13[[#This Row],[Column4]],Table13[[#This Row],[Column4]]="",I275*(1+Table13[[#This Row],[Ávöxtun]]))</f>
        <v>130.49186756607398</v>
      </c>
      <c r="L276" s="33">
        <v>130.49186756607398</v>
      </c>
      <c r="M276" s="33">
        <v>130.49186756607398</v>
      </c>
    </row>
    <row r="277" spans="1:13">
      <c r="A277" t="s">
        <v>81</v>
      </c>
      <c r="B277">
        <v>2010</v>
      </c>
      <c r="C277" s="16">
        <v>4.9200000000000001E-2</v>
      </c>
      <c r="D277" s="1">
        <v>919510</v>
      </c>
      <c r="E277" s="29">
        <f>Table13[[#This Row],[Ávöxtun]]*Table13[[#This Row],[Eignir]]/SUMIFS(Table13[Eignir],Table13[Year],Table13[[#This Row],[Year]])</f>
        <v>3.0885774715123209E-5</v>
      </c>
      <c r="F277" s="23">
        <f>IF(B277=1997, 100, IF(COUNTIF(A$1:A276,A277)=0, "NEW", F276*(1+Table13[[#This Row],[Ávöxtun]])))</f>
        <v>136.9120674503248</v>
      </c>
      <c r="G277" s="18" cm="1">
        <f t="array" ref="G277">IFERROR(_xlfn.IFS(ISNUMBER(Table13[[#This Row],[Column3]]),Table13[[#This Row],[Column3]],Table13[[#This Row],[Column3]]="NEW",Table13[[#This Row],[Column3]]),"")</f>
        <v>136.9120674503248</v>
      </c>
      <c r="H277" s="15" cm="1">
        <f t="array" ref="H277">_xlfn.IFS(Table13[[#This Row],[Column4]]="NEW",AVERAGEIFS(Table13[Column4],Table13[Year],Table13[[#This Row],[Year]]),ISNUMBER(Table13[[#This Row],[Column4]]),Table13[[#This Row],[Column4]],Table13[[#This Row],[Column4]]="",H276*(1+Table13[[#This Row],[Ávöxtun]]))</f>
        <v>136.9120674503248</v>
      </c>
      <c r="I277" cm="1">
        <f t="array" ref="I277">_xlfn.IFS(Table13[[#This Row],[Column4]]="NEW",_xlfn.XLOOKUP(Table13[[#This Row],[Year]],$N$2:$N$27,$P$2:$P$27),ISNUMBER(Table13[[#This Row],[Column4]]),Table13[[#This Row],[Column4]],Table13[[#This Row],[Column4]]="",I276*(1+Table13[[#This Row],[Ávöxtun]]))</f>
        <v>136.9120674503248</v>
      </c>
      <c r="L277" s="33">
        <v>136.9120674503248</v>
      </c>
      <c r="M277" s="33">
        <v>136.9120674503248</v>
      </c>
    </row>
    <row r="278" spans="1:13">
      <c r="A278" t="s">
        <v>81</v>
      </c>
      <c r="B278">
        <v>2011</v>
      </c>
      <c r="C278" s="16">
        <v>2.3E-2</v>
      </c>
      <c r="D278" s="1">
        <v>908140</v>
      </c>
      <c r="E278" s="29">
        <f>Table13[[#This Row],[Ávöxtun]]*Table13[[#This Row],[Eignir]]/SUMIFS(Table13[Eignir],Table13[Year],Table13[[#This Row],[Year]])</f>
        <v>1.3154168546680495E-5</v>
      </c>
      <c r="F278" s="23">
        <f>IF(B278=1997, 100, IF(COUNTIF(A$1:A277,A278)=0, "NEW", F277*(1+Table13[[#This Row],[Ávöxtun]])))</f>
        <v>140.06104500168226</v>
      </c>
      <c r="G278" s="18" cm="1">
        <f t="array" ref="G278">IFERROR(_xlfn.IFS(ISNUMBER(Table13[[#This Row],[Column3]]),Table13[[#This Row],[Column3]],Table13[[#This Row],[Column3]]="NEW",Table13[[#This Row],[Column3]]),"")</f>
        <v>140.06104500168226</v>
      </c>
      <c r="H278" s="15" cm="1">
        <f t="array" ref="H278">_xlfn.IFS(Table13[[#This Row],[Column4]]="NEW",AVERAGEIFS(Table13[Column4],Table13[Year],Table13[[#This Row],[Year]]),ISNUMBER(Table13[[#This Row],[Column4]]),Table13[[#This Row],[Column4]],Table13[[#This Row],[Column4]]="",H277*(1+Table13[[#This Row],[Ávöxtun]]))</f>
        <v>140.06104500168226</v>
      </c>
      <c r="I278" cm="1">
        <f t="array" ref="I278">_xlfn.IFS(Table13[[#This Row],[Column4]]="NEW",_xlfn.XLOOKUP(Table13[[#This Row],[Year]],$N$2:$N$27,$P$2:$P$27),ISNUMBER(Table13[[#This Row],[Column4]]),Table13[[#This Row],[Column4]],Table13[[#This Row],[Column4]]="",I277*(1+Table13[[#This Row],[Ávöxtun]]))</f>
        <v>140.06104500168226</v>
      </c>
      <c r="L278" s="33">
        <v>140.06104500168226</v>
      </c>
      <c r="M278" s="33">
        <v>140.06104500168226</v>
      </c>
    </row>
    <row r="279" spans="1:13">
      <c r="A279" t="s">
        <v>81</v>
      </c>
      <c r="B279">
        <v>2012</v>
      </c>
      <c r="C279" s="16">
        <v>3.1000000000000003E-2</v>
      </c>
      <c r="D279" s="1">
        <v>1028772</v>
      </c>
      <c r="E279" s="29">
        <f>Table13[[#This Row],[Ávöxtun]]*Table13[[#This Row],[Eignir]]/SUMIFS(Table13[Eignir],Table13[Year],Table13[[#This Row],[Year]])</f>
        <v>1.7768381130007203E-5</v>
      </c>
      <c r="F279" s="23">
        <f>IF(B279=1997, 100, IF(COUNTIF(A$1:A278,A279)=0, "NEW", F278*(1+Table13[[#This Row],[Ávöxtun]])))</f>
        <v>144.40293739673439</v>
      </c>
      <c r="G279" s="18" cm="1">
        <f t="array" ref="G279">IFERROR(_xlfn.IFS(ISNUMBER(Table13[[#This Row],[Column3]]),Table13[[#This Row],[Column3]],Table13[[#This Row],[Column3]]="NEW",Table13[[#This Row],[Column3]]),"")</f>
        <v>144.40293739673439</v>
      </c>
      <c r="H279" s="15" cm="1">
        <f t="array" ref="H279">_xlfn.IFS(Table13[[#This Row],[Column4]]="NEW",AVERAGEIFS(Table13[Column4],Table13[Year],Table13[[#This Row],[Year]]),ISNUMBER(Table13[[#This Row],[Column4]]),Table13[[#This Row],[Column4]],Table13[[#This Row],[Column4]]="",H278*(1+Table13[[#This Row],[Ávöxtun]]))</f>
        <v>144.40293739673439</v>
      </c>
      <c r="I279" cm="1">
        <f t="array" ref="I279">_xlfn.IFS(Table13[[#This Row],[Column4]]="NEW",_xlfn.XLOOKUP(Table13[[#This Row],[Year]],$N$2:$N$27,$P$2:$P$27),ISNUMBER(Table13[[#This Row],[Column4]]),Table13[[#This Row],[Column4]],Table13[[#This Row],[Column4]]="",I278*(1+Table13[[#This Row],[Ávöxtun]]))</f>
        <v>144.40293739673439</v>
      </c>
      <c r="L279" s="33">
        <v>144.40293739673439</v>
      </c>
      <c r="M279" s="33">
        <v>144.40293739673439</v>
      </c>
    </row>
    <row r="280" spans="1:13">
      <c r="A280" t="s">
        <v>82</v>
      </c>
      <c r="B280">
        <v>1997</v>
      </c>
      <c r="C280" s="16">
        <v>7.0000000000000007E-2</v>
      </c>
      <c r="D280" s="1">
        <v>1522875.97</v>
      </c>
      <c r="E280" s="29">
        <f>Table13[[#This Row],[Ávöxtun]]*Table13[[#This Row],[Eignir]]/SUMIFS(Table13[Eignir],Table13[Year],Table13[[#This Row],[Year]])</f>
        <v>3.735734255888944E-4</v>
      </c>
      <c r="F280" s="23">
        <f>IF(B280=1997, 100, IF(COUNTIF(A$1:A279,A280)=0, "NEW", F279*(1+Table13[[#This Row],[Ávöxtun]])))</f>
        <v>100</v>
      </c>
      <c r="G280" s="18" cm="1">
        <f t="array" ref="G280">IFERROR(_xlfn.IFS(ISNUMBER(Table13[[#This Row],[Column3]]),Table13[[#This Row],[Column3]],Table13[[#This Row],[Column3]]="NEW",Table13[[#This Row],[Column3]]),"")</f>
        <v>100</v>
      </c>
      <c r="H280" s="15" cm="1">
        <f t="array" ref="H280">_xlfn.IFS(Table13[[#This Row],[Column4]]="NEW",AVERAGEIFS(Table13[Column4],Table13[Year],Table13[[#This Row],[Year]]),ISNUMBER(Table13[[#This Row],[Column4]]),Table13[[#This Row],[Column4]],Table13[[#This Row],[Column4]]="",H279*(1+Table13[[#This Row],[Ávöxtun]]))</f>
        <v>100</v>
      </c>
      <c r="I280" cm="1">
        <f t="array" ref="I280">_xlfn.IFS(Table13[[#This Row],[Column4]]="NEW",_xlfn.XLOOKUP(Table13[[#This Row],[Year]],$N$2:$N$27,$P$2:$P$27),ISNUMBER(Table13[[#This Row],[Column4]]),Table13[[#This Row],[Column4]],Table13[[#This Row],[Column4]]="",I279*(1+Table13[[#This Row],[Ávöxtun]]))</f>
        <v>100</v>
      </c>
      <c r="L280" s="33">
        <v>100</v>
      </c>
      <c r="M280" s="33">
        <v>100</v>
      </c>
    </row>
    <row r="281" spans="1:13">
      <c r="A281" t="s">
        <v>82</v>
      </c>
      <c r="B281">
        <v>1998</v>
      </c>
      <c r="C281" s="16">
        <v>7.0000000000000007E-2</v>
      </c>
      <c r="D281" s="1">
        <v>1683730.15</v>
      </c>
      <c r="E281" s="29">
        <f>Table13[[#This Row],[Ávöxtun]]*Table13[[#This Row],[Eignir]]/SUMIFS(Table13[Eignir],Table13[Year],Table13[[#This Row],[Year]])</f>
        <v>3.5661624545088556E-4</v>
      </c>
      <c r="F281" s="23">
        <f>IF(B281=1997, 100, IF(COUNTIF(A$1:A280,A281)=0, "NEW", F280*(1+Table13[[#This Row],[Ávöxtun]])))</f>
        <v>107</v>
      </c>
      <c r="G281" s="18" cm="1">
        <f t="array" ref="G281">IFERROR(_xlfn.IFS(ISNUMBER(Table13[[#This Row],[Column3]]),Table13[[#This Row],[Column3]],Table13[[#This Row],[Column3]]="NEW",Table13[[#This Row],[Column3]]),"")</f>
        <v>107</v>
      </c>
      <c r="H281" s="15" cm="1">
        <f t="array" ref="H281">_xlfn.IFS(Table13[[#This Row],[Column4]]="NEW",AVERAGEIFS(Table13[Column4],Table13[Year],Table13[[#This Row],[Year]]),ISNUMBER(Table13[[#This Row],[Column4]]),Table13[[#This Row],[Column4]],Table13[[#This Row],[Column4]]="",H280*(1+Table13[[#This Row],[Ávöxtun]]))</f>
        <v>107</v>
      </c>
      <c r="I281" cm="1">
        <f t="array" ref="I281">_xlfn.IFS(Table13[[#This Row],[Column4]]="NEW",_xlfn.XLOOKUP(Table13[[#This Row],[Year]],$N$2:$N$27,$P$2:$P$27),ISNUMBER(Table13[[#This Row],[Column4]]),Table13[[#This Row],[Column4]],Table13[[#This Row],[Column4]]="",I280*(1+Table13[[#This Row],[Ávöxtun]]))</f>
        <v>107</v>
      </c>
      <c r="L281" s="33">
        <v>107</v>
      </c>
      <c r="M281" s="33">
        <v>107</v>
      </c>
    </row>
    <row r="282" spans="1:13">
      <c r="A282" t="s">
        <v>82</v>
      </c>
      <c r="B282">
        <v>1999</v>
      </c>
      <c r="C282" s="16">
        <v>0.08</v>
      </c>
      <c r="D282" s="1">
        <v>1969065.52</v>
      </c>
      <c r="E282" s="29">
        <f>Table13[[#This Row],[Ávöxtun]]*Table13[[#This Row],[Eignir]]/SUMIFS(Table13[Eignir],Table13[Year],Table13[[#This Row],[Year]])</f>
        <v>3.5484730519951902E-4</v>
      </c>
      <c r="F282" s="23">
        <f>IF(B282=1997, 100, IF(COUNTIF(A$1:A281,A282)=0, "NEW", F281*(1+Table13[[#This Row],[Ávöxtun]])))</f>
        <v>115.56</v>
      </c>
      <c r="G282" s="18" cm="1">
        <f t="array" ref="G282">IFERROR(_xlfn.IFS(ISNUMBER(Table13[[#This Row],[Column3]]),Table13[[#This Row],[Column3]],Table13[[#This Row],[Column3]]="NEW",Table13[[#This Row],[Column3]]),"")</f>
        <v>115.56</v>
      </c>
      <c r="H282" s="15" cm="1">
        <f t="array" ref="H282">_xlfn.IFS(Table13[[#This Row],[Column4]]="NEW",AVERAGEIFS(Table13[Column4],Table13[Year],Table13[[#This Row],[Year]]),ISNUMBER(Table13[[#This Row],[Column4]]),Table13[[#This Row],[Column4]],Table13[[#This Row],[Column4]]="",H281*(1+Table13[[#This Row],[Ávöxtun]]))</f>
        <v>115.56</v>
      </c>
      <c r="I282" cm="1">
        <f t="array" ref="I282">_xlfn.IFS(Table13[[#This Row],[Column4]]="NEW",_xlfn.XLOOKUP(Table13[[#This Row],[Year]],$N$2:$N$27,$P$2:$P$27),ISNUMBER(Table13[[#This Row],[Column4]]),Table13[[#This Row],[Column4]],Table13[[#This Row],[Column4]]="",I281*(1+Table13[[#This Row],[Ávöxtun]]))</f>
        <v>115.56</v>
      </c>
      <c r="L282" s="33">
        <v>115.56</v>
      </c>
      <c r="M282" s="33">
        <v>115.56</v>
      </c>
    </row>
    <row r="283" spans="1:13">
      <c r="A283" t="s">
        <v>82</v>
      </c>
      <c r="B283">
        <v>2000</v>
      </c>
      <c r="C283" s="16">
        <v>-0.06</v>
      </c>
      <c r="D283" s="1">
        <v>1977470.53</v>
      </c>
      <c r="E283" s="29">
        <f>Table13[[#This Row],[Ávöxtun]]*Table13[[#This Row],[Eignir]]/SUMIFS(Table13[Eignir],Table13[Year],Table13[[#This Row],[Year]])</f>
        <v>-1.8999475417979118E-4</v>
      </c>
      <c r="F283" s="23">
        <f>IF(B283=1997, 100, IF(COUNTIF(A$1:A282,A283)=0, "NEW", F282*(1+Table13[[#This Row],[Ávöxtun]])))</f>
        <v>108.62639999999999</v>
      </c>
      <c r="G283" s="18" cm="1">
        <f t="array" ref="G283">IFERROR(_xlfn.IFS(ISNUMBER(Table13[[#This Row],[Column3]]),Table13[[#This Row],[Column3]],Table13[[#This Row],[Column3]]="NEW",Table13[[#This Row],[Column3]]),"")</f>
        <v>108.62639999999999</v>
      </c>
      <c r="H283" s="15" cm="1">
        <f t="array" ref="H283">_xlfn.IFS(Table13[[#This Row],[Column4]]="NEW",AVERAGEIFS(Table13[Column4],Table13[Year],Table13[[#This Row],[Year]]),ISNUMBER(Table13[[#This Row],[Column4]]),Table13[[#This Row],[Column4]],Table13[[#This Row],[Column4]]="",H282*(1+Table13[[#This Row],[Ávöxtun]]))</f>
        <v>108.62639999999999</v>
      </c>
      <c r="I283" cm="1">
        <f t="array" ref="I283">_xlfn.IFS(Table13[[#This Row],[Column4]]="NEW",_xlfn.XLOOKUP(Table13[[#This Row],[Year]],$N$2:$N$27,$P$2:$P$27),ISNUMBER(Table13[[#This Row],[Column4]]),Table13[[#This Row],[Column4]],Table13[[#This Row],[Column4]]="",I282*(1+Table13[[#This Row],[Ávöxtun]]))</f>
        <v>108.62639999999999</v>
      </c>
      <c r="L283" s="33">
        <v>108.62639999999999</v>
      </c>
      <c r="M283" s="33">
        <v>108.62639999999999</v>
      </c>
    </row>
    <row r="284" spans="1:13">
      <c r="A284" t="s">
        <v>82</v>
      </c>
      <c r="B284">
        <v>2001</v>
      </c>
      <c r="C284" s="16">
        <v>-0.04</v>
      </c>
      <c r="D284" s="1">
        <v>2090302</v>
      </c>
      <c r="E284" s="29">
        <f>Table13[[#This Row],[Ávöxtun]]*Table13[[#This Row],[Eignir]]/SUMIFS(Table13[Eignir],Table13[Year],Table13[[#This Row],[Year]])</f>
        <v>-8.7001619816026374E-5</v>
      </c>
      <c r="F284" s="23">
        <f>IF(B284=1997, 100, IF(COUNTIF(A$1:A283,A284)=0, "NEW", F283*(1+Table13[[#This Row],[Ávöxtun]])))</f>
        <v>104.28134399999999</v>
      </c>
      <c r="G284" s="18" cm="1">
        <f t="array" ref="G284">IFERROR(_xlfn.IFS(ISNUMBER(Table13[[#This Row],[Column3]]),Table13[[#This Row],[Column3]],Table13[[#This Row],[Column3]]="NEW",Table13[[#This Row],[Column3]]),"")</f>
        <v>104.28134399999999</v>
      </c>
      <c r="H284" s="15" cm="1">
        <f t="array" ref="H284">_xlfn.IFS(Table13[[#This Row],[Column4]]="NEW",AVERAGEIFS(Table13[Column4],Table13[Year],Table13[[#This Row],[Year]]),ISNUMBER(Table13[[#This Row],[Column4]]),Table13[[#This Row],[Column4]],Table13[[#This Row],[Column4]]="",H283*(1+Table13[[#This Row],[Ávöxtun]]))</f>
        <v>104.28134399999999</v>
      </c>
      <c r="I284" cm="1">
        <f t="array" ref="I284">_xlfn.IFS(Table13[[#This Row],[Column4]]="NEW",_xlfn.XLOOKUP(Table13[[#This Row],[Year]],$N$2:$N$27,$P$2:$P$27),ISNUMBER(Table13[[#This Row],[Column4]]),Table13[[#This Row],[Column4]],Table13[[#This Row],[Column4]]="",I283*(1+Table13[[#This Row],[Ávöxtun]]))</f>
        <v>104.28134399999999</v>
      </c>
      <c r="L284" s="33">
        <v>104.28134399999999</v>
      </c>
      <c r="M284" s="33">
        <v>104.28134399999999</v>
      </c>
    </row>
    <row r="285" spans="1:13">
      <c r="A285" t="s">
        <v>82</v>
      </c>
      <c r="B285">
        <v>2002</v>
      </c>
      <c r="C285" s="16">
        <v>-0.08</v>
      </c>
      <c r="D285" s="1">
        <v>2003247</v>
      </c>
      <c r="E285" s="29">
        <f>Table13[[#This Row],[Ávöxtun]]*Table13[[#This Row],[Eignir]]/SUMIFS(Table13[Eignir],Table13[Year],Table13[[#This Row],[Year]])</f>
        <v>-3.0074146566005006E-4</v>
      </c>
      <c r="F285" s="23">
        <f>IF(B285=1997, 100, IF(COUNTIF(A$1:A284,A285)=0, "NEW", F284*(1+Table13[[#This Row],[Ávöxtun]])))</f>
        <v>95.938836479999992</v>
      </c>
      <c r="G285" s="18" cm="1">
        <f t="array" ref="G285">IFERROR(_xlfn.IFS(ISNUMBER(Table13[[#This Row],[Column3]]),Table13[[#This Row],[Column3]],Table13[[#This Row],[Column3]]="NEW",Table13[[#This Row],[Column3]]),"")</f>
        <v>95.938836479999992</v>
      </c>
      <c r="H285" s="15" cm="1">
        <f t="array" ref="H285">_xlfn.IFS(Table13[[#This Row],[Column4]]="NEW",AVERAGEIFS(Table13[Column4],Table13[Year],Table13[[#This Row],[Year]]),ISNUMBER(Table13[[#This Row],[Column4]]),Table13[[#This Row],[Column4]],Table13[[#This Row],[Column4]]="",H284*(1+Table13[[#This Row],[Ávöxtun]]))</f>
        <v>95.938836479999992</v>
      </c>
      <c r="I285" cm="1">
        <f t="array" ref="I285">_xlfn.IFS(Table13[[#This Row],[Column4]]="NEW",_xlfn.XLOOKUP(Table13[[#This Row],[Year]],$N$2:$N$27,$P$2:$P$27),ISNUMBER(Table13[[#This Row],[Column4]]),Table13[[#This Row],[Column4]],Table13[[#This Row],[Column4]]="",I284*(1+Table13[[#This Row],[Ávöxtun]]))</f>
        <v>95.938836479999992</v>
      </c>
      <c r="L285" s="33">
        <v>95.938836479999992</v>
      </c>
      <c r="M285" s="33">
        <v>95.938836479999992</v>
      </c>
    </row>
    <row r="286" spans="1:13">
      <c r="A286" t="s">
        <v>82</v>
      </c>
      <c r="B286">
        <v>2003</v>
      </c>
      <c r="C286" s="16">
        <v>0.09</v>
      </c>
      <c r="D286" s="1">
        <v>2279171</v>
      </c>
      <c r="E286" s="29">
        <f>Table13[[#This Row],[Ávöxtun]]*Table13[[#This Row],[Eignir]]/SUMIFS(Table13[Eignir],Table13[Year],Table13[[#This Row],[Year]])</f>
        <v>3.2161818004389388E-4</v>
      </c>
      <c r="F286" s="23">
        <f>IF(B286=1997, 100, IF(COUNTIF(A$1:A285,A286)=0, "NEW", F285*(1+Table13[[#This Row],[Ávöxtun]])))</f>
        <v>104.5733317632</v>
      </c>
      <c r="G286" s="18" cm="1">
        <f t="array" ref="G286">IFERROR(_xlfn.IFS(ISNUMBER(Table13[[#This Row],[Column3]]),Table13[[#This Row],[Column3]],Table13[[#This Row],[Column3]]="NEW",Table13[[#This Row],[Column3]]),"")</f>
        <v>104.5733317632</v>
      </c>
      <c r="H286" s="15" cm="1">
        <f t="array" ref="H286">_xlfn.IFS(Table13[[#This Row],[Column4]]="NEW",AVERAGEIFS(Table13[Column4],Table13[Year],Table13[[#This Row],[Year]]),ISNUMBER(Table13[[#This Row],[Column4]]),Table13[[#This Row],[Column4]],Table13[[#This Row],[Column4]]="",H285*(1+Table13[[#This Row],[Ávöxtun]]))</f>
        <v>104.5733317632</v>
      </c>
      <c r="I286" cm="1">
        <f t="array" ref="I286">_xlfn.IFS(Table13[[#This Row],[Column4]]="NEW",_xlfn.XLOOKUP(Table13[[#This Row],[Year]],$N$2:$N$27,$P$2:$P$27),ISNUMBER(Table13[[#This Row],[Column4]]),Table13[[#This Row],[Column4]],Table13[[#This Row],[Column4]]="",I285*(1+Table13[[#This Row],[Ávöxtun]]))</f>
        <v>104.5733317632</v>
      </c>
      <c r="L286" s="33">
        <v>104.5733317632</v>
      </c>
      <c r="M286" s="33">
        <v>104.5733317632</v>
      </c>
    </row>
    <row r="287" spans="1:13">
      <c r="A287" t="s">
        <v>82</v>
      </c>
      <c r="B287">
        <v>2004</v>
      </c>
      <c r="C287" s="16">
        <v>0.06</v>
      </c>
      <c r="D287" s="1">
        <v>2542380</v>
      </c>
      <c r="E287" s="29">
        <f>Table13[[#This Row],[Ávöxtun]]*Table13[[#This Row],[Eignir]]/SUMIFS(Table13[Eignir],Table13[Year],Table13[[#This Row],[Year]])</f>
        <v>2.0081133343768804E-4</v>
      </c>
      <c r="F287" s="23">
        <f>IF(B287=1997, 100, IF(COUNTIF(A$1:A286,A287)=0, "NEW", F286*(1+Table13[[#This Row],[Ávöxtun]])))</f>
        <v>110.84773166899201</v>
      </c>
      <c r="G287" s="18" cm="1">
        <f t="array" ref="G287">IFERROR(_xlfn.IFS(ISNUMBER(Table13[[#This Row],[Column3]]),Table13[[#This Row],[Column3]],Table13[[#This Row],[Column3]]="NEW",Table13[[#This Row],[Column3]]),"")</f>
        <v>110.84773166899201</v>
      </c>
      <c r="H287" s="15" cm="1">
        <f t="array" ref="H287">_xlfn.IFS(Table13[[#This Row],[Column4]]="NEW",AVERAGEIFS(Table13[Column4],Table13[Year],Table13[[#This Row],[Year]]),ISNUMBER(Table13[[#This Row],[Column4]]),Table13[[#This Row],[Column4]],Table13[[#This Row],[Column4]]="",H286*(1+Table13[[#This Row],[Ávöxtun]]))</f>
        <v>110.84773166899201</v>
      </c>
      <c r="I287" cm="1">
        <f t="array" ref="I287">_xlfn.IFS(Table13[[#This Row],[Column4]]="NEW",_xlfn.XLOOKUP(Table13[[#This Row],[Year]],$N$2:$N$27,$P$2:$P$27),ISNUMBER(Table13[[#This Row],[Column4]]),Table13[[#This Row],[Column4]],Table13[[#This Row],[Column4]]="",I286*(1+Table13[[#This Row],[Ávöxtun]]))</f>
        <v>110.84773166899201</v>
      </c>
      <c r="L287" s="33">
        <v>110.84773166899201</v>
      </c>
      <c r="M287" s="33">
        <v>110.84773166899201</v>
      </c>
    </row>
    <row r="288" spans="1:13">
      <c r="A288" t="s">
        <v>82</v>
      </c>
      <c r="B288">
        <v>2005</v>
      </c>
      <c r="C288" s="16">
        <v>0.08</v>
      </c>
      <c r="D288" s="1">
        <v>2910238</v>
      </c>
      <c r="E288" s="29">
        <f>Table13[[#This Row],[Ávöxtun]]*Table13[[#This Row],[Eignir]]/SUMIFS(Table13[Eignir],Table13[Year],Table13[[#This Row],[Year]])</f>
        <v>2.4942868601710938E-4</v>
      </c>
      <c r="F288" s="23">
        <f>IF(B288=1997, 100, IF(COUNTIF(A$1:A287,A288)=0, "NEW", F287*(1+Table13[[#This Row],[Ávöxtun]])))</f>
        <v>119.71555020251138</v>
      </c>
      <c r="G288" s="18" cm="1">
        <f t="array" ref="G288">IFERROR(_xlfn.IFS(ISNUMBER(Table13[[#This Row],[Column3]]),Table13[[#This Row],[Column3]],Table13[[#This Row],[Column3]]="NEW",Table13[[#This Row],[Column3]]),"")</f>
        <v>119.71555020251138</v>
      </c>
      <c r="H288" s="15" cm="1">
        <f t="array" ref="H288">_xlfn.IFS(Table13[[#This Row],[Column4]]="NEW",AVERAGEIFS(Table13[Column4],Table13[Year],Table13[[#This Row],[Year]]),ISNUMBER(Table13[[#This Row],[Column4]]),Table13[[#This Row],[Column4]],Table13[[#This Row],[Column4]]="",H287*(1+Table13[[#This Row],[Ávöxtun]]))</f>
        <v>119.71555020251138</v>
      </c>
      <c r="I288" cm="1">
        <f t="array" ref="I288">_xlfn.IFS(Table13[[#This Row],[Column4]]="NEW",_xlfn.XLOOKUP(Table13[[#This Row],[Year]],$N$2:$N$27,$P$2:$P$27),ISNUMBER(Table13[[#This Row],[Column4]]),Table13[[#This Row],[Column4]],Table13[[#This Row],[Column4]]="",I287*(1+Table13[[#This Row],[Ávöxtun]]))</f>
        <v>119.71555020251138</v>
      </c>
      <c r="L288" s="33">
        <v>119.71555020251138</v>
      </c>
      <c r="M288" s="33">
        <v>119.71555020251138</v>
      </c>
    </row>
    <row r="289" spans="1:13">
      <c r="A289" t="s">
        <v>83</v>
      </c>
      <c r="B289">
        <v>1997</v>
      </c>
      <c r="C289" s="16">
        <v>0.08</v>
      </c>
      <c r="D289" s="1">
        <v>2151349.7400000002</v>
      </c>
      <c r="E289" s="29">
        <f>Table13[[#This Row],[Ávöxtun]]*Table13[[#This Row],[Eignir]]/SUMIFS(Table13[Eignir],Table13[Year],Table13[[#This Row],[Year]])</f>
        <v>6.0313482635589622E-4</v>
      </c>
      <c r="F289" s="23">
        <f>IF(B289=1997, 100, IF(COUNTIF(A$1:A288,A289)=0, "NEW", F288*(1+Table13[[#This Row],[Ávöxtun]])))</f>
        <v>100</v>
      </c>
      <c r="G289" s="18" cm="1">
        <f t="array" ref="G289">IFERROR(_xlfn.IFS(ISNUMBER(Table13[[#This Row],[Column3]]),Table13[[#This Row],[Column3]],Table13[[#This Row],[Column3]]="NEW",Table13[[#This Row],[Column3]]),"")</f>
        <v>100</v>
      </c>
      <c r="H289" s="15" cm="1">
        <f t="array" ref="H289">_xlfn.IFS(Table13[[#This Row],[Column4]]="NEW",AVERAGEIFS(Table13[Column4],Table13[Year],Table13[[#This Row],[Year]]),ISNUMBER(Table13[[#This Row],[Column4]]),Table13[[#This Row],[Column4]],Table13[[#This Row],[Column4]]="",H288*(1+Table13[[#This Row],[Ávöxtun]]))</f>
        <v>100</v>
      </c>
      <c r="I289" cm="1">
        <f t="array" ref="I289">_xlfn.IFS(Table13[[#This Row],[Column4]]="NEW",_xlfn.XLOOKUP(Table13[[#This Row],[Year]],$N$2:$N$27,$P$2:$P$27),ISNUMBER(Table13[[#This Row],[Column4]]),Table13[[#This Row],[Column4]],Table13[[#This Row],[Column4]]="",I288*(1+Table13[[#This Row],[Ávöxtun]]))</f>
        <v>100</v>
      </c>
      <c r="L289" s="33">
        <v>100</v>
      </c>
      <c r="M289" s="33">
        <v>100</v>
      </c>
    </row>
    <row r="290" spans="1:13">
      <c r="A290" t="s">
        <v>83</v>
      </c>
      <c r="B290">
        <v>1998</v>
      </c>
      <c r="C290" s="16">
        <v>0.11</v>
      </c>
      <c r="D290" s="1">
        <v>2336810.54</v>
      </c>
      <c r="E290" s="29">
        <f>Table13[[#This Row],[Ávöxtun]]*Table13[[#This Row],[Eignir]]/SUMIFS(Table13[Eignir],Table13[Year],Table13[[#This Row],[Year]])</f>
        <v>7.7776211112090445E-4</v>
      </c>
      <c r="F290" s="23">
        <f>IF(B290=1997, 100, IF(COUNTIF(A$1:A289,A290)=0, "NEW", F289*(1+Table13[[#This Row],[Ávöxtun]])))</f>
        <v>111.00000000000001</v>
      </c>
      <c r="G290" s="18" cm="1">
        <f t="array" ref="G290">IFERROR(_xlfn.IFS(ISNUMBER(Table13[[#This Row],[Column3]]),Table13[[#This Row],[Column3]],Table13[[#This Row],[Column3]]="NEW",Table13[[#This Row],[Column3]]),"")</f>
        <v>111.00000000000001</v>
      </c>
      <c r="H290" s="15" cm="1">
        <f t="array" ref="H290">_xlfn.IFS(Table13[[#This Row],[Column4]]="NEW",AVERAGEIFS(Table13[Column4],Table13[Year],Table13[[#This Row],[Year]]),ISNUMBER(Table13[[#This Row],[Column4]]),Table13[[#This Row],[Column4]],Table13[[#This Row],[Column4]]="",H289*(1+Table13[[#This Row],[Ávöxtun]]))</f>
        <v>111.00000000000001</v>
      </c>
      <c r="I290" cm="1">
        <f t="array" ref="I290">_xlfn.IFS(Table13[[#This Row],[Column4]]="NEW",_xlfn.XLOOKUP(Table13[[#This Row],[Year]],$N$2:$N$27,$P$2:$P$27),ISNUMBER(Table13[[#This Row],[Column4]]),Table13[[#This Row],[Column4]],Table13[[#This Row],[Column4]]="",I289*(1+Table13[[#This Row],[Ávöxtun]]))</f>
        <v>111.00000000000001</v>
      </c>
      <c r="L290" s="33">
        <v>111.00000000000001</v>
      </c>
      <c r="M290" s="33">
        <v>111.00000000000001</v>
      </c>
    </row>
    <row r="291" spans="1:13">
      <c r="A291" t="s">
        <v>83</v>
      </c>
      <c r="B291">
        <v>1999</v>
      </c>
      <c r="C291" s="16">
        <v>0.16</v>
      </c>
      <c r="D291" s="1">
        <v>2736516.12</v>
      </c>
      <c r="E291" s="29">
        <f>Table13[[#This Row],[Ávöxtun]]*Table13[[#This Row],[Eignir]]/SUMIFS(Table13[Eignir],Table13[Year],Table13[[#This Row],[Year]])</f>
        <v>9.8630072077748204E-4</v>
      </c>
      <c r="F291" s="23">
        <f>IF(B291=1997, 100, IF(COUNTIF(A$1:A290,A291)=0, "NEW", F290*(1+Table13[[#This Row],[Ávöxtun]])))</f>
        <v>128.76000000000002</v>
      </c>
      <c r="G291" s="18" cm="1">
        <f t="array" ref="G291">IFERROR(_xlfn.IFS(ISNUMBER(Table13[[#This Row],[Column3]]),Table13[[#This Row],[Column3]],Table13[[#This Row],[Column3]]="NEW",Table13[[#This Row],[Column3]]),"")</f>
        <v>128.76000000000002</v>
      </c>
      <c r="H291" s="15" cm="1">
        <f t="array" ref="H291">_xlfn.IFS(Table13[[#This Row],[Column4]]="NEW",AVERAGEIFS(Table13[Column4],Table13[Year],Table13[[#This Row],[Year]]),ISNUMBER(Table13[[#This Row],[Column4]]),Table13[[#This Row],[Column4]],Table13[[#This Row],[Column4]]="",H290*(1+Table13[[#This Row],[Ávöxtun]]))</f>
        <v>128.76000000000002</v>
      </c>
      <c r="I291" cm="1">
        <f t="array" ref="I291">_xlfn.IFS(Table13[[#This Row],[Column4]]="NEW",_xlfn.XLOOKUP(Table13[[#This Row],[Year]],$N$2:$N$27,$P$2:$P$27),ISNUMBER(Table13[[#This Row],[Column4]]),Table13[[#This Row],[Column4]],Table13[[#This Row],[Column4]]="",I290*(1+Table13[[#This Row],[Ávöxtun]]))</f>
        <v>128.76000000000002</v>
      </c>
      <c r="L291" s="33">
        <v>128.76000000000002</v>
      </c>
      <c r="M291" s="33">
        <v>128.76000000000002</v>
      </c>
    </row>
    <row r="292" spans="1:13">
      <c r="A292" t="s">
        <v>83</v>
      </c>
      <c r="B292">
        <v>2000</v>
      </c>
      <c r="C292" s="16">
        <v>-0.16</v>
      </c>
      <c r="D292" s="1">
        <v>5047478.04</v>
      </c>
      <c r="E292" s="29">
        <f>Table13[[#This Row],[Ávöxtun]]*Table13[[#This Row],[Eignir]]/SUMIFS(Table13[Eignir],Table13[Year],Table13[[#This Row],[Year]])</f>
        <v>-1.2932269919426738E-3</v>
      </c>
      <c r="F292" s="23">
        <f>IF(B292=1997, 100, IF(COUNTIF(A$1:A291,A292)=0, "NEW", F291*(1+Table13[[#This Row],[Ávöxtun]])))</f>
        <v>108.15840000000001</v>
      </c>
      <c r="G292" s="18" cm="1">
        <f t="array" ref="G292">IFERROR(_xlfn.IFS(ISNUMBER(Table13[[#This Row],[Column3]]),Table13[[#This Row],[Column3]],Table13[[#This Row],[Column3]]="NEW",Table13[[#This Row],[Column3]]),"")</f>
        <v>108.15840000000001</v>
      </c>
      <c r="H292" s="15" cm="1">
        <f t="array" ref="H292">_xlfn.IFS(Table13[[#This Row],[Column4]]="NEW",AVERAGEIFS(Table13[Column4],Table13[Year],Table13[[#This Row],[Year]]),ISNUMBER(Table13[[#This Row],[Column4]]),Table13[[#This Row],[Column4]],Table13[[#This Row],[Column4]]="",H291*(1+Table13[[#This Row],[Ávöxtun]]))</f>
        <v>108.15840000000001</v>
      </c>
      <c r="I292" cm="1">
        <f t="array" ref="I292">_xlfn.IFS(Table13[[#This Row],[Column4]]="NEW",_xlfn.XLOOKUP(Table13[[#This Row],[Year]],$N$2:$N$27,$P$2:$P$27),ISNUMBER(Table13[[#This Row],[Column4]]),Table13[[#This Row],[Column4]],Table13[[#This Row],[Column4]]="",I291*(1+Table13[[#This Row],[Ávöxtun]]))</f>
        <v>108.15840000000001</v>
      </c>
      <c r="L292" s="33">
        <v>108.15840000000001</v>
      </c>
      <c r="M292" s="33">
        <v>108.15840000000001</v>
      </c>
    </row>
    <row r="293" spans="1:13">
      <c r="A293" t="s">
        <v>83</v>
      </c>
      <c r="B293">
        <v>2001</v>
      </c>
      <c r="C293" s="16">
        <v>-0.03</v>
      </c>
      <c r="D293" s="1">
        <v>5126129</v>
      </c>
      <c r="E293" s="29">
        <f>Table13[[#This Row],[Ávöxtun]]*Table13[[#This Row],[Eignir]]/SUMIFS(Table13[Eignir],Table13[Year],Table13[[#This Row],[Year]])</f>
        <v>-1.6001809537063573E-4</v>
      </c>
      <c r="F293" s="23">
        <f>IF(B293=1997, 100, IF(COUNTIF(A$1:A292,A293)=0, "NEW", F292*(1+Table13[[#This Row],[Ávöxtun]])))</f>
        <v>104.91364800000001</v>
      </c>
      <c r="G293" s="18" cm="1">
        <f t="array" ref="G293">IFERROR(_xlfn.IFS(ISNUMBER(Table13[[#This Row],[Column3]]),Table13[[#This Row],[Column3]],Table13[[#This Row],[Column3]]="NEW",Table13[[#This Row],[Column3]]),"")</f>
        <v>104.91364800000001</v>
      </c>
      <c r="H293" s="15" cm="1">
        <f t="array" ref="H293">_xlfn.IFS(Table13[[#This Row],[Column4]]="NEW",AVERAGEIFS(Table13[Column4],Table13[Year],Table13[[#This Row],[Year]]),ISNUMBER(Table13[[#This Row],[Column4]]),Table13[[#This Row],[Column4]],Table13[[#This Row],[Column4]]="",H292*(1+Table13[[#This Row],[Ávöxtun]]))</f>
        <v>104.91364800000001</v>
      </c>
      <c r="I293" cm="1">
        <f t="array" ref="I293">_xlfn.IFS(Table13[[#This Row],[Column4]]="NEW",_xlfn.XLOOKUP(Table13[[#This Row],[Year]],$N$2:$N$27,$P$2:$P$27),ISNUMBER(Table13[[#This Row],[Column4]]),Table13[[#This Row],[Column4]],Table13[[#This Row],[Column4]]="",I292*(1+Table13[[#This Row],[Ávöxtun]]))</f>
        <v>104.91364800000001</v>
      </c>
      <c r="L293" s="33">
        <v>104.91364800000001</v>
      </c>
      <c r="M293" s="33">
        <v>104.91364800000001</v>
      </c>
    </row>
    <row r="294" spans="1:13">
      <c r="A294" t="s">
        <v>83</v>
      </c>
      <c r="B294">
        <v>2002</v>
      </c>
      <c r="C294" s="16">
        <v>0.08</v>
      </c>
      <c r="D294" s="1">
        <v>2646654</v>
      </c>
      <c r="E294" s="29">
        <f>Table13[[#This Row],[Ávöxtun]]*Table13[[#This Row],[Eignir]]/SUMIFS(Table13[Eignir],Table13[Year],Table13[[#This Row],[Year]])</f>
        <v>3.9733422940607628E-4</v>
      </c>
      <c r="F294" s="23">
        <f>IF(B294=1997, 100, IF(COUNTIF(A$1:A293,A294)=0, "NEW", F293*(1+Table13[[#This Row],[Ávöxtun]])))</f>
        <v>113.30673984000002</v>
      </c>
      <c r="G294" s="18" cm="1">
        <f t="array" ref="G294">IFERROR(_xlfn.IFS(ISNUMBER(Table13[[#This Row],[Column3]]),Table13[[#This Row],[Column3]],Table13[[#This Row],[Column3]]="NEW",Table13[[#This Row],[Column3]]),"")</f>
        <v>113.30673984000002</v>
      </c>
      <c r="H294" s="15" cm="1">
        <f t="array" ref="H294">_xlfn.IFS(Table13[[#This Row],[Column4]]="NEW",AVERAGEIFS(Table13[Column4],Table13[Year],Table13[[#This Row],[Year]]),ISNUMBER(Table13[[#This Row],[Column4]]),Table13[[#This Row],[Column4]],Table13[[#This Row],[Column4]]="",H293*(1+Table13[[#This Row],[Ávöxtun]]))</f>
        <v>113.30673984000002</v>
      </c>
      <c r="I294" cm="1">
        <f t="array" ref="I294">_xlfn.IFS(Table13[[#This Row],[Column4]]="NEW",_xlfn.XLOOKUP(Table13[[#This Row],[Year]],$N$2:$N$27,$P$2:$P$27),ISNUMBER(Table13[[#This Row],[Column4]]),Table13[[#This Row],[Column4]],Table13[[#This Row],[Column4]]="",I293*(1+Table13[[#This Row],[Ávöxtun]]))</f>
        <v>113.30673984000002</v>
      </c>
      <c r="L294" s="33">
        <v>113.30673984000002</v>
      </c>
      <c r="M294" s="33">
        <v>113.30673984000002</v>
      </c>
    </row>
    <row r="295" spans="1:13">
      <c r="A295" t="s">
        <v>83</v>
      </c>
      <c r="B295">
        <v>2003</v>
      </c>
      <c r="C295" s="16">
        <v>0.1</v>
      </c>
      <c r="D295" s="1">
        <v>2730488</v>
      </c>
      <c r="E295" s="29">
        <f>Table13[[#This Row],[Ávöxtun]]*Table13[[#This Row],[Eignir]]/SUMIFS(Table13[Eignir],Table13[Year],Table13[[#This Row],[Year]])</f>
        <v>4.2811598368768092E-4</v>
      </c>
      <c r="F295" s="23">
        <f>IF(B295=1997, 100, IF(COUNTIF(A$1:A294,A295)=0, "NEW", F294*(1+Table13[[#This Row],[Ávöxtun]])))</f>
        <v>124.63741382400003</v>
      </c>
      <c r="G295" s="18" cm="1">
        <f t="array" ref="G295">IFERROR(_xlfn.IFS(ISNUMBER(Table13[[#This Row],[Column3]]),Table13[[#This Row],[Column3]],Table13[[#This Row],[Column3]]="NEW",Table13[[#This Row],[Column3]]),"")</f>
        <v>124.63741382400003</v>
      </c>
      <c r="H295" s="15" cm="1">
        <f t="array" ref="H295">_xlfn.IFS(Table13[[#This Row],[Column4]]="NEW",AVERAGEIFS(Table13[Column4],Table13[Year],Table13[[#This Row],[Year]]),ISNUMBER(Table13[[#This Row],[Column4]]),Table13[[#This Row],[Column4]],Table13[[#This Row],[Column4]]="",H294*(1+Table13[[#This Row],[Ávöxtun]]))</f>
        <v>124.63741382400003</v>
      </c>
      <c r="I295" cm="1">
        <f t="array" ref="I295">_xlfn.IFS(Table13[[#This Row],[Column4]]="NEW",_xlfn.XLOOKUP(Table13[[#This Row],[Year]],$N$2:$N$27,$P$2:$P$27),ISNUMBER(Table13[[#This Row],[Column4]]),Table13[[#This Row],[Column4]],Table13[[#This Row],[Column4]]="",I294*(1+Table13[[#This Row],[Ávöxtun]]))</f>
        <v>124.63741382400003</v>
      </c>
      <c r="L295" s="33">
        <v>124.63741382400003</v>
      </c>
      <c r="M295" s="33">
        <v>124.63741382400003</v>
      </c>
    </row>
    <row r="296" spans="1:13">
      <c r="A296" t="s">
        <v>83</v>
      </c>
      <c r="B296">
        <v>2004</v>
      </c>
      <c r="C296" s="16">
        <v>0.25</v>
      </c>
      <c r="D296" s="1">
        <v>3121926</v>
      </c>
      <c r="E296" s="29">
        <f>Table13[[#This Row],[Ávöxtun]]*Table13[[#This Row],[Eignir]]/SUMIFS(Table13[Eignir],Table13[Year],Table13[[#This Row],[Year]])</f>
        <v>1.0274462691024875E-3</v>
      </c>
      <c r="F296" s="23">
        <f>IF(B296=1997, 100, IF(COUNTIF(A$1:A295,A296)=0, "NEW", F295*(1+Table13[[#This Row],[Ávöxtun]])))</f>
        <v>155.79676728000004</v>
      </c>
      <c r="G296" s="18" cm="1">
        <f t="array" ref="G296">IFERROR(_xlfn.IFS(ISNUMBER(Table13[[#This Row],[Column3]]),Table13[[#This Row],[Column3]],Table13[[#This Row],[Column3]]="NEW",Table13[[#This Row],[Column3]]),"")</f>
        <v>155.79676728000004</v>
      </c>
      <c r="H296" s="15" cm="1">
        <f t="array" ref="H296">_xlfn.IFS(Table13[[#This Row],[Column4]]="NEW",AVERAGEIFS(Table13[Column4],Table13[Year],Table13[[#This Row],[Year]]),ISNUMBER(Table13[[#This Row],[Column4]]),Table13[[#This Row],[Column4]],Table13[[#This Row],[Column4]]="",H295*(1+Table13[[#This Row],[Ávöxtun]]))</f>
        <v>155.79676728000004</v>
      </c>
      <c r="I296" cm="1">
        <f t="array" ref="I296">_xlfn.IFS(Table13[[#This Row],[Column4]]="NEW",_xlfn.XLOOKUP(Table13[[#This Row],[Year]],$N$2:$N$27,$P$2:$P$27),ISNUMBER(Table13[[#This Row],[Column4]]),Table13[[#This Row],[Column4]],Table13[[#This Row],[Column4]]="",I295*(1+Table13[[#This Row],[Ávöxtun]]))</f>
        <v>155.79676728000004</v>
      </c>
      <c r="L296" s="33">
        <v>155.79676728000004</v>
      </c>
      <c r="M296" s="33">
        <v>155.79676728000004</v>
      </c>
    </row>
    <row r="297" spans="1:13">
      <c r="A297" t="s">
        <v>83</v>
      </c>
      <c r="B297">
        <v>2005</v>
      </c>
      <c r="C297" s="16">
        <v>0.18</v>
      </c>
      <c r="D297" s="1">
        <v>3529049</v>
      </c>
      <c r="E297" s="29">
        <f>Table13[[#This Row],[Ávöxtun]]*Table13[[#This Row],[Eignir]]/SUMIFS(Table13[Eignir],Table13[Year],Table13[[#This Row],[Year]])</f>
        <v>6.8054695995997097E-4</v>
      </c>
      <c r="F297" s="23">
        <f>IF(B297=1997, 100, IF(COUNTIF(A$1:A296,A297)=0, "NEW", F296*(1+Table13[[#This Row],[Ávöxtun]])))</f>
        <v>183.84018539040002</v>
      </c>
      <c r="G297" s="18" cm="1">
        <f t="array" ref="G297">IFERROR(_xlfn.IFS(ISNUMBER(Table13[[#This Row],[Column3]]),Table13[[#This Row],[Column3]],Table13[[#This Row],[Column3]]="NEW",Table13[[#This Row],[Column3]]),"")</f>
        <v>183.84018539040002</v>
      </c>
      <c r="H297" s="15" cm="1">
        <f t="array" ref="H297">_xlfn.IFS(Table13[[#This Row],[Column4]]="NEW",AVERAGEIFS(Table13[Column4],Table13[Year],Table13[[#This Row],[Year]]),ISNUMBER(Table13[[#This Row],[Column4]]),Table13[[#This Row],[Column4]],Table13[[#This Row],[Column4]]="",H296*(1+Table13[[#This Row],[Ávöxtun]]))</f>
        <v>183.84018539040002</v>
      </c>
      <c r="I297" cm="1">
        <f t="array" ref="I297">_xlfn.IFS(Table13[[#This Row],[Column4]]="NEW",_xlfn.XLOOKUP(Table13[[#This Row],[Year]],$N$2:$N$27,$P$2:$P$27),ISNUMBER(Table13[[#This Row],[Column4]]),Table13[[#This Row],[Column4]],Table13[[#This Row],[Column4]]="",I296*(1+Table13[[#This Row],[Ávöxtun]]))</f>
        <v>183.84018539040002</v>
      </c>
      <c r="L297" s="33">
        <v>183.84018539040002</v>
      </c>
      <c r="M297" s="33">
        <v>183.84018539040002</v>
      </c>
    </row>
    <row r="298" spans="1:13">
      <c r="A298" t="s">
        <v>83</v>
      </c>
      <c r="B298">
        <v>2006</v>
      </c>
      <c r="C298" s="16">
        <v>8.2699999999999996E-2</v>
      </c>
      <c r="D298" s="1">
        <v>3828542</v>
      </c>
      <c r="E298" s="29">
        <f>Table13[[#This Row],[Ávöxtun]]*Table13[[#This Row],[Eignir]]/SUMIFS(Table13[Eignir],Table13[Year],Table13[[#This Row],[Year]])</f>
        <v>2.7832017978351986E-4</v>
      </c>
      <c r="F298" s="23">
        <f>IF(B298=1997, 100, IF(COUNTIF(A$1:A297,A298)=0, "NEW", F297*(1+Table13[[#This Row],[Ávöxtun]])))</f>
        <v>199.04376872218612</v>
      </c>
      <c r="G298" s="18" cm="1">
        <f t="array" ref="G298">IFERROR(_xlfn.IFS(ISNUMBER(Table13[[#This Row],[Column3]]),Table13[[#This Row],[Column3]],Table13[[#This Row],[Column3]]="NEW",Table13[[#This Row],[Column3]]),"")</f>
        <v>199.04376872218612</v>
      </c>
      <c r="H298" s="15" cm="1">
        <f t="array" ref="H298">_xlfn.IFS(Table13[[#This Row],[Column4]]="NEW",AVERAGEIFS(Table13[Column4],Table13[Year],Table13[[#This Row],[Year]]),ISNUMBER(Table13[[#This Row],[Column4]]),Table13[[#This Row],[Column4]],Table13[[#This Row],[Column4]]="",H297*(1+Table13[[#This Row],[Ávöxtun]]))</f>
        <v>199.04376872218612</v>
      </c>
      <c r="I298" cm="1">
        <f t="array" ref="I298">_xlfn.IFS(Table13[[#This Row],[Column4]]="NEW",_xlfn.XLOOKUP(Table13[[#This Row],[Year]],$N$2:$N$27,$P$2:$P$27),ISNUMBER(Table13[[#This Row],[Column4]]),Table13[[#This Row],[Column4]],Table13[[#This Row],[Column4]]="",I297*(1+Table13[[#This Row],[Ávöxtun]]))</f>
        <v>199.04376872218612</v>
      </c>
      <c r="L298" s="33">
        <v>199.04376872218612</v>
      </c>
      <c r="M298" s="33">
        <v>199.04376872218612</v>
      </c>
    </row>
    <row r="299" spans="1:13">
      <c r="A299" t="s">
        <v>83</v>
      </c>
      <c r="B299">
        <v>2007</v>
      </c>
      <c r="C299" s="16">
        <v>4.6600000000000003E-2</v>
      </c>
      <c r="D299" s="1">
        <v>173802</v>
      </c>
      <c r="E299" s="29">
        <f>Table13[[#This Row],[Ávöxtun]]*Table13[[#This Row],[Eignir]]/SUMIFS(Table13[Eignir],Table13[Year],Table13[[#This Row],[Year]])</f>
        <v>6.3104208757591213E-6</v>
      </c>
      <c r="F299" s="23">
        <f>IF(B299=1997, 100, IF(COUNTIF(A$1:A298,A299)=0, "NEW", F298*(1+Table13[[#This Row],[Ávöxtun]])))</f>
        <v>208.31920834463997</v>
      </c>
      <c r="G299" s="18" cm="1">
        <f t="array" ref="G299">IFERROR(_xlfn.IFS(ISNUMBER(Table13[[#This Row],[Column3]]),Table13[[#This Row],[Column3]],Table13[[#This Row],[Column3]]="NEW",Table13[[#This Row],[Column3]]),"")</f>
        <v>208.31920834463997</v>
      </c>
      <c r="H299" s="15" cm="1">
        <f t="array" ref="H299">_xlfn.IFS(Table13[[#This Row],[Column4]]="NEW",AVERAGEIFS(Table13[Column4],Table13[Year],Table13[[#This Row],[Year]]),ISNUMBER(Table13[[#This Row],[Column4]]),Table13[[#This Row],[Column4]],Table13[[#This Row],[Column4]]="",H298*(1+Table13[[#This Row],[Ávöxtun]]))</f>
        <v>208.31920834463997</v>
      </c>
      <c r="I299" cm="1">
        <f t="array" ref="I299">_xlfn.IFS(Table13[[#This Row],[Column4]]="NEW",_xlfn.XLOOKUP(Table13[[#This Row],[Year]],$N$2:$N$27,$P$2:$P$27),ISNUMBER(Table13[[#This Row],[Column4]]),Table13[[#This Row],[Column4]],Table13[[#This Row],[Column4]]="",I298*(1+Table13[[#This Row],[Ávöxtun]]))</f>
        <v>208.31920834463997</v>
      </c>
      <c r="L299" s="33">
        <v>208.31920834463997</v>
      </c>
      <c r="M299" s="33">
        <v>208.31920834463997</v>
      </c>
    </row>
    <row r="300" spans="1:13">
      <c r="A300" t="s">
        <v>83</v>
      </c>
      <c r="B300">
        <v>2008</v>
      </c>
      <c r="C300" s="16">
        <v>-0.255</v>
      </c>
      <c r="D300" s="1">
        <v>117107</v>
      </c>
      <c r="E300" s="29">
        <f>Table13[[#This Row],[Ávöxtun]]*Table13[[#This Row],[Eignir]]/SUMIFS(Table13[Eignir],Table13[Year],Table13[[#This Row],[Year]])</f>
        <v>-2.4102009267320561E-5</v>
      </c>
      <c r="F300" s="23">
        <f>IF(B300=1997, 100, IF(COUNTIF(A$1:A299,A300)=0, "NEW", F299*(1+Table13[[#This Row],[Ávöxtun]])))</f>
        <v>155.19781021675678</v>
      </c>
      <c r="G300" s="18" cm="1">
        <f t="array" ref="G300">IFERROR(_xlfn.IFS(ISNUMBER(Table13[[#This Row],[Column3]]),Table13[[#This Row],[Column3]],Table13[[#This Row],[Column3]]="NEW",Table13[[#This Row],[Column3]]),"")</f>
        <v>155.19781021675678</v>
      </c>
      <c r="H300" s="15" cm="1">
        <f t="array" ref="H300">_xlfn.IFS(Table13[[#This Row],[Column4]]="NEW",AVERAGEIFS(Table13[Column4],Table13[Year],Table13[[#This Row],[Year]]),ISNUMBER(Table13[[#This Row],[Column4]]),Table13[[#This Row],[Column4]],Table13[[#This Row],[Column4]]="",H299*(1+Table13[[#This Row],[Ávöxtun]]))</f>
        <v>155.19781021675678</v>
      </c>
      <c r="I300" cm="1">
        <f t="array" ref="I300">_xlfn.IFS(Table13[[#This Row],[Column4]]="NEW",_xlfn.XLOOKUP(Table13[[#This Row],[Year]],$N$2:$N$27,$P$2:$P$27),ISNUMBER(Table13[[#This Row],[Column4]]),Table13[[#This Row],[Column4]],Table13[[#This Row],[Column4]]="",I299*(1+Table13[[#This Row],[Ávöxtun]]))</f>
        <v>155.19781021675678</v>
      </c>
      <c r="L300" s="33">
        <v>155.19781021675678</v>
      </c>
      <c r="M300" s="33">
        <v>155.19781021675678</v>
      </c>
    </row>
    <row r="301" spans="1:13">
      <c r="A301" t="s">
        <v>83</v>
      </c>
      <c r="B301">
        <v>2009</v>
      </c>
      <c r="C301" s="16">
        <v>-5.0000000000000001E-3</v>
      </c>
      <c r="D301" s="1">
        <v>88352</v>
      </c>
      <c r="E301" s="29">
        <f>Table13[[#This Row],[Ávöxtun]]*Table13[[#This Row],[Eignir]]/SUMIFS(Table13[Eignir],Table13[Year],Table13[[#This Row],[Year]])</f>
        <v>-3.2172031578331752E-7</v>
      </c>
      <c r="F301" s="23">
        <f>IF(B301=1997, 100, IF(COUNTIF(A$1:A300,A301)=0, "NEW", F300*(1+Table13[[#This Row],[Ávöxtun]])))</f>
        <v>154.42182116567298</v>
      </c>
      <c r="G301" s="18" cm="1">
        <f t="array" ref="G301">IFERROR(_xlfn.IFS(ISNUMBER(Table13[[#This Row],[Column3]]),Table13[[#This Row],[Column3]],Table13[[#This Row],[Column3]]="NEW",Table13[[#This Row],[Column3]]),"")</f>
        <v>154.42182116567298</v>
      </c>
      <c r="H301" s="15" cm="1">
        <f t="array" ref="H301">_xlfn.IFS(Table13[[#This Row],[Column4]]="NEW",AVERAGEIFS(Table13[Column4],Table13[Year],Table13[[#This Row],[Year]]),ISNUMBER(Table13[[#This Row],[Column4]]),Table13[[#This Row],[Column4]],Table13[[#This Row],[Column4]]="",H300*(1+Table13[[#This Row],[Ávöxtun]]))</f>
        <v>154.42182116567298</v>
      </c>
      <c r="I301" cm="1">
        <f t="array" ref="I301">_xlfn.IFS(Table13[[#This Row],[Column4]]="NEW",_xlfn.XLOOKUP(Table13[[#This Row],[Year]],$N$2:$N$27,$P$2:$P$27),ISNUMBER(Table13[[#This Row],[Column4]]),Table13[[#This Row],[Column4]],Table13[[#This Row],[Column4]]="",I300*(1+Table13[[#This Row],[Ávöxtun]]))</f>
        <v>154.42182116567298</v>
      </c>
      <c r="L301" s="33">
        <v>154.42182116567298</v>
      </c>
      <c r="M301" s="33">
        <v>154.42182116567298</v>
      </c>
    </row>
    <row r="302" spans="1:13">
      <c r="A302" t="s">
        <v>85</v>
      </c>
      <c r="B302">
        <v>1997</v>
      </c>
      <c r="C302" s="16">
        <v>0.05</v>
      </c>
      <c r="D302" s="1">
        <v>149601.20000000001</v>
      </c>
      <c r="E302" s="29">
        <f>Table13[[#This Row],[Ávöxtun]]*Table13[[#This Row],[Eignir]]/SUMIFS(Table13[Eignir],Table13[Year],Table13[[#This Row],[Year]])</f>
        <v>2.6213105924560672E-5</v>
      </c>
      <c r="F302" s="23">
        <f>IF(B302=1997, 100, IF(COUNTIF(A$1:A301,A302)=0, "NEW", F301*(1+Table13[[#This Row],[Ávöxtun]])))</f>
        <v>100</v>
      </c>
      <c r="G302" s="18" cm="1">
        <f t="array" ref="G302">IFERROR(_xlfn.IFS(ISNUMBER(Table13[[#This Row],[Column3]]),Table13[[#This Row],[Column3]],Table13[[#This Row],[Column3]]="NEW",Table13[[#This Row],[Column3]]),"")</f>
        <v>100</v>
      </c>
      <c r="H302" s="15" cm="1">
        <f t="array" ref="H302">_xlfn.IFS(Table13[[#This Row],[Column4]]="NEW",AVERAGEIFS(Table13[Column4],Table13[Year],Table13[[#This Row],[Year]]),ISNUMBER(Table13[[#This Row],[Column4]]),Table13[[#This Row],[Column4]],Table13[[#This Row],[Column4]]="",H301*(1+Table13[[#This Row],[Ávöxtun]]))</f>
        <v>100</v>
      </c>
      <c r="I302" cm="1">
        <f t="array" ref="I302">_xlfn.IFS(Table13[[#This Row],[Column4]]="NEW",_xlfn.XLOOKUP(Table13[[#This Row],[Year]],$N$2:$N$27,$P$2:$P$27),ISNUMBER(Table13[[#This Row],[Column4]]),Table13[[#This Row],[Column4]],Table13[[#This Row],[Column4]]="",I301*(1+Table13[[#This Row],[Ávöxtun]]))</f>
        <v>100</v>
      </c>
      <c r="L302" s="33">
        <v>100</v>
      </c>
      <c r="M302" s="33">
        <v>100</v>
      </c>
    </row>
    <row r="303" spans="1:13">
      <c r="A303" t="s">
        <v>85</v>
      </c>
      <c r="B303">
        <v>1998</v>
      </c>
      <c r="C303" s="16">
        <v>0.03</v>
      </c>
      <c r="D303" s="1">
        <v>153041.68</v>
      </c>
      <c r="E303" s="29">
        <f>Table13[[#This Row],[Ávöxtun]]*Table13[[#This Row],[Eignir]]/SUMIFS(Table13[Eignir],Table13[Year],Table13[[#This Row],[Year]])</f>
        <v>1.389189761259611E-5</v>
      </c>
      <c r="F303" s="23">
        <f>IF(B303=1997, 100, IF(COUNTIF(A$1:A302,A303)=0, "NEW", F302*(1+Table13[[#This Row],[Ávöxtun]])))</f>
        <v>103</v>
      </c>
      <c r="G303" s="18" cm="1">
        <f t="array" ref="G303">IFERROR(_xlfn.IFS(ISNUMBER(Table13[[#This Row],[Column3]]),Table13[[#This Row],[Column3]],Table13[[#This Row],[Column3]]="NEW",Table13[[#This Row],[Column3]]),"")</f>
        <v>103</v>
      </c>
      <c r="H303" s="15" cm="1">
        <f t="array" ref="H303">_xlfn.IFS(Table13[[#This Row],[Column4]]="NEW",AVERAGEIFS(Table13[Column4],Table13[Year],Table13[[#This Row],[Year]]),ISNUMBER(Table13[[#This Row],[Column4]]),Table13[[#This Row],[Column4]],Table13[[#This Row],[Column4]]="",H302*(1+Table13[[#This Row],[Ávöxtun]]))</f>
        <v>103</v>
      </c>
      <c r="I303" cm="1">
        <f t="array" ref="I303">_xlfn.IFS(Table13[[#This Row],[Column4]]="NEW",_xlfn.XLOOKUP(Table13[[#This Row],[Year]],$N$2:$N$27,$P$2:$P$27),ISNUMBER(Table13[[#This Row],[Column4]]),Table13[[#This Row],[Column4]],Table13[[#This Row],[Column4]]="",I302*(1+Table13[[#This Row],[Ávöxtun]]))</f>
        <v>103</v>
      </c>
      <c r="L303" s="33">
        <v>103</v>
      </c>
      <c r="M303" s="33">
        <v>103</v>
      </c>
    </row>
    <row r="304" spans="1:13">
      <c r="A304" t="s">
        <v>85</v>
      </c>
      <c r="B304">
        <v>1999</v>
      </c>
      <c r="C304" s="16">
        <v>0.04</v>
      </c>
      <c r="D304" s="1">
        <v>169348.75</v>
      </c>
      <c r="E304" s="29">
        <f>Table13[[#This Row],[Ávöxtun]]*Table13[[#This Row],[Eignir]]/SUMIFS(Table13[Eignir],Table13[Year],Table13[[#This Row],[Year]])</f>
        <v>1.5259255460531107E-5</v>
      </c>
      <c r="F304" s="23">
        <f>IF(B304=1997, 100, IF(COUNTIF(A$1:A303,A304)=0, "NEW", F303*(1+Table13[[#This Row],[Ávöxtun]])))</f>
        <v>107.12</v>
      </c>
      <c r="G304" s="18" cm="1">
        <f t="array" ref="G304">IFERROR(_xlfn.IFS(ISNUMBER(Table13[[#This Row],[Column3]]),Table13[[#This Row],[Column3]],Table13[[#This Row],[Column3]]="NEW",Table13[[#This Row],[Column3]]),"")</f>
        <v>107.12</v>
      </c>
      <c r="H304" s="15" cm="1">
        <f t="array" ref="H304">_xlfn.IFS(Table13[[#This Row],[Column4]]="NEW",AVERAGEIFS(Table13[Column4],Table13[Year],Table13[[#This Row],[Year]]),ISNUMBER(Table13[[#This Row],[Column4]]),Table13[[#This Row],[Column4]],Table13[[#This Row],[Column4]]="",H303*(1+Table13[[#This Row],[Ávöxtun]]))</f>
        <v>107.12</v>
      </c>
      <c r="I304" cm="1">
        <f t="array" ref="I304">_xlfn.IFS(Table13[[#This Row],[Column4]]="NEW",_xlfn.XLOOKUP(Table13[[#This Row],[Year]],$N$2:$N$27,$P$2:$P$27),ISNUMBER(Table13[[#This Row],[Column4]]),Table13[[#This Row],[Column4]],Table13[[#This Row],[Column4]]="",I303*(1+Table13[[#This Row],[Ávöxtun]]))</f>
        <v>107.12</v>
      </c>
      <c r="L304" s="33">
        <v>107.12</v>
      </c>
      <c r="M304" s="33">
        <v>107.12</v>
      </c>
    </row>
    <row r="305" spans="1:13">
      <c r="A305" t="s">
        <v>85</v>
      </c>
      <c r="B305">
        <v>2000</v>
      </c>
      <c r="C305" s="16">
        <v>0</v>
      </c>
      <c r="D305" s="1">
        <v>166908.42000000001</v>
      </c>
      <c r="E305" s="29">
        <f>Table13[[#This Row],[Ávöxtun]]*Table13[[#This Row],[Eignir]]/SUMIFS(Table13[Eignir],Table13[Year],Table13[[#This Row],[Year]])</f>
        <v>0</v>
      </c>
      <c r="F305" s="23">
        <f>IF(B305=1997, 100, IF(COUNTIF(A$1:A304,A305)=0, "NEW", F304*(1+Table13[[#This Row],[Ávöxtun]])))</f>
        <v>107.12</v>
      </c>
      <c r="G305" s="18" cm="1">
        <f t="array" ref="G305">IFERROR(_xlfn.IFS(ISNUMBER(Table13[[#This Row],[Column3]]),Table13[[#This Row],[Column3]],Table13[[#This Row],[Column3]]="NEW",Table13[[#This Row],[Column3]]),"")</f>
        <v>107.12</v>
      </c>
      <c r="H305" s="15" cm="1">
        <f t="array" ref="H305">_xlfn.IFS(Table13[[#This Row],[Column4]]="NEW",AVERAGEIFS(Table13[Column4],Table13[Year],Table13[[#This Row],[Year]]),ISNUMBER(Table13[[#This Row],[Column4]]),Table13[[#This Row],[Column4]],Table13[[#This Row],[Column4]]="",H304*(1+Table13[[#This Row],[Ávöxtun]]))</f>
        <v>107.12</v>
      </c>
      <c r="I305" cm="1">
        <f t="array" ref="I305">_xlfn.IFS(Table13[[#This Row],[Column4]]="NEW",_xlfn.XLOOKUP(Table13[[#This Row],[Year]],$N$2:$N$27,$P$2:$P$27),ISNUMBER(Table13[[#This Row],[Column4]]),Table13[[#This Row],[Column4]],Table13[[#This Row],[Column4]]="",I304*(1+Table13[[#This Row],[Ávöxtun]]))</f>
        <v>107.12</v>
      </c>
      <c r="L305" s="33">
        <v>107.12</v>
      </c>
      <c r="M305" s="33">
        <v>107.12</v>
      </c>
    </row>
    <row r="306" spans="1:13">
      <c r="A306" t="s">
        <v>85</v>
      </c>
      <c r="B306">
        <v>2001</v>
      </c>
      <c r="C306" s="16">
        <v>0.03</v>
      </c>
      <c r="D306" s="1">
        <v>185420.39</v>
      </c>
      <c r="E306" s="29">
        <f>Table13[[#This Row],[Ávöxtun]]*Table13[[#This Row],[Eignir]]/SUMIFS(Table13[Eignir],Table13[Year],Table13[[#This Row],[Year]])</f>
        <v>5.7881137307860323E-6</v>
      </c>
      <c r="F306" s="23">
        <f>IF(B306=1997, 100, IF(COUNTIF(A$1:A305,A306)=0, "NEW", F305*(1+Table13[[#This Row],[Ávöxtun]])))</f>
        <v>110.3336</v>
      </c>
      <c r="G306" s="18" cm="1">
        <f t="array" ref="G306">IFERROR(_xlfn.IFS(ISNUMBER(Table13[[#This Row],[Column3]]),Table13[[#This Row],[Column3]],Table13[[#This Row],[Column3]]="NEW",Table13[[#This Row],[Column3]]),"")</f>
        <v>110.3336</v>
      </c>
      <c r="H306" s="15" cm="1">
        <f t="array" ref="H306">_xlfn.IFS(Table13[[#This Row],[Column4]]="NEW",AVERAGEIFS(Table13[Column4],Table13[Year],Table13[[#This Row],[Year]]),ISNUMBER(Table13[[#This Row],[Column4]]),Table13[[#This Row],[Column4]],Table13[[#This Row],[Column4]]="",H305*(1+Table13[[#This Row],[Ávöxtun]]))</f>
        <v>110.3336</v>
      </c>
      <c r="I306" cm="1">
        <f t="array" ref="I306">_xlfn.IFS(Table13[[#This Row],[Column4]]="NEW",_xlfn.XLOOKUP(Table13[[#This Row],[Year]],$N$2:$N$27,$P$2:$P$27),ISNUMBER(Table13[[#This Row],[Column4]]),Table13[[#This Row],[Column4]],Table13[[#This Row],[Column4]]="",I305*(1+Table13[[#This Row],[Ávöxtun]]))</f>
        <v>110.3336</v>
      </c>
      <c r="L306" s="33">
        <v>110.3336</v>
      </c>
      <c r="M306" s="33">
        <v>110.3336</v>
      </c>
    </row>
    <row r="307" spans="1:13">
      <c r="A307" t="s">
        <v>85</v>
      </c>
      <c r="B307">
        <v>2002</v>
      </c>
      <c r="C307" s="16">
        <v>0.04</v>
      </c>
      <c r="D307" s="1">
        <v>189216</v>
      </c>
      <c r="E307" s="29">
        <f>Table13[[#This Row],[Ávöxtun]]*Table13[[#This Row],[Eignir]]/SUMIFS(Table13[Eignir],Table13[Year],Table13[[#This Row],[Year]])</f>
        <v>1.4203215371427494E-5</v>
      </c>
      <c r="F307" s="23">
        <f>IF(B307=1997, 100, IF(COUNTIF(A$1:A306,A307)=0, "NEW", F306*(1+Table13[[#This Row],[Ávöxtun]])))</f>
        <v>114.74694400000001</v>
      </c>
      <c r="G307" s="18" cm="1">
        <f t="array" ref="G307">IFERROR(_xlfn.IFS(ISNUMBER(Table13[[#This Row],[Column3]]),Table13[[#This Row],[Column3]],Table13[[#This Row],[Column3]]="NEW",Table13[[#This Row],[Column3]]),"")</f>
        <v>114.74694400000001</v>
      </c>
      <c r="H307" s="15" cm="1">
        <f t="array" ref="H307">_xlfn.IFS(Table13[[#This Row],[Column4]]="NEW",AVERAGEIFS(Table13[Column4],Table13[Year],Table13[[#This Row],[Year]]),ISNUMBER(Table13[[#This Row],[Column4]]),Table13[[#This Row],[Column4]],Table13[[#This Row],[Column4]]="",H306*(1+Table13[[#This Row],[Ávöxtun]]))</f>
        <v>114.74694400000001</v>
      </c>
      <c r="I307" cm="1">
        <f t="array" ref="I307">_xlfn.IFS(Table13[[#This Row],[Column4]]="NEW",_xlfn.XLOOKUP(Table13[[#This Row],[Year]],$N$2:$N$27,$P$2:$P$27),ISNUMBER(Table13[[#This Row],[Column4]]),Table13[[#This Row],[Column4]],Table13[[#This Row],[Column4]]="",I306*(1+Table13[[#This Row],[Ávöxtun]]))</f>
        <v>114.74694400000001</v>
      </c>
      <c r="L307" s="33">
        <v>114.74694400000001</v>
      </c>
      <c r="M307" s="33">
        <v>114.74694400000001</v>
      </c>
    </row>
    <row r="308" spans="1:13">
      <c r="A308" t="s">
        <v>85</v>
      </c>
      <c r="B308">
        <v>2003</v>
      </c>
      <c r="C308" s="16">
        <v>0.05</v>
      </c>
      <c r="D308" s="1">
        <v>199867</v>
      </c>
      <c r="E308" s="29">
        <f>Table13[[#This Row],[Ávöxtun]]*Table13[[#This Row],[Eignir]]/SUMIFS(Table13[Eignir],Table13[Year],Table13[[#This Row],[Year]])</f>
        <v>1.5668674850742013E-5</v>
      </c>
      <c r="F308" s="23">
        <f>IF(B308=1997, 100, IF(COUNTIF(A$1:A307,A308)=0, "NEW", F307*(1+Table13[[#This Row],[Ávöxtun]])))</f>
        <v>120.48429120000002</v>
      </c>
      <c r="G308" s="18" cm="1">
        <f t="array" ref="G308">IFERROR(_xlfn.IFS(ISNUMBER(Table13[[#This Row],[Column3]]),Table13[[#This Row],[Column3]],Table13[[#This Row],[Column3]]="NEW",Table13[[#This Row],[Column3]]),"")</f>
        <v>120.48429120000002</v>
      </c>
      <c r="H308" s="15" cm="1">
        <f t="array" ref="H308">_xlfn.IFS(Table13[[#This Row],[Column4]]="NEW",AVERAGEIFS(Table13[Column4],Table13[Year],Table13[[#This Row],[Year]]),ISNUMBER(Table13[[#This Row],[Column4]]),Table13[[#This Row],[Column4]],Table13[[#This Row],[Column4]]="",H307*(1+Table13[[#This Row],[Ávöxtun]]))</f>
        <v>120.48429120000002</v>
      </c>
      <c r="I308" cm="1">
        <f t="array" ref="I308">_xlfn.IFS(Table13[[#This Row],[Column4]]="NEW",_xlfn.XLOOKUP(Table13[[#This Row],[Year]],$N$2:$N$27,$P$2:$P$27),ISNUMBER(Table13[[#This Row],[Column4]]),Table13[[#This Row],[Column4]],Table13[[#This Row],[Column4]]="",I307*(1+Table13[[#This Row],[Ávöxtun]]))</f>
        <v>120.48429120000002</v>
      </c>
      <c r="L308" s="33">
        <v>120.48429120000002</v>
      </c>
      <c r="M308" s="33">
        <v>120.48429120000002</v>
      </c>
    </row>
    <row r="309" spans="1:13">
      <c r="A309" t="s">
        <v>85</v>
      </c>
      <c r="B309">
        <v>2004</v>
      </c>
      <c r="C309" s="16">
        <v>0.06</v>
      </c>
      <c r="D309" s="1">
        <v>213266</v>
      </c>
      <c r="E309" s="29">
        <f>Table13[[#This Row],[Ávöxtun]]*Table13[[#This Row],[Eignir]]/SUMIFS(Table13[Eignir],Table13[Year],Table13[[#This Row],[Year]])</f>
        <v>1.684493657003358E-5</v>
      </c>
      <c r="F309" s="23">
        <f>IF(B309=1997, 100, IF(COUNTIF(A$1:A308,A309)=0, "NEW", F308*(1+Table13[[#This Row],[Ávöxtun]])))</f>
        <v>127.71334867200002</v>
      </c>
      <c r="G309" s="18" cm="1">
        <f t="array" ref="G309">IFERROR(_xlfn.IFS(ISNUMBER(Table13[[#This Row],[Column3]]),Table13[[#This Row],[Column3]],Table13[[#This Row],[Column3]]="NEW",Table13[[#This Row],[Column3]]),"")</f>
        <v>127.71334867200002</v>
      </c>
      <c r="H309" s="15" cm="1">
        <f t="array" ref="H309">_xlfn.IFS(Table13[[#This Row],[Column4]]="NEW",AVERAGEIFS(Table13[Column4],Table13[Year],Table13[[#This Row],[Year]]),ISNUMBER(Table13[[#This Row],[Column4]]),Table13[[#This Row],[Column4]],Table13[[#This Row],[Column4]]="",H308*(1+Table13[[#This Row],[Ávöxtun]]))</f>
        <v>127.71334867200002</v>
      </c>
      <c r="I309" cm="1">
        <f t="array" ref="I309">_xlfn.IFS(Table13[[#This Row],[Column4]]="NEW",_xlfn.XLOOKUP(Table13[[#This Row],[Year]],$N$2:$N$27,$P$2:$P$27),ISNUMBER(Table13[[#This Row],[Column4]]),Table13[[#This Row],[Column4]],Table13[[#This Row],[Column4]]="",I308*(1+Table13[[#This Row],[Ávöxtun]]))</f>
        <v>127.71334867200002</v>
      </c>
      <c r="L309" s="33">
        <v>127.71334867200002</v>
      </c>
      <c r="M309" s="33">
        <v>127.71334867200002</v>
      </c>
    </row>
    <row r="310" spans="1:13">
      <c r="A310" t="s">
        <v>85</v>
      </c>
      <c r="B310">
        <v>2005</v>
      </c>
      <c r="C310" s="16">
        <v>0</v>
      </c>
      <c r="D310" s="1">
        <v>217428</v>
      </c>
      <c r="E310" s="29">
        <f>Table13[[#This Row],[Ávöxtun]]*Table13[[#This Row],[Eignir]]/SUMIFS(Table13[Eignir],Table13[Year],Table13[[#This Row],[Year]])</f>
        <v>0</v>
      </c>
      <c r="F310" s="23">
        <f>IF(B310=1997, 100, IF(COUNTIF(A$1:A309,A310)=0, "NEW", F309*(1+Table13[[#This Row],[Ávöxtun]])))</f>
        <v>127.71334867200002</v>
      </c>
      <c r="G310" s="18" cm="1">
        <f t="array" ref="G310">IFERROR(_xlfn.IFS(ISNUMBER(Table13[[#This Row],[Column3]]),Table13[[#This Row],[Column3]],Table13[[#This Row],[Column3]]="NEW",Table13[[#This Row],[Column3]]),"")</f>
        <v>127.71334867200002</v>
      </c>
      <c r="H310" s="15" cm="1">
        <f t="array" ref="H310">_xlfn.IFS(Table13[[#This Row],[Column4]]="NEW",AVERAGEIFS(Table13[Column4],Table13[Year],Table13[[#This Row],[Year]]),ISNUMBER(Table13[[#This Row],[Column4]]),Table13[[#This Row],[Column4]],Table13[[#This Row],[Column4]]="",H309*(1+Table13[[#This Row],[Ávöxtun]]))</f>
        <v>127.71334867200002</v>
      </c>
      <c r="I310" cm="1">
        <f t="array" ref="I310">_xlfn.IFS(Table13[[#This Row],[Column4]]="NEW",_xlfn.XLOOKUP(Table13[[#This Row],[Year]],$N$2:$N$27,$P$2:$P$27),ISNUMBER(Table13[[#This Row],[Column4]]),Table13[[#This Row],[Column4]],Table13[[#This Row],[Column4]]="",I309*(1+Table13[[#This Row],[Ávöxtun]]))</f>
        <v>127.71334867200002</v>
      </c>
      <c r="L310" s="33">
        <v>127.71334867200002</v>
      </c>
      <c r="M310" s="33">
        <v>127.71334867200002</v>
      </c>
    </row>
    <row r="311" spans="1:13">
      <c r="A311" t="s">
        <v>85</v>
      </c>
      <c r="B311">
        <v>2006</v>
      </c>
      <c r="C311" s="16">
        <v>1.6000000000000001E-3</v>
      </c>
      <c r="D311" s="1">
        <v>448770</v>
      </c>
      <c r="E311" s="29">
        <f>Table13[[#This Row],[Ávöxtun]]*Table13[[#This Row],[Eignir]]/SUMIFS(Table13[Eignir],Table13[Year],Table13[[#This Row],[Year]])</f>
        <v>6.3117468287208527E-7</v>
      </c>
      <c r="F311" s="23">
        <f>IF(B311=1997, 100, IF(COUNTIF(A$1:A310,A311)=0, "NEW", F310*(1+Table13[[#This Row],[Ávöxtun]])))</f>
        <v>127.91769002987523</v>
      </c>
      <c r="G311" s="18" cm="1">
        <f t="array" ref="G311">IFERROR(_xlfn.IFS(ISNUMBER(Table13[[#This Row],[Column3]]),Table13[[#This Row],[Column3]],Table13[[#This Row],[Column3]]="NEW",Table13[[#This Row],[Column3]]),"")</f>
        <v>127.91769002987523</v>
      </c>
      <c r="H311" s="15" cm="1">
        <f t="array" ref="H311">_xlfn.IFS(Table13[[#This Row],[Column4]]="NEW",AVERAGEIFS(Table13[Column4],Table13[Year],Table13[[#This Row],[Year]]),ISNUMBER(Table13[[#This Row],[Column4]]),Table13[[#This Row],[Column4]],Table13[[#This Row],[Column4]]="",H310*(1+Table13[[#This Row],[Ávöxtun]]))</f>
        <v>127.91769002987523</v>
      </c>
      <c r="I311" cm="1">
        <f t="array" ref="I311">_xlfn.IFS(Table13[[#This Row],[Column4]]="NEW",_xlfn.XLOOKUP(Table13[[#This Row],[Year]],$N$2:$N$27,$P$2:$P$27),ISNUMBER(Table13[[#This Row],[Column4]]),Table13[[#This Row],[Column4]],Table13[[#This Row],[Column4]]="",I310*(1+Table13[[#This Row],[Ávöxtun]]))</f>
        <v>127.91769002987523</v>
      </c>
      <c r="L311" s="33">
        <v>127.91769002987523</v>
      </c>
      <c r="M311" s="33">
        <v>127.91769002987523</v>
      </c>
    </row>
    <row r="312" spans="1:13">
      <c r="A312" t="s">
        <v>85</v>
      </c>
      <c r="B312">
        <v>2007</v>
      </c>
      <c r="C312" s="16">
        <v>5.8999999999999999E-3</v>
      </c>
      <c r="D312" s="1">
        <v>455624</v>
      </c>
      <c r="E312" s="29">
        <f>Table13[[#This Row],[Ávöxtun]]*Table13[[#This Row],[Eignir]]/SUMIFS(Table13[Eignir],Table13[Year],Table13[[#This Row],[Year]])</f>
        <v>2.0944801237824564E-6</v>
      </c>
      <c r="F312" s="23">
        <f>IF(B312=1997, 100, IF(COUNTIF(A$1:A311,A312)=0, "NEW", F311*(1+Table13[[#This Row],[Ávöxtun]])))</f>
        <v>128.67240440105149</v>
      </c>
      <c r="G312" s="18" cm="1">
        <f t="array" ref="G312">IFERROR(_xlfn.IFS(ISNUMBER(Table13[[#This Row],[Column3]]),Table13[[#This Row],[Column3]],Table13[[#This Row],[Column3]]="NEW",Table13[[#This Row],[Column3]]),"")</f>
        <v>128.67240440105149</v>
      </c>
      <c r="H312" s="15" cm="1">
        <f t="array" ref="H312">_xlfn.IFS(Table13[[#This Row],[Column4]]="NEW",AVERAGEIFS(Table13[Column4],Table13[Year],Table13[[#This Row],[Year]]),ISNUMBER(Table13[[#This Row],[Column4]]),Table13[[#This Row],[Column4]],Table13[[#This Row],[Column4]]="",H311*(1+Table13[[#This Row],[Ávöxtun]]))</f>
        <v>128.67240440105149</v>
      </c>
      <c r="I312" cm="1">
        <f t="array" ref="I312">_xlfn.IFS(Table13[[#This Row],[Column4]]="NEW",_xlfn.XLOOKUP(Table13[[#This Row],[Year]],$N$2:$N$27,$P$2:$P$27),ISNUMBER(Table13[[#This Row],[Column4]]),Table13[[#This Row],[Column4]],Table13[[#This Row],[Column4]]="",I311*(1+Table13[[#This Row],[Ávöxtun]]))</f>
        <v>128.67240440105149</v>
      </c>
      <c r="L312" s="33">
        <v>128.67240440105149</v>
      </c>
      <c r="M312" s="33">
        <v>128.67240440105149</v>
      </c>
    </row>
    <row r="313" spans="1:13">
      <c r="A313" t="s">
        <v>85</v>
      </c>
      <c r="B313">
        <v>2008</v>
      </c>
      <c r="C313" s="16">
        <v>1.89E-2</v>
      </c>
      <c r="D313" s="1">
        <v>508998</v>
      </c>
      <c r="E313" s="29">
        <f>Table13[[#This Row],[Ávöxtun]]*Table13[[#This Row],[Eignir]]/SUMIFS(Table13[Eignir],Table13[Year],Table13[[#This Row],[Year]])</f>
        <v>7.7644034371984677E-6</v>
      </c>
      <c r="F313" s="23">
        <f>IF(B313=1997, 100, IF(COUNTIF(A$1:A312,A313)=0, "NEW", F312*(1+Table13[[#This Row],[Ávöxtun]])))</f>
        <v>131.10431284423134</v>
      </c>
      <c r="G313" s="18" cm="1">
        <f t="array" ref="G313">IFERROR(_xlfn.IFS(ISNUMBER(Table13[[#This Row],[Column3]]),Table13[[#This Row],[Column3]],Table13[[#This Row],[Column3]]="NEW",Table13[[#This Row],[Column3]]),"")</f>
        <v>131.10431284423134</v>
      </c>
      <c r="H313" s="15" cm="1">
        <f t="array" ref="H313">_xlfn.IFS(Table13[[#This Row],[Column4]]="NEW",AVERAGEIFS(Table13[Column4],Table13[Year],Table13[[#This Row],[Year]]),ISNUMBER(Table13[[#This Row],[Column4]]),Table13[[#This Row],[Column4]],Table13[[#This Row],[Column4]]="",H312*(1+Table13[[#This Row],[Ávöxtun]]))</f>
        <v>131.10431284423134</v>
      </c>
      <c r="I313" cm="1">
        <f t="array" ref="I313">_xlfn.IFS(Table13[[#This Row],[Column4]]="NEW",_xlfn.XLOOKUP(Table13[[#This Row],[Year]],$N$2:$N$27,$P$2:$P$27),ISNUMBER(Table13[[#This Row],[Column4]]),Table13[[#This Row],[Column4]],Table13[[#This Row],[Column4]]="",I312*(1+Table13[[#This Row],[Ávöxtun]]))</f>
        <v>131.10431284423134</v>
      </c>
      <c r="L313" s="33">
        <v>131.10431284423134</v>
      </c>
      <c r="M313" s="33">
        <v>131.10431284423134</v>
      </c>
    </row>
    <row r="314" spans="1:13">
      <c r="A314" t="s">
        <v>85</v>
      </c>
      <c r="B314">
        <v>2009</v>
      </c>
      <c r="C314" s="16">
        <v>-1.3600000000000001E-2</v>
      </c>
      <c r="D314" s="1">
        <v>514108</v>
      </c>
      <c r="E314" s="29">
        <f>Table13[[#This Row],[Ávöxtun]]*Table13[[#This Row],[Eignir]]/SUMIFS(Table13[Eignir],Table13[Year],Table13[[#This Row],[Year]])</f>
        <v>-5.0919645016559334E-6</v>
      </c>
      <c r="F314" s="23">
        <f>IF(B314=1997, 100, IF(COUNTIF(A$1:A313,A314)=0, "NEW", F313*(1+Table13[[#This Row],[Ávöxtun]])))</f>
        <v>129.3212941895498</v>
      </c>
      <c r="G314" s="18" cm="1">
        <f t="array" ref="G314">IFERROR(_xlfn.IFS(ISNUMBER(Table13[[#This Row],[Column3]]),Table13[[#This Row],[Column3]],Table13[[#This Row],[Column3]]="NEW",Table13[[#This Row],[Column3]]),"")</f>
        <v>129.3212941895498</v>
      </c>
      <c r="H314" s="15" cm="1">
        <f t="array" ref="H314">_xlfn.IFS(Table13[[#This Row],[Column4]]="NEW",AVERAGEIFS(Table13[Column4],Table13[Year],Table13[[#This Row],[Year]]),ISNUMBER(Table13[[#This Row],[Column4]]),Table13[[#This Row],[Column4]],Table13[[#This Row],[Column4]]="",H313*(1+Table13[[#This Row],[Ávöxtun]]))</f>
        <v>129.3212941895498</v>
      </c>
      <c r="I314" cm="1">
        <f t="array" ref="I314">_xlfn.IFS(Table13[[#This Row],[Column4]]="NEW",_xlfn.XLOOKUP(Table13[[#This Row],[Year]],$N$2:$N$27,$P$2:$P$27),ISNUMBER(Table13[[#This Row],[Column4]]),Table13[[#This Row],[Column4]],Table13[[#This Row],[Column4]]="",I313*(1+Table13[[#This Row],[Ávöxtun]]))</f>
        <v>129.3212941895498</v>
      </c>
      <c r="L314" s="33">
        <v>129.3212941895498</v>
      </c>
      <c r="M314" s="33">
        <v>129.3212941895498</v>
      </c>
    </row>
    <row r="315" spans="1:13">
      <c r="A315" t="s">
        <v>85</v>
      </c>
      <c r="B315">
        <v>2010</v>
      </c>
      <c r="C315" s="16">
        <v>2.3E-2</v>
      </c>
      <c r="D315" s="1">
        <v>507316</v>
      </c>
      <c r="E315" s="29">
        <f>Table13[[#This Row],[Ávöxtun]]*Table13[[#This Row],[Eignir]]/SUMIFS(Table13[Eignir],Table13[Year],Table13[[#This Row],[Year]])</f>
        <v>7.9660556387641525E-6</v>
      </c>
      <c r="F315" s="23">
        <f>IF(B315=1997, 100, IF(COUNTIF(A$1:A314,A315)=0, "NEW", F314*(1+Table13[[#This Row],[Ávöxtun]])))</f>
        <v>132.29568395590942</v>
      </c>
      <c r="G315" s="18" cm="1">
        <f t="array" ref="G315">IFERROR(_xlfn.IFS(ISNUMBER(Table13[[#This Row],[Column3]]),Table13[[#This Row],[Column3]],Table13[[#This Row],[Column3]]="NEW",Table13[[#This Row],[Column3]]),"")</f>
        <v>132.29568395590942</v>
      </c>
      <c r="H315" s="15" cm="1">
        <f t="array" ref="H315">_xlfn.IFS(Table13[[#This Row],[Column4]]="NEW",AVERAGEIFS(Table13[Column4],Table13[Year],Table13[[#This Row],[Year]]),ISNUMBER(Table13[[#This Row],[Column4]]),Table13[[#This Row],[Column4]],Table13[[#This Row],[Column4]]="",H314*(1+Table13[[#This Row],[Ávöxtun]]))</f>
        <v>132.29568395590942</v>
      </c>
      <c r="I315" cm="1">
        <f t="array" ref="I315">_xlfn.IFS(Table13[[#This Row],[Column4]]="NEW",_xlfn.XLOOKUP(Table13[[#This Row],[Year]],$N$2:$N$27,$P$2:$P$27),ISNUMBER(Table13[[#This Row],[Column4]]),Table13[[#This Row],[Column4]],Table13[[#This Row],[Column4]]="",I314*(1+Table13[[#This Row],[Ávöxtun]]))</f>
        <v>132.29568395590942</v>
      </c>
      <c r="L315" s="33">
        <v>132.29568395590942</v>
      </c>
      <c r="M315" s="33">
        <v>132.29568395590942</v>
      </c>
    </row>
    <row r="316" spans="1:13">
      <c r="A316" t="s">
        <v>85</v>
      </c>
      <c r="B316">
        <v>2011</v>
      </c>
      <c r="C316" s="16">
        <v>1.7000000000000001E-2</v>
      </c>
      <c r="D316" s="1">
        <v>508719</v>
      </c>
      <c r="E316" s="29">
        <f>Table13[[#This Row],[Ávöxtun]]*Table13[[#This Row],[Eignir]]/SUMIFS(Table13[Eignir],Table13[Year],Table13[[#This Row],[Year]])</f>
        <v>5.446401338774563E-6</v>
      </c>
      <c r="F316" s="23">
        <f>IF(B316=1997, 100, IF(COUNTIF(A$1:A315,A316)=0, "NEW", F315*(1+Table13[[#This Row],[Ávöxtun]])))</f>
        <v>134.54471058315988</v>
      </c>
      <c r="G316" s="18" cm="1">
        <f t="array" ref="G316">IFERROR(_xlfn.IFS(ISNUMBER(Table13[[#This Row],[Column3]]),Table13[[#This Row],[Column3]],Table13[[#This Row],[Column3]]="NEW",Table13[[#This Row],[Column3]]),"")</f>
        <v>134.54471058315988</v>
      </c>
      <c r="H316" s="15" cm="1">
        <f t="array" ref="H316">_xlfn.IFS(Table13[[#This Row],[Column4]]="NEW",AVERAGEIFS(Table13[Column4],Table13[Year],Table13[[#This Row],[Year]]),ISNUMBER(Table13[[#This Row],[Column4]]),Table13[[#This Row],[Column4]],Table13[[#This Row],[Column4]]="",H315*(1+Table13[[#This Row],[Ávöxtun]]))</f>
        <v>134.54471058315988</v>
      </c>
      <c r="I316" cm="1">
        <f t="array" ref="I316">_xlfn.IFS(Table13[[#This Row],[Column4]]="NEW",_xlfn.XLOOKUP(Table13[[#This Row],[Year]],$N$2:$N$27,$P$2:$P$27),ISNUMBER(Table13[[#This Row],[Column4]]),Table13[[#This Row],[Column4]],Table13[[#This Row],[Column4]]="",I315*(1+Table13[[#This Row],[Ávöxtun]]))</f>
        <v>134.54471058315988</v>
      </c>
      <c r="L316" s="33">
        <v>134.54471058315988</v>
      </c>
      <c r="M316" s="33">
        <v>134.54471058315988</v>
      </c>
    </row>
    <row r="317" spans="1:13">
      <c r="A317" t="s">
        <v>85</v>
      </c>
      <c r="B317">
        <v>2012</v>
      </c>
      <c r="C317" s="16">
        <v>8.0000000000000002E-3</v>
      </c>
      <c r="D317" s="1">
        <v>497416</v>
      </c>
      <c r="E317" s="29">
        <f>Table13[[#This Row],[Ávöxtun]]*Table13[[#This Row],[Eignir]]/SUMIFS(Table13[Eignir],Table13[Year],Table13[[#This Row],[Year]])</f>
        <v>2.217056544122485E-6</v>
      </c>
      <c r="F317" s="23">
        <f>IF(B317=1997, 100, IF(COUNTIF(A$1:A316,A317)=0, "NEW", F316*(1+Table13[[#This Row],[Ávöxtun]])))</f>
        <v>135.62106826782517</v>
      </c>
      <c r="G317" s="18" cm="1">
        <f t="array" ref="G317">IFERROR(_xlfn.IFS(ISNUMBER(Table13[[#This Row],[Column3]]),Table13[[#This Row],[Column3]],Table13[[#This Row],[Column3]]="NEW",Table13[[#This Row],[Column3]]),"")</f>
        <v>135.62106826782517</v>
      </c>
      <c r="H317" s="15" cm="1">
        <f t="array" ref="H317">_xlfn.IFS(Table13[[#This Row],[Column4]]="NEW",AVERAGEIFS(Table13[Column4],Table13[Year],Table13[[#This Row],[Year]]),ISNUMBER(Table13[[#This Row],[Column4]]),Table13[[#This Row],[Column4]],Table13[[#This Row],[Column4]]="",H316*(1+Table13[[#This Row],[Ávöxtun]]))</f>
        <v>135.62106826782517</v>
      </c>
      <c r="I317" cm="1">
        <f t="array" ref="I317">_xlfn.IFS(Table13[[#This Row],[Column4]]="NEW",_xlfn.XLOOKUP(Table13[[#This Row],[Year]],$N$2:$N$27,$P$2:$P$27),ISNUMBER(Table13[[#This Row],[Column4]]),Table13[[#This Row],[Column4]],Table13[[#This Row],[Column4]]="",I316*(1+Table13[[#This Row],[Ávöxtun]]))</f>
        <v>135.62106826782517</v>
      </c>
      <c r="L317" s="33">
        <v>135.62106826782517</v>
      </c>
      <c r="M317" s="33">
        <v>135.62106826782517</v>
      </c>
    </row>
    <row r="318" spans="1:13">
      <c r="A318" t="s">
        <v>86</v>
      </c>
      <c r="B318">
        <v>1997</v>
      </c>
      <c r="C318" s="16">
        <v>0.06</v>
      </c>
      <c r="D318" s="1">
        <v>232491.07</v>
      </c>
      <c r="E318" s="29">
        <f>Table13[[#This Row],[Ávöxtun]]*Table13[[#This Row],[Eignir]]/SUMIFS(Table13[Eignir],Table13[Year],Table13[[#This Row],[Year]])</f>
        <v>4.8884471871277365E-5</v>
      </c>
      <c r="F318" s="23">
        <f>IF(B318=1997, 100, IF(COUNTIF(A$1:A317,A318)=0, "NEW", F317*(1+Table13[[#This Row],[Ávöxtun]])))</f>
        <v>100</v>
      </c>
      <c r="G318" s="18" cm="1">
        <f t="array" ref="G318">IFERROR(_xlfn.IFS(ISNUMBER(Table13[[#This Row],[Column3]]),Table13[[#This Row],[Column3]],Table13[[#This Row],[Column3]]="NEW",Table13[[#This Row],[Column3]]),"")</f>
        <v>100</v>
      </c>
      <c r="H318" s="15" cm="1">
        <f t="array" ref="H318">_xlfn.IFS(Table13[[#This Row],[Column4]]="NEW",AVERAGEIFS(Table13[Column4],Table13[Year],Table13[[#This Row],[Year]]),ISNUMBER(Table13[[#This Row],[Column4]]),Table13[[#This Row],[Column4]],Table13[[#This Row],[Column4]]="",H317*(1+Table13[[#This Row],[Ávöxtun]]))</f>
        <v>100</v>
      </c>
      <c r="I318" cm="1">
        <f t="array" ref="I318">_xlfn.IFS(Table13[[#This Row],[Column4]]="NEW",_xlfn.XLOOKUP(Table13[[#This Row],[Year]],$N$2:$N$27,$P$2:$P$27),ISNUMBER(Table13[[#This Row],[Column4]]),Table13[[#This Row],[Column4]],Table13[[#This Row],[Column4]]="",I317*(1+Table13[[#This Row],[Ávöxtun]]))</f>
        <v>100</v>
      </c>
      <c r="L318" s="33">
        <v>100</v>
      </c>
      <c r="M318" s="33">
        <v>100</v>
      </c>
    </row>
    <row r="319" spans="1:13">
      <c r="A319" t="s">
        <v>86</v>
      </c>
      <c r="B319">
        <v>1998</v>
      </c>
      <c r="C319" s="16">
        <v>0.05</v>
      </c>
      <c r="D319" s="1">
        <v>247946.48</v>
      </c>
      <c r="E319" s="29">
        <f>Table13[[#This Row],[Ávöxtun]]*Table13[[#This Row],[Eignir]]/SUMIFS(Table13[Eignir],Table13[Year],Table13[[#This Row],[Year]])</f>
        <v>3.7510991706786554E-5</v>
      </c>
      <c r="F319" s="23">
        <f>IF(B319=1997, 100, IF(COUNTIF(A$1:A318,A319)=0, "NEW", F318*(1+Table13[[#This Row],[Ávöxtun]])))</f>
        <v>105</v>
      </c>
      <c r="G319" s="18" cm="1">
        <f t="array" ref="G319">IFERROR(_xlfn.IFS(ISNUMBER(Table13[[#This Row],[Column3]]),Table13[[#This Row],[Column3]],Table13[[#This Row],[Column3]]="NEW",Table13[[#This Row],[Column3]]),"")</f>
        <v>105</v>
      </c>
      <c r="H319" s="15" cm="1">
        <f t="array" ref="H319">_xlfn.IFS(Table13[[#This Row],[Column4]]="NEW",AVERAGEIFS(Table13[Column4],Table13[Year],Table13[[#This Row],[Year]]),ISNUMBER(Table13[[#This Row],[Column4]]),Table13[[#This Row],[Column4]],Table13[[#This Row],[Column4]]="",H318*(1+Table13[[#This Row],[Ávöxtun]]))</f>
        <v>105</v>
      </c>
      <c r="I319" cm="1">
        <f t="array" ref="I319">_xlfn.IFS(Table13[[#This Row],[Column4]]="NEW",_xlfn.XLOOKUP(Table13[[#This Row],[Year]],$N$2:$N$27,$P$2:$P$27),ISNUMBER(Table13[[#This Row],[Column4]]),Table13[[#This Row],[Column4]],Table13[[#This Row],[Column4]]="",I318*(1+Table13[[#This Row],[Ávöxtun]]))</f>
        <v>105</v>
      </c>
      <c r="L319" s="33">
        <v>105</v>
      </c>
      <c r="M319" s="33">
        <v>105</v>
      </c>
    </row>
    <row r="320" spans="1:13">
      <c r="A320" t="s">
        <v>86</v>
      </c>
      <c r="B320">
        <v>1999</v>
      </c>
      <c r="C320" s="16">
        <v>0.05</v>
      </c>
      <c r="D320" s="1">
        <v>272051.14</v>
      </c>
      <c r="E320" s="29">
        <f>Table13[[#This Row],[Ávöxtun]]*Table13[[#This Row],[Eignir]]/SUMIFS(Table13[Eignir],Table13[Year],Table13[[#This Row],[Year]])</f>
        <v>3.0641633342353518E-5</v>
      </c>
      <c r="F320" s="23">
        <f>IF(B320=1997, 100, IF(COUNTIF(A$1:A319,A320)=0, "NEW", F319*(1+Table13[[#This Row],[Ávöxtun]])))</f>
        <v>110.25</v>
      </c>
      <c r="G320" s="18" cm="1">
        <f t="array" ref="G320">IFERROR(_xlfn.IFS(ISNUMBER(Table13[[#This Row],[Column3]]),Table13[[#This Row],[Column3]],Table13[[#This Row],[Column3]]="NEW",Table13[[#This Row],[Column3]]),"")</f>
        <v>110.25</v>
      </c>
      <c r="H320" s="15" cm="1">
        <f t="array" ref="H320">_xlfn.IFS(Table13[[#This Row],[Column4]]="NEW",AVERAGEIFS(Table13[Column4],Table13[Year],Table13[[#This Row],[Year]]),ISNUMBER(Table13[[#This Row],[Column4]]),Table13[[#This Row],[Column4]],Table13[[#This Row],[Column4]]="",H319*(1+Table13[[#This Row],[Ávöxtun]]))</f>
        <v>110.25</v>
      </c>
      <c r="I320" cm="1">
        <f t="array" ref="I320">_xlfn.IFS(Table13[[#This Row],[Column4]]="NEW",_xlfn.XLOOKUP(Table13[[#This Row],[Year]],$N$2:$N$27,$P$2:$P$27),ISNUMBER(Table13[[#This Row],[Column4]]),Table13[[#This Row],[Column4]],Table13[[#This Row],[Column4]]="",I319*(1+Table13[[#This Row],[Ávöxtun]]))</f>
        <v>110.25</v>
      </c>
      <c r="L320" s="33">
        <v>110.25</v>
      </c>
      <c r="M320" s="33">
        <v>110.25</v>
      </c>
    </row>
    <row r="321" spans="1:13">
      <c r="A321" t="s">
        <v>86</v>
      </c>
      <c r="B321">
        <v>2000</v>
      </c>
      <c r="C321" s="16">
        <v>0.03</v>
      </c>
      <c r="D321" s="1">
        <v>289658.03999999998</v>
      </c>
      <c r="E321" s="29">
        <f>Table13[[#This Row],[Ávöxtun]]*Table13[[#This Row],[Eignir]]/SUMIFS(Table13[Eignir],Table13[Year],Table13[[#This Row],[Year]])</f>
        <v>1.3915127247433649E-5</v>
      </c>
      <c r="F321" s="23">
        <f>IF(B321=1997, 100, IF(COUNTIF(A$1:A320,A321)=0, "NEW", F320*(1+Table13[[#This Row],[Ávöxtun]])))</f>
        <v>113.5575</v>
      </c>
      <c r="G321" s="18" cm="1">
        <f t="array" ref="G321">IFERROR(_xlfn.IFS(ISNUMBER(Table13[[#This Row],[Column3]]),Table13[[#This Row],[Column3]],Table13[[#This Row],[Column3]]="NEW",Table13[[#This Row],[Column3]]),"")</f>
        <v>113.5575</v>
      </c>
      <c r="H321" s="15" cm="1">
        <f t="array" ref="H321">_xlfn.IFS(Table13[[#This Row],[Column4]]="NEW",AVERAGEIFS(Table13[Column4],Table13[Year],Table13[[#This Row],[Year]]),ISNUMBER(Table13[[#This Row],[Column4]]),Table13[[#This Row],[Column4]],Table13[[#This Row],[Column4]]="",H320*(1+Table13[[#This Row],[Ávöxtun]]))</f>
        <v>113.5575</v>
      </c>
      <c r="I321" cm="1">
        <f t="array" ref="I321">_xlfn.IFS(Table13[[#This Row],[Column4]]="NEW",_xlfn.XLOOKUP(Table13[[#This Row],[Year]],$N$2:$N$27,$P$2:$P$27),ISNUMBER(Table13[[#This Row],[Column4]]),Table13[[#This Row],[Column4]],Table13[[#This Row],[Column4]]="",I320*(1+Table13[[#This Row],[Ávöxtun]]))</f>
        <v>113.5575</v>
      </c>
      <c r="L321" s="33">
        <v>113.5575</v>
      </c>
      <c r="M321" s="33">
        <v>113.5575</v>
      </c>
    </row>
    <row r="322" spans="1:13">
      <c r="A322" t="s">
        <v>86</v>
      </c>
      <c r="B322">
        <v>2001</v>
      </c>
      <c r="C322" s="16">
        <v>0.04</v>
      </c>
      <c r="D322" s="1">
        <v>328894.77</v>
      </c>
      <c r="E322" s="29">
        <f>Table13[[#This Row],[Ávöxtun]]*Table13[[#This Row],[Eignir]]/SUMIFS(Table13[Eignir],Table13[Year],Table13[[#This Row],[Year]])</f>
        <v>1.3689111783378402E-5</v>
      </c>
      <c r="F322" s="23">
        <f>IF(B322=1997, 100, IF(COUNTIF(A$1:A321,A322)=0, "NEW", F321*(1+Table13[[#This Row],[Ávöxtun]])))</f>
        <v>118.0998</v>
      </c>
      <c r="G322" s="18" cm="1">
        <f t="array" ref="G322">IFERROR(_xlfn.IFS(ISNUMBER(Table13[[#This Row],[Column3]]),Table13[[#This Row],[Column3]],Table13[[#This Row],[Column3]]="NEW",Table13[[#This Row],[Column3]]),"")</f>
        <v>118.0998</v>
      </c>
      <c r="H322" s="15" cm="1">
        <f t="array" ref="H322">_xlfn.IFS(Table13[[#This Row],[Column4]]="NEW",AVERAGEIFS(Table13[Column4],Table13[Year],Table13[[#This Row],[Year]]),ISNUMBER(Table13[[#This Row],[Column4]]),Table13[[#This Row],[Column4]],Table13[[#This Row],[Column4]]="",H321*(1+Table13[[#This Row],[Ávöxtun]]))</f>
        <v>118.0998</v>
      </c>
      <c r="I322" cm="1">
        <f t="array" ref="I322">_xlfn.IFS(Table13[[#This Row],[Column4]]="NEW",_xlfn.XLOOKUP(Table13[[#This Row],[Year]],$N$2:$N$27,$P$2:$P$27),ISNUMBER(Table13[[#This Row],[Column4]]),Table13[[#This Row],[Column4]],Table13[[#This Row],[Column4]]="",I321*(1+Table13[[#This Row],[Ávöxtun]]))</f>
        <v>118.0998</v>
      </c>
      <c r="L322" s="33">
        <v>118.0998</v>
      </c>
      <c r="M322" s="33">
        <v>118.0998</v>
      </c>
    </row>
    <row r="323" spans="1:13">
      <c r="A323" t="s">
        <v>86</v>
      </c>
      <c r="B323">
        <v>2002</v>
      </c>
      <c r="C323" s="16">
        <v>0.05</v>
      </c>
      <c r="D323" s="1">
        <v>344470</v>
      </c>
      <c r="E323" s="29">
        <f>Table13[[#This Row],[Ávöxtun]]*Table13[[#This Row],[Eignir]]/SUMIFS(Table13[Eignir],Table13[Year],Table13[[#This Row],[Year]])</f>
        <v>3.2321405159947026E-5</v>
      </c>
      <c r="F323" s="23">
        <f>IF(B323=1997, 100, IF(COUNTIF(A$1:A322,A323)=0, "NEW", F322*(1+Table13[[#This Row],[Ávöxtun]])))</f>
        <v>124.00479000000001</v>
      </c>
      <c r="G323" s="18" cm="1">
        <f t="array" ref="G323">IFERROR(_xlfn.IFS(ISNUMBER(Table13[[#This Row],[Column3]]),Table13[[#This Row],[Column3]],Table13[[#This Row],[Column3]]="NEW",Table13[[#This Row],[Column3]]),"")</f>
        <v>124.00479000000001</v>
      </c>
      <c r="H323" s="15" cm="1">
        <f t="array" ref="H323">_xlfn.IFS(Table13[[#This Row],[Column4]]="NEW",AVERAGEIFS(Table13[Column4],Table13[Year],Table13[[#This Row],[Year]]),ISNUMBER(Table13[[#This Row],[Column4]]),Table13[[#This Row],[Column4]],Table13[[#This Row],[Column4]]="",H322*(1+Table13[[#This Row],[Ávöxtun]]))</f>
        <v>124.00479000000001</v>
      </c>
      <c r="I323" cm="1">
        <f t="array" ref="I323">_xlfn.IFS(Table13[[#This Row],[Column4]]="NEW",_xlfn.XLOOKUP(Table13[[#This Row],[Year]],$N$2:$N$27,$P$2:$P$27),ISNUMBER(Table13[[#This Row],[Column4]]),Table13[[#This Row],[Column4]],Table13[[#This Row],[Column4]]="",I322*(1+Table13[[#This Row],[Ávöxtun]]))</f>
        <v>124.00479000000001</v>
      </c>
      <c r="L323" s="33">
        <v>124.00479000000001</v>
      </c>
      <c r="M323" s="33">
        <v>124.00479000000001</v>
      </c>
    </row>
    <row r="324" spans="1:13">
      <c r="A324" t="s">
        <v>86</v>
      </c>
      <c r="B324">
        <v>2003</v>
      </c>
      <c r="C324" s="16">
        <v>0.05</v>
      </c>
      <c r="D324" s="1">
        <v>368809</v>
      </c>
      <c r="E324" s="29">
        <f>Table13[[#This Row],[Ávöxtun]]*Table13[[#This Row],[Eignir]]/SUMIFS(Table13[Eignir],Table13[Year],Table13[[#This Row],[Year]])</f>
        <v>2.8912968639281679E-5</v>
      </c>
      <c r="F324" s="23">
        <f>IF(B324=1997, 100, IF(COUNTIF(A$1:A323,A324)=0, "NEW", F323*(1+Table13[[#This Row],[Ávöxtun]])))</f>
        <v>130.20502950000002</v>
      </c>
      <c r="G324" s="18" cm="1">
        <f t="array" ref="G324">IFERROR(_xlfn.IFS(ISNUMBER(Table13[[#This Row],[Column3]]),Table13[[#This Row],[Column3]],Table13[[#This Row],[Column3]]="NEW",Table13[[#This Row],[Column3]]),"")</f>
        <v>130.20502950000002</v>
      </c>
      <c r="H324" s="15" cm="1">
        <f t="array" ref="H324">_xlfn.IFS(Table13[[#This Row],[Column4]]="NEW",AVERAGEIFS(Table13[Column4],Table13[Year],Table13[[#This Row],[Year]]),ISNUMBER(Table13[[#This Row],[Column4]]),Table13[[#This Row],[Column4]],Table13[[#This Row],[Column4]]="",H323*(1+Table13[[#This Row],[Ávöxtun]]))</f>
        <v>130.20502950000002</v>
      </c>
      <c r="I324" cm="1">
        <f t="array" ref="I324">_xlfn.IFS(Table13[[#This Row],[Column4]]="NEW",_xlfn.XLOOKUP(Table13[[#This Row],[Year]],$N$2:$N$27,$P$2:$P$27),ISNUMBER(Table13[[#This Row],[Column4]]),Table13[[#This Row],[Column4]],Table13[[#This Row],[Column4]]="",I323*(1+Table13[[#This Row],[Ávöxtun]]))</f>
        <v>130.20502950000002</v>
      </c>
      <c r="L324" s="33">
        <v>130.20502950000002</v>
      </c>
      <c r="M324" s="33">
        <v>130.20502950000002</v>
      </c>
    </row>
    <row r="325" spans="1:13">
      <c r="A325" t="s">
        <v>86</v>
      </c>
      <c r="B325">
        <v>2004</v>
      </c>
      <c r="C325" s="16">
        <v>7.0000000000000007E-2</v>
      </c>
      <c r="D325" s="1">
        <v>402573.25</v>
      </c>
      <c r="E325" s="29">
        <f>Table13[[#This Row],[Ávöxtun]]*Table13[[#This Row],[Eignir]]/SUMIFS(Table13[Eignir],Table13[Year],Table13[[#This Row],[Year]])</f>
        <v>3.7097057217509201E-5</v>
      </c>
      <c r="F325" s="23">
        <f>IF(B325=1997, 100, IF(COUNTIF(A$1:A324,A325)=0, "NEW", F324*(1+Table13[[#This Row],[Ávöxtun]])))</f>
        <v>139.31938156500004</v>
      </c>
      <c r="G325" s="18" cm="1">
        <f t="array" ref="G325">IFERROR(_xlfn.IFS(ISNUMBER(Table13[[#This Row],[Column3]]),Table13[[#This Row],[Column3]],Table13[[#This Row],[Column3]]="NEW",Table13[[#This Row],[Column3]]),"")</f>
        <v>139.31938156500004</v>
      </c>
      <c r="H325" s="15" cm="1">
        <f t="array" ref="H325">_xlfn.IFS(Table13[[#This Row],[Column4]]="NEW",AVERAGEIFS(Table13[Column4],Table13[Year],Table13[[#This Row],[Year]]),ISNUMBER(Table13[[#This Row],[Column4]]),Table13[[#This Row],[Column4]],Table13[[#This Row],[Column4]]="",H324*(1+Table13[[#This Row],[Ávöxtun]]))</f>
        <v>139.31938156500004</v>
      </c>
      <c r="I325" cm="1">
        <f t="array" ref="I325">_xlfn.IFS(Table13[[#This Row],[Column4]]="NEW",_xlfn.XLOOKUP(Table13[[#This Row],[Year]],$N$2:$N$27,$P$2:$P$27),ISNUMBER(Table13[[#This Row],[Column4]]),Table13[[#This Row],[Column4]],Table13[[#This Row],[Column4]]="",I324*(1+Table13[[#This Row],[Ávöxtun]]))</f>
        <v>139.31938156500004</v>
      </c>
      <c r="L325" s="33">
        <v>139.31938156500004</v>
      </c>
      <c r="M325" s="33">
        <v>139.31938156500004</v>
      </c>
    </row>
    <row r="326" spans="1:13">
      <c r="A326" t="s">
        <v>86</v>
      </c>
      <c r="B326">
        <v>2005</v>
      </c>
      <c r="C326" s="16">
        <v>0.03</v>
      </c>
      <c r="D326" s="1">
        <v>423335</v>
      </c>
      <c r="E326" s="29">
        <f>Table13[[#This Row],[Ávöxtun]]*Table13[[#This Row],[Eignir]]/SUMIFS(Table13[Eignir],Table13[Year],Table13[[#This Row],[Year]])</f>
        <v>1.3606089879296769E-5</v>
      </c>
      <c r="F326" s="23">
        <f>IF(B326=1997, 100, IF(COUNTIF(A$1:A325,A326)=0, "NEW", F325*(1+Table13[[#This Row],[Ávöxtun]])))</f>
        <v>143.49896301195005</v>
      </c>
      <c r="G326" s="18" cm="1">
        <f t="array" ref="G326">IFERROR(_xlfn.IFS(ISNUMBER(Table13[[#This Row],[Column3]]),Table13[[#This Row],[Column3]],Table13[[#This Row],[Column3]]="NEW",Table13[[#This Row],[Column3]]),"")</f>
        <v>143.49896301195005</v>
      </c>
      <c r="H326" s="15" cm="1">
        <f t="array" ref="H326">_xlfn.IFS(Table13[[#This Row],[Column4]]="NEW",AVERAGEIFS(Table13[Column4],Table13[Year],Table13[[#This Row],[Year]]),ISNUMBER(Table13[[#This Row],[Column4]]),Table13[[#This Row],[Column4]],Table13[[#This Row],[Column4]]="",H325*(1+Table13[[#This Row],[Ávöxtun]]))</f>
        <v>143.49896301195005</v>
      </c>
      <c r="I326" cm="1">
        <f t="array" ref="I326">_xlfn.IFS(Table13[[#This Row],[Column4]]="NEW",_xlfn.XLOOKUP(Table13[[#This Row],[Year]],$N$2:$N$27,$P$2:$P$27),ISNUMBER(Table13[[#This Row],[Column4]]),Table13[[#This Row],[Column4]],Table13[[#This Row],[Column4]]="",I325*(1+Table13[[#This Row],[Ávöxtun]]))</f>
        <v>143.49896301195005</v>
      </c>
      <c r="L326" s="33">
        <v>143.49896301195005</v>
      </c>
      <c r="M326" s="33">
        <v>143.49896301195005</v>
      </c>
    </row>
    <row r="327" spans="1:13">
      <c r="A327" t="s">
        <v>86</v>
      </c>
      <c r="B327">
        <v>2006</v>
      </c>
      <c r="C327" s="16">
        <v>0.03</v>
      </c>
      <c r="D327" s="1">
        <v>455414</v>
      </c>
      <c r="E327" s="29">
        <f>Table13[[#This Row],[Ávöxtun]]*Table13[[#This Row],[Eignir]]/SUMIFS(Table13[Eignir],Table13[Year],Table13[[#This Row],[Year]])</f>
        <v>1.2009734400089737E-5</v>
      </c>
      <c r="F327" s="23">
        <f>IF(B327=1997, 100, IF(COUNTIF(A$1:A326,A327)=0, "NEW", F326*(1+Table13[[#This Row],[Ávöxtun]])))</f>
        <v>147.80393190230856</v>
      </c>
      <c r="G327" s="18" cm="1">
        <f t="array" ref="G327">IFERROR(_xlfn.IFS(ISNUMBER(Table13[[#This Row],[Column3]]),Table13[[#This Row],[Column3]],Table13[[#This Row],[Column3]]="NEW",Table13[[#This Row],[Column3]]),"")</f>
        <v>147.80393190230856</v>
      </c>
      <c r="H327" s="15" cm="1">
        <f t="array" ref="H327">_xlfn.IFS(Table13[[#This Row],[Column4]]="NEW",AVERAGEIFS(Table13[Column4],Table13[Year],Table13[[#This Row],[Year]]),ISNUMBER(Table13[[#This Row],[Column4]]),Table13[[#This Row],[Column4]],Table13[[#This Row],[Column4]]="",H326*(1+Table13[[#This Row],[Ávöxtun]]))</f>
        <v>147.80393190230856</v>
      </c>
      <c r="I327" cm="1">
        <f t="array" ref="I327">_xlfn.IFS(Table13[[#This Row],[Column4]]="NEW",_xlfn.XLOOKUP(Table13[[#This Row],[Year]],$N$2:$N$27,$P$2:$P$27),ISNUMBER(Table13[[#This Row],[Column4]]),Table13[[#This Row],[Column4]],Table13[[#This Row],[Column4]]="",I326*(1+Table13[[#This Row],[Ávöxtun]]))</f>
        <v>147.80393190230856</v>
      </c>
      <c r="L327" s="33">
        <v>147.80393190230856</v>
      </c>
      <c r="M327" s="33">
        <v>147.80393190230856</v>
      </c>
    </row>
    <row r="328" spans="1:13">
      <c r="A328" t="s">
        <v>86</v>
      </c>
      <c r="B328">
        <v>2007</v>
      </c>
      <c r="C328" s="16">
        <v>2.5099999999999997E-2</v>
      </c>
      <c r="D328" s="1">
        <v>486080</v>
      </c>
      <c r="E328" s="29">
        <f>Table13[[#This Row],[Ávöxtun]]*Table13[[#This Row],[Eignir]]/SUMIFS(Table13[Eignir],Table13[Year],Table13[[#This Row],[Year]])</f>
        <v>9.5060285190781853E-6</v>
      </c>
      <c r="F328" s="23">
        <f>IF(B328=1997, 100, IF(COUNTIF(A$1:A327,A328)=0, "NEW", F327*(1+Table13[[#This Row],[Ávöxtun]])))</f>
        <v>151.51381059305649</v>
      </c>
      <c r="G328" s="18" cm="1">
        <f t="array" ref="G328">IFERROR(_xlfn.IFS(ISNUMBER(Table13[[#This Row],[Column3]]),Table13[[#This Row],[Column3]],Table13[[#This Row],[Column3]]="NEW",Table13[[#This Row],[Column3]]),"")</f>
        <v>151.51381059305649</v>
      </c>
      <c r="H328" s="15" cm="1">
        <f t="array" ref="H328">_xlfn.IFS(Table13[[#This Row],[Column4]]="NEW",AVERAGEIFS(Table13[Column4],Table13[Year],Table13[[#This Row],[Year]]),ISNUMBER(Table13[[#This Row],[Column4]]),Table13[[#This Row],[Column4]],Table13[[#This Row],[Column4]]="",H327*(1+Table13[[#This Row],[Ávöxtun]]))</f>
        <v>151.51381059305649</v>
      </c>
      <c r="I328" cm="1">
        <f t="array" ref="I328">_xlfn.IFS(Table13[[#This Row],[Column4]]="NEW",_xlfn.XLOOKUP(Table13[[#This Row],[Year]],$N$2:$N$27,$P$2:$P$27),ISNUMBER(Table13[[#This Row],[Column4]]),Table13[[#This Row],[Column4]],Table13[[#This Row],[Column4]]="",I327*(1+Table13[[#This Row],[Ávöxtun]]))</f>
        <v>151.51381059305649</v>
      </c>
      <c r="L328" s="33">
        <v>151.51381059305649</v>
      </c>
      <c r="M328" s="33">
        <v>151.51381059305649</v>
      </c>
    </row>
    <row r="329" spans="1:13">
      <c r="A329" t="s">
        <v>86</v>
      </c>
      <c r="B329">
        <v>2008</v>
      </c>
      <c r="C329" s="16">
        <v>-4.9000000000000002E-2</v>
      </c>
      <c r="D329" s="1">
        <v>531631</v>
      </c>
      <c r="E329" s="29">
        <f>Table13[[#This Row],[Ávöxtun]]*Table13[[#This Row],[Eignir]]/SUMIFS(Table13[Eignir],Table13[Year],Table13[[#This Row],[Year]])</f>
        <v>-2.1025028364405134E-5</v>
      </c>
      <c r="F329" s="23">
        <f>IF(B329=1997, 100, IF(COUNTIF(A$1:A328,A329)=0, "NEW", F328*(1+Table13[[#This Row],[Ávöxtun]])))</f>
        <v>144.08963387399672</v>
      </c>
      <c r="G329" s="18" cm="1">
        <f t="array" ref="G329">IFERROR(_xlfn.IFS(ISNUMBER(Table13[[#This Row],[Column3]]),Table13[[#This Row],[Column3]],Table13[[#This Row],[Column3]]="NEW",Table13[[#This Row],[Column3]]),"")</f>
        <v>144.08963387399672</v>
      </c>
      <c r="H329" s="15" cm="1">
        <f t="array" ref="H329">_xlfn.IFS(Table13[[#This Row],[Column4]]="NEW",AVERAGEIFS(Table13[Column4],Table13[Year],Table13[[#This Row],[Year]]),ISNUMBER(Table13[[#This Row],[Column4]]),Table13[[#This Row],[Column4]],Table13[[#This Row],[Column4]]="",H328*(1+Table13[[#This Row],[Ávöxtun]]))</f>
        <v>144.08963387399672</v>
      </c>
      <c r="I329" cm="1">
        <f t="array" ref="I329">_xlfn.IFS(Table13[[#This Row],[Column4]]="NEW",_xlfn.XLOOKUP(Table13[[#This Row],[Year]],$N$2:$N$27,$P$2:$P$27),ISNUMBER(Table13[[#This Row],[Column4]]),Table13[[#This Row],[Column4]],Table13[[#This Row],[Column4]]="",I328*(1+Table13[[#This Row],[Ávöxtun]]))</f>
        <v>144.08963387399672</v>
      </c>
      <c r="L329" s="33">
        <v>144.08963387399672</v>
      </c>
      <c r="M329" s="33">
        <v>144.08963387399672</v>
      </c>
    </row>
    <row r="330" spans="1:13">
      <c r="A330" t="s">
        <v>86</v>
      </c>
      <c r="B330">
        <v>2009</v>
      </c>
      <c r="C330" s="16">
        <v>9.4000000000000004E-3</v>
      </c>
      <c r="D330" s="1">
        <v>571368</v>
      </c>
      <c r="E330" s="29">
        <f>Table13[[#This Row],[Ávöxtun]]*Table13[[#This Row],[Eignir]]/SUMIFS(Table13[Eignir],Table13[Year],Table13[[#This Row],[Year]])</f>
        <v>3.9114327187878845E-6</v>
      </c>
      <c r="F330" s="23">
        <f>IF(B330=1997, 100, IF(COUNTIF(A$1:A329,A330)=0, "NEW", F329*(1+Table13[[#This Row],[Ávöxtun]])))</f>
        <v>145.44407643241229</v>
      </c>
      <c r="G330" s="18" cm="1">
        <f t="array" ref="G330">IFERROR(_xlfn.IFS(ISNUMBER(Table13[[#This Row],[Column3]]),Table13[[#This Row],[Column3]],Table13[[#This Row],[Column3]]="NEW",Table13[[#This Row],[Column3]]),"")</f>
        <v>145.44407643241229</v>
      </c>
      <c r="H330" s="15" cm="1">
        <f t="array" ref="H330">_xlfn.IFS(Table13[[#This Row],[Column4]]="NEW",AVERAGEIFS(Table13[Column4],Table13[Year],Table13[[#This Row],[Year]]),ISNUMBER(Table13[[#This Row],[Column4]]),Table13[[#This Row],[Column4]],Table13[[#This Row],[Column4]]="",H329*(1+Table13[[#This Row],[Ávöxtun]]))</f>
        <v>145.44407643241229</v>
      </c>
      <c r="I330" cm="1">
        <f t="array" ref="I330">_xlfn.IFS(Table13[[#This Row],[Column4]]="NEW",_xlfn.XLOOKUP(Table13[[#This Row],[Year]],$N$2:$N$27,$P$2:$P$27),ISNUMBER(Table13[[#This Row],[Column4]]),Table13[[#This Row],[Column4]],Table13[[#This Row],[Column4]]="",I329*(1+Table13[[#This Row],[Ávöxtun]]))</f>
        <v>145.44407643241229</v>
      </c>
      <c r="L330" s="33">
        <v>145.44407643241229</v>
      </c>
      <c r="M330" s="33">
        <v>145.44407643241229</v>
      </c>
    </row>
    <row r="331" spans="1:13">
      <c r="A331" t="s">
        <v>86</v>
      </c>
      <c r="B331">
        <v>2010</v>
      </c>
      <c r="C331" s="16">
        <v>3.2400000000000005E-2</v>
      </c>
      <c r="D331" s="1">
        <v>589872</v>
      </c>
      <c r="E331" s="29">
        <f>Table13[[#This Row],[Ávöxtun]]*Table13[[#This Row],[Eignir]]/SUMIFS(Table13[Eignir],Table13[Year],Table13[[#This Row],[Year]])</f>
        <v>1.3047873323159057E-5</v>
      </c>
      <c r="F331" s="23">
        <f>IF(B331=1997, 100, IF(COUNTIF(A$1:A330,A331)=0, "NEW", F330*(1+Table13[[#This Row],[Ávöxtun]])))</f>
        <v>150.15646450882244</v>
      </c>
      <c r="G331" s="18" cm="1">
        <f t="array" ref="G331">IFERROR(_xlfn.IFS(ISNUMBER(Table13[[#This Row],[Column3]]),Table13[[#This Row],[Column3]],Table13[[#This Row],[Column3]]="NEW",Table13[[#This Row],[Column3]]),"")</f>
        <v>150.15646450882244</v>
      </c>
      <c r="H331" s="15" cm="1">
        <f t="array" ref="H331">_xlfn.IFS(Table13[[#This Row],[Column4]]="NEW",AVERAGEIFS(Table13[Column4],Table13[Year],Table13[[#This Row],[Year]]),ISNUMBER(Table13[[#This Row],[Column4]]),Table13[[#This Row],[Column4]],Table13[[#This Row],[Column4]]="",H330*(1+Table13[[#This Row],[Ávöxtun]]))</f>
        <v>150.15646450882244</v>
      </c>
      <c r="I331" cm="1">
        <f t="array" ref="I331">_xlfn.IFS(Table13[[#This Row],[Column4]]="NEW",_xlfn.XLOOKUP(Table13[[#This Row],[Year]],$N$2:$N$27,$P$2:$P$27),ISNUMBER(Table13[[#This Row],[Column4]]),Table13[[#This Row],[Column4]],Table13[[#This Row],[Column4]]="",I330*(1+Table13[[#This Row],[Ávöxtun]]))</f>
        <v>150.15646450882244</v>
      </c>
      <c r="L331" s="33">
        <v>150.15646450882244</v>
      </c>
      <c r="M331" s="33">
        <v>150.15646450882244</v>
      </c>
    </row>
    <row r="332" spans="1:13">
      <c r="A332" t="s">
        <v>86</v>
      </c>
      <c r="B332">
        <v>2011</v>
      </c>
      <c r="C332" s="16">
        <v>1.1000000000000001E-2</v>
      </c>
      <c r="D332" s="1">
        <v>609599</v>
      </c>
      <c r="E332" s="29">
        <f>Table13[[#This Row],[Ávöxtun]]*Table13[[#This Row],[Eignir]]/SUMIFS(Table13[Eignir],Table13[Year],Table13[[#This Row],[Year]])</f>
        <v>4.2229864917766329E-6</v>
      </c>
      <c r="F332" s="23">
        <f>IF(B332=1997, 100, IF(COUNTIF(A$1:A331,A332)=0, "NEW", F331*(1+Table13[[#This Row],[Ávöxtun]])))</f>
        <v>151.80818561841946</v>
      </c>
      <c r="G332" s="18" cm="1">
        <f t="array" ref="G332">IFERROR(_xlfn.IFS(ISNUMBER(Table13[[#This Row],[Column3]]),Table13[[#This Row],[Column3]],Table13[[#This Row],[Column3]]="NEW",Table13[[#This Row],[Column3]]),"")</f>
        <v>151.80818561841946</v>
      </c>
      <c r="H332" s="15" cm="1">
        <f t="array" ref="H332">_xlfn.IFS(Table13[[#This Row],[Column4]]="NEW",AVERAGEIFS(Table13[Column4],Table13[Year],Table13[[#This Row],[Year]]),ISNUMBER(Table13[[#This Row],[Column4]]),Table13[[#This Row],[Column4]],Table13[[#This Row],[Column4]]="",H331*(1+Table13[[#This Row],[Ávöxtun]]))</f>
        <v>151.80818561841946</v>
      </c>
      <c r="I332" cm="1">
        <f t="array" ref="I332">_xlfn.IFS(Table13[[#This Row],[Column4]]="NEW",_xlfn.XLOOKUP(Table13[[#This Row],[Year]],$N$2:$N$27,$P$2:$P$27),ISNUMBER(Table13[[#This Row],[Column4]]),Table13[[#This Row],[Column4]],Table13[[#This Row],[Column4]]="",I331*(1+Table13[[#This Row],[Ávöxtun]]))</f>
        <v>151.80818561841946</v>
      </c>
      <c r="L332" s="33">
        <v>151.80818561841946</v>
      </c>
      <c r="M332" s="33">
        <v>151.80818561841946</v>
      </c>
    </row>
    <row r="333" spans="1:13">
      <c r="A333" t="s">
        <v>86</v>
      </c>
      <c r="B333">
        <v>2012</v>
      </c>
      <c r="C333" s="16">
        <v>6.0000000000000001E-3</v>
      </c>
      <c r="D333" s="1">
        <v>614504</v>
      </c>
      <c r="E333" s="29">
        <f>Table13[[#This Row],[Ávöxtun]]*Table13[[#This Row],[Eignir]]/SUMIFS(Table13[Eignir],Table13[Year],Table13[[#This Row],[Year]])</f>
        <v>2.0542012841204999E-6</v>
      </c>
      <c r="F333" s="23">
        <f>IF(B333=1997, 100, IF(COUNTIF(A$1:A332,A333)=0, "NEW", F332*(1+Table13[[#This Row],[Ávöxtun]])))</f>
        <v>152.71903473212998</v>
      </c>
      <c r="G333" s="18" cm="1">
        <f t="array" ref="G333">IFERROR(_xlfn.IFS(ISNUMBER(Table13[[#This Row],[Column3]]),Table13[[#This Row],[Column3]],Table13[[#This Row],[Column3]]="NEW",Table13[[#This Row],[Column3]]),"")</f>
        <v>152.71903473212998</v>
      </c>
      <c r="H333" s="15" cm="1">
        <f t="array" ref="H333">_xlfn.IFS(Table13[[#This Row],[Column4]]="NEW",AVERAGEIFS(Table13[Column4],Table13[Year],Table13[[#This Row],[Year]]),ISNUMBER(Table13[[#This Row],[Column4]]),Table13[[#This Row],[Column4]],Table13[[#This Row],[Column4]]="",H332*(1+Table13[[#This Row],[Ávöxtun]]))</f>
        <v>152.71903473212998</v>
      </c>
      <c r="I333" cm="1">
        <f t="array" ref="I333">_xlfn.IFS(Table13[[#This Row],[Column4]]="NEW",_xlfn.XLOOKUP(Table13[[#This Row],[Year]],$N$2:$N$27,$P$2:$P$27),ISNUMBER(Table13[[#This Row],[Column4]]),Table13[[#This Row],[Column4]],Table13[[#This Row],[Column4]]="",I332*(1+Table13[[#This Row],[Ávöxtun]]))</f>
        <v>152.71903473212998</v>
      </c>
      <c r="L333" s="33">
        <v>152.71903473212998</v>
      </c>
      <c r="M333" s="33">
        <v>152.71903473212998</v>
      </c>
    </row>
    <row r="334" spans="1:13">
      <c r="A334" t="s">
        <v>87</v>
      </c>
      <c r="B334">
        <v>1997</v>
      </c>
      <c r="C334" s="16">
        <v>0.08</v>
      </c>
      <c r="D334" s="1">
        <v>11443.39</v>
      </c>
      <c r="E334" s="29">
        <f>Table13[[#This Row],[Ávöxtun]]*Table13[[#This Row],[Eignir]]/SUMIFS(Table13[Eignir],Table13[Year],Table13[[#This Row],[Year]])</f>
        <v>3.2081752735251672E-6</v>
      </c>
      <c r="F334" s="23">
        <f>IF(B334=1997, 100, IF(COUNTIF(A$1:A333,A334)=0, "NEW", F333*(1+Table13[[#This Row],[Ávöxtun]])))</f>
        <v>100</v>
      </c>
      <c r="G334" s="18" cm="1">
        <f t="array" ref="G334">IFERROR(_xlfn.IFS(ISNUMBER(Table13[[#This Row],[Column3]]),Table13[[#This Row],[Column3]],Table13[[#This Row],[Column3]]="NEW",Table13[[#This Row],[Column3]]),"")</f>
        <v>100</v>
      </c>
      <c r="H334" s="15" cm="1">
        <f t="array" ref="H334">_xlfn.IFS(Table13[[#This Row],[Column4]]="NEW",AVERAGEIFS(Table13[Column4],Table13[Year],Table13[[#This Row],[Year]]),ISNUMBER(Table13[[#This Row],[Column4]]),Table13[[#This Row],[Column4]],Table13[[#This Row],[Column4]]="",H333*(1+Table13[[#This Row],[Ávöxtun]]))</f>
        <v>100</v>
      </c>
      <c r="I334" cm="1">
        <f t="array" ref="I334">_xlfn.IFS(Table13[[#This Row],[Column4]]="NEW",_xlfn.XLOOKUP(Table13[[#This Row],[Year]],$N$2:$N$27,$P$2:$P$27),ISNUMBER(Table13[[#This Row],[Column4]]),Table13[[#This Row],[Column4]],Table13[[#This Row],[Column4]]="",I333*(1+Table13[[#This Row],[Ávöxtun]]))</f>
        <v>100</v>
      </c>
      <c r="L334" s="33">
        <v>100</v>
      </c>
      <c r="M334" s="33">
        <v>100</v>
      </c>
    </row>
    <row r="335" spans="1:13">
      <c r="A335" t="s">
        <v>87</v>
      </c>
      <c r="B335">
        <v>1998</v>
      </c>
      <c r="C335" s="16">
        <v>0.08</v>
      </c>
      <c r="D335" s="1">
        <v>10939.39</v>
      </c>
      <c r="E335" s="29">
        <f>Table13[[#This Row],[Ávöxtun]]*Table13[[#This Row],[Eignir]]/SUMIFS(Table13[Eignir],Table13[Year],Table13[[#This Row],[Year]])</f>
        <v>2.6479738212362846E-6</v>
      </c>
      <c r="F335" s="23">
        <f>IF(B335=1997, 100, IF(COUNTIF(A$1:A334,A335)=0, "NEW", F334*(1+Table13[[#This Row],[Ávöxtun]])))</f>
        <v>108</v>
      </c>
      <c r="G335" s="18" cm="1">
        <f t="array" ref="G335">IFERROR(_xlfn.IFS(ISNUMBER(Table13[[#This Row],[Column3]]),Table13[[#This Row],[Column3]],Table13[[#This Row],[Column3]]="NEW",Table13[[#This Row],[Column3]]),"")</f>
        <v>108</v>
      </c>
      <c r="H335" s="15" cm="1">
        <f t="array" ref="H335">_xlfn.IFS(Table13[[#This Row],[Column4]]="NEW",AVERAGEIFS(Table13[Column4],Table13[Year],Table13[[#This Row],[Year]]),ISNUMBER(Table13[[#This Row],[Column4]]),Table13[[#This Row],[Column4]],Table13[[#This Row],[Column4]]="",H334*(1+Table13[[#This Row],[Ávöxtun]]))</f>
        <v>108</v>
      </c>
      <c r="I335" cm="1">
        <f t="array" ref="I335">_xlfn.IFS(Table13[[#This Row],[Column4]]="NEW",_xlfn.XLOOKUP(Table13[[#This Row],[Year]],$N$2:$N$27,$P$2:$P$27),ISNUMBER(Table13[[#This Row],[Column4]]),Table13[[#This Row],[Column4]],Table13[[#This Row],[Column4]]="",I334*(1+Table13[[#This Row],[Ávöxtun]]))</f>
        <v>108</v>
      </c>
      <c r="L335" s="33">
        <v>108</v>
      </c>
      <c r="M335" s="33">
        <v>108</v>
      </c>
    </row>
    <row r="336" spans="1:13">
      <c r="A336" t="s">
        <v>87</v>
      </c>
      <c r="B336">
        <v>1999</v>
      </c>
      <c r="C336" s="16">
        <v>0.01</v>
      </c>
      <c r="D336" s="1">
        <v>10403.25</v>
      </c>
      <c r="E336" s="29">
        <f>Table13[[#This Row],[Ávöxtun]]*Table13[[#This Row],[Eignir]]/SUMIFS(Table13[Eignir],Table13[Year],Table13[[#This Row],[Year]])</f>
        <v>2.3434753632632398E-7</v>
      </c>
      <c r="F336" s="23">
        <f>IF(B336=1997, 100, IF(COUNTIF(A$1:A335,A336)=0, "NEW", F335*(1+Table13[[#This Row],[Ávöxtun]])))</f>
        <v>109.08</v>
      </c>
      <c r="G336" s="18" cm="1">
        <f t="array" ref="G336">IFERROR(_xlfn.IFS(ISNUMBER(Table13[[#This Row],[Column3]]),Table13[[#This Row],[Column3]],Table13[[#This Row],[Column3]]="NEW",Table13[[#This Row],[Column3]]),"")</f>
        <v>109.08</v>
      </c>
      <c r="H336" s="15" cm="1">
        <f t="array" ref="H336">_xlfn.IFS(Table13[[#This Row],[Column4]]="NEW",AVERAGEIFS(Table13[Column4],Table13[Year],Table13[[#This Row],[Year]]),ISNUMBER(Table13[[#This Row],[Column4]]),Table13[[#This Row],[Column4]],Table13[[#This Row],[Column4]]="",H335*(1+Table13[[#This Row],[Ávöxtun]]))</f>
        <v>109.08</v>
      </c>
      <c r="I336" cm="1">
        <f t="array" ref="I336">_xlfn.IFS(Table13[[#This Row],[Column4]]="NEW",_xlfn.XLOOKUP(Table13[[#This Row],[Year]],$N$2:$N$27,$P$2:$P$27),ISNUMBER(Table13[[#This Row],[Column4]]),Table13[[#This Row],[Column4]],Table13[[#This Row],[Column4]]="",I335*(1+Table13[[#This Row],[Ávöxtun]]))</f>
        <v>109.08</v>
      </c>
      <c r="L336" s="33">
        <v>109.08</v>
      </c>
      <c r="M336" s="33">
        <v>109.08</v>
      </c>
    </row>
    <row r="337" spans="1:13">
      <c r="A337" t="s">
        <v>87</v>
      </c>
      <c r="B337">
        <v>2000</v>
      </c>
      <c r="C337" s="16">
        <v>-0.03</v>
      </c>
      <c r="D337" s="1">
        <v>9011.09</v>
      </c>
      <c r="E337" s="29">
        <f>Table13[[#This Row],[Ávöxtun]]*Table13[[#This Row],[Eignir]]/SUMIFS(Table13[Eignir],Table13[Year],Table13[[#This Row],[Year]])</f>
        <v>-4.3289136385814425E-7</v>
      </c>
      <c r="F337" s="23">
        <f>IF(B337=1997, 100, IF(COUNTIF(A$1:A336,A337)=0, "NEW", F336*(1+Table13[[#This Row],[Ávöxtun]])))</f>
        <v>105.80759999999999</v>
      </c>
      <c r="G337" s="18" cm="1">
        <f t="array" ref="G337">IFERROR(_xlfn.IFS(ISNUMBER(Table13[[#This Row],[Column3]]),Table13[[#This Row],[Column3]],Table13[[#This Row],[Column3]]="NEW",Table13[[#This Row],[Column3]]),"")</f>
        <v>105.80759999999999</v>
      </c>
      <c r="H337" s="15" cm="1">
        <f t="array" ref="H337">_xlfn.IFS(Table13[[#This Row],[Column4]]="NEW",AVERAGEIFS(Table13[Column4],Table13[Year],Table13[[#This Row],[Year]]),ISNUMBER(Table13[[#This Row],[Column4]]),Table13[[#This Row],[Column4]],Table13[[#This Row],[Column4]]="",H336*(1+Table13[[#This Row],[Ávöxtun]]))</f>
        <v>105.80759999999999</v>
      </c>
      <c r="I337" cm="1">
        <f t="array" ref="I337">_xlfn.IFS(Table13[[#This Row],[Column4]]="NEW",_xlfn.XLOOKUP(Table13[[#This Row],[Year]],$N$2:$N$27,$P$2:$P$27),ISNUMBER(Table13[[#This Row],[Column4]]),Table13[[#This Row],[Column4]],Table13[[#This Row],[Column4]]="",I336*(1+Table13[[#This Row],[Ávöxtun]]))</f>
        <v>105.80759999999999</v>
      </c>
      <c r="L337" s="33">
        <v>105.80759999999999</v>
      </c>
      <c r="M337" s="33">
        <v>105.80759999999999</v>
      </c>
    </row>
    <row r="338" spans="1:13">
      <c r="A338" t="s">
        <v>87</v>
      </c>
      <c r="B338">
        <v>2001</v>
      </c>
      <c r="C338" s="16">
        <v>0.06</v>
      </c>
      <c r="D338" s="1">
        <v>9419</v>
      </c>
      <c r="E338" s="29">
        <f>Table13[[#This Row],[Ávöxtun]]*Table13[[#This Row],[Eignir]]/SUMIFS(Table13[Eignir],Table13[Year],Table13[[#This Row],[Year]])</f>
        <v>5.8805014087472945E-7</v>
      </c>
      <c r="F338" s="23">
        <f>IF(B338=1997, 100, IF(COUNTIF(A$1:A337,A338)=0, "NEW", F337*(1+Table13[[#This Row],[Ávöxtun]])))</f>
        <v>112.15605599999999</v>
      </c>
      <c r="G338" s="18" cm="1">
        <f t="array" ref="G338">IFERROR(_xlfn.IFS(ISNUMBER(Table13[[#This Row],[Column3]]),Table13[[#This Row],[Column3]],Table13[[#This Row],[Column3]]="NEW",Table13[[#This Row],[Column3]]),"")</f>
        <v>112.15605599999999</v>
      </c>
      <c r="H338" s="15" cm="1">
        <f t="array" ref="H338">_xlfn.IFS(Table13[[#This Row],[Column4]]="NEW",AVERAGEIFS(Table13[Column4],Table13[Year],Table13[[#This Row],[Year]]),ISNUMBER(Table13[[#This Row],[Column4]]),Table13[[#This Row],[Column4]],Table13[[#This Row],[Column4]]="",H337*(1+Table13[[#This Row],[Ávöxtun]]))</f>
        <v>112.15605599999999</v>
      </c>
      <c r="I338" cm="1">
        <f t="array" ref="I338">_xlfn.IFS(Table13[[#This Row],[Column4]]="NEW",_xlfn.XLOOKUP(Table13[[#This Row],[Year]],$N$2:$N$27,$P$2:$P$27),ISNUMBER(Table13[[#This Row],[Column4]]),Table13[[#This Row],[Column4]],Table13[[#This Row],[Column4]]="",I337*(1+Table13[[#This Row],[Ávöxtun]]))</f>
        <v>112.15605599999999</v>
      </c>
      <c r="L338" s="33">
        <v>112.15605599999999</v>
      </c>
      <c r="M338" s="33">
        <v>112.15605599999999</v>
      </c>
    </row>
    <row r="339" spans="1:13">
      <c r="A339" t="s">
        <v>87</v>
      </c>
      <c r="B339">
        <v>2002</v>
      </c>
      <c r="C339" s="16">
        <v>0.08</v>
      </c>
      <c r="D339" s="1">
        <v>9201.65</v>
      </c>
      <c r="E339" s="29">
        <f>Table13[[#This Row],[Ávöxtun]]*Table13[[#This Row],[Eignir]]/SUMIFS(Table13[Eignir],Table13[Year],Table13[[#This Row],[Year]])</f>
        <v>1.3814161246670027E-6</v>
      </c>
      <c r="F339" s="23">
        <f>IF(B339=1997, 100, IF(COUNTIF(A$1:A338,A339)=0, "NEW", F338*(1+Table13[[#This Row],[Ávöxtun]])))</f>
        <v>121.12854048</v>
      </c>
      <c r="G339" s="18" cm="1">
        <f t="array" ref="G339">IFERROR(_xlfn.IFS(ISNUMBER(Table13[[#This Row],[Column3]]),Table13[[#This Row],[Column3]],Table13[[#This Row],[Column3]]="NEW",Table13[[#This Row],[Column3]]),"")</f>
        <v>121.12854048</v>
      </c>
      <c r="H339" s="15" cm="1">
        <f t="array" ref="H339">_xlfn.IFS(Table13[[#This Row],[Column4]]="NEW",AVERAGEIFS(Table13[Column4],Table13[Year],Table13[[#This Row],[Year]]),ISNUMBER(Table13[[#This Row],[Column4]]),Table13[[#This Row],[Column4]],Table13[[#This Row],[Column4]]="",H338*(1+Table13[[#This Row],[Ávöxtun]]))</f>
        <v>121.12854048</v>
      </c>
      <c r="I339" cm="1">
        <f t="array" ref="I339">_xlfn.IFS(Table13[[#This Row],[Column4]]="NEW",_xlfn.XLOOKUP(Table13[[#This Row],[Year]],$N$2:$N$27,$P$2:$P$27),ISNUMBER(Table13[[#This Row],[Column4]]),Table13[[#This Row],[Column4]],Table13[[#This Row],[Column4]]="",I338*(1+Table13[[#This Row],[Ávöxtun]]))</f>
        <v>121.12854048</v>
      </c>
      <c r="L339" s="33">
        <v>121.12854048</v>
      </c>
      <c r="M339" s="33">
        <v>121.12854048</v>
      </c>
    </row>
    <row r="340" spans="1:13">
      <c r="A340" t="s">
        <v>87</v>
      </c>
      <c r="B340">
        <v>2003</v>
      </c>
      <c r="C340" s="16">
        <v>0.02</v>
      </c>
      <c r="D340" s="1">
        <v>8378</v>
      </c>
      <c r="E340" s="29">
        <f>Table13[[#This Row],[Ávöxtun]]*Table13[[#This Row],[Eignir]]/SUMIFS(Table13[Eignir],Table13[Year],Table13[[#This Row],[Year]])</f>
        <v>2.6271902394995991E-7</v>
      </c>
      <c r="F340" s="23">
        <f>IF(B340=1997, 100, IF(COUNTIF(A$1:A339,A340)=0, "NEW", F339*(1+Table13[[#This Row],[Ávöxtun]])))</f>
        <v>123.5511112896</v>
      </c>
      <c r="G340" s="18" cm="1">
        <f t="array" ref="G340">IFERROR(_xlfn.IFS(ISNUMBER(Table13[[#This Row],[Column3]]),Table13[[#This Row],[Column3]],Table13[[#This Row],[Column3]]="NEW",Table13[[#This Row],[Column3]]),"")</f>
        <v>123.5511112896</v>
      </c>
      <c r="H340" s="15" cm="1">
        <f t="array" ref="H340">_xlfn.IFS(Table13[[#This Row],[Column4]]="NEW",AVERAGEIFS(Table13[Column4],Table13[Year],Table13[[#This Row],[Year]]),ISNUMBER(Table13[[#This Row],[Column4]]),Table13[[#This Row],[Column4]],Table13[[#This Row],[Column4]]="",H339*(1+Table13[[#This Row],[Ávöxtun]]))</f>
        <v>123.5511112896</v>
      </c>
      <c r="I340" cm="1">
        <f t="array" ref="I340">_xlfn.IFS(Table13[[#This Row],[Column4]]="NEW",_xlfn.XLOOKUP(Table13[[#This Row],[Year]],$N$2:$N$27,$P$2:$P$27),ISNUMBER(Table13[[#This Row],[Column4]]),Table13[[#This Row],[Column4]],Table13[[#This Row],[Column4]]="",I339*(1+Table13[[#This Row],[Ávöxtun]]))</f>
        <v>123.5511112896</v>
      </c>
      <c r="L340" s="33">
        <v>123.5511112896</v>
      </c>
      <c r="M340" s="33">
        <v>123.5511112896</v>
      </c>
    </row>
    <row r="341" spans="1:13">
      <c r="A341" t="s">
        <v>87</v>
      </c>
      <c r="B341">
        <v>2004</v>
      </c>
      <c r="C341" s="16">
        <v>0.01</v>
      </c>
      <c r="D341" s="1">
        <v>8689</v>
      </c>
      <c r="E341" s="29">
        <f>Table13[[#This Row],[Ávöxtun]]*Table13[[#This Row],[Eignir]]/SUMIFS(Table13[Eignir],Table13[Year],Table13[[#This Row],[Year]])</f>
        <v>1.1438426961089421E-7</v>
      </c>
      <c r="F341" s="23">
        <f>IF(B341=1997, 100, IF(COUNTIF(A$1:A340,A341)=0, "NEW", F340*(1+Table13[[#This Row],[Ávöxtun]])))</f>
        <v>124.78662240249601</v>
      </c>
      <c r="G341" s="18" cm="1">
        <f t="array" ref="G341">IFERROR(_xlfn.IFS(ISNUMBER(Table13[[#This Row],[Column3]]),Table13[[#This Row],[Column3]],Table13[[#This Row],[Column3]]="NEW",Table13[[#This Row],[Column3]]),"")</f>
        <v>124.78662240249601</v>
      </c>
      <c r="H341" s="15" cm="1">
        <f t="array" ref="H341">_xlfn.IFS(Table13[[#This Row],[Column4]]="NEW",AVERAGEIFS(Table13[Column4],Table13[Year],Table13[[#This Row],[Year]]),ISNUMBER(Table13[[#This Row],[Column4]]),Table13[[#This Row],[Column4]],Table13[[#This Row],[Column4]]="",H340*(1+Table13[[#This Row],[Ávöxtun]]))</f>
        <v>124.78662240249601</v>
      </c>
      <c r="I341" cm="1">
        <f t="array" ref="I341">_xlfn.IFS(Table13[[#This Row],[Column4]]="NEW",_xlfn.XLOOKUP(Table13[[#This Row],[Year]],$N$2:$N$27,$P$2:$P$27),ISNUMBER(Table13[[#This Row],[Column4]]),Table13[[#This Row],[Column4]],Table13[[#This Row],[Column4]]="",I340*(1+Table13[[#This Row],[Ávöxtun]]))</f>
        <v>124.78662240249601</v>
      </c>
      <c r="L341" s="33">
        <v>124.78662240249601</v>
      </c>
      <c r="M341" s="33">
        <v>124.78662240249601</v>
      </c>
    </row>
    <row r="342" spans="1:13">
      <c r="A342" t="s">
        <v>87</v>
      </c>
      <c r="B342">
        <v>2005</v>
      </c>
      <c r="C342" s="16">
        <v>0.02</v>
      </c>
      <c r="D342" s="1">
        <v>7797</v>
      </c>
      <c r="E342" s="29">
        <f>Table13[[#This Row],[Ávöxtun]]*Table13[[#This Row],[Eignir]]/SUMIFS(Table13[Eignir],Table13[Year],Table13[[#This Row],[Year]])</f>
        <v>1.6706498445104847E-7</v>
      </c>
      <c r="F342" s="23">
        <f>IF(B342=1997, 100, IF(COUNTIF(A$1:A341,A342)=0, "NEW", F341*(1+Table13[[#This Row],[Ávöxtun]])))</f>
        <v>127.28235485054593</v>
      </c>
      <c r="G342" s="18" cm="1">
        <f t="array" ref="G342">IFERROR(_xlfn.IFS(ISNUMBER(Table13[[#This Row],[Column3]]),Table13[[#This Row],[Column3]],Table13[[#This Row],[Column3]]="NEW",Table13[[#This Row],[Column3]]),"")</f>
        <v>127.28235485054593</v>
      </c>
      <c r="H342" s="15" cm="1">
        <f t="array" ref="H342">_xlfn.IFS(Table13[[#This Row],[Column4]]="NEW",AVERAGEIFS(Table13[Column4],Table13[Year],Table13[[#This Row],[Year]]),ISNUMBER(Table13[[#This Row],[Column4]]),Table13[[#This Row],[Column4]],Table13[[#This Row],[Column4]]="",H341*(1+Table13[[#This Row],[Ávöxtun]]))</f>
        <v>127.28235485054593</v>
      </c>
      <c r="I342" cm="1">
        <f t="array" ref="I342">_xlfn.IFS(Table13[[#This Row],[Column4]]="NEW",_xlfn.XLOOKUP(Table13[[#This Row],[Year]],$N$2:$N$27,$P$2:$P$27),ISNUMBER(Table13[[#This Row],[Column4]]),Table13[[#This Row],[Column4]],Table13[[#This Row],[Column4]]="",I341*(1+Table13[[#This Row],[Ávöxtun]]))</f>
        <v>127.28235485054593</v>
      </c>
      <c r="L342" s="33">
        <v>127.28235485054593</v>
      </c>
      <c r="M342" s="33">
        <v>127.28235485054593</v>
      </c>
    </row>
    <row r="343" spans="1:13">
      <c r="A343" t="s">
        <v>88</v>
      </c>
      <c r="B343">
        <v>1997</v>
      </c>
      <c r="C343" s="16">
        <v>0.08</v>
      </c>
      <c r="D343" s="1">
        <v>98072.45</v>
      </c>
      <c r="E343" s="29">
        <f>Table13[[#This Row],[Ávöxtun]]*Table13[[#This Row],[Eignir]]/SUMIFS(Table13[Eignir],Table13[Year],Table13[[#This Row],[Year]])</f>
        <v>2.7494790364047133E-5</v>
      </c>
      <c r="F343" s="23">
        <f>IF(B343=1997, 100, IF(COUNTIF(A$1:A342,A343)=0, "NEW", F342*(1+Table13[[#This Row],[Ávöxtun]])))</f>
        <v>100</v>
      </c>
      <c r="G343" s="18" cm="1">
        <f t="array" ref="G343">IFERROR(_xlfn.IFS(ISNUMBER(Table13[[#This Row],[Column3]]),Table13[[#This Row],[Column3]],Table13[[#This Row],[Column3]]="NEW",Table13[[#This Row],[Column3]]),"")</f>
        <v>100</v>
      </c>
      <c r="H343" s="15" cm="1">
        <f t="array" ref="H343">_xlfn.IFS(Table13[[#This Row],[Column4]]="NEW",AVERAGEIFS(Table13[Column4],Table13[Year],Table13[[#This Row],[Year]]),ISNUMBER(Table13[[#This Row],[Column4]]),Table13[[#This Row],[Column4]],Table13[[#This Row],[Column4]]="",H342*(1+Table13[[#This Row],[Ávöxtun]]))</f>
        <v>100</v>
      </c>
      <c r="I343" cm="1">
        <f t="array" ref="I343">_xlfn.IFS(Table13[[#This Row],[Column4]]="NEW",_xlfn.XLOOKUP(Table13[[#This Row],[Year]],$N$2:$N$27,$P$2:$P$27),ISNUMBER(Table13[[#This Row],[Column4]]),Table13[[#This Row],[Column4]],Table13[[#This Row],[Column4]]="",I342*(1+Table13[[#This Row],[Ávöxtun]]))</f>
        <v>100</v>
      </c>
      <c r="L343" s="33">
        <v>100</v>
      </c>
      <c r="M343" s="33">
        <v>100</v>
      </c>
    </row>
    <row r="344" spans="1:13">
      <c r="A344" t="s">
        <v>88</v>
      </c>
      <c r="B344">
        <v>1998</v>
      </c>
      <c r="C344" s="16">
        <v>0.04</v>
      </c>
      <c r="D344" s="1">
        <v>104214.2</v>
      </c>
      <c r="E344" s="29">
        <f>Table13[[#This Row],[Ávöxtun]]*Table13[[#This Row],[Eignir]]/SUMIFS(Table13[Eignir],Table13[Year],Table13[[#This Row],[Year]])</f>
        <v>1.2612973547934686E-5</v>
      </c>
      <c r="F344" s="23">
        <f>IF(B344=1997, 100, IF(COUNTIF(A$1:A343,A344)=0, "NEW", F343*(1+Table13[[#This Row],[Ávöxtun]])))</f>
        <v>104</v>
      </c>
      <c r="G344" s="18" cm="1">
        <f t="array" ref="G344">IFERROR(_xlfn.IFS(ISNUMBER(Table13[[#This Row],[Column3]]),Table13[[#This Row],[Column3]],Table13[[#This Row],[Column3]]="NEW",Table13[[#This Row],[Column3]]),"")</f>
        <v>104</v>
      </c>
      <c r="H344" s="15" cm="1">
        <f t="array" ref="H344">_xlfn.IFS(Table13[[#This Row],[Column4]]="NEW",AVERAGEIFS(Table13[Column4],Table13[Year],Table13[[#This Row],[Year]]),ISNUMBER(Table13[[#This Row],[Column4]]),Table13[[#This Row],[Column4]],Table13[[#This Row],[Column4]]="",H343*(1+Table13[[#This Row],[Ávöxtun]]))</f>
        <v>104</v>
      </c>
      <c r="I344" cm="1">
        <f t="array" ref="I344">_xlfn.IFS(Table13[[#This Row],[Column4]]="NEW",_xlfn.XLOOKUP(Table13[[#This Row],[Year]],$N$2:$N$27,$P$2:$P$27),ISNUMBER(Table13[[#This Row],[Column4]]),Table13[[#This Row],[Column4]],Table13[[#This Row],[Column4]]="",I343*(1+Table13[[#This Row],[Ávöxtun]]))</f>
        <v>104</v>
      </c>
      <c r="L344" s="33">
        <v>104</v>
      </c>
      <c r="M344" s="33">
        <v>104</v>
      </c>
    </row>
    <row r="345" spans="1:13">
      <c r="A345" t="s">
        <v>88</v>
      </c>
      <c r="B345">
        <v>1999</v>
      </c>
      <c r="C345" s="16">
        <v>0.03</v>
      </c>
      <c r="D345" s="1">
        <v>88750.399999999994</v>
      </c>
      <c r="E345" s="29">
        <f>Table13[[#This Row],[Ávöxtun]]*Table13[[#This Row],[Eignir]]/SUMIFS(Table13[Eignir],Table13[Year],Table13[[#This Row],[Year]])</f>
        <v>5.9976750307766653E-6</v>
      </c>
      <c r="F345" s="23">
        <f>IF(B345=1997, 100, IF(COUNTIF(A$1:A344,A345)=0, "NEW", F344*(1+Table13[[#This Row],[Ávöxtun]])))</f>
        <v>107.12</v>
      </c>
      <c r="G345" s="18" cm="1">
        <f t="array" ref="G345">IFERROR(_xlfn.IFS(ISNUMBER(Table13[[#This Row],[Column3]]),Table13[[#This Row],[Column3]],Table13[[#This Row],[Column3]]="NEW",Table13[[#This Row],[Column3]]),"")</f>
        <v>107.12</v>
      </c>
      <c r="H345" s="15" cm="1">
        <f t="array" ref="H345">_xlfn.IFS(Table13[[#This Row],[Column4]]="NEW",AVERAGEIFS(Table13[Column4],Table13[Year],Table13[[#This Row],[Year]]),ISNUMBER(Table13[[#This Row],[Column4]]),Table13[[#This Row],[Column4]],Table13[[#This Row],[Column4]]="",H344*(1+Table13[[#This Row],[Ávöxtun]]))</f>
        <v>107.12</v>
      </c>
      <c r="I345" cm="1">
        <f t="array" ref="I345">_xlfn.IFS(Table13[[#This Row],[Column4]]="NEW",_xlfn.XLOOKUP(Table13[[#This Row],[Year]],$N$2:$N$27,$P$2:$P$27),ISNUMBER(Table13[[#This Row],[Column4]]),Table13[[#This Row],[Column4]],Table13[[#This Row],[Column4]]="",I344*(1+Table13[[#This Row],[Ávöxtun]]))</f>
        <v>107.12</v>
      </c>
      <c r="L345" s="33">
        <v>107.12</v>
      </c>
      <c r="M345" s="33">
        <v>107.12</v>
      </c>
    </row>
    <row r="346" spans="1:13">
      <c r="A346" t="s">
        <v>88</v>
      </c>
      <c r="B346">
        <v>2000</v>
      </c>
      <c r="C346" s="16">
        <v>0.03</v>
      </c>
      <c r="D346" s="1">
        <v>76119.490000000005</v>
      </c>
      <c r="E346" s="29">
        <f>Table13[[#This Row],[Ávöxtun]]*Table13[[#This Row],[Eignir]]/SUMIFS(Table13[Eignir],Table13[Year],Table13[[#This Row],[Year]])</f>
        <v>3.6567684755436215E-6</v>
      </c>
      <c r="F346" s="23">
        <f>IF(B346=1997, 100, IF(COUNTIF(A$1:A345,A346)=0, "NEW", F345*(1+Table13[[#This Row],[Ávöxtun]])))</f>
        <v>110.3336</v>
      </c>
      <c r="G346" s="18" cm="1">
        <f t="array" ref="G346">IFERROR(_xlfn.IFS(ISNUMBER(Table13[[#This Row],[Column3]]),Table13[[#This Row],[Column3]],Table13[[#This Row],[Column3]]="NEW",Table13[[#This Row],[Column3]]),"")</f>
        <v>110.3336</v>
      </c>
      <c r="H346" s="15" cm="1">
        <f t="array" ref="H346">_xlfn.IFS(Table13[[#This Row],[Column4]]="NEW",AVERAGEIFS(Table13[Column4],Table13[Year],Table13[[#This Row],[Year]]),ISNUMBER(Table13[[#This Row],[Column4]]),Table13[[#This Row],[Column4]],Table13[[#This Row],[Column4]]="",H345*(1+Table13[[#This Row],[Ávöxtun]]))</f>
        <v>110.3336</v>
      </c>
      <c r="I346" cm="1">
        <f t="array" ref="I346">_xlfn.IFS(Table13[[#This Row],[Column4]]="NEW",_xlfn.XLOOKUP(Table13[[#This Row],[Year]],$N$2:$N$27,$P$2:$P$27),ISNUMBER(Table13[[#This Row],[Column4]]),Table13[[#This Row],[Column4]],Table13[[#This Row],[Column4]]="",I345*(1+Table13[[#This Row],[Ávöxtun]]))</f>
        <v>110.3336</v>
      </c>
      <c r="L346" s="33">
        <v>110.3336</v>
      </c>
      <c r="M346" s="33">
        <v>110.3336</v>
      </c>
    </row>
    <row r="347" spans="1:13">
      <c r="A347" t="s">
        <v>88</v>
      </c>
      <c r="B347">
        <v>2001</v>
      </c>
      <c r="C347" s="16">
        <v>-0.02</v>
      </c>
      <c r="D347" s="1">
        <v>61714.720000000001</v>
      </c>
      <c r="E347" s="29">
        <f>Table13[[#This Row],[Ávöxtun]]*Table13[[#This Row],[Eignir]]/SUMIFS(Table13[Eignir],Table13[Year],Table13[[#This Row],[Year]])</f>
        <v>-1.2843313087038427E-6</v>
      </c>
      <c r="F347" s="23">
        <f>IF(B347=1997, 100, IF(COUNTIF(A$1:A346,A347)=0, "NEW", F346*(1+Table13[[#This Row],[Ávöxtun]])))</f>
        <v>108.12692800000001</v>
      </c>
      <c r="G347" s="18" cm="1">
        <f t="array" ref="G347">IFERROR(_xlfn.IFS(ISNUMBER(Table13[[#This Row],[Column3]]),Table13[[#This Row],[Column3]],Table13[[#This Row],[Column3]]="NEW",Table13[[#This Row],[Column3]]),"")</f>
        <v>108.12692800000001</v>
      </c>
      <c r="H347" s="15" cm="1">
        <f t="array" ref="H347">_xlfn.IFS(Table13[[#This Row],[Column4]]="NEW",AVERAGEIFS(Table13[Column4],Table13[Year],Table13[[#This Row],[Year]]),ISNUMBER(Table13[[#This Row],[Column4]]),Table13[[#This Row],[Column4]],Table13[[#This Row],[Column4]]="",H346*(1+Table13[[#This Row],[Ávöxtun]]))</f>
        <v>108.12692800000001</v>
      </c>
      <c r="I347" cm="1">
        <f t="array" ref="I347">_xlfn.IFS(Table13[[#This Row],[Column4]]="NEW",_xlfn.XLOOKUP(Table13[[#This Row],[Year]],$N$2:$N$27,$P$2:$P$27),ISNUMBER(Table13[[#This Row],[Column4]]),Table13[[#This Row],[Column4]],Table13[[#This Row],[Column4]]="",I346*(1+Table13[[#This Row],[Ávöxtun]]))</f>
        <v>108.12692800000001</v>
      </c>
      <c r="L347" s="33">
        <v>108.12692800000001</v>
      </c>
      <c r="M347" s="33">
        <v>108.12692800000001</v>
      </c>
    </row>
    <row r="348" spans="1:13">
      <c r="A348" t="s">
        <v>88</v>
      </c>
      <c r="B348">
        <v>2002</v>
      </c>
      <c r="C348" s="16">
        <v>0.02</v>
      </c>
      <c r="D348" s="1">
        <v>59523.68</v>
      </c>
      <c r="E348" s="29">
        <f>Table13[[#This Row],[Ávöxtun]]*Table13[[#This Row],[Eignir]]/SUMIFS(Table13[Eignir],Table13[Year],Table13[[#This Row],[Year]])</f>
        <v>2.2340279012872361E-6</v>
      </c>
      <c r="F348" s="23">
        <f>IF(B348=1997, 100, IF(COUNTIF(A$1:A347,A348)=0, "NEW", F347*(1+Table13[[#This Row],[Ávöxtun]])))</f>
        <v>110.28946656000001</v>
      </c>
      <c r="G348" s="18" cm="1">
        <f t="array" ref="G348">IFERROR(_xlfn.IFS(ISNUMBER(Table13[[#This Row],[Column3]]),Table13[[#This Row],[Column3]],Table13[[#This Row],[Column3]]="NEW",Table13[[#This Row],[Column3]]),"")</f>
        <v>110.28946656000001</v>
      </c>
      <c r="H348" s="15" cm="1">
        <f t="array" ref="H348">_xlfn.IFS(Table13[[#This Row],[Column4]]="NEW",AVERAGEIFS(Table13[Column4],Table13[Year],Table13[[#This Row],[Year]]),ISNUMBER(Table13[[#This Row],[Column4]]),Table13[[#This Row],[Column4]],Table13[[#This Row],[Column4]]="",H347*(1+Table13[[#This Row],[Ávöxtun]]))</f>
        <v>110.28946656000001</v>
      </c>
      <c r="I348" cm="1">
        <f t="array" ref="I348">_xlfn.IFS(Table13[[#This Row],[Column4]]="NEW",_xlfn.XLOOKUP(Table13[[#This Row],[Year]],$N$2:$N$27,$P$2:$P$27),ISNUMBER(Table13[[#This Row],[Column4]]),Table13[[#This Row],[Column4]],Table13[[#This Row],[Column4]]="",I347*(1+Table13[[#This Row],[Ávöxtun]]))</f>
        <v>110.28946656000001</v>
      </c>
      <c r="L348" s="33">
        <v>110.28946656000001</v>
      </c>
      <c r="M348" s="33">
        <v>110.28946656000001</v>
      </c>
    </row>
    <row r="349" spans="1:13">
      <c r="A349" t="s">
        <v>88</v>
      </c>
      <c r="B349">
        <v>2003</v>
      </c>
      <c r="C349" s="16">
        <v>-0.04</v>
      </c>
      <c r="D349" s="1">
        <v>59200</v>
      </c>
      <c r="E349" s="29">
        <f>Table13[[#This Row],[Ávöxtun]]*Table13[[#This Row],[Eignir]]/SUMIFS(Table13[Eignir],Table13[Year],Table13[[#This Row],[Year]])</f>
        <v>-3.7128112241197483E-6</v>
      </c>
      <c r="F349" s="23">
        <f>IF(B349=1997, 100, IF(COUNTIF(A$1:A348,A349)=0, "NEW", F348*(1+Table13[[#This Row],[Ávöxtun]])))</f>
        <v>105.8778878976</v>
      </c>
      <c r="G349" s="18" cm="1">
        <f t="array" ref="G349">IFERROR(_xlfn.IFS(ISNUMBER(Table13[[#This Row],[Column3]]),Table13[[#This Row],[Column3]],Table13[[#This Row],[Column3]]="NEW",Table13[[#This Row],[Column3]]),"")</f>
        <v>105.8778878976</v>
      </c>
      <c r="H349" s="15" cm="1">
        <f t="array" ref="H349">_xlfn.IFS(Table13[[#This Row],[Column4]]="NEW",AVERAGEIFS(Table13[Column4],Table13[Year],Table13[[#This Row],[Year]]),ISNUMBER(Table13[[#This Row],[Column4]]),Table13[[#This Row],[Column4]],Table13[[#This Row],[Column4]]="",H348*(1+Table13[[#This Row],[Ávöxtun]]))</f>
        <v>105.8778878976</v>
      </c>
      <c r="I349" cm="1">
        <f t="array" ref="I349">_xlfn.IFS(Table13[[#This Row],[Column4]]="NEW",_xlfn.XLOOKUP(Table13[[#This Row],[Year]],$N$2:$N$27,$P$2:$P$27),ISNUMBER(Table13[[#This Row],[Column4]]),Table13[[#This Row],[Column4]],Table13[[#This Row],[Column4]]="",I348*(1+Table13[[#This Row],[Ávöxtun]]))</f>
        <v>105.8778878976</v>
      </c>
      <c r="L349" s="33">
        <v>105.8778878976</v>
      </c>
      <c r="M349" s="33">
        <v>105.8778878976</v>
      </c>
    </row>
    <row r="350" spans="1:13">
      <c r="A350" t="s">
        <v>88</v>
      </c>
      <c r="B350">
        <v>2004</v>
      </c>
      <c r="C350" s="16">
        <v>2.15</v>
      </c>
      <c r="D350" s="1">
        <v>57736</v>
      </c>
      <c r="E350" s="29">
        <f>Table13[[#This Row],[Ávöxtun]]*Table13[[#This Row],[Eignir]]/SUMIFS(Table13[Eignir],Table13[Year],Table13[[#This Row],[Year]])</f>
        <v>1.6341113947574364E-4</v>
      </c>
      <c r="F350" s="23">
        <f>IF(B350=1997, 100, IF(COUNTIF(A$1:A349,A350)=0, "NEW", F349*(1+Table13[[#This Row],[Ávöxtun]])))</f>
        <v>333.51534687743998</v>
      </c>
      <c r="G350" s="18" cm="1">
        <f t="array" ref="G350">IFERROR(_xlfn.IFS(ISNUMBER(Table13[[#This Row],[Column3]]),Table13[[#This Row],[Column3]],Table13[[#This Row],[Column3]]="NEW",Table13[[#This Row],[Column3]]),"")</f>
        <v>333.51534687743998</v>
      </c>
      <c r="H350" s="15" cm="1">
        <f t="array" ref="H350">_xlfn.IFS(Table13[[#This Row],[Column4]]="NEW",AVERAGEIFS(Table13[Column4],Table13[Year],Table13[[#This Row],[Year]]),ISNUMBER(Table13[[#This Row],[Column4]]),Table13[[#This Row],[Column4]],Table13[[#This Row],[Column4]]="",H349*(1+Table13[[#This Row],[Ávöxtun]]))</f>
        <v>333.51534687743998</v>
      </c>
      <c r="I350" cm="1">
        <f t="array" ref="I350">_xlfn.IFS(Table13[[#This Row],[Column4]]="NEW",_xlfn.XLOOKUP(Table13[[#This Row],[Year]],$N$2:$N$27,$P$2:$P$27),ISNUMBER(Table13[[#This Row],[Column4]]),Table13[[#This Row],[Column4]],Table13[[#This Row],[Column4]]="",I349*(1+Table13[[#This Row],[Ávöxtun]]))</f>
        <v>333.51534687743998</v>
      </c>
      <c r="L350" s="33">
        <v>333.51534687743998</v>
      </c>
      <c r="M350" s="33">
        <v>333.51534687743998</v>
      </c>
    </row>
    <row r="351" spans="1:13">
      <c r="A351" t="s">
        <v>88</v>
      </c>
      <c r="B351">
        <v>2005</v>
      </c>
      <c r="C351" s="16">
        <v>0</v>
      </c>
      <c r="D351" s="1">
        <v>55886</v>
      </c>
      <c r="E351" s="29">
        <f>Table13[[#This Row],[Ávöxtun]]*Table13[[#This Row],[Eignir]]/SUMIFS(Table13[Eignir],Table13[Year],Table13[[#This Row],[Year]])</f>
        <v>0</v>
      </c>
      <c r="F351" s="23">
        <f>IF(B351=1997, 100, IF(COUNTIF(A$1:A350,A351)=0, "NEW", F350*(1+Table13[[#This Row],[Ávöxtun]])))</f>
        <v>333.51534687743998</v>
      </c>
      <c r="G351" s="18" cm="1">
        <f t="array" ref="G351">IFERROR(_xlfn.IFS(ISNUMBER(Table13[[#This Row],[Column3]]),Table13[[#This Row],[Column3]],Table13[[#This Row],[Column3]]="NEW",Table13[[#This Row],[Column3]]),"")</f>
        <v>333.51534687743998</v>
      </c>
      <c r="H351" s="15" cm="1">
        <f t="array" ref="H351">_xlfn.IFS(Table13[[#This Row],[Column4]]="NEW",AVERAGEIFS(Table13[Column4],Table13[Year],Table13[[#This Row],[Year]]),ISNUMBER(Table13[[#This Row],[Column4]]),Table13[[#This Row],[Column4]],Table13[[#This Row],[Column4]]="",H350*(1+Table13[[#This Row],[Ávöxtun]]))</f>
        <v>333.51534687743998</v>
      </c>
      <c r="I351" cm="1">
        <f t="array" ref="I351">_xlfn.IFS(Table13[[#This Row],[Column4]]="NEW",_xlfn.XLOOKUP(Table13[[#This Row],[Year]],$N$2:$N$27,$P$2:$P$27),ISNUMBER(Table13[[#This Row],[Column4]]),Table13[[#This Row],[Column4]],Table13[[#This Row],[Column4]]="",I350*(1+Table13[[#This Row],[Ávöxtun]]))</f>
        <v>333.51534687743998</v>
      </c>
      <c r="L351" s="33">
        <v>333.51534687743998</v>
      </c>
      <c r="M351" s="33">
        <v>333.51534687743998</v>
      </c>
    </row>
    <row r="352" spans="1:13">
      <c r="A352" t="s">
        <v>88</v>
      </c>
      <c r="B352">
        <v>2006</v>
      </c>
      <c r="C352" s="16">
        <v>-1.4499999999999999E-2</v>
      </c>
      <c r="D352" s="1">
        <v>64524</v>
      </c>
      <c r="E352" s="29">
        <f>Table13[[#This Row],[Ávöxtun]]*Table13[[#This Row],[Eignir]]/SUMIFS(Table13[Eignir],Table13[Year],Table13[[#This Row],[Year]])</f>
        <v>-8.2242263707711791E-7</v>
      </c>
      <c r="F352" s="23">
        <f>IF(B352=1997, 100, IF(COUNTIF(A$1:A351,A352)=0, "NEW", F351*(1+Table13[[#This Row],[Ávöxtun]])))</f>
        <v>328.6793743477171</v>
      </c>
      <c r="G352" s="18" cm="1">
        <f t="array" ref="G352">IFERROR(_xlfn.IFS(ISNUMBER(Table13[[#This Row],[Column3]]),Table13[[#This Row],[Column3]],Table13[[#This Row],[Column3]]="NEW",Table13[[#This Row],[Column3]]),"")</f>
        <v>328.6793743477171</v>
      </c>
      <c r="H352" s="15" cm="1">
        <f t="array" ref="H352">_xlfn.IFS(Table13[[#This Row],[Column4]]="NEW",AVERAGEIFS(Table13[Column4],Table13[Year],Table13[[#This Row],[Year]]),ISNUMBER(Table13[[#This Row],[Column4]]),Table13[[#This Row],[Column4]],Table13[[#This Row],[Column4]]="",H351*(1+Table13[[#This Row],[Ávöxtun]]))</f>
        <v>328.6793743477171</v>
      </c>
      <c r="I352" cm="1">
        <f t="array" ref="I352">_xlfn.IFS(Table13[[#This Row],[Column4]]="NEW",_xlfn.XLOOKUP(Table13[[#This Row],[Year]],$N$2:$N$27,$P$2:$P$27),ISNUMBER(Table13[[#This Row],[Column4]]),Table13[[#This Row],[Column4]],Table13[[#This Row],[Column4]]="",I351*(1+Table13[[#This Row],[Ávöxtun]]))</f>
        <v>328.6793743477171</v>
      </c>
      <c r="L352" s="33">
        <v>328.6793743477171</v>
      </c>
      <c r="M352" s="33">
        <v>328.6793743477171</v>
      </c>
    </row>
    <row r="353" spans="1:13">
      <c r="A353" t="s">
        <v>88</v>
      </c>
      <c r="B353">
        <v>2007</v>
      </c>
      <c r="C353" s="16">
        <v>-1.47E-2</v>
      </c>
      <c r="D353" s="1">
        <v>71180</v>
      </c>
      <c r="E353" s="29">
        <f>Table13[[#This Row],[Ávöxtun]]*Table13[[#This Row],[Eignir]]/SUMIFS(Table13[Eignir],Table13[Year],Table13[[#This Row],[Year]])</f>
        <v>-8.152540362597818E-7</v>
      </c>
      <c r="F353" s="23">
        <f>IF(B353=1997, 100, IF(COUNTIF(A$1:A352,A353)=0, "NEW", F352*(1+Table13[[#This Row],[Ávöxtun]])))</f>
        <v>323.84778754480567</v>
      </c>
      <c r="G353" s="18" cm="1">
        <f t="array" ref="G353">IFERROR(_xlfn.IFS(ISNUMBER(Table13[[#This Row],[Column3]]),Table13[[#This Row],[Column3]],Table13[[#This Row],[Column3]]="NEW",Table13[[#This Row],[Column3]]),"")</f>
        <v>323.84778754480567</v>
      </c>
      <c r="H353" s="15" cm="1">
        <f t="array" ref="H353">_xlfn.IFS(Table13[[#This Row],[Column4]]="NEW",AVERAGEIFS(Table13[Column4],Table13[Year],Table13[[#This Row],[Year]]),ISNUMBER(Table13[[#This Row],[Column4]]),Table13[[#This Row],[Column4]],Table13[[#This Row],[Column4]]="",H352*(1+Table13[[#This Row],[Ávöxtun]]))</f>
        <v>323.84778754480567</v>
      </c>
      <c r="I353" cm="1">
        <f t="array" ref="I353">_xlfn.IFS(Table13[[#This Row],[Column4]]="NEW",_xlfn.XLOOKUP(Table13[[#This Row],[Year]],$N$2:$N$27,$P$2:$P$27),ISNUMBER(Table13[[#This Row],[Column4]]),Table13[[#This Row],[Column4]],Table13[[#This Row],[Column4]]="",I352*(1+Table13[[#This Row],[Ávöxtun]]))</f>
        <v>323.84778754480567</v>
      </c>
      <c r="L353" s="33">
        <v>323.84778754480567</v>
      </c>
      <c r="M353" s="33">
        <v>323.84778754480567</v>
      </c>
    </row>
    <row r="354" spans="1:13">
      <c r="A354" t="s">
        <v>88</v>
      </c>
      <c r="B354">
        <v>2008</v>
      </c>
      <c r="C354" s="16">
        <v>-3.9E-2</v>
      </c>
      <c r="D354" s="1">
        <v>80873</v>
      </c>
      <c r="E354" s="29">
        <f>Table13[[#This Row],[Ávöxtun]]*Table13[[#This Row],[Eignir]]/SUMIFS(Table13[Eignir],Table13[Year],Table13[[#This Row],[Year]])</f>
        <v>-2.5456481318681614E-6</v>
      </c>
      <c r="F354" s="23">
        <f>IF(B354=1997, 100, IF(COUNTIF(A$1:A353,A354)=0, "NEW", F353*(1+Table13[[#This Row],[Ávöxtun]])))</f>
        <v>311.21772383055821</v>
      </c>
      <c r="G354" s="18" cm="1">
        <f t="array" ref="G354">IFERROR(_xlfn.IFS(ISNUMBER(Table13[[#This Row],[Column3]]),Table13[[#This Row],[Column3]],Table13[[#This Row],[Column3]]="NEW",Table13[[#This Row],[Column3]]),"")</f>
        <v>311.21772383055821</v>
      </c>
      <c r="H354" s="15" cm="1">
        <f t="array" ref="H354">_xlfn.IFS(Table13[[#This Row],[Column4]]="NEW",AVERAGEIFS(Table13[Column4],Table13[Year],Table13[[#This Row],[Year]]),ISNUMBER(Table13[[#This Row],[Column4]]),Table13[[#This Row],[Column4]],Table13[[#This Row],[Column4]]="",H353*(1+Table13[[#This Row],[Ávöxtun]]))</f>
        <v>311.21772383055821</v>
      </c>
      <c r="I354" cm="1">
        <f t="array" ref="I354">_xlfn.IFS(Table13[[#This Row],[Column4]]="NEW",_xlfn.XLOOKUP(Table13[[#This Row],[Year]],$N$2:$N$27,$P$2:$P$27),ISNUMBER(Table13[[#This Row],[Column4]]),Table13[[#This Row],[Column4]],Table13[[#This Row],[Column4]]="",I353*(1+Table13[[#This Row],[Ávöxtun]]))</f>
        <v>311.21772383055821</v>
      </c>
      <c r="L354" s="33">
        <v>311.21772383055821</v>
      </c>
      <c r="M354" s="33">
        <v>311.21772383055821</v>
      </c>
    </row>
    <row r="355" spans="1:13">
      <c r="A355" t="s">
        <v>88</v>
      </c>
      <c r="B355">
        <v>2009</v>
      </c>
      <c r="C355" s="16">
        <v>0</v>
      </c>
      <c r="D355" s="1">
        <v>92757</v>
      </c>
      <c r="E355" s="29">
        <f>Table13[[#This Row],[Ávöxtun]]*Table13[[#This Row],[Eignir]]/SUMIFS(Table13[Eignir],Table13[Year],Table13[[#This Row],[Year]])</f>
        <v>0</v>
      </c>
      <c r="F355" s="23">
        <f>IF(B355=1997, 100, IF(COUNTIF(A$1:A354,A355)=0, "NEW", F354*(1+Table13[[#This Row],[Ávöxtun]])))</f>
        <v>311.21772383055821</v>
      </c>
      <c r="G355" s="18" cm="1">
        <f t="array" ref="G355">IFERROR(_xlfn.IFS(ISNUMBER(Table13[[#This Row],[Column3]]),Table13[[#This Row],[Column3]],Table13[[#This Row],[Column3]]="NEW",Table13[[#This Row],[Column3]]),"")</f>
        <v>311.21772383055821</v>
      </c>
      <c r="H355" s="15" cm="1">
        <f t="array" ref="H355">_xlfn.IFS(Table13[[#This Row],[Column4]]="NEW",AVERAGEIFS(Table13[Column4],Table13[Year],Table13[[#This Row],[Year]]),ISNUMBER(Table13[[#This Row],[Column4]]),Table13[[#This Row],[Column4]],Table13[[#This Row],[Column4]]="",H354*(1+Table13[[#This Row],[Ávöxtun]]))</f>
        <v>311.21772383055821</v>
      </c>
      <c r="I355" cm="1">
        <f t="array" ref="I355">_xlfn.IFS(Table13[[#This Row],[Column4]]="NEW",_xlfn.XLOOKUP(Table13[[#This Row],[Year]],$N$2:$N$27,$P$2:$P$27),ISNUMBER(Table13[[#This Row],[Column4]]),Table13[[#This Row],[Column4]],Table13[[#This Row],[Column4]]="",I354*(1+Table13[[#This Row],[Ávöxtun]]))</f>
        <v>311.21772383055821</v>
      </c>
      <c r="L355" s="33">
        <v>311.21772383055821</v>
      </c>
      <c r="M355" s="33">
        <v>311.21772383055821</v>
      </c>
    </row>
    <row r="356" spans="1:13">
      <c r="A356" t="s">
        <v>88</v>
      </c>
      <c r="B356">
        <v>2010</v>
      </c>
      <c r="C356" s="16">
        <v>-1.61E-2</v>
      </c>
      <c r="D356" s="1">
        <v>84873</v>
      </c>
      <c r="E356" s="29">
        <f>Table13[[#This Row],[Ávöxtun]]*Table13[[#This Row],[Eignir]]/SUMIFS(Table13[Eignir],Table13[Year],Table13[[#This Row],[Year]])</f>
        <v>-9.3289414913028748E-7</v>
      </c>
      <c r="F356" s="23">
        <f>IF(B356=1997, 100, IF(COUNTIF(A$1:A355,A356)=0, "NEW", F355*(1+Table13[[#This Row],[Ávöxtun]])))</f>
        <v>306.20711847688625</v>
      </c>
      <c r="G356" s="18" cm="1">
        <f t="array" ref="G356">IFERROR(_xlfn.IFS(ISNUMBER(Table13[[#This Row],[Column3]]),Table13[[#This Row],[Column3]],Table13[[#This Row],[Column3]]="NEW",Table13[[#This Row],[Column3]]),"")</f>
        <v>306.20711847688625</v>
      </c>
      <c r="H356" s="15" cm="1">
        <f t="array" ref="H356">_xlfn.IFS(Table13[[#This Row],[Column4]]="NEW",AVERAGEIFS(Table13[Column4],Table13[Year],Table13[[#This Row],[Year]]),ISNUMBER(Table13[[#This Row],[Column4]]),Table13[[#This Row],[Column4]],Table13[[#This Row],[Column4]]="",H355*(1+Table13[[#This Row],[Ávöxtun]]))</f>
        <v>306.20711847688625</v>
      </c>
      <c r="I356" cm="1">
        <f t="array" ref="I356">_xlfn.IFS(Table13[[#This Row],[Column4]]="NEW",_xlfn.XLOOKUP(Table13[[#This Row],[Year]],$N$2:$N$27,$P$2:$P$27),ISNUMBER(Table13[[#This Row],[Column4]]),Table13[[#This Row],[Column4]],Table13[[#This Row],[Column4]]="",I355*(1+Table13[[#This Row],[Ávöxtun]]))</f>
        <v>306.20711847688625</v>
      </c>
      <c r="L356" s="33">
        <v>306.20711847688625</v>
      </c>
      <c r="M356" s="33">
        <v>306.20711847688625</v>
      </c>
    </row>
    <row r="357" spans="1:13">
      <c r="A357" t="s">
        <v>88</v>
      </c>
      <c r="B357">
        <v>2011</v>
      </c>
      <c r="C357" s="16">
        <v>-5.2999999999999999E-2</v>
      </c>
      <c r="D357" s="1">
        <v>94091</v>
      </c>
      <c r="E357" s="29">
        <f>Table13[[#This Row],[Ávöxtun]]*Table13[[#This Row],[Eignir]]/SUMIFS(Table13[Eignir],Table13[Year],Table13[[#This Row],[Year]])</f>
        <v>-3.140557252447327E-6</v>
      </c>
      <c r="F357" s="23">
        <f>IF(B357=1997, 100, IF(COUNTIF(A$1:A356,A357)=0, "NEW", F356*(1+Table13[[#This Row],[Ávöxtun]])))</f>
        <v>289.97814119761125</v>
      </c>
      <c r="G357" s="18" cm="1">
        <f t="array" ref="G357">IFERROR(_xlfn.IFS(ISNUMBER(Table13[[#This Row],[Column3]]),Table13[[#This Row],[Column3]],Table13[[#This Row],[Column3]]="NEW",Table13[[#This Row],[Column3]]),"")</f>
        <v>289.97814119761125</v>
      </c>
      <c r="H357" s="15" cm="1">
        <f t="array" ref="H357">_xlfn.IFS(Table13[[#This Row],[Column4]]="NEW",AVERAGEIFS(Table13[Column4],Table13[Year],Table13[[#This Row],[Year]]),ISNUMBER(Table13[[#This Row],[Column4]]),Table13[[#This Row],[Column4]],Table13[[#This Row],[Column4]]="",H356*(1+Table13[[#This Row],[Ávöxtun]]))</f>
        <v>289.97814119761125</v>
      </c>
      <c r="I357" cm="1">
        <f t="array" ref="I357">_xlfn.IFS(Table13[[#This Row],[Column4]]="NEW",_xlfn.XLOOKUP(Table13[[#This Row],[Year]],$N$2:$N$27,$P$2:$P$27),ISNUMBER(Table13[[#This Row],[Column4]]),Table13[[#This Row],[Column4]],Table13[[#This Row],[Column4]]="",I356*(1+Table13[[#This Row],[Ávöxtun]]))</f>
        <v>289.97814119761125</v>
      </c>
      <c r="L357" s="33">
        <v>289.97814119761125</v>
      </c>
      <c r="M357" s="33">
        <v>289.97814119761125</v>
      </c>
    </row>
    <row r="358" spans="1:13">
      <c r="A358" t="s">
        <v>88</v>
      </c>
      <c r="B358">
        <v>2012</v>
      </c>
      <c r="C358" s="16">
        <v>-0.06</v>
      </c>
      <c r="D358" s="1">
        <v>75554</v>
      </c>
      <c r="E358" s="29">
        <f>Table13[[#This Row],[Ávöxtun]]*Table13[[#This Row],[Eignir]]/SUMIFS(Table13[Eignir],Table13[Year],Table13[[#This Row],[Year]])</f>
        <v>-2.5256649886809563E-6</v>
      </c>
      <c r="F358" s="23">
        <f>IF(B358=1997, 100, IF(COUNTIF(A$1:A357,A358)=0, "NEW", F357*(1+Table13[[#This Row],[Ávöxtun]])))</f>
        <v>272.57945272575455</v>
      </c>
      <c r="G358" s="18" cm="1">
        <f t="array" ref="G358">IFERROR(_xlfn.IFS(ISNUMBER(Table13[[#This Row],[Column3]]),Table13[[#This Row],[Column3]],Table13[[#This Row],[Column3]]="NEW",Table13[[#This Row],[Column3]]),"")</f>
        <v>272.57945272575455</v>
      </c>
      <c r="H358" s="15" cm="1">
        <f t="array" ref="H358">_xlfn.IFS(Table13[[#This Row],[Column4]]="NEW",AVERAGEIFS(Table13[Column4],Table13[Year],Table13[[#This Row],[Year]]),ISNUMBER(Table13[[#This Row],[Column4]]),Table13[[#This Row],[Column4]],Table13[[#This Row],[Column4]]="",H357*(1+Table13[[#This Row],[Ávöxtun]]))</f>
        <v>272.57945272575455</v>
      </c>
      <c r="I358" cm="1">
        <f t="array" ref="I358">_xlfn.IFS(Table13[[#This Row],[Column4]]="NEW",_xlfn.XLOOKUP(Table13[[#This Row],[Year]],$N$2:$N$27,$P$2:$P$27),ISNUMBER(Table13[[#This Row],[Column4]]),Table13[[#This Row],[Column4]],Table13[[#This Row],[Column4]]="",I357*(1+Table13[[#This Row],[Ávöxtun]]))</f>
        <v>272.57945272575455</v>
      </c>
      <c r="L358" s="33">
        <v>272.57945272575455</v>
      </c>
      <c r="M358" s="33">
        <v>272.57945272575455</v>
      </c>
    </row>
    <row r="359" spans="1:13">
      <c r="A359" t="s">
        <v>90</v>
      </c>
      <c r="B359">
        <v>1998</v>
      </c>
      <c r="C359" s="16">
        <v>7.0000000000000007E-2</v>
      </c>
      <c r="D359" s="1">
        <v>4085814.79</v>
      </c>
      <c r="E359" s="29">
        <f>Table13[[#This Row],[Ávöxtun]]*Table13[[#This Row],[Eignir]]/SUMIFS(Table13[Eignir],Table13[Year],Table13[[#This Row],[Year]])</f>
        <v>8.6538091036589119E-4</v>
      </c>
      <c r="F359" s="23" t="str">
        <f>IF(B359=1997, 100, IF(COUNTIF(A$1:A358,A359)=0, "NEW", F358*(1+Table13[[#This Row],[Ávöxtun]])))</f>
        <v>NEW</v>
      </c>
      <c r="G359" s="18" t="str" cm="1">
        <f t="array" ref="G359">IFERROR(_xlfn.IFS(ISNUMBER(Table13[[#This Row],[Column3]]),Table13[[#This Row],[Column3]],Table13[[#This Row],[Column3]]="NEW",Table13[[#This Row],[Column3]]),"")</f>
        <v>NEW</v>
      </c>
      <c r="H359" s="15" cm="1">
        <f t="array" ref="H359">_xlfn.IFS(Table13[[#This Row],[Column4]]="NEW",AVERAGEIFS(Table13[Column4],Table13[Year],Table13[[#This Row],[Year]]),ISNUMBER(Table13[[#This Row],[Column4]]),Table13[[#This Row],[Column4]],Table13[[#This Row],[Column4]]="",H358*(1+Table13[[#This Row],[Ávöxtun]]))</f>
        <v>106.73469387755102</v>
      </c>
      <c r="I359" cm="1">
        <f t="array" ref="I359">_xlfn.IFS(Table13[[#This Row],[Column4]]="NEW",_xlfn.XLOOKUP(Table13[[#This Row],[Year]],$N$2:$N$27,$P$2:$P$27),ISNUMBER(Table13[[#This Row],[Column4]]),Table13[[#This Row],[Column4]],Table13[[#This Row],[Column4]]="",I358*(1+Table13[[#This Row],[Ávöxtun]]))</f>
        <v>106.95001927823813</v>
      </c>
      <c r="L359" s="33">
        <v>106.70588235294117</v>
      </c>
      <c r="M359" s="33">
        <v>115.36660895196104</v>
      </c>
    </row>
    <row r="360" spans="1:13">
      <c r="A360" t="s">
        <v>90</v>
      </c>
      <c r="B360">
        <v>1999</v>
      </c>
      <c r="C360" s="16">
        <v>0.09</v>
      </c>
      <c r="D360" s="1">
        <v>5096264.6900000004</v>
      </c>
      <c r="E360" s="29">
        <f>Table13[[#This Row],[Ávöxtun]]*Table13[[#This Row],[Eignir]]/SUMIFS(Table13[Eignir],Table13[Year],Table13[[#This Row],[Year]])</f>
        <v>1.0332034384557744E-3</v>
      </c>
      <c r="F360" s="23" t="e">
        <f>IF(B360=1997, 100, IF(COUNTIF(A$1:A359,A360)=0, "NEW", F359*(1+Table13[[#This Row],[Ávöxtun]])))</f>
        <v>#VALUE!</v>
      </c>
      <c r="G360" s="18" t="str" cm="1">
        <f t="array" ref="G360">IFERROR(_xlfn.IFS(ISNUMBER(Table13[[#This Row],[Column3]]),Table13[[#This Row],[Column3]],Table13[[#This Row],[Column3]]="NEW",Table13[[#This Row],[Column3]]),"")</f>
        <v/>
      </c>
      <c r="H360" s="15" cm="1">
        <f t="array" ref="H360">_xlfn.IFS(Table13[[#This Row],[Column4]]="NEW",AVERAGEIFS(Table13[Column4],Table13[Year],Table13[[#This Row],[Year]]),ISNUMBER(Table13[[#This Row],[Column4]]),Table13[[#This Row],[Column4]],Table13[[#This Row],[Column4]]="",H359*(1+Table13[[#This Row],[Ávöxtun]]))</f>
        <v>116.34081632653063</v>
      </c>
      <c r="I360" cm="1">
        <f t="array" ref="I360">_xlfn.IFS(Table13[[#This Row],[Column4]]="NEW",_xlfn.XLOOKUP(Table13[[#This Row],[Year]],$N$2:$N$27,$P$2:$P$27),ISNUMBER(Table13[[#This Row],[Column4]]),Table13[[#This Row],[Column4]],Table13[[#This Row],[Column4]]="",I359*(1+Table13[[#This Row],[Ávöxtun]]))</f>
        <v>116.57552101327957</v>
      </c>
      <c r="L360" s="33">
        <v>116.30941176470589</v>
      </c>
      <c r="M360" s="33">
        <v>125.74960375763754</v>
      </c>
    </row>
    <row r="361" spans="1:13">
      <c r="A361" t="s">
        <v>90</v>
      </c>
      <c r="B361">
        <v>2000</v>
      </c>
      <c r="C361" s="16">
        <v>-0.04</v>
      </c>
      <c r="D361" s="1">
        <v>5557907.5999999996</v>
      </c>
      <c r="E361" s="29">
        <f>Table13[[#This Row],[Ávöxtun]]*Table13[[#This Row],[Eignir]]/SUMIFS(Table13[Eignir],Table13[Year],Table13[[#This Row],[Year]])</f>
        <v>-3.5600135701845099E-4</v>
      </c>
      <c r="F361" s="23" t="e">
        <f>IF(B361=1997, 100, IF(COUNTIF(A$1:A360,A361)=0, "NEW", F360*(1+Table13[[#This Row],[Ávöxtun]])))</f>
        <v>#VALUE!</v>
      </c>
      <c r="G361" s="18" t="str" cm="1">
        <f t="array" ref="G361">IFERROR(_xlfn.IFS(ISNUMBER(Table13[[#This Row],[Column3]]),Table13[[#This Row],[Column3]],Table13[[#This Row],[Column3]]="NEW",Table13[[#This Row],[Column3]]),"")</f>
        <v/>
      </c>
      <c r="H361" s="15" cm="1">
        <f t="array" ref="H361">_xlfn.IFS(Table13[[#This Row],[Column4]]="NEW",AVERAGEIFS(Table13[Column4],Table13[Year],Table13[[#This Row],[Year]]),ISNUMBER(Table13[[#This Row],[Column4]]),Table13[[#This Row],[Column4]],Table13[[#This Row],[Column4]]="",H360*(1+Table13[[#This Row],[Ávöxtun]]))</f>
        <v>111.68718367346941</v>
      </c>
      <c r="I361" cm="1">
        <f t="array" ref="I361">_xlfn.IFS(Table13[[#This Row],[Column4]]="NEW",_xlfn.XLOOKUP(Table13[[#This Row],[Year]],$N$2:$N$27,$P$2:$P$27),ISNUMBER(Table13[[#This Row],[Column4]]),Table13[[#This Row],[Column4]],Table13[[#This Row],[Column4]]="",I360*(1+Table13[[#This Row],[Ávöxtun]]))</f>
        <v>111.91250017274838</v>
      </c>
      <c r="L361" s="33">
        <v>111.65703529411765</v>
      </c>
      <c r="M361" s="33">
        <v>120.71961960733204</v>
      </c>
    </row>
    <row r="362" spans="1:13">
      <c r="A362" t="s">
        <v>90</v>
      </c>
      <c r="B362">
        <v>2001</v>
      </c>
      <c r="C362" s="16">
        <v>0</v>
      </c>
      <c r="D362" s="1">
        <v>7822797</v>
      </c>
      <c r="E362" s="29">
        <f>Table13[[#This Row],[Ávöxtun]]*Table13[[#This Row],[Eignir]]/SUMIFS(Table13[Eignir],Table13[Year],Table13[[#This Row],[Year]])</f>
        <v>0</v>
      </c>
      <c r="F362" s="23" t="e">
        <f>IF(B362=1997, 100, IF(COUNTIF(A$1:A361,A362)=0, "NEW", F361*(1+Table13[[#This Row],[Ávöxtun]])))</f>
        <v>#VALUE!</v>
      </c>
      <c r="G362" s="18" t="str" cm="1">
        <f t="array" ref="G362">IFERROR(_xlfn.IFS(ISNUMBER(Table13[[#This Row],[Column3]]),Table13[[#This Row],[Column3]],Table13[[#This Row],[Column3]]="NEW",Table13[[#This Row],[Column3]]),"")</f>
        <v/>
      </c>
      <c r="H362" s="15" cm="1">
        <f t="array" ref="H362">_xlfn.IFS(Table13[[#This Row],[Column4]]="NEW",AVERAGEIFS(Table13[Column4],Table13[Year],Table13[[#This Row],[Year]]),ISNUMBER(Table13[[#This Row],[Column4]]),Table13[[#This Row],[Column4]],Table13[[#This Row],[Column4]]="",H361*(1+Table13[[#This Row],[Ávöxtun]]))</f>
        <v>111.68718367346941</v>
      </c>
      <c r="I362" cm="1">
        <f t="array" ref="I362">_xlfn.IFS(Table13[[#This Row],[Column4]]="NEW",_xlfn.XLOOKUP(Table13[[#This Row],[Year]],$N$2:$N$27,$P$2:$P$27),ISNUMBER(Table13[[#This Row],[Column4]]),Table13[[#This Row],[Column4]],Table13[[#This Row],[Column4]]="",I361*(1+Table13[[#This Row],[Ávöxtun]]))</f>
        <v>111.91250017274838</v>
      </c>
      <c r="L362" s="33">
        <v>111.65703529411765</v>
      </c>
      <c r="M362" s="33">
        <v>120.71961960733204</v>
      </c>
    </row>
    <row r="363" spans="1:13">
      <c r="A363" t="s">
        <v>90</v>
      </c>
      <c r="B363">
        <v>2002</v>
      </c>
      <c r="C363" s="16">
        <v>-7.0000000000000007E-2</v>
      </c>
      <c r="D363" s="1">
        <v>1440250.8</v>
      </c>
      <c r="E363" s="29">
        <f>Table13[[#This Row],[Ávöxtun]]*Table13[[#This Row],[Eignir]]/SUMIFS(Table13[Eignir],Table13[Year],Table13[[#This Row],[Year]])</f>
        <v>-1.8919296744051141E-4</v>
      </c>
      <c r="F363" s="23" t="e">
        <f>IF(B363=1997, 100, IF(COUNTIF(A$1:A362,A363)=0, "NEW", F362*(1+Table13[[#This Row],[Ávöxtun]])))</f>
        <v>#VALUE!</v>
      </c>
      <c r="G363" s="18" t="str" cm="1">
        <f t="array" ref="G363">IFERROR(_xlfn.IFS(ISNUMBER(Table13[[#This Row],[Column3]]),Table13[[#This Row],[Column3]],Table13[[#This Row],[Column3]]="NEW",Table13[[#This Row],[Column3]]),"")</f>
        <v/>
      </c>
      <c r="H363" s="15" cm="1">
        <f t="array" ref="H363">_xlfn.IFS(Table13[[#This Row],[Column4]]="NEW",AVERAGEIFS(Table13[Column4],Table13[Year],Table13[[#This Row],[Year]]),ISNUMBER(Table13[[#This Row],[Column4]]),Table13[[#This Row],[Column4]],Table13[[#This Row],[Column4]]="",H362*(1+Table13[[#This Row],[Ávöxtun]]))</f>
        <v>103.86908081632654</v>
      </c>
      <c r="I363" cm="1">
        <f t="array" ref="I363">_xlfn.IFS(Table13[[#This Row],[Column4]]="NEW",_xlfn.XLOOKUP(Table13[[#This Row],[Year]],$N$2:$N$27,$P$2:$P$27),ISNUMBER(Table13[[#This Row],[Column4]]),Table13[[#This Row],[Column4]],Table13[[#This Row],[Column4]]="",I362*(1+Table13[[#This Row],[Ávöxtun]]))</f>
        <v>104.07862516065599</v>
      </c>
      <c r="L363" s="33">
        <v>103.84104282352941</v>
      </c>
      <c r="M363" s="33">
        <v>112.26924623481878</v>
      </c>
    </row>
    <row r="364" spans="1:13">
      <c r="A364" t="s">
        <v>89</v>
      </c>
      <c r="B364">
        <v>1997</v>
      </c>
      <c r="C364" s="16">
        <v>7.0000000000000007E-2</v>
      </c>
      <c r="D364" s="1">
        <v>2313416.7799999998</v>
      </c>
      <c r="E364" s="29">
        <f>Table13[[#This Row],[Ávöxtun]]*Table13[[#This Row],[Eignir]]/SUMIFS(Table13[Eignir],Table13[Year],Table13[[#This Row],[Year]])</f>
        <v>5.6749928972838783E-4</v>
      </c>
      <c r="F364" s="23">
        <f>IF(B364=1997, 100, IF(COUNTIF(A$1:A363,A364)=0, "NEW", F363*(1+Table13[[#This Row],[Ávöxtun]])))</f>
        <v>100</v>
      </c>
      <c r="G364" s="18" cm="1">
        <f t="array" ref="G364">IFERROR(_xlfn.IFS(ISNUMBER(Table13[[#This Row],[Column3]]),Table13[[#This Row],[Column3]],Table13[[#This Row],[Column3]]="NEW",Table13[[#This Row],[Column3]]),"")</f>
        <v>100</v>
      </c>
      <c r="H364" s="15" cm="1">
        <f t="array" ref="H364">_xlfn.IFS(Table13[[#This Row],[Column4]]="NEW",AVERAGEIFS(Table13[Column4],Table13[Year],Table13[[#This Row],[Year]]),ISNUMBER(Table13[[#This Row],[Column4]]),Table13[[#This Row],[Column4]],Table13[[#This Row],[Column4]]="",H363*(1+Table13[[#This Row],[Ávöxtun]]))</f>
        <v>100</v>
      </c>
      <c r="I364" cm="1">
        <f t="array" ref="I364">_xlfn.IFS(Table13[[#This Row],[Column4]]="NEW",_xlfn.XLOOKUP(Table13[[#This Row],[Year]],$N$2:$N$27,$P$2:$P$27),ISNUMBER(Table13[[#This Row],[Column4]]),Table13[[#This Row],[Column4]],Table13[[#This Row],[Column4]]="",I363*(1+Table13[[#This Row],[Ávöxtun]]))</f>
        <v>100</v>
      </c>
      <c r="L364" s="33">
        <v>100</v>
      </c>
      <c r="M364" s="33">
        <v>100</v>
      </c>
    </row>
    <row r="365" spans="1:13">
      <c r="A365" t="s">
        <v>89</v>
      </c>
      <c r="B365">
        <v>1998</v>
      </c>
      <c r="C365" s="16">
        <v>0.06</v>
      </c>
      <c r="D365" s="1">
        <v>2502243.96</v>
      </c>
      <c r="E365" s="29">
        <f>Table13[[#This Row],[Ávöxtun]]*Table13[[#This Row],[Eignir]]/SUMIFS(Table13[Eignir],Table13[Year],Table13[[#This Row],[Year]])</f>
        <v>4.5426731977925273E-4</v>
      </c>
      <c r="F365" s="23">
        <f>IF(B365=1997, 100, IF(COUNTIF(A$1:A364,A365)=0, "NEW", F364*(1+Table13[[#This Row],[Ávöxtun]])))</f>
        <v>106</v>
      </c>
      <c r="G365" s="18" cm="1">
        <f t="array" ref="G365">IFERROR(_xlfn.IFS(ISNUMBER(Table13[[#This Row],[Column3]]),Table13[[#This Row],[Column3]],Table13[[#This Row],[Column3]]="NEW",Table13[[#This Row],[Column3]]),"")</f>
        <v>106</v>
      </c>
      <c r="H365" s="15" cm="1">
        <f t="array" ref="H365">_xlfn.IFS(Table13[[#This Row],[Column4]]="NEW",AVERAGEIFS(Table13[Column4],Table13[Year],Table13[[#This Row],[Year]]),ISNUMBER(Table13[[#This Row],[Column4]]),Table13[[#This Row],[Column4]],Table13[[#This Row],[Column4]]="",H364*(1+Table13[[#This Row],[Ávöxtun]]))</f>
        <v>106</v>
      </c>
      <c r="I365" cm="1">
        <f t="array" ref="I365">_xlfn.IFS(Table13[[#This Row],[Column4]]="NEW",_xlfn.XLOOKUP(Table13[[#This Row],[Year]],$N$2:$N$27,$P$2:$P$27),ISNUMBER(Table13[[#This Row],[Column4]]),Table13[[#This Row],[Column4]],Table13[[#This Row],[Column4]]="",I364*(1+Table13[[#This Row],[Ávöxtun]]))</f>
        <v>106</v>
      </c>
      <c r="L365" s="33">
        <v>106</v>
      </c>
      <c r="M365" s="33">
        <v>106</v>
      </c>
    </row>
    <row r="366" spans="1:13">
      <c r="A366" t="s">
        <v>89</v>
      </c>
      <c r="B366">
        <v>1999</v>
      </c>
      <c r="C366" s="16">
        <v>0.08</v>
      </c>
      <c r="D366" s="1">
        <v>2844893.69</v>
      </c>
      <c r="E366" s="29">
        <f>Table13[[#This Row],[Ávöxtun]]*Table13[[#This Row],[Eignir]]/SUMIFS(Table13[Eignir],Table13[Year],Table13[[#This Row],[Year]])</f>
        <v>5.1268119279017984E-4</v>
      </c>
      <c r="F366" s="23">
        <f>IF(B366=1997, 100, IF(COUNTIF(A$1:A365,A366)=0, "NEW", F365*(1+Table13[[#This Row],[Ávöxtun]])))</f>
        <v>114.48</v>
      </c>
      <c r="G366" s="18" cm="1">
        <f t="array" ref="G366">IFERROR(_xlfn.IFS(ISNUMBER(Table13[[#This Row],[Column3]]),Table13[[#This Row],[Column3]],Table13[[#This Row],[Column3]]="NEW",Table13[[#This Row],[Column3]]),"")</f>
        <v>114.48</v>
      </c>
      <c r="H366" s="15" cm="1">
        <f t="array" ref="H366">_xlfn.IFS(Table13[[#This Row],[Column4]]="NEW",AVERAGEIFS(Table13[Column4],Table13[Year],Table13[[#This Row],[Year]]),ISNUMBER(Table13[[#This Row],[Column4]]),Table13[[#This Row],[Column4]],Table13[[#This Row],[Column4]]="",H365*(1+Table13[[#This Row],[Ávöxtun]]))</f>
        <v>114.48</v>
      </c>
      <c r="I366" cm="1">
        <f t="array" ref="I366">_xlfn.IFS(Table13[[#This Row],[Column4]]="NEW",_xlfn.XLOOKUP(Table13[[#This Row],[Year]],$N$2:$N$27,$P$2:$P$27),ISNUMBER(Table13[[#This Row],[Column4]]),Table13[[#This Row],[Column4]],Table13[[#This Row],[Column4]]="",I365*(1+Table13[[#This Row],[Ávöxtun]]))</f>
        <v>114.48</v>
      </c>
      <c r="L366" s="33">
        <v>114.48</v>
      </c>
      <c r="M366" s="33">
        <v>114.48</v>
      </c>
    </row>
    <row r="367" spans="1:13">
      <c r="A367" t="s">
        <v>89</v>
      </c>
      <c r="B367">
        <v>2000</v>
      </c>
      <c r="C367" s="16">
        <v>0.04</v>
      </c>
      <c r="D367" s="1">
        <v>3101619.93</v>
      </c>
      <c r="E367" s="29">
        <f>Table13[[#This Row],[Ávöxtun]]*Table13[[#This Row],[Eignir]]/SUMIFS(Table13[Eignir],Table13[Year],Table13[[#This Row],[Year]])</f>
        <v>1.9866845286083438E-4</v>
      </c>
      <c r="F367" s="23">
        <f>IF(B367=1997, 100, IF(COUNTIF(A$1:A366,A367)=0, "NEW", F366*(1+Table13[[#This Row],[Ávöxtun]])))</f>
        <v>119.0592</v>
      </c>
      <c r="G367" s="18" cm="1">
        <f t="array" ref="G367">IFERROR(_xlfn.IFS(ISNUMBER(Table13[[#This Row],[Column3]]),Table13[[#This Row],[Column3]],Table13[[#This Row],[Column3]]="NEW",Table13[[#This Row],[Column3]]),"")</f>
        <v>119.0592</v>
      </c>
      <c r="H367" s="15" cm="1">
        <f t="array" ref="H367">_xlfn.IFS(Table13[[#This Row],[Column4]]="NEW",AVERAGEIFS(Table13[Column4],Table13[Year],Table13[[#This Row],[Year]]),ISNUMBER(Table13[[#This Row],[Column4]]),Table13[[#This Row],[Column4]],Table13[[#This Row],[Column4]]="",H366*(1+Table13[[#This Row],[Ávöxtun]]))</f>
        <v>119.0592</v>
      </c>
      <c r="I367" cm="1">
        <f t="array" ref="I367">_xlfn.IFS(Table13[[#This Row],[Column4]]="NEW",_xlfn.XLOOKUP(Table13[[#This Row],[Year]],$N$2:$N$27,$P$2:$P$27),ISNUMBER(Table13[[#This Row],[Column4]]),Table13[[#This Row],[Column4]],Table13[[#This Row],[Column4]]="",I366*(1+Table13[[#This Row],[Ávöxtun]]))</f>
        <v>119.0592</v>
      </c>
      <c r="L367" s="33">
        <v>119.0592</v>
      </c>
      <c r="M367" s="33">
        <v>119.0592</v>
      </c>
    </row>
    <row r="368" spans="1:13">
      <c r="A368" t="s">
        <v>91</v>
      </c>
      <c r="B368">
        <v>1997</v>
      </c>
      <c r="C368" s="16">
        <v>0.08</v>
      </c>
      <c r="D368" s="1">
        <v>2367664.7999999998</v>
      </c>
      <c r="E368" s="29">
        <f>Table13[[#This Row],[Ávöxtun]]*Table13[[#This Row],[Eignir]]/SUMIFS(Table13[Eignir],Table13[Year],Table13[[#This Row],[Year]])</f>
        <v>6.6377914825553532E-4</v>
      </c>
      <c r="F368" s="23">
        <f>IF(B368=1997, 100, IF(COUNTIF(A$1:A367,A368)=0, "NEW", F367*(1+Table13[[#This Row],[Ávöxtun]])))</f>
        <v>100</v>
      </c>
      <c r="G368" s="18" cm="1">
        <f t="array" ref="G368">IFERROR(_xlfn.IFS(ISNUMBER(Table13[[#This Row],[Column3]]),Table13[[#This Row],[Column3]],Table13[[#This Row],[Column3]]="NEW",Table13[[#This Row],[Column3]]),"")</f>
        <v>100</v>
      </c>
      <c r="H368" s="15" cm="1">
        <f t="array" ref="H368">_xlfn.IFS(Table13[[#This Row],[Column4]]="NEW",AVERAGEIFS(Table13[Column4],Table13[Year],Table13[[#This Row],[Year]]),ISNUMBER(Table13[[#This Row],[Column4]]),Table13[[#This Row],[Column4]],Table13[[#This Row],[Column4]]="",H367*(1+Table13[[#This Row],[Ávöxtun]]))</f>
        <v>100</v>
      </c>
      <c r="I368" cm="1">
        <f t="array" ref="I368">_xlfn.IFS(Table13[[#This Row],[Column4]]="NEW",_xlfn.XLOOKUP(Table13[[#This Row],[Year]],$N$2:$N$27,$P$2:$P$27),ISNUMBER(Table13[[#This Row],[Column4]]),Table13[[#This Row],[Column4]],Table13[[#This Row],[Column4]]="",I367*(1+Table13[[#This Row],[Ávöxtun]]))</f>
        <v>100</v>
      </c>
      <c r="L368" s="33">
        <v>100</v>
      </c>
      <c r="M368" s="33">
        <v>100</v>
      </c>
    </row>
    <row r="369" spans="1:13">
      <c r="A369" t="s">
        <v>91</v>
      </c>
      <c r="B369">
        <v>1998</v>
      </c>
      <c r="C369" s="16">
        <v>7.0000000000000007E-2</v>
      </c>
      <c r="D369" s="1">
        <v>2626303.38</v>
      </c>
      <c r="E369" s="29">
        <f>Table13[[#This Row],[Ávöxtun]]*Table13[[#This Row],[Eignir]]/SUMIFS(Table13[Eignir],Table13[Year],Table13[[#This Row],[Year]])</f>
        <v>5.5625448697380054E-4</v>
      </c>
      <c r="F369" s="23">
        <f>IF(B369=1997, 100, IF(COUNTIF(A$1:A368,A369)=0, "NEW", F368*(1+Table13[[#This Row],[Ávöxtun]])))</f>
        <v>107</v>
      </c>
      <c r="G369" s="18" cm="1">
        <f t="array" ref="G369">IFERROR(_xlfn.IFS(ISNUMBER(Table13[[#This Row],[Column3]]),Table13[[#This Row],[Column3]],Table13[[#This Row],[Column3]]="NEW",Table13[[#This Row],[Column3]]),"")</f>
        <v>107</v>
      </c>
      <c r="H369" s="15" cm="1">
        <f t="array" ref="H369">_xlfn.IFS(Table13[[#This Row],[Column4]]="NEW",AVERAGEIFS(Table13[Column4],Table13[Year],Table13[[#This Row],[Year]]),ISNUMBER(Table13[[#This Row],[Column4]]),Table13[[#This Row],[Column4]],Table13[[#This Row],[Column4]]="",H368*(1+Table13[[#This Row],[Ávöxtun]]))</f>
        <v>107</v>
      </c>
      <c r="I369" cm="1">
        <f t="array" ref="I369">_xlfn.IFS(Table13[[#This Row],[Column4]]="NEW",_xlfn.XLOOKUP(Table13[[#This Row],[Year]],$N$2:$N$27,$P$2:$P$27),ISNUMBER(Table13[[#This Row],[Column4]]),Table13[[#This Row],[Column4]],Table13[[#This Row],[Column4]]="",I368*(1+Table13[[#This Row],[Ávöxtun]]))</f>
        <v>107</v>
      </c>
      <c r="L369" s="33">
        <v>107</v>
      </c>
      <c r="M369" s="33">
        <v>107</v>
      </c>
    </row>
    <row r="370" spans="1:13">
      <c r="A370" t="s">
        <v>91</v>
      </c>
      <c r="B370">
        <v>1999</v>
      </c>
      <c r="C370" s="16">
        <v>7.0000000000000007E-2</v>
      </c>
      <c r="D370" s="1">
        <v>3029999.74</v>
      </c>
      <c r="E370" s="29">
        <f>Table13[[#This Row],[Ávöxtun]]*Table13[[#This Row],[Eignir]]/SUMIFS(Table13[Eignir],Table13[Year],Table13[[#This Row],[Year]])</f>
        <v>4.7778442496035529E-4</v>
      </c>
      <c r="F370" s="23">
        <f>IF(B370=1997, 100, IF(COUNTIF(A$1:A369,A370)=0, "NEW", F369*(1+Table13[[#This Row],[Ávöxtun]])))</f>
        <v>114.49000000000001</v>
      </c>
      <c r="G370" s="18" cm="1">
        <f t="array" ref="G370">IFERROR(_xlfn.IFS(ISNUMBER(Table13[[#This Row],[Column3]]),Table13[[#This Row],[Column3]],Table13[[#This Row],[Column3]]="NEW",Table13[[#This Row],[Column3]]),"")</f>
        <v>114.49000000000001</v>
      </c>
      <c r="H370" s="15" cm="1">
        <f t="array" ref="H370">_xlfn.IFS(Table13[[#This Row],[Column4]]="NEW",AVERAGEIFS(Table13[Column4],Table13[Year],Table13[[#This Row],[Year]]),ISNUMBER(Table13[[#This Row],[Column4]]),Table13[[#This Row],[Column4]],Table13[[#This Row],[Column4]]="",H369*(1+Table13[[#This Row],[Ávöxtun]]))</f>
        <v>114.49000000000001</v>
      </c>
      <c r="I370" cm="1">
        <f t="array" ref="I370">_xlfn.IFS(Table13[[#This Row],[Column4]]="NEW",_xlfn.XLOOKUP(Table13[[#This Row],[Year]],$N$2:$N$27,$P$2:$P$27),ISNUMBER(Table13[[#This Row],[Column4]]),Table13[[#This Row],[Column4]],Table13[[#This Row],[Column4]]="",I369*(1+Table13[[#This Row],[Ávöxtun]]))</f>
        <v>114.49000000000001</v>
      </c>
      <c r="L370" s="33">
        <v>114.49000000000001</v>
      </c>
      <c r="M370" s="33">
        <v>114.49000000000001</v>
      </c>
    </row>
    <row r="371" spans="1:13">
      <c r="A371" t="s">
        <v>91</v>
      </c>
      <c r="B371">
        <v>2000</v>
      </c>
      <c r="C371" s="16">
        <v>0.03</v>
      </c>
      <c r="D371" s="1">
        <v>3298266.01</v>
      </c>
      <c r="E371" s="29">
        <f>Table13[[#This Row],[Ávöxtun]]*Table13[[#This Row],[Eignir]]/SUMIFS(Table13[Eignir],Table13[Year],Table13[[#This Row],[Year]])</f>
        <v>1.5844818678271546E-4</v>
      </c>
      <c r="F371" s="23">
        <f>IF(B371=1997, 100, IF(COUNTIF(A$1:A370,A371)=0, "NEW", F370*(1+Table13[[#This Row],[Ávöxtun]])))</f>
        <v>117.92470000000002</v>
      </c>
      <c r="G371" s="18" cm="1">
        <f t="array" ref="G371">IFERROR(_xlfn.IFS(ISNUMBER(Table13[[#This Row],[Column3]]),Table13[[#This Row],[Column3]],Table13[[#This Row],[Column3]]="NEW",Table13[[#This Row],[Column3]]),"")</f>
        <v>117.92470000000002</v>
      </c>
      <c r="H371" s="15" cm="1">
        <f t="array" ref="H371">_xlfn.IFS(Table13[[#This Row],[Column4]]="NEW",AVERAGEIFS(Table13[Column4],Table13[Year],Table13[[#This Row],[Year]]),ISNUMBER(Table13[[#This Row],[Column4]]),Table13[[#This Row],[Column4]],Table13[[#This Row],[Column4]]="",H370*(1+Table13[[#This Row],[Ávöxtun]]))</f>
        <v>117.92470000000002</v>
      </c>
      <c r="I371" cm="1">
        <f t="array" ref="I371">_xlfn.IFS(Table13[[#This Row],[Column4]]="NEW",_xlfn.XLOOKUP(Table13[[#This Row],[Year]],$N$2:$N$27,$P$2:$P$27),ISNUMBER(Table13[[#This Row],[Column4]]),Table13[[#This Row],[Column4]],Table13[[#This Row],[Column4]]="",I370*(1+Table13[[#This Row],[Ávöxtun]]))</f>
        <v>117.92470000000002</v>
      </c>
      <c r="L371" s="33">
        <v>117.92470000000002</v>
      </c>
      <c r="M371" s="33">
        <v>117.92470000000002</v>
      </c>
    </row>
    <row r="372" spans="1:13">
      <c r="A372" t="s">
        <v>140</v>
      </c>
      <c r="B372">
        <v>1997</v>
      </c>
      <c r="C372" s="16">
        <v>0</v>
      </c>
      <c r="D372" s="1">
        <v>60538.19</v>
      </c>
      <c r="E372" s="29">
        <f>Table13[[#This Row],[Ávöxtun]]*Table13[[#This Row],[Eignir]]/SUMIFS(Table13[Eignir],Table13[Year],Table13[[#This Row],[Year]])</f>
        <v>0</v>
      </c>
      <c r="F372" s="23">
        <f>IF(B372=1997, 100, IF(COUNTIF(A$1:A371,A372)=0, "NEW", F371*(1+Table13[[#This Row],[Ávöxtun]])))</f>
        <v>100</v>
      </c>
      <c r="G372" s="18" cm="1">
        <f t="array" ref="G372">IFERROR(_xlfn.IFS(ISNUMBER(Table13[[#This Row],[Column3]]),Table13[[#This Row],[Column3]],Table13[[#This Row],[Column3]]="NEW",Table13[[#This Row],[Column3]]),"")</f>
        <v>100</v>
      </c>
      <c r="H372" s="15" cm="1">
        <f t="array" ref="H372">_xlfn.IFS(Table13[[#This Row],[Column4]]="NEW",AVERAGEIFS(Table13[Column4],Table13[Year],Table13[[#This Row],[Year]]),ISNUMBER(Table13[[#This Row],[Column4]]),Table13[[#This Row],[Column4]],Table13[[#This Row],[Column4]]="",H371*(1+Table13[[#This Row],[Ávöxtun]]))</f>
        <v>100</v>
      </c>
      <c r="I372" cm="1">
        <f t="array" ref="I372">_xlfn.IFS(Table13[[#This Row],[Column4]]="NEW",_xlfn.XLOOKUP(Table13[[#This Row],[Year]],$N$2:$N$27,$P$2:$P$27),ISNUMBER(Table13[[#This Row],[Column4]]),Table13[[#This Row],[Column4]],Table13[[#This Row],[Column4]]="",I371*(1+Table13[[#This Row],[Ávöxtun]]))</f>
        <v>100</v>
      </c>
      <c r="L372" s="33">
        <v>100</v>
      </c>
      <c r="M372" s="33">
        <v>100</v>
      </c>
    </row>
    <row r="373" spans="1:13">
      <c r="A373" t="s">
        <v>140</v>
      </c>
      <c r="B373">
        <v>1998</v>
      </c>
      <c r="C373" s="16">
        <v>0</v>
      </c>
      <c r="D373" s="1">
        <v>37214.97</v>
      </c>
      <c r="E373" s="29">
        <f>Table13[[#This Row],[Ávöxtun]]*Table13[[#This Row],[Eignir]]/SUMIFS(Table13[Eignir],Table13[Year],Table13[[#This Row],[Year]])</f>
        <v>0</v>
      </c>
      <c r="F373" s="23">
        <f>IF(B373=1997, 100, IF(COUNTIF(A$1:A372,A373)=0, "NEW", F372*(1+Table13[[#This Row],[Ávöxtun]])))</f>
        <v>100</v>
      </c>
      <c r="G373" s="18" cm="1">
        <f t="array" ref="G373">IFERROR(_xlfn.IFS(ISNUMBER(Table13[[#This Row],[Column3]]),Table13[[#This Row],[Column3]],Table13[[#This Row],[Column3]]="NEW",Table13[[#This Row],[Column3]]),"")</f>
        <v>100</v>
      </c>
      <c r="H373" s="15" cm="1">
        <f t="array" ref="H373">_xlfn.IFS(Table13[[#This Row],[Column4]]="NEW",AVERAGEIFS(Table13[Column4],Table13[Year],Table13[[#This Row],[Year]]),ISNUMBER(Table13[[#This Row],[Column4]]),Table13[[#This Row],[Column4]],Table13[[#This Row],[Column4]]="",H372*(1+Table13[[#This Row],[Ávöxtun]]))</f>
        <v>100</v>
      </c>
      <c r="I373" cm="1">
        <f t="array" ref="I373">_xlfn.IFS(Table13[[#This Row],[Column4]]="NEW",_xlfn.XLOOKUP(Table13[[#This Row],[Year]],$N$2:$N$27,$P$2:$P$27),ISNUMBER(Table13[[#This Row],[Column4]]),Table13[[#This Row],[Column4]],Table13[[#This Row],[Column4]]="",I372*(1+Table13[[#This Row],[Ávöxtun]]))</f>
        <v>100</v>
      </c>
      <c r="L373" s="33">
        <v>100</v>
      </c>
      <c r="M373" s="33">
        <v>100</v>
      </c>
    </row>
    <row r="374" spans="1:13">
      <c r="A374" t="s">
        <v>92</v>
      </c>
      <c r="B374">
        <v>1997</v>
      </c>
      <c r="C374" s="16">
        <v>7.0000000000000007E-2</v>
      </c>
      <c r="D374" s="1">
        <v>308830.8</v>
      </c>
      <c r="E374" s="29">
        <f>Table13[[#This Row],[Ávöxtun]]*Table13[[#This Row],[Eignir]]/SUMIFS(Table13[Eignir],Table13[Year],Table13[[#This Row],[Year]])</f>
        <v>7.5758618663710825E-5</v>
      </c>
      <c r="F374" s="23">
        <f>IF(B374=1997, 100, IF(COUNTIF(A$1:A373,A374)=0, "NEW", F373*(1+Table13[[#This Row],[Ávöxtun]])))</f>
        <v>100</v>
      </c>
      <c r="G374" s="18" cm="1">
        <f t="array" ref="G374">IFERROR(_xlfn.IFS(ISNUMBER(Table13[[#This Row],[Column3]]),Table13[[#This Row],[Column3]],Table13[[#This Row],[Column3]]="NEW",Table13[[#This Row],[Column3]]),"")</f>
        <v>100</v>
      </c>
      <c r="H374" s="15" cm="1">
        <f t="array" ref="H374">_xlfn.IFS(Table13[[#This Row],[Column4]]="NEW",AVERAGEIFS(Table13[Column4],Table13[Year],Table13[[#This Row],[Year]]),ISNUMBER(Table13[[#This Row],[Column4]]),Table13[[#This Row],[Column4]],Table13[[#This Row],[Column4]]="",H373*(1+Table13[[#This Row],[Ávöxtun]]))</f>
        <v>100</v>
      </c>
      <c r="I374" cm="1">
        <f t="array" ref="I374">_xlfn.IFS(Table13[[#This Row],[Column4]]="NEW",_xlfn.XLOOKUP(Table13[[#This Row],[Year]],$N$2:$N$27,$P$2:$P$27),ISNUMBER(Table13[[#This Row],[Column4]]),Table13[[#This Row],[Column4]],Table13[[#This Row],[Column4]]="",I373*(1+Table13[[#This Row],[Ávöxtun]]))</f>
        <v>100</v>
      </c>
      <c r="L374" s="33">
        <v>100</v>
      </c>
      <c r="M374" s="33">
        <v>100</v>
      </c>
    </row>
    <row r="375" spans="1:13">
      <c r="A375" t="s">
        <v>93</v>
      </c>
      <c r="B375">
        <v>1997</v>
      </c>
      <c r="C375" s="16">
        <v>0.13</v>
      </c>
      <c r="D375" s="1">
        <v>10546818.51</v>
      </c>
      <c r="E375" s="29">
        <f>Table13[[#This Row],[Ávöxtun]]*Table13[[#This Row],[Eignir]]/SUMIFS(Table13[Eignir],Table13[Year],Table13[[#This Row],[Year]])</f>
        <v>4.8048322072372579E-3</v>
      </c>
      <c r="F375" s="23">
        <f>IF(B375=1997, 100, IF(COUNTIF(A$1:A374,A375)=0, "NEW", F374*(1+Table13[[#This Row],[Ávöxtun]])))</f>
        <v>100</v>
      </c>
      <c r="G375" s="18" cm="1">
        <f t="array" ref="G375">IFERROR(_xlfn.IFS(ISNUMBER(Table13[[#This Row],[Column3]]),Table13[[#This Row],[Column3]],Table13[[#This Row],[Column3]]="NEW",Table13[[#This Row],[Column3]]),"")</f>
        <v>100</v>
      </c>
      <c r="H375" s="15" cm="1">
        <f t="array" ref="H375">_xlfn.IFS(Table13[[#This Row],[Column4]]="NEW",AVERAGEIFS(Table13[Column4],Table13[Year],Table13[[#This Row],[Year]]),ISNUMBER(Table13[[#This Row],[Column4]]),Table13[[#This Row],[Column4]],Table13[[#This Row],[Column4]]="",H374*(1+Table13[[#This Row],[Ávöxtun]]))</f>
        <v>100</v>
      </c>
      <c r="I375" cm="1">
        <f t="array" ref="I375">_xlfn.IFS(Table13[[#This Row],[Column4]]="NEW",_xlfn.XLOOKUP(Table13[[#This Row],[Year]],$N$2:$N$27,$P$2:$P$27),ISNUMBER(Table13[[#This Row],[Column4]]),Table13[[#This Row],[Column4]],Table13[[#This Row],[Column4]]="",I374*(1+Table13[[#This Row],[Ávöxtun]]))</f>
        <v>100</v>
      </c>
      <c r="L375" s="33">
        <v>100</v>
      </c>
      <c r="M375" s="33">
        <v>100</v>
      </c>
    </row>
    <row r="376" spans="1:13">
      <c r="A376" t="s">
        <v>93</v>
      </c>
      <c r="B376">
        <v>1998</v>
      </c>
      <c r="C376" s="16">
        <v>0.02</v>
      </c>
      <c r="D376" s="1">
        <v>11330066.619999999</v>
      </c>
      <c r="E376" s="29">
        <f>Table13[[#This Row],[Ávöxtun]]*Table13[[#This Row],[Eignir]]/SUMIFS(Table13[Eignir],Table13[Year],Table13[[#This Row],[Year]])</f>
        <v>6.8563511774018195E-4</v>
      </c>
      <c r="F376" s="23">
        <f>IF(B376=1997, 100, IF(COUNTIF(A$1:A375,A376)=0, "NEW", F375*(1+Table13[[#This Row],[Ávöxtun]])))</f>
        <v>102</v>
      </c>
      <c r="G376" s="18" cm="1">
        <f t="array" ref="G376">IFERROR(_xlfn.IFS(ISNUMBER(Table13[[#This Row],[Column3]]),Table13[[#This Row],[Column3]],Table13[[#This Row],[Column3]]="NEW",Table13[[#This Row],[Column3]]),"")</f>
        <v>102</v>
      </c>
      <c r="H376" s="15" cm="1">
        <f t="array" ref="H376">_xlfn.IFS(Table13[[#This Row],[Column4]]="NEW",AVERAGEIFS(Table13[Column4],Table13[Year],Table13[[#This Row],[Year]]),ISNUMBER(Table13[[#This Row],[Column4]]),Table13[[#This Row],[Column4]],Table13[[#This Row],[Column4]]="",H375*(1+Table13[[#This Row],[Ávöxtun]]))</f>
        <v>102</v>
      </c>
      <c r="I376" cm="1">
        <f t="array" ref="I376">_xlfn.IFS(Table13[[#This Row],[Column4]]="NEW",_xlfn.XLOOKUP(Table13[[#This Row],[Year]],$N$2:$N$27,$P$2:$P$27),ISNUMBER(Table13[[#This Row],[Column4]]),Table13[[#This Row],[Column4]],Table13[[#This Row],[Column4]]="",I375*(1+Table13[[#This Row],[Ávöxtun]]))</f>
        <v>102</v>
      </c>
      <c r="L376" s="33">
        <v>102</v>
      </c>
      <c r="M376" s="33">
        <v>102</v>
      </c>
    </row>
    <row r="377" spans="1:13">
      <c r="A377" t="s">
        <v>93</v>
      </c>
      <c r="B377">
        <v>1999</v>
      </c>
      <c r="C377" s="16">
        <v>0.08</v>
      </c>
      <c r="D377" s="1">
        <v>13471156.970000001</v>
      </c>
      <c r="E377" s="29">
        <f>Table13[[#This Row],[Ávöxtun]]*Table13[[#This Row],[Eignir]]/SUMIFS(Table13[Eignir],Table13[Year],Table13[[#This Row],[Year]])</f>
        <v>2.4276509339944252E-3</v>
      </c>
      <c r="F377" s="23">
        <f>IF(B377=1997, 100, IF(COUNTIF(A$1:A376,A377)=0, "NEW", F376*(1+Table13[[#This Row],[Ávöxtun]])))</f>
        <v>110.16000000000001</v>
      </c>
      <c r="G377" s="18" cm="1">
        <f t="array" ref="G377">IFERROR(_xlfn.IFS(ISNUMBER(Table13[[#This Row],[Column3]]),Table13[[#This Row],[Column3]],Table13[[#This Row],[Column3]]="NEW",Table13[[#This Row],[Column3]]),"")</f>
        <v>110.16000000000001</v>
      </c>
      <c r="H377" s="15" cm="1">
        <f t="array" ref="H377">_xlfn.IFS(Table13[[#This Row],[Column4]]="NEW",AVERAGEIFS(Table13[Column4],Table13[Year],Table13[[#This Row],[Year]]),ISNUMBER(Table13[[#This Row],[Column4]]),Table13[[#This Row],[Column4]],Table13[[#This Row],[Column4]]="",H376*(1+Table13[[#This Row],[Ávöxtun]]))</f>
        <v>110.16000000000001</v>
      </c>
      <c r="I377" cm="1">
        <f t="array" ref="I377">_xlfn.IFS(Table13[[#This Row],[Column4]]="NEW",_xlfn.XLOOKUP(Table13[[#This Row],[Year]],$N$2:$N$27,$P$2:$P$27),ISNUMBER(Table13[[#This Row],[Column4]]),Table13[[#This Row],[Column4]],Table13[[#This Row],[Column4]]="",I376*(1+Table13[[#This Row],[Ávöxtun]]))</f>
        <v>110.16000000000001</v>
      </c>
      <c r="L377" s="33">
        <v>110.16000000000001</v>
      </c>
      <c r="M377" s="33">
        <v>110.16000000000001</v>
      </c>
    </row>
    <row r="378" spans="1:13">
      <c r="A378" t="s">
        <v>93</v>
      </c>
      <c r="B378">
        <v>2000</v>
      </c>
      <c r="C378" s="16">
        <v>-0.04</v>
      </c>
      <c r="D378" s="1">
        <v>13856038.65</v>
      </c>
      <c r="E378" s="29">
        <f>Table13[[#This Row],[Ávöxtun]]*Table13[[#This Row],[Eignir]]/SUMIFS(Table13[Eignir],Table13[Year],Table13[[#This Row],[Year]])</f>
        <v>-8.8752259254905666E-4</v>
      </c>
      <c r="F378" s="23">
        <f>IF(B378=1997, 100, IF(COUNTIF(A$1:A377,A378)=0, "NEW", F377*(1+Table13[[#This Row],[Ávöxtun]])))</f>
        <v>105.75360000000001</v>
      </c>
      <c r="G378" s="18" cm="1">
        <f t="array" ref="G378">IFERROR(_xlfn.IFS(ISNUMBER(Table13[[#This Row],[Column3]]),Table13[[#This Row],[Column3]],Table13[[#This Row],[Column3]]="NEW",Table13[[#This Row],[Column3]]),"")</f>
        <v>105.75360000000001</v>
      </c>
      <c r="H378" s="15" cm="1">
        <f t="array" ref="H378">_xlfn.IFS(Table13[[#This Row],[Column4]]="NEW",AVERAGEIFS(Table13[Column4],Table13[Year],Table13[[#This Row],[Year]]),ISNUMBER(Table13[[#This Row],[Column4]]),Table13[[#This Row],[Column4]],Table13[[#This Row],[Column4]]="",H377*(1+Table13[[#This Row],[Ávöxtun]]))</f>
        <v>105.75360000000001</v>
      </c>
      <c r="I378" cm="1">
        <f t="array" ref="I378">_xlfn.IFS(Table13[[#This Row],[Column4]]="NEW",_xlfn.XLOOKUP(Table13[[#This Row],[Year]],$N$2:$N$27,$P$2:$P$27),ISNUMBER(Table13[[#This Row],[Column4]]),Table13[[#This Row],[Column4]],Table13[[#This Row],[Column4]]="",I377*(1+Table13[[#This Row],[Ávöxtun]]))</f>
        <v>105.75360000000001</v>
      </c>
      <c r="L378" s="33">
        <v>105.75360000000001</v>
      </c>
      <c r="M378" s="33">
        <v>105.75360000000001</v>
      </c>
    </row>
    <row r="379" spans="1:13">
      <c r="A379" t="s">
        <v>93</v>
      </c>
      <c r="B379">
        <v>2001</v>
      </c>
      <c r="C379" s="16">
        <v>-0.1</v>
      </c>
      <c r="D379" s="1">
        <v>14039988.74</v>
      </c>
      <c r="E379" s="29">
        <f>Table13[[#This Row],[Ávöxtun]]*Table13[[#This Row],[Eignir]]/SUMIFS(Table13[Eignir],Table13[Year],Table13[[#This Row],[Year]])</f>
        <v>-1.4609154114797421E-3</v>
      </c>
      <c r="F379" s="23">
        <f>IF(B379=1997, 100, IF(COUNTIF(A$1:A378,A379)=0, "NEW", F378*(1+Table13[[#This Row],[Ávöxtun]])))</f>
        <v>95.178240000000002</v>
      </c>
      <c r="G379" s="18" cm="1">
        <f t="array" ref="G379">IFERROR(_xlfn.IFS(ISNUMBER(Table13[[#This Row],[Column3]]),Table13[[#This Row],[Column3]],Table13[[#This Row],[Column3]]="NEW",Table13[[#This Row],[Column3]]),"")</f>
        <v>95.178240000000002</v>
      </c>
      <c r="H379" s="15" cm="1">
        <f t="array" ref="H379">_xlfn.IFS(Table13[[#This Row],[Column4]]="NEW",AVERAGEIFS(Table13[Column4],Table13[Year],Table13[[#This Row],[Year]]),ISNUMBER(Table13[[#This Row],[Column4]]),Table13[[#This Row],[Column4]],Table13[[#This Row],[Column4]]="",H378*(1+Table13[[#This Row],[Ávöxtun]]))</f>
        <v>95.178240000000002</v>
      </c>
      <c r="I379" cm="1">
        <f t="array" ref="I379">_xlfn.IFS(Table13[[#This Row],[Column4]]="NEW",_xlfn.XLOOKUP(Table13[[#This Row],[Year]],$N$2:$N$27,$P$2:$P$27),ISNUMBER(Table13[[#This Row],[Column4]]),Table13[[#This Row],[Column4]],Table13[[#This Row],[Column4]]="",I378*(1+Table13[[#This Row],[Ávöxtun]]))</f>
        <v>95.178240000000002</v>
      </c>
      <c r="L379" s="33">
        <v>95.178240000000002</v>
      </c>
      <c r="M379" s="33">
        <v>95.178240000000002</v>
      </c>
    </row>
    <row r="380" spans="1:13">
      <c r="A380" t="s">
        <v>93</v>
      </c>
      <c r="B380">
        <v>2002</v>
      </c>
      <c r="C380" s="16">
        <v>-0.11</v>
      </c>
      <c r="D380" s="1">
        <v>13235732.9</v>
      </c>
      <c r="E380" s="29">
        <f>Table13[[#This Row],[Ávöxtun]]*Table13[[#This Row],[Eignir]]/SUMIFS(Table13[Eignir],Table13[Year],Table13[[#This Row],[Year]])</f>
        <v>-2.7321812303812503E-3</v>
      </c>
      <c r="F380" s="23">
        <f>IF(B380=1997, 100, IF(COUNTIF(A$1:A379,A380)=0, "NEW", F379*(1+Table13[[#This Row],[Ávöxtun]])))</f>
        <v>84.708633599999999</v>
      </c>
      <c r="G380" s="18" cm="1">
        <f t="array" ref="G380">IFERROR(_xlfn.IFS(ISNUMBER(Table13[[#This Row],[Column3]]),Table13[[#This Row],[Column3]],Table13[[#This Row],[Column3]]="NEW",Table13[[#This Row],[Column3]]),"")</f>
        <v>84.708633599999999</v>
      </c>
      <c r="H380" s="15" cm="1">
        <f t="array" ref="H380">_xlfn.IFS(Table13[[#This Row],[Column4]]="NEW",AVERAGEIFS(Table13[Column4],Table13[Year],Table13[[#This Row],[Year]]),ISNUMBER(Table13[[#This Row],[Column4]]),Table13[[#This Row],[Column4]],Table13[[#This Row],[Column4]]="",H379*(1+Table13[[#This Row],[Ávöxtun]]))</f>
        <v>84.708633599999999</v>
      </c>
      <c r="I380" cm="1">
        <f t="array" ref="I380">_xlfn.IFS(Table13[[#This Row],[Column4]]="NEW",_xlfn.XLOOKUP(Table13[[#This Row],[Year]],$N$2:$N$27,$P$2:$P$27),ISNUMBER(Table13[[#This Row],[Column4]]),Table13[[#This Row],[Column4]],Table13[[#This Row],[Column4]]="",I379*(1+Table13[[#This Row],[Ávöxtun]]))</f>
        <v>84.708633599999999</v>
      </c>
      <c r="L380" s="33">
        <v>84.708633599999999</v>
      </c>
      <c r="M380" s="33">
        <v>84.708633599999999</v>
      </c>
    </row>
    <row r="381" spans="1:13">
      <c r="A381" t="s">
        <v>93</v>
      </c>
      <c r="B381">
        <v>2003</v>
      </c>
      <c r="C381" s="16">
        <v>0.11</v>
      </c>
      <c r="D381" s="1">
        <v>15647579</v>
      </c>
      <c r="E381" s="29">
        <f>Table13[[#This Row],[Ávöxtun]]*Table13[[#This Row],[Eignir]]/SUMIFS(Table13[Eignir],Table13[Year],Table13[[#This Row],[Year]])</f>
        <v>2.698739765019025E-3</v>
      </c>
      <c r="F381" s="23">
        <f>IF(B381=1997, 100, IF(COUNTIF(A$1:A380,A381)=0, "NEW", F380*(1+Table13[[#This Row],[Ávöxtun]])))</f>
        <v>94.026583296000013</v>
      </c>
      <c r="G381" s="18" cm="1">
        <f t="array" ref="G381">IFERROR(_xlfn.IFS(ISNUMBER(Table13[[#This Row],[Column3]]),Table13[[#This Row],[Column3]],Table13[[#This Row],[Column3]]="NEW",Table13[[#This Row],[Column3]]),"")</f>
        <v>94.026583296000013</v>
      </c>
      <c r="H381" s="15" cm="1">
        <f t="array" ref="H381">_xlfn.IFS(Table13[[#This Row],[Column4]]="NEW",AVERAGEIFS(Table13[Column4],Table13[Year],Table13[[#This Row],[Year]]),ISNUMBER(Table13[[#This Row],[Column4]]),Table13[[#This Row],[Column4]],Table13[[#This Row],[Column4]]="",H380*(1+Table13[[#This Row],[Ávöxtun]]))</f>
        <v>94.026583296000013</v>
      </c>
      <c r="I381" cm="1">
        <f t="array" ref="I381">_xlfn.IFS(Table13[[#This Row],[Column4]]="NEW",_xlfn.XLOOKUP(Table13[[#This Row],[Year]],$N$2:$N$27,$P$2:$P$27),ISNUMBER(Table13[[#This Row],[Column4]]),Table13[[#This Row],[Column4]],Table13[[#This Row],[Column4]]="",I380*(1+Table13[[#This Row],[Ávöxtun]]))</f>
        <v>94.026583296000013</v>
      </c>
      <c r="L381" s="33">
        <v>94.026583296000013</v>
      </c>
      <c r="M381" s="33">
        <v>94.026583296000013</v>
      </c>
    </row>
    <row r="382" spans="1:13">
      <c r="A382" t="s">
        <v>93</v>
      </c>
      <c r="B382">
        <v>2004</v>
      </c>
      <c r="C382" s="16">
        <v>0.09</v>
      </c>
      <c r="D382" s="1">
        <v>18311035</v>
      </c>
      <c r="E382" s="29">
        <f>Table13[[#This Row],[Ávöxtun]]*Table13[[#This Row],[Eignir]]/SUMIFS(Table13[Eignir],Table13[Year],Table13[[#This Row],[Year]])</f>
        <v>2.16946130494311E-3</v>
      </c>
      <c r="F382" s="23">
        <f>IF(B382=1997, 100, IF(COUNTIF(A$1:A381,A382)=0, "NEW", F381*(1+Table13[[#This Row],[Ávöxtun]])))</f>
        <v>102.48897579264002</v>
      </c>
      <c r="G382" s="18" cm="1">
        <f t="array" ref="G382">IFERROR(_xlfn.IFS(ISNUMBER(Table13[[#This Row],[Column3]]),Table13[[#This Row],[Column3]],Table13[[#This Row],[Column3]]="NEW",Table13[[#This Row],[Column3]]),"")</f>
        <v>102.48897579264002</v>
      </c>
      <c r="H382" s="15" cm="1">
        <f t="array" ref="H382">_xlfn.IFS(Table13[[#This Row],[Column4]]="NEW",AVERAGEIFS(Table13[Column4],Table13[Year],Table13[[#This Row],[Year]]),ISNUMBER(Table13[[#This Row],[Column4]]),Table13[[#This Row],[Column4]],Table13[[#This Row],[Column4]]="",H381*(1+Table13[[#This Row],[Ávöxtun]]))</f>
        <v>102.48897579264002</v>
      </c>
      <c r="I382" cm="1">
        <f t="array" ref="I382">_xlfn.IFS(Table13[[#This Row],[Column4]]="NEW",_xlfn.XLOOKUP(Table13[[#This Row],[Year]],$N$2:$N$27,$P$2:$P$27),ISNUMBER(Table13[[#This Row],[Column4]]),Table13[[#This Row],[Column4]],Table13[[#This Row],[Column4]]="",I381*(1+Table13[[#This Row],[Ávöxtun]]))</f>
        <v>102.48897579264002</v>
      </c>
      <c r="L382" s="33">
        <v>102.48897579264002</v>
      </c>
      <c r="M382" s="33">
        <v>102.48897579264002</v>
      </c>
    </row>
    <row r="383" spans="1:13">
      <c r="A383" t="s">
        <v>93</v>
      </c>
      <c r="B383">
        <v>2005</v>
      </c>
      <c r="C383" s="16">
        <v>0.1</v>
      </c>
      <c r="D383" s="1">
        <v>21940590</v>
      </c>
      <c r="E383" s="29">
        <f>Table13[[#This Row],[Ávöxtun]]*Table13[[#This Row],[Eignir]]/SUMIFS(Table13[Eignir],Table13[Year],Table13[[#This Row],[Year]])</f>
        <v>2.3505863326900283E-3</v>
      </c>
      <c r="F383" s="23">
        <f>IF(B383=1997, 100, IF(COUNTIF(A$1:A382,A383)=0, "NEW", F382*(1+Table13[[#This Row],[Ávöxtun]])))</f>
        <v>112.73787337190403</v>
      </c>
      <c r="G383" s="18" cm="1">
        <f t="array" ref="G383">IFERROR(_xlfn.IFS(ISNUMBER(Table13[[#This Row],[Column3]]),Table13[[#This Row],[Column3]],Table13[[#This Row],[Column3]]="NEW",Table13[[#This Row],[Column3]]),"")</f>
        <v>112.73787337190403</v>
      </c>
      <c r="H383" s="15" cm="1">
        <f t="array" ref="H383">_xlfn.IFS(Table13[[#This Row],[Column4]]="NEW",AVERAGEIFS(Table13[Column4],Table13[Year],Table13[[#This Row],[Year]]),ISNUMBER(Table13[[#This Row],[Column4]]),Table13[[#This Row],[Column4]],Table13[[#This Row],[Column4]]="",H382*(1+Table13[[#This Row],[Ávöxtun]]))</f>
        <v>112.73787337190403</v>
      </c>
      <c r="I383" cm="1">
        <f t="array" ref="I383">_xlfn.IFS(Table13[[#This Row],[Column4]]="NEW",_xlfn.XLOOKUP(Table13[[#This Row],[Year]],$N$2:$N$27,$P$2:$P$27),ISNUMBER(Table13[[#This Row],[Column4]]),Table13[[#This Row],[Column4]],Table13[[#This Row],[Column4]]="",I382*(1+Table13[[#This Row],[Ávöxtun]]))</f>
        <v>112.73787337190403</v>
      </c>
      <c r="L383" s="33">
        <v>112.73787337190403</v>
      </c>
      <c r="M383" s="33">
        <v>112.73787337190403</v>
      </c>
    </row>
    <row r="384" spans="1:13">
      <c r="A384" t="s">
        <v>93</v>
      </c>
      <c r="B384">
        <v>2006</v>
      </c>
      <c r="C384" s="16">
        <v>8.8300000000000003E-2</v>
      </c>
      <c r="D384" s="1">
        <v>27425648</v>
      </c>
      <c r="E384" s="29">
        <f>Table13[[#This Row],[Ávöxtun]]*Table13[[#This Row],[Eignir]]/SUMIFS(Table13[Eignir],Table13[Year],Table13[[#This Row],[Year]])</f>
        <v>2.1287436829449035E-3</v>
      </c>
      <c r="F384" s="23">
        <f>IF(B384=1997, 100, IF(COUNTIF(A$1:A383,A384)=0, "NEW", F383*(1+Table13[[#This Row],[Ávöxtun]])))</f>
        <v>122.69262759064316</v>
      </c>
      <c r="G384" s="18" cm="1">
        <f t="array" ref="G384">IFERROR(_xlfn.IFS(ISNUMBER(Table13[[#This Row],[Column3]]),Table13[[#This Row],[Column3]],Table13[[#This Row],[Column3]]="NEW",Table13[[#This Row],[Column3]]),"")</f>
        <v>122.69262759064316</v>
      </c>
      <c r="H384" s="15" cm="1">
        <f t="array" ref="H384">_xlfn.IFS(Table13[[#This Row],[Column4]]="NEW",AVERAGEIFS(Table13[Column4],Table13[Year],Table13[[#This Row],[Year]]),ISNUMBER(Table13[[#This Row],[Column4]]),Table13[[#This Row],[Column4]],Table13[[#This Row],[Column4]]="",H383*(1+Table13[[#This Row],[Ávöxtun]]))</f>
        <v>122.69262759064316</v>
      </c>
      <c r="I384" cm="1">
        <f t="array" ref="I384">_xlfn.IFS(Table13[[#This Row],[Column4]]="NEW",_xlfn.XLOOKUP(Table13[[#This Row],[Year]],$N$2:$N$27,$P$2:$P$27),ISNUMBER(Table13[[#This Row],[Column4]]),Table13[[#This Row],[Column4]],Table13[[#This Row],[Column4]]="",I383*(1+Table13[[#This Row],[Ávöxtun]]))</f>
        <v>122.69262759064316</v>
      </c>
      <c r="L384" s="33">
        <v>122.69262759064316</v>
      </c>
      <c r="M384" s="33">
        <v>122.69262759064316</v>
      </c>
    </row>
    <row r="385" spans="1:13">
      <c r="A385" t="s">
        <v>108</v>
      </c>
      <c r="B385">
        <v>1997</v>
      </c>
      <c r="C385" s="16">
        <v>0.09</v>
      </c>
      <c r="D385" s="1">
        <v>9098944.8300000001</v>
      </c>
      <c r="E385" s="29">
        <f>Table13[[#This Row],[Ávöxtun]]*Table13[[#This Row],[Eignir]]/SUMIFS(Table13[Eignir],Table13[Year],Table13[[#This Row],[Year]])</f>
        <v>2.8697690147869307E-3</v>
      </c>
      <c r="F385" s="23">
        <f>IF(B385=1997, 100, IF(COUNTIF(A$1:A384,A385)=0, "NEW", F384*(1+Table13[[#This Row],[Ávöxtun]])))</f>
        <v>100</v>
      </c>
      <c r="G385" s="18" cm="1">
        <f t="array" ref="G385">IFERROR(_xlfn.IFS(ISNUMBER(Table13[[#This Row],[Column3]]),Table13[[#This Row],[Column3]],Table13[[#This Row],[Column3]]="NEW",Table13[[#This Row],[Column3]]),"")</f>
        <v>100</v>
      </c>
      <c r="H385" s="15" cm="1">
        <f t="array" ref="H385">_xlfn.IFS(Table13[[#This Row],[Column4]]="NEW",AVERAGEIFS(Table13[Column4],Table13[Year],Table13[[#This Row],[Year]]),ISNUMBER(Table13[[#This Row],[Column4]]),Table13[[#This Row],[Column4]],Table13[[#This Row],[Column4]]="",H384*(1+Table13[[#This Row],[Ávöxtun]]))</f>
        <v>100</v>
      </c>
      <c r="I385" cm="1">
        <f t="array" ref="I385">_xlfn.IFS(Table13[[#This Row],[Column4]]="NEW",_xlfn.XLOOKUP(Table13[[#This Row],[Year]],$N$2:$N$27,$P$2:$P$27),ISNUMBER(Table13[[#This Row],[Column4]]),Table13[[#This Row],[Column4]],Table13[[#This Row],[Column4]]="",I384*(1+Table13[[#This Row],[Ávöxtun]]))</f>
        <v>100</v>
      </c>
      <c r="L385" s="33">
        <v>100</v>
      </c>
      <c r="M385" s="33">
        <v>100</v>
      </c>
    </row>
    <row r="386" spans="1:13">
      <c r="A386" t="s">
        <v>108</v>
      </c>
      <c r="B386">
        <v>1998</v>
      </c>
      <c r="C386" s="16">
        <v>0.09</v>
      </c>
      <c r="D386" s="1">
        <v>9915207.7100000009</v>
      </c>
      <c r="E386" s="29">
        <f>Table13[[#This Row],[Ávöxtun]]*Table13[[#This Row],[Eignir]]/SUMIFS(Table13[Eignir],Table13[Year],Table13[[#This Row],[Year]])</f>
        <v>2.7000693598294963E-3</v>
      </c>
      <c r="F386" s="23">
        <f>IF(B386=1997, 100, IF(COUNTIF(A$1:A385,A386)=0, "NEW", F385*(1+Table13[[#This Row],[Ávöxtun]])))</f>
        <v>109.00000000000001</v>
      </c>
      <c r="G386" s="18" cm="1">
        <f t="array" ref="G386">IFERROR(_xlfn.IFS(ISNUMBER(Table13[[#This Row],[Column3]]),Table13[[#This Row],[Column3]],Table13[[#This Row],[Column3]]="NEW",Table13[[#This Row],[Column3]]),"")</f>
        <v>109.00000000000001</v>
      </c>
      <c r="H386" s="15" cm="1">
        <f t="array" ref="H386">_xlfn.IFS(Table13[[#This Row],[Column4]]="NEW",AVERAGEIFS(Table13[Column4],Table13[Year],Table13[[#This Row],[Year]]),ISNUMBER(Table13[[#This Row],[Column4]]),Table13[[#This Row],[Column4]],Table13[[#This Row],[Column4]]="",H385*(1+Table13[[#This Row],[Ávöxtun]]))</f>
        <v>109.00000000000001</v>
      </c>
      <c r="I386" cm="1">
        <f t="array" ref="I386">_xlfn.IFS(Table13[[#This Row],[Column4]]="NEW",_xlfn.XLOOKUP(Table13[[#This Row],[Year]],$N$2:$N$27,$P$2:$P$27),ISNUMBER(Table13[[#This Row],[Column4]]),Table13[[#This Row],[Column4]],Table13[[#This Row],[Column4]]="",I385*(1+Table13[[#This Row],[Ávöxtun]]))</f>
        <v>109.00000000000001</v>
      </c>
      <c r="L386" s="33">
        <v>109.00000000000001</v>
      </c>
      <c r="M386" s="33">
        <v>109.00000000000001</v>
      </c>
    </row>
    <row r="387" spans="1:13">
      <c r="A387" t="s">
        <v>108</v>
      </c>
      <c r="B387">
        <v>1999</v>
      </c>
      <c r="C387" s="16">
        <v>0.1</v>
      </c>
      <c r="D387" s="1">
        <v>11396867.08</v>
      </c>
      <c r="E387" s="29">
        <f>Table13[[#This Row],[Ávöxtun]]*Table13[[#This Row],[Eignir]]/SUMIFS(Table13[Eignir],Table13[Year],Table13[[#This Row],[Year]])</f>
        <v>2.5673012972259497E-3</v>
      </c>
      <c r="F387" s="23">
        <f>IF(B387=1997, 100, IF(COUNTIF(A$1:A386,A387)=0, "NEW", F386*(1+Table13[[#This Row],[Ávöxtun]])))</f>
        <v>119.90000000000002</v>
      </c>
      <c r="G387" s="18" cm="1">
        <f t="array" ref="G387">IFERROR(_xlfn.IFS(ISNUMBER(Table13[[#This Row],[Column3]]),Table13[[#This Row],[Column3]],Table13[[#This Row],[Column3]]="NEW",Table13[[#This Row],[Column3]]),"")</f>
        <v>119.90000000000002</v>
      </c>
      <c r="H387" s="15" cm="1">
        <f t="array" ref="H387">_xlfn.IFS(Table13[[#This Row],[Column4]]="NEW",AVERAGEIFS(Table13[Column4],Table13[Year],Table13[[#This Row],[Year]]),ISNUMBER(Table13[[#This Row],[Column4]]),Table13[[#This Row],[Column4]],Table13[[#This Row],[Column4]]="",H386*(1+Table13[[#This Row],[Ávöxtun]]))</f>
        <v>119.90000000000002</v>
      </c>
      <c r="I387" cm="1">
        <f t="array" ref="I387">_xlfn.IFS(Table13[[#This Row],[Column4]]="NEW",_xlfn.XLOOKUP(Table13[[#This Row],[Year]],$N$2:$N$27,$P$2:$P$27),ISNUMBER(Table13[[#This Row],[Column4]]),Table13[[#This Row],[Column4]],Table13[[#This Row],[Column4]]="",I386*(1+Table13[[#This Row],[Ávöxtun]]))</f>
        <v>119.90000000000002</v>
      </c>
      <c r="L387" s="33">
        <v>119.90000000000002</v>
      </c>
      <c r="M387" s="33">
        <v>119.90000000000002</v>
      </c>
    </row>
    <row r="388" spans="1:13">
      <c r="A388" t="s">
        <v>108</v>
      </c>
      <c r="B388">
        <v>2000</v>
      </c>
      <c r="C388" s="16">
        <v>-0.02</v>
      </c>
      <c r="D388" s="1">
        <v>11653098.58</v>
      </c>
      <c r="E388" s="29">
        <f>Table13[[#This Row],[Ávöxtun]]*Table13[[#This Row],[Eignir]]/SUMIFS(Table13[Eignir],Table13[Year],Table13[[#This Row],[Year]])</f>
        <v>-3.7320869709580858E-4</v>
      </c>
      <c r="F388" s="23">
        <f>IF(B388=1997, 100, IF(COUNTIF(A$1:A387,A388)=0, "NEW", F387*(1+Table13[[#This Row],[Ávöxtun]])))</f>
        <v>117.50200000000002</v>
      </c>
      <c r="G388" s="18" cm="1">
        <f t="array" ref="G388">IFERROR(_xlfn.IFS(ISNUMBER(Table13[[#This Row],[Column3]]),Table13[[#This Row],[Column3]],Table13[[#This Row],[Column3]]="NEW",Table13[[#This Row],[Column3]]),"")</f>
        <v>117.50200000000002</v>
      </c>
      <c r="H388" s="15" cm="1">
        <f t="array" ref="H388">_xlfn.IFS(Table13[[#This Row],[Column4]]="NEW",AVERAGEIFS(Table13[Column4],Table13[Year],Table13[[#This Row],[Year]]),ISNUMBER(Table13[[#This Row],[Column4]]),Table13[[#This Row],[Column4]],Table13[[#This Row],[Column4]]="",H387*(1+Table13[[#This Row],[Ávöxtun]]))</f>
        <v>117.50200000000002</v>
      </c>
      <c r="I388" cm="1">
        <f t="array" ref="I388">_xlfn.IFS(Table13[[#This Row],[Column4]]="NEW",_xlfn.XLOOKUP(Table13[[#This Row],[Year]],$N$2:$N$27,$P$2:$P$27),ISNUMBER(Table13[[#This Row],[Column4]]),Table13[[#This Row],[Column4]],Table13[[#This Row],[Column4]]="",I387*(1+Table13[[#This Row],[Ávöxtun]]))</f>
        <v>117.50200000000002</v>
      </c>
      <c r="L388" s="33">
        <v>117.50200000000002</v>
      </c>
      <c r="M388" s="33">
        <v>117.50200000000002</v>
      </c>
    </row>
    <row r="389" spans="1:13">
      <c r="A389" t="s">
        <v>108</v>
      </c>
      <c r="B389">
        <v>2001</v>
      </c>
      <c r="C389" s="16">
        <v>-0.03</v>
      </c>
      <c r="D389" s="1">
        <v>11969657</v>
      </c>
      <c r="E389" s="29">
        <f>Table13[[#This Row],[Ávöxtun]]*Table13[[#This Row],[Eignir]]/SUMIFS(Table13[Eignir],Table13[Year],Table13[[#This Row],[Year]])</f>
        <v>-3.7364680353923932E-4</v>
      </c>
      <c r="F389" s="23">
        <f>IF(B389=1997, 100, IF(COUNTIF(A$1:A388,A389)=0, "NEW", F388*(1+Table13[[#This Row],[Ávöxtun]])))</f>
        <v>113.97694000000001</v>
      </c>
      <c r="G389" s="18" cm="1">
        <f t="array" ref="G389">IFERROR(_xlfn.IFS(ISNUMBER(Table13[[#This Row],[Column3]]),Table13[[#This Row],[Column3]],Table13[[#This Row],[Column3]]="NEW",Table13[[#This Row],[Column3]]),"")</f>
        <v>113.97694000000001</v>
      </c>
      <c r="H389" s="15" cm="1">
        <f t="array" ref="H389">_xlfn.IFS(Table13[[#This Row],[Column4]]="NEW",AVERAGEIFS(Table13[Column4],Table13[Year],Table13[[#This Row],[Year]]),ISNUMBER(Table13[[#This Row],[Column4]]),Table13[[#This Row],[Column4]],Table13[[#This Row],[Column4]]="",H388*(1+Table13[[#This Row],[Ávöxtun]]))</f>
        <v>113.97694000000001</v>
      </c>
      <c r="I389" cm="1">
        <f t="array" ref="I389">_xlfn.IFS(Table13[[#This Row],[Column4]]="NEW",_xlfn.XLOOKUP(Table13[[#This Row],[Year]],$N$2:$N$27,$P$2:$P$27),ISNUMBER(Table13[[#This Row],[Column4]]),Table13[[#This Row],[Column4]],Table13[[#This Row],[Column4]]="",I388*(1+Table13[[#This Row],[Ávöxtun]]))</f>
        <v>113.97694000000001</v>
      </c>
      <c r="L389" s="33">
        <v>113.97694000000001</v>
      </c>
      <c r="M389" s="33">
        <v>113.97694000000001</v>
      </c>
    </row>
    <row r="390" spans="1:13">
      <c r="A390" t="s">
        <v>108</v>
      </c>
      <c r="B390">
        <v>2002</v>
      </c>
      <c r="C390" s="16">
        <v>-0.05</v>
      </c>
      <c r="D390" s="1">
        <v>11409412</v>
      </c>
      <c r="E390" s="29">
        <f>Table13[[#This Row],[Ávöxtun]]*Table13[[#This Row],[Eignir]]/SUMIFS(Table13[Eignir],Table13[Year],Table13[[#This Row],[Year]])</f>
        <v>-1.0705380087925262E-3</v>
      </c>
      <c r="F390" s="23">
        <f>IF(B390=1997, 100, IF(COUNTIF(A$1:A389,A390)=0, "NEW", F389*(1+Table13[[#This Row],[Ávöxtun]])))</f>
        <v>108.27809300000001</v>
      </c>
      <c r="G390" s="18" cm="1">
        <f t="array" ref="G390">IFERROR(_xlfn.IFS(ISNUMBER(Table13[[#This Row],[Column3]]),Table13[[#This Row],[Column3]],Table13[[#This Row],[Column3]]="NEW",Table13[[#This Row],[Column3]]),"")</f>
        <v>108.27809300000001</v>
      </c>
      <c r="H390" s="15" cm="1">
        <f t="array" ref="H390">_xlfn.IFS(Table13[[#This Row],[Column4]]="NEW",AVERAGEIFS(Table13[Column4],Table13[Year],Table13[[#This Row],[Year]]),ISNUMBER(Table13[[#This Row],[Column4]]),Table13[[#This Row],[Column4]],Table13[[#This Row],[Column4]]="",H389*(1+Table13[[#This Row],[Ávöxtun]]))</f>
        <v>108.27809300000001</v>
      </c>
      <c r="I390" cm="1">
        <f t="array" ref="I390">_xlfn.IFS(Table13[[#This Row],[Column4]]="NEW",_xlfn.XLOOKUP(Table13[[#This Row],[Year]],$N$2:$N$27,$P$2:$P$27),ISNUMBER(Table13[[#This Row],[Column4]]),Table13[[#This Row],[Column4]],Table13[[#This Row],[Column4]]="",I389*(1+Table13[[#This Row],[Ávöxtun]]))</f>
        <v>108.27809300000001</v>
      </c>
      <c r="L390" s="33">
        <v>108.27809300000001</v>
      </c>
      <c r="M390" s="33">
        <v>108.27809300000001</v>
      </c>
    </row>
    <row r="391" spans="1:13">
      <c r="A391" t="s">
        <v>108</v>
      </c>
      <c r="B391">
        <v>2003</v>
      </c>
      <c r="C391" s="16">
        <v>0.11</v>
      </c>
      <c r="D391" s="1">
        <v>12715172.34</v>
      </c>
      <c r="E391" s="29">
        <f>Table13[[#This Row],[Ávöxtun]]*Table13[[#This Row],[Eignir]]/SUMIFS(Table13[Eignir],Table13[Year],Table13[[#This Row],[Year]])</f>
        <v>2.1929872482527812E-3</v>
      </c>
      <c r="F391" s="23">
        <f>IF(B391=1997, 100, IF(COUNTIF(A$1:A390,A391)=0, "NEW", F390*(1+Table13[[#This Row],[Ávöxtun]])))</f>
        <v>120.18868323000002</v>
      </c>
      <c r="G391" s="18" cm="1">
        <f t="array" ref="G391">IFERROR(_xlfn.IFS(ISNUMBER(Table13[[#This Row],[Column3]]),Table13[[#This Row],[Column3]],Table13[[#This Row],[Column3]]="NEW",Table13[[#This Row],[Column3]]),"")</f>
        <v>120.18868323000002</v>
      </c>
      <c r="H391" s="15" cm="1">
        <f t="array" ref="H391">_xlfn.IFS(Table13[[#This Row],[Column4]]="NEW",AVERAGEIFS(Table13[Column4],Table13[Year],Table13[[#This Row],[Year]]),ISNUMBER(Table13[[#This Row],[Column4]]),Table13[[#This Row],[Column4]],Table13[[#This Row],[Column4]]="",H390*(1+Table13[[#This Row],[Ávöxtun]]))</f>
        <v>120.18868323000002</v>
      </c>
      <c r="I391" cm="1">
        <f t="array" ref="I391">_xlfn.IFS(Table13[[#This Row],[Column4]]="NEW",_xlfn.XLOOKUP(Table13[[#This Row],[Year]],$N$2:$N$27,$P$2:$P$27),ISNUMBER(Table13[[#This Row],[Column4]]),Table13[[#This Row],[Column4]],Table13[[#This Row],[Column4]]="",I390*(1+Table13[[#This Row],[Ávöxtun]]))</f>
        <v>120.18868323000002</v>
      </c>
      <c r="L391" s="33">
        <v>120.18868323000002</v>
      </c>
      <c r="M391" s="33">
        <v>120.18868323000002</v>
      </c>
    </row>
    <row r="392" spans="1:13">
      <c r="A392" t="s">
        <v>108</v>
      </c>
      <c r="B392">
        <v>2004</v>
      </c>
      <c r="C392" s="16">
        <v>7.0000000000000007E-2</v>
      </c>
      <c r="D392" s="1">
        <v>13908412.609999999</v>
      </c>
      <c r="E392" s="29">
        <f>Table13[[#This Row],[Ávöxtun]]*Table13[[#This Row],[Eignir]]/SUMIFS(Table13[Eignir],Table13[Year],Table13[[#This Row],[Year]])</f>
        <v>1.2816578806413405E-3</v>
      </c>
      <c r="F392" s="23">
        <f>IF(B392=1997, 100, IF(COUNTIF(A$1:A391,A392)=0, "NEW", F391*(1+Table13[[#This Row],[Ávöxtun]])))</f>
        <v>128.60189105610004</v>
      </c>
      <c r="G392" s="18" cm="1">
        <f t="array" ref="G392">IFERROR(_xlfn.IFS(ISNUMBER(Table13[[#This Row],[Column3]]),Table13[[#This Row],[Column3]],Table13[[#This Row],[Column3]]="NEW",Table13[[#This Row],[Column3]]),"")</f>
        <v>128.60189105610004</v>
      </c>
      <c r="H392" s="15" cm="1">
        <f t="array" ref="H392">_xlfn.IFS(Table13[[#This Row],[Column4]]="NEW",AVERAGEIFS(Table13[Column4],Table13[Year],Table13[[#This Row],[Year]]),ISNUMBER(Table13[[#This Row],[Column4]]),Table13[[#This Row],[Column4]],Table13[[#This Row],[Column4]]="",H391*(1+Table13[[#This Row],[Ávöxtun]]))</f>
        <v>128.60189105610004</v>
      </c>
      <c r="I392" cm="1">
        <f t="array" ref="I392">_xlfn.IFS(Table13[[#This Row],[Column4]]="NEW",_xlfn.XLOOKUP(Table13[[#This Row],[Year]],$N$2:$N$27,$P$2:$P$27),ISNUMBER(Table13[[#This Row],[Column4]]),Table13[[#This Row],[Column4]],Table13[[#This Row],[Column4]]="",I391*(1+Table13[[#This Row],[Ávöxtun]]))</f>
        <v>128.60189105610004</v>
      </c>
      <c r="L392" s="33">
        <v>128.60189105610004</v>
      </c>
      <c r="M392" s="33">
        <v>128.60189105610004</v>
      </c>
    </row>
    <row r="393" spans="1:13">
      <c r="A393" t="s">
        <v>108</v>
      </c>
      <c r="B393">
        <v>2005</v>
      </c>
      <c r="C393" s="16">
        <v>0.08</v>
      </c>
      <c r="D393" s="1">
        <v>18283265</v>
      </c>
      <c r="E393" s="29">
        <f>Table13[[#This Row],[Ávöxtun]]*Table13[[#This Row],[Eignir]]/SUMIFS(Table13[Eignir],Table13[Year],Table13[[#This Row],[Year]])</f>
        <v>1.5670095590300879E-3</v>
      </c>
      <c r="F393" s="23">
        <f>IF(B393=1997, 100, IF(COUNTIF(A$1:A392,A393)=0, "NEW", F392*(1+Table13[[#This Row],[Ávöxtun]])))</f>
        <v>138.89004234058805</v>
      </c>
      <c r="G393" s="18" cm="1">
        <f t="array" ref="G393">IFERROR(_xlfn.IFS(ISNUMBER(Table13[[#This Row],[Column3]]),Table13[[#This Row],[Column3]],Table13[[#This Row],[Column3]]="NEW",Table13[[#This Row],[Column3]]),"")</f>
        <v>138.89004234058805</v>
      </c>
      <c r="H393" s="15" cm="1">
        <f t="array" ref="H393">_xlfn.IFS(Table13[[#This Row],[Column4]]="NEW",AVERAGEIFS(Table13[Column4],Table13[Year],Table13[[#This Row],[Year]]),ISNUMBER(Table13[[#This Row],[Column4]]),Table13[[#This Row],[Column4]],Table13[[#This Row],[Column4]]="",H392*(1+Table13[[#This Row],[Ávöxtun]]))</f>
        <v>138.89004234058805</v>
      </c>
      <c r="I393" cm="1">
        <f t="array" ref="I393">_xlfn.IFS(Table13[[#This Row],[Column4]]="NEW",_xlfn.XLOOKUP(Table13[[#This Row],[Year]],$N$2:$N$27,$P$2:$P$27),ISNUMBER(Table13[[#This Row],[Column4]]),Table13[[#This Row],[Column4]],Table13[[#This Row],[Column4]]="",I392*(1+Table13[[#This Row],[Ávöxtun]]))</f>
        <v>138.89004234058805</v>
      </c>
      <c r="L393" s="33">
        <v>138.89004234058805</v>
      </c>
      <c r="M393" s="33">
        <v>138.89004234058805</v>
      </c>
    </row>
    <row r="394" spans="1:13">
      <c r="A394" t="s">
        <v>108</v>
      </c>
      <c r="B394">
        <v>2006</v>
      </c>
      <c r="C394" s="16">
        <v>8.6400000000000005E-2</v>
      </c>
      <c r="D394" s="1">
        <v>20946933</v>
      </c>
      <c r="E394" s="29">
        <f>Table13[[#This Row],[Ávöxtun]]*Table13[[#This Row],[Eignir]]/SUMIFS(Table13[Eignir],Table13[Year],Table13[[#This Row],[Year]])</f>
        <v>1.5908892859249997E-3</v>
      </c>
      <c r="F394" s="23">
        <f>IF(B394=1997, 100, IF(COUNTIF(A$1:A393,A394)=0, "NEW", F393*(1+Table13[[#This Row],[Ávöxtun]])))</f>
        <v>150.89014199881487</v>
      </c>
      <c r="G394" s="18" cm="1">
        <f t="array" ref="G394">IFERROR(_xlfn.IFS(ISNUMBER(Table13[[#This Row],[Column3]]),Table13[[#This Row],[Column3]],Table13[[#This Row],[Column3]]="NEW",Table13[[#This Row],[Column3]]),"")</f>
        <v>150.89014199881487</v>
      </c>
      <c r="H394" s="15" cm="1">
        <f t="array" ref="H394">_xlfn.IFS(Table13[[#This Row],[Column4]]="NEW",AVERAGEIFS(Table13[Column4],Table13[Year],Table13[[#This Row],[Year]]),ISNUMBER(Table13[[#This Row],[Column4]]),Table13[[#This Row],[Column4]],Table13[[#This Row],[Column4]]="",H393*(1+Table13[[#This Row],[Ávöxtun]]))</f>
        <v>150.89014199881487</v>
      </c>
      <c r="I394" cm="1">
        <f t="array" ref="I394">_xlfn.IFS(Table13[[#This Row],[Column4]]="NEW",_xlfn.XLOOKUP(Table13[[#This Row],[Year]],$N$2:$N$27,$P$2:$P$27),ISNUMBER(Table13[[#This Row],[Column4]]),Table13[[#This Row],[Column4]],Table13[[#This Row],[Column4]]="",I393*(1+Table13[[#This Row],[Ávöxtun]]))</f>
        <v>150.89014199881487</v>
      </c>
      <c r="L394" s="33">
        <v>150.89014199881487</v>
      </c>
      <c r="M394" s="33">
        <v>150.89014199881487</v>
      </c>
    </row>
    <row r="395" spans="1:13">
      <c r="A395" t="s">
        <v>108</v>
      </c>
      <c r="B395">
        <v>2007</v>
      </c>
      <c r="C395" s="16">
        <v>-1.0700000000000001E-2</v>
      </c>
      <c r="D395" s="1">
        <v>21622728</v>
      </c>
      <c r="E395" s="29">
        <f>Table13[[#This Row],[Ávöxtun]]*Table13[[#This Row],[Eignir]]/SUMIFS(Table13[Eignir],Table13[Year],Table13[[#This Row],[Year]])</f>
        <v>-1.8026520306221573E-4</v>
      </c>
      <c r="F395" s="23">
        <f>IF(B395=1997, 100, IF(COUNTIF(A$1:A394,A395)=0, "NEW", F394*(1+Table13[[#This Row],[Ávöxtun]])))</f>
        <v>149.27561747942755</v>
      </c>
      <c r="G395" s="18" cm="1">
        <f t="array" ref="G395">IFERROR(_xlfn.IFS(ISNUMBER(Table13[[#This Row],[Column3]]),Table13[[#This Row],[Column3]],Table13[[#This Row],[Column3]]="NEW",Table13[[#This Row],[Column3]]),"")</f>
        <v>149.27561747942755</v>
      </c>
      <c r="H395" s="15" cm="1">
        <f t="array" ref="H395">_xlfn.IFS(Table13[[#This Row],[Column4]]="NEW",AVERAGEIFS(Table13[Column4],Table13[Year],Table13[[#This Row],[Year]]),ISNUMBER(Table13[[#This Row],[Column4]]),Table13[[#This Row],[Column4]],Table13[[#This Row],[Column4]]="",H394*(1+Table13[[#This Row],[Ávöxtun]]))</f>
        <v>149.27561747942755</v>
      </c>
      <c r="I395" cm="1">
        <f t="array" ref="I395">_xlfn.IFS(Table13[[#This Row],[Column4]]="NEW",_xlfn.XLOOKUP(Table13[[#This Row],[Year]],$N$2:$N$27,$P$2:$P$27),ISNUMBER(Table13[[#This Row],[Column4]]),Table13[[#This Row],[Column4]],Table13[[#This Row],[Column4]]="",I394*(1+Table13[[#This Row],[Ávöxtun]]))</f>
        <v>149.27561747942755</v>
      </c>
      <c r="L395" s="33">
        <v>149.27561747942755</v>
      </c>
      <c r="M395" s="33">
        <v>149.27561747942755</v>
      </c>
    </row>
    <row r="396" spans="1:13">
      <c r="A396" t="s">
        <v>108</v>
      </c>
      <c r="B396">
        <v>2008</v>
      </c>
      <c r="C396" s="16">
        <v>-0.17929999999999999</v>
      </c>
      <c r="D396" s="1">
        <v>20892652</v>
      </c>
      <c r="E396" s="29">
        <f>Table13[[#This Row],[Ávöxtun]]*Table13[[#This Row],[Eignir]]/SUMIFS(Table13[Eignir],Table13[Year],Table13[[#This Row],[Year]])</f>
        <v>-3.0234589267913218E-3</v>
      </c>
      <c r="F396" s="23">
        <f>IF(B396=1997, 100, IF(COUNTIF(A$1:A395,A396)=0, "NEW", F395*(1+Table13[[#This Row],[Ávöxtun]])))</f>
        <v>122.51049926536619</v>
      </c>
      <c r="G396" s="18" cm="1">
        <f t="array" ref="G396">IFERROR(_xlfn.IFS(ISNUMBER(Table13[[#This Row],[Column3]]),Table13[[#This Row],[Column3]],Table13[[#This Row],[Column3]]="NEW",Table13[[#This Row],[Column3]]),"")</f>
        <v>122.51049926536619</v>
      </c>
      <c r="H396" s="15" cm="1">
        <f t="array" ref="H396">_xlfn.IFS(Table13[[#This Row],[Column4]]="NEW",AVERAGEIFS(Table13[Column4],Table13[Year],Table13[[#This Row],[Year]]),ISNUMBER(Table13[[#This Row],[Column4]]),Table13[[#This Row],[Column4]],Table13[[#This Row],[Column4]]="",H395*(1+Table13[[#This Row],[Ávöxtun]]))</f>
        <v>122.51049926536619</v>
      </c>
      <c r="I396" cm="1">
        <f t="array" ref="I396">_xlfn.IFS(Table13[[#This Row],[Column4]]="NEW",_xlfn.XLOOKUP(Table13[[#This Row],[Year]],$N$2:$N$27,$P$2:$P$27),ISNUMBER(Table13[[#This Row],[Column4]]),Table13[[#This Row],[Column4]],Table13[[#This Row],[Column4]]="",I395*(1+Table13[[#This Row],[Ávöxtun]]))</f>
        <v>122.51049926536619</v>
      </c>
      <c r="L396" s="33">
        <v>122.51049926536619</v>
      </c>
      <c r="M396" s="33">
        <v>122.51049926536619</v>
      </c>
    </row>
    <row r="397" spans="1:13">
      <c r="A397" t="s">
        <v>108</v>
      </c>
      <c r="B397">
        <v>2009</v>
      </c>
      <c r="C397" s="16">
        <v>5.6999999999999993E-3</v>
      </c>
      <c r="D397" s="1">
        <v>22181072</v>
      </c>
      <c r="E397" s="29">
        <f>Table13[[#This Row],[Ávöxtun]]*Table13[[#This Row],[Eignir]]/SUMIFS(Table13[Eignir],Table13[Year],Table13[[#This Row],[Year]])</f>
        <v>9.2076644519737552E-5</v>
      </c>
      <c r="F397" s="23">
        <f>IF(B397=1997, 100, IF(COUNTIF(A$1:A396,A397)=0, "NEW", F396*(1+Table13[[#This Row],[Ávöxtun]])))</f>
        <v>123.20880911117878</v>
      </c>
      <c r="G397" s="18" cm="1">
        <f t="array" ref="G397">IFERROR(_xlfn.IFS(ISNUMBER(Table13[[#This Row],[Column3]]),Table13[[#This Row],[Column3]],Table13[[#This Row],[Column3]]="NEW",Table13[[#This Row],[Column3]]),"")</f>
        <v>123.20880911117878</v>
      </c>
      <c r="H397" s="15" cm="1">
        <f t="array" ref="H397">_xlfn.IFS(Table13[[#This Row],[Column4]]="NEW",AVERAGEIFS(Table13[Column4],Table13[Year],Table13[[#This Row],[Year]]),ISNUMBER(Table13[[#This Row],[Column4]]),Table13[[#This Row],[Column4]],Table13[[#This Row],[Column4]]="",H396*(1+Table13[[#This Row],[Ávöxtun]]))</f>
        <v>123.20880911117878</v>
      </c>
      <c r="I397" cm="1">
        <f t="array" ref="I397">_xlfn.IFS(Table13[[#This Row],[Column4]]="NEW",_xlfn.XLOOKUP(Table13[[#This Row],[Year]],$N$2:$N$27,$P$2:$P$27),ISNUMBER(Table13[[#This Row],[Column4]]),Table13[[#This Row],[Column4]],Table13[[#This Row],[Column4]]="",I396*(1+Table13[[#This Row],[Ávöxtun]]))</f>
        <v>123.20880911117878</v>
      </c>
      <c r="L397" s="33">
        <v>123.20880911117878</v>
      </c>
      <c r="M397" s="33">
        <v>123.20880911117878</v>
      </c>
    </row>
    <row r="398" spans="1:13">
      <c r="A398" t="s">
        <v>108</v>
      </c>
      <c r="B398">
        <v>2010</v>
      </c>
      <c r="C398" s="16">
        <v>4.1200000000000001E-2</v>
      </c>
      <c r="D398" s="1">
        <v>22721934</v>
      </c>
      <c r="E398" s="29">
        <f>Table13[[#This Row],[Ávöxtun]]*Table13[[#This Row],[Eignir]]/SUMIFS(Table13[Eignir],Table13[Year],Table13[[#This Row],[Year]])</f>
        <v>6.3911564656641997E-4</v>
      </c>
      <c r="F398" s="23">
        <f>IF(B398=1997, 100, IF(COUNTIF(A$1:A397,A398)=0, "NEW", F397*(1+Table13[[#This Row],[Ávöxtun]])))</f>
        <v>128.28501204655933</v>
      </c>
      <c r="G398" s="18" cm="1">
        <f t="array" ref="G398">IFERROR(_xlfn.IFS(ISNUMBER(Table13[[#This Row],[Column3]]),Table13[[#This Row],[Column3]],Table13[[#This Row],[Column3]]="NEW",Table13[[#This Row],[Column3]]),"")</f>
        <v>128.28501204655933</v>
      </c>
      <c r="H398" s="15" cm="1">
        <f t="array" ref="H398">_xlfn.IFS(Table13[[#This Row],[Column4]]="NEW",AVERAGEIFS(Table13[Column4],Table13[Year],Table13[[#This Row],[Year]]),ISNUMBER(Table13[[#This Row],[Column4]]),Table13[[#This Row],[Column4]],Table13[[#This Row],[Column4]]="",H397*(1+Table13[[#This Row],[Ávöxtun]]))</f>
        <v>128.28501204655933</v>
      </c>
      <c r="I398" cm="1">
        <f t="array" ref="I398">_xlfn.IFS(Table13[[#This Row],[Column4]]="NEW",_xlfn.XLOOKUP(Table13[[#This Row],[Year]],$N$2:$N$27,$P$2:$P$27),ISNUMBER(Table13[[#This Row],[Column4]]),Table13[[#This Row],[Column4]],Table13[[#This Row],[Column4]]="",I397*(1+Table13[[#This Row],[Ávöxtun]]))</f>
        <v>128.28501204655933</v>
      </c>
      <c r="L398" s="33">
        <v>128.28501204655933</v>
      </c>
      <c r="M398" s="33">
        <v>128.28501204655933</v>
      </c>
    </row>
    <row r="399" spans="1:13">
      <c r="A399" t="s">
        <v>108</v>
      </c>
      <c r="B399">
        <v>2011</v>
      </c>
      <c r="C399" s="16">
        <v>2.8999999999999998E-2</v>
      </c>
      <c r="D399" s="1">
        <v>24009123</v>
      </c>
      <c r="E399" s="29">
        <f>Table13[[#This Row],[Ávöxtun]]*Table13[[#This Row],[Eignir]]/SUMIFS(Table13[Eignir],Table13[Year],Table13[[#This Row],[Year]])</f>
        <v>4.3848733662974355E-4</v>
      </c>
      <c r="F399" s="23">
        <f>IF(B399=1997, 100, IF(COUNTIF(A$1:A398,A399)=0, "NEW", F398*(1+Table13[[#This Row],[Ávöxtun]])))</f>
        <v>132.00527739590953</v>
      </c>
      <c r="G399" s="18" cm="1">
        <f t="array" ref="G399">IFERROR(_xlfn.IFS(ISNUMBER(Table13[[#This Row],[Column3]]),Table13[[#This Row],[Column3]],Table13[[#This Row],[Column3]]="NEW",Table13[[#This Row],[Column3]]),"")</f>
        <v>132.00527739590953</v>
      </c>
      <c r="H399" s="15" cm="1">
        <f t="array" ref="H399">_xlfn.IFS(Table13[[#This Row],[Column4]]="NEW",AVERAGEIFS(Table13[Column4],Table13[Year],Table13[[#This Row],[Year]]),ISNUMBER(Table13[[#This Row],[Column4]]),Table13[[#This Row],[Column4]],Table13[[#This Row],[Column4]]="",H398*(1+Table13[[#This Row],[Ávöxtun]]))</f>
        <v>132.00527739590953</v>
      </c>
      <c r="I399" cm="1">
        <f t="array" ref="I399">_xlfn.IFS(Table13[[#This Row],[Column4]]="NEW",_xlfn.XLOOKUP(Table13[[#This Row],[Year]],$N$2:$N$27,$P$2:$P$27),ISNUMBER(Table13[[#This Row],[Column4]]),Table13[[#This Row],[Column4]],Table13[[#This Row],[Column4]]="",I398*(1+Table13[[#This Row],[Ávöxtun]]))</f>
        <v>132.00527739590953</v>
      </c>
      <c r="L399" s="33">
        <v>132.00527739590953</v>
      </c>
      <c r="M399" s="33">
        <v>132.00527739590953</v>
      </c>
    </row>
    <row r="400" spans="1:13">
      <c r="A400" t="s">
        <v>108</v>
      </c>
      <c r="B400">
        <v>2012</v>
      </c>
      <c r="C400" s="16">
        <v>5.5E-2</v>
      </c>
      <c r="D400" s="1">
        <v>25655912</v>
      </c>
      <c r="E400" s="29">
        <f>Table13[[#This Row],[Ávöxtun]]*Table13[[#This Row],[Eignir]]/SUMIFS(Table13[Eignir],Table13[Year],Table13[[#This Row],[Year]])</f>
        <v>7.8617128764622629E-4</v>
      </c>
      <c r="F400" s="23">
        <f>IF(B400=1997, 100, IF(COUNTIF(A$1:A399,A400)=0, "NEW", F399*(1+Table13[[#This Row],[Ávöxtun]])))</f>
        <v>139.26556765268455</v>
      </c>
      <c r="G400" s="18" cm="1">
        <f t="array" ref="G400">IFERROR(_xlfn.IFS(ISNUMBER(Table13[[#This Row],[Column3]]),Table13[[#This Row],[Column3]],Table13[[#This Row],[Column3]]="NEW",Table13[[#This Row],[Column3]]),"")</f>
        <v>139.26556765268455</v>
      </c>
      <c r="H400" s="15" cm="1">
        <f t="array" ref="H400">_xlfn.IFS(Table13[[#This Row],[Column4]]="NEW",AVERAGEIFS(Table13[Column4],Table13[Year],Table13[[#This Row],[Year]]),ISNUMBER(Table13[[#This Row],[Column4]]),Table13[[#This Row],[Column4]],Table13[[#This Row],[Column4]]="",H399*(1+Table13[[#This Row],[Ávöxtun]]))</f>
        <v>139.26556765268455</v>
      </c>
      <c r="I400" cm="1">
        <f t="array" ref="I400">_xlfn.IFS(Table13[[#This Row],[Column4]]="NEW",_xlfn.XLOOKUP(Table13[[#This Row],[Year]],$N$2:$N$27,$P$2:$P$27),ISNUMBER(Table13[[#This Row],[Column4]]),Table13[[#This Row],[Column4]],Table13[[#This Row],[Column4]]="",I399*(1+Table13[[#This Row],[Ávöxtun]]))</f>
        <v>139.26556765268455</v>
      </c>
      <c r="L400" s="33">
        <v>139.26556765268455</v>
      </c>
      <c r="M400" s="33">
        <v>139.26556765268455</v>
      </c>
    </row>
    <row r="401" spans="1:13">
      <c r="A401" t="s">
        <v>108</v>
      </c>
      <c r="B401">
        <v>2013</v>
      </c>
      <c r="C401" s="16">
        <v>5.5999999999999994E-2</v>
      </c>
      <c r="D401" s="1">
        <v>27423658</v>
      </c>
      <c r="E401" s="29">
        <f>Table13[[#This Row],[Ávöxtun]]*Table13[[#This Row],[Eignir]]/SUMIFS(Table13[Eignir],Table13[Year],Table13[[#This Row],[Year]])</f>
        <v>7.7801017171782094E-4</v>
      </c>
      <c r="F401" s="23">
        <f>IF(B401=1997, 100, IF(COUNTIF(A$1:A400,A401)=0, "NEW", F400*(1+Table13[[#This Row],[Ávöxtun]])))</f>
        <v>147.0644394412349</v>
      </c>
      <c r="G401" s="18" cm="1">
        <f t="array" ref="G401">IFERROR(_xlfn.IFS(ISNUMBER(Table13[[#This Row],[Column3]]),Table13[[#This Row],[Column3]],Table13[[#This Row],[Column3]]="NEW",Table13[[#This Row],[Column3]]),"")</f>
        <v>147.0644394412349</v>
      </c>
      <c r="H401" s="15" cm="1">
        <f t="array" ref="H401">_xlfn.IFS(Table13[[#This Row],[Column4]]="NEW",AVERAGEIFS(Table13[Column4],Table13[Year],Table13[[#This Row],[Year]]),ISNUMBER(Table13[[#This Row],[Column4]]),Table13[[#This Row],[Column4]],Table13[[#This Row],[Column4]]="",H400*(1+Table13[[#This Row],[Ávöxtun]]))</f>
        <v>147.0644394412349</v>
      </c>
      <c r="I401" cm="1">
        <f t="array" ref="I401">_xlfn.IFS(Table13[[#This Row],[Column4]]="NEW",_xlfn.XLOOKUP(Table13[[#This Row],[Year]],$N$2:$N$27,$P$2:$P$27),ISNUMBER(Table13[[#This Row],[Column4]]),Table13[[#This Row],[Column4]],Table13[[#This Row],[Column4]]="",I400*(1+Table13[[#This Row],[Ávöxtun]]))</f>
        <v>147.0644394412349</v>
      </c>
      <c r="L401" s="33">
        <v>147.0644394412349</v>
      </c>
      <c r="M401" s="33">
        <v>147.0644394412349</v>
      </c>
    </row>
    <row r="402" spans="1:13">
      <c r="A402" t="s">
        <v>108</v>
      </c>
      <c r="B402">
        <v>2014</v>
      </c>
      <c r="C402" s="16">
        <v>5.4000000000000006E-2</v>
      </c>
      <c r="D402" s="1">
        <v>28477814</v>
      </c>
      <c r="E402" s="29">
        <f>Table13[[#This Row],[Ávöxtun]]*Table13[[#This Row],[Eignir]]/SUMIFS(Table13[Eignir],Table13[Year],Table13[[#This Row],[Year]])</f>
        <v>7.1442476810349971E-4</v>
      </c>
      <c r="F402" s="23">
        <f>IF(B402=1997, 100, IF(COUNTIF(A$1:A401,A402)=0, "NEW", F401*(1+Table13[[#This Row],[Ávöxtun]])))</f>
        <v>155.00591917106158</v>
      </c>
      <c r="G402" s="18" cm="1">
        <f t="array" ref="G402">IFERROR(_xlfn.IFS(ISNUMBER(Table13[[#This Row],[Column3]]),Table13[[#This Row],[Column3]],Table13[[#This Row],[Column3]]="NEW",Table13[[#This Row],[Column3]]),"")</f>
        <v>155.00591917106158</v>
      </c>
      <c r="H402" s="15" cm="1">
        <f t="array" ref="H402">_xlfn.IFS(Table13[[#This Row],[Column4]]="NEW",AVERAGEIFS(Table13[Column4],Table13[Year],Table13[[#This Row],[Year]]),ISNUMBER(Table13[[#This Row],[Column4]]),Table13[[#This Row],[Column4]],Table13[[#This Row],[Column4]]="",H401*(1+Table13[[#This Row],[Ávöxtun]]))</f>
        <v>155.00591917106158</v>
      </c>
      <c r="I402" cm="1">
        <f t="array" ref="I402">_xlfn.IFS(Table13[[#This Row],[Column4]]="NEW",_xlfn.XLOOKUP(Table13[[#This Row],[Year]],$N$2:$N$27,$P$2:$P$27),ISNUMBER(Table13[[#This Row],[Column4]]),Table13[[#This Row],[Column4]],Table13[[#This Row],[Column4]]="",I401*(1+Table13[[#This Row],[Ávöxtun]]))</f>
        <v>155.00591917106158</v>
      </c>
      <c r="L402" s="33">
        <v>155.00591917106158</v>
      </c>
      <c r="M402" s="33">
        <v>155.00591917106158</v>
      </c>
    </row>
    <row r="403" spans="1:13">
      <c r="A403" t="s">
        <v>108</v>
      </c>
      <c r="B403">
        <v>2015</v>
      </c>
      <c r="C403" s="16">
        <v>8.1000000000000003E-2</v>
      </c>
      <c r="D403" s="1">
        <v>30602975</v>
      </c>
      <c r="E403" s="29">
        <f>Table13[[#This Row],[Ávöxtun]]*Table13[[#This Row],[Eignir]]/SUMIFS(Table13[Eignir],Table13[Year],Table13[[#This Row],[Year]])</f>
        <v>1.0381436442402218E-3</v>
      </c>
      <c r="F403" s="23">
        <f>IF(B403=1997, 100, IF(COUNTIF(A$1:A402,A403)=0, "NEW", F402*(1+Table13[[#This Row],[Ávöxtun]])))</f>
        <v>167.56139862391757</v>
      </c>
      <c r="G403" s="18" cm="1">
        <f t="array" ref="G403">IFERROR(_xlfn.IFS(ISNUMBER(Table13[[#This Row],[Column3]]),Table13[[#This Row],[Column3]],Table13[[#This Row],[Column3]]="NEW",Table13[[#This Row],[Column3]]),"")</f>
        <v>167.56139862391757</v>
      </c>
      <c r="H403" s="15" cm="1">
        <f t="array" ref="H403">_xlfn.IFS(Table13[[#This Row],[Column4]]="NEW",AVERAGEIFS(Table13[Column4],Table13[Year],Table13[[#This Row],[Year]]),ISNUMBER(Table13[[#This Row],[Column4]]),Table13[[#This Row],[Column4]],Table13[[#This Row],[Column4]]="",H402*(1+Table13[[#This Row],[Ávöxtun]]))</f>
        <v>167.56139862391757</v>
      </c>
      <c r="I403" cm="1">
        <f t="array" ref="I403">_xlfn.IFS(Table13[[#This Row],[Column4]]="NEW",_xlfn.XLOOKUP(Table13[[#This Row],[Year]],$N$2:$N$27,$P$2:$P$27),ISNUMBER(Table13[[#This Row],[Column4]]),Table13[[#This Row],[Column4]],Table13[[#This Row],[Column4]]="",I402*(1+Table13[[#This Row],[Ávöxtun]]))</f>
        <v>167.56139862391757</v>
      </c>
      <c r="L403" s="33">
        <v>167.56139862391757</v>
      </c>
      <c r="M403" s="33">
        <v>167.56139862391757</v>
      </c>
    </row>
    <row r="404" spans="1:13">
      <c r="A404" t="s">
        <v>108</v>
      </c>
      <c r="B404">
        <v>2016</v>
      </c>
      <c r="C404" s="16">
        <v>-1.3000000000000001E-2</v>
      </c>
      <c r="D404" s="1">
        <v>31546397.280000001</v>
      </c>
      <c r="E404" s="29">
        <f>Table13[[#This Row],[Ávöxtun]]*Table13[[#This Row],[Eignir]]/SUMIFS(Table13[Eignir],Table13[Year],Table13[[#This Row],[Year]])</f>
        <v>-1.5725118611439035E-4</v>
      </c>
      <c r="F404" s="23">
        <f>IF(B404=1997, 100, IF(COUNTIF(A$1:A403,A404)=0, "NEW", F403*(1+Table13[[#This Row],[Ávöxtun]])))</f>
        <v>165.38310044180665</v>
      </c>
      <c r="G404" s="18" cm="1">
        <f t="array" ref="G404">IFERROR(_xlfn.IFS(ISNUMBER(Table13[[#This Row],[Column3]]),Table13[[#This Row],[Column3]],Table13[[#This Row],[Column3]]="NEW",Table13[[#This Row],[Column3]]),"")</f>
        <v>165.38310044180665</v>
      </c>
      <c r="H404" s="15" cm="1">
        <f t="array" ref="H404">_xlfn.IFS(Table13[[#This Row],[Column4]]="NEW",AVERAGEIFS(Table13[Column4],Table13[Year],Table13[[#This Row],[Year]]),ISNUMBER(Table13[[#This Row],[Column4]]),Table13[[#This Row],[Column4]],Table13[[#This Row],[Column4]]="",H403*(1+Table13[[#This Row],[Ávöxtun]]))</f>
        <v>165.38310044180665</v>
      </c>
      <c r="I404" cm="1">
        <f t="array" ref="I404">_xlfn.IFS(Table13[[#This Row],[Column4]]="NEW",_xlfn.XLOOKUP(Table13[[#This Row],[Year]],$N$2:$N$27,$P$2:$P$27),ISNUMBER(Table13[[#This Row],[Column4]]),Table13[[#This Row],[Column4]],Table13[[#This Row],[Column4]]="",I403*(1+Table13[[#This Row],[Ávöxtun]]))</f>
        <v>165.38310044180665</v>
      </c>
      <c r="L404" s="33">
        <v>165.38310044180665</v>
      </c>
      <c r="M404" s="33">
        <v>165.38310044180665</v>
      </c>
    </row>
    <row r="405" spans="1:13">
      <c r="A405" t="s">
        <v>108</v>
      </c>
      <c r="B405">
        <v>2017</v>
      </c>
      <c r="C405" s="16">
        <v>5.9000000000000004E-2</v>
      </c>
      <c r="D405" s="1">
        <v>33175562</v>
      </c>
      <c r="E405" s="29">
        <f>Table13[[#This Row],[Ávöxtun]]*Table13[[#This Row],[Eignir]]/SUMIFS(Table13[Eignir],Table13[Year],Table13[[#This Row],[Year]])</f>
        <v>6.7352958990192795E-4</v>
      </c>
      <c r="F405" s="23">
        <f>IF(B405=1997, 100, IF(COUNTIF(A$1:A404,A405)=0, "NEW", F404*(1+Table13[[#This Row],[Ávöxtun]])))</f>
        <v>175.14070336787324</v>
      </c>
      <c r="G405" s="18" cm="1">
        <f t="array" ref="G405">IFERROR(_xlfn.IFS(ISNUMBER(Table13[[#This Row],[Column3]]),Table13[[#This Row],[Column3]],Table13[[#This Row],[Column3]]="NEW",Table13[[#This Row],[Column3]]),"")</f>
        <v>175.14070336787324</v>
      </c>
      <c r="H405" s="15" cm="1">
        <f t="array" ref="H405">_xlfn.IFS(Table13[[#This Row],[Column4]]="NEW",AVERAGEIFS(Table13[Column4],Table13[Year],Table13[[#This Row],[Year]]),ISNUMBER(Table13[[#This Row],[Column4]]),Table13[[#This Row],[Column4]],Table13[[#This Row],[Column4]]="",H404*(1+Table13[[#This Row],[Ávöxtun]]))</f>
        <v>175.14070336787324</v>
      </c>
      <c r="I405" cm="1">
        <f t="array" ref="I405">_xlfn.IFS(Table13[[#This Row],[Column4]]="NEW",_xlfn.XLOOKUP(Table13[[#This Row],[Year]],$N$2:$N$27,$P$2:$P$27),ISNUMBER(Table13[[#This Row],[Column4]]),Table13[[#This Row],[Column4]],Table13[[#This Row],[Column4]]="",I404*(1+Table13[[#This Row],[Ávöxtun]]))</f>
        <v>175.14070336787324</v>
      </c>
      <c r="L405" s="33">
        <v>175.14070336787324</v>
      </c>
      <c r="M405" s="33">
        <v>175.14070336787324</v>
      </c>
    </row>
    <row r="406" spans="1:13">
      <c r="A406" t="s">
        <v>108</v>
      </c>
      <c r="B406">
        <v>2018</v>
      </c>
      <c r="C406" s="16">
        <v>1.7000000000000001E-2</v>
      </c>
      <c r="D406" s="1">
        <v>34000227</v>
      </c>
      <c r="E406" s="29">
        <f>Table13[[#This Row],[Ávöxtun]]*Table13[[#This Row],[Eignir]]/SUMIFS(Table13[Eignir],Table13[Year],Table13[[#This Row],[Year]])</f>
        <v>1.8532178888725482E-4</v>
      </c>
      <c r="F406" s="23">
        <f>IF(B406=1997, 100, IF(COUNTIF(A$1:A405,A406)=0, "NEW", F405*(1+Table13[[#This Row],[Ávöxtun]])))</f>
        <v>178.11809532512706</v>
      </c>
      <c r="G406" s="18" cm="1">
        <f t="array" ref="G406">IFERROR(_xlfn.IFS(ISNUMBER(Table13[[#This Row],[Column3]]),Table13[[#This Row],[Column3]],Table13[[#This Row],[Column3]]="NEW",Table13[[#This Row],[Column3]]),"")</f>
        <v>178.11809532512706</v>
      </c>
      <c r="H406" s="15" cm="1">
        <f t="array" ref="H406">_xlfn.IFS(Table13[[#This Row],[Column4]]="NEW",AVERAGEIFS(Table13[Column4],Table13[Year],Table13[[#This Row],[Year]]),ISNUMBER(Table13[[#This Row],[Column4]]),Table13[[#This Row],[Column4]],Table13[[#This Row],[Column4]]="",H405*(1+Table13[[#This Row],[Ávöxtun]]))</f>
        <v>178.11809532512706</v>
      </c>
      <c r="I406" cm="1">
        <f t="array" ref="I406">_xlfn.IFS(Table13[[#This Row],[Column4]]="NEW",_xlfn.XLOOKUP(Table13[[#This Row],[Year]],$N$2:$N$27,$P$2:$P$27),ISNUMBER(Table13[[#This Row],[Column4]]),Table13[[#This Row],[Column4]],Table13[[#This Row],[Column4]]="",I405*(1+Table13[[#This Row],[Ávöxtun]]))</f>
        <v>178.11809532512706</v>
      </c>
      <c r="L406" s="33">
        <v>178.11809532512706</v>
      </c>
      <c r="M406" s="33">
        <v>178.11809532512706</v>
      </c>
    </row>
    <row r="407" spans="1:13">
      <c r="A407" t="s">
        <v>108</v>
      </c>
      <c r="B407">
        <v>2019</v>
      </c>
      <c r="C407" s="16">
        <v>9.6000000000000002E-2</v>
      </c>
      <c r="D407" s="1">
        <v>37262560.93</v>
      </c>
      <c r="E407" s="29">
        <f>Table13[[#This Row],[Ávöxtun]]*Table13[[#This Row],[Eignir]]/SUMIFS(Table13[Eignir],Table13[Year],Table13[[#This Row],[Year]])</f>
        <v>1.0002180542259798E-3</v>
      </c>
      <c r="F407" s="23">
        <f>IF(B407=1997, 100, IF(COUNTIF(A$1:A406,A407)=0, "NEW", F406*(1+Table13[[#This Row],[Ávöxtun]])))</f>
        <v>195.21743247633927</v>
      </c>
      <c r="G407" s="18" cm="1">
        <f t="array" ref="G407">IFERROR(_xlfn.IFS(ISNUMBER(Table13[[#This Row],[Column3]]),Table13[[#This Row],[Column3]],Table13[[#This Row],[Column3]]="NEW",Table13[[#This Row],[Column3]]),"")</f>
        <v>195.21743247633927</v>
      </c>
      <c r="H407" s="15" cm="1">
        <f t="array" ref="H407">_xlfn.IFS(Table13[[#This Row],[Column4]]="NEW",AVERAGEIFS(Table13[Column4],Table13[Year],Table13[[#This Row],[Year]]),ISNUMBER(Table13[[#This Row],[Column4]]),Table13[[#This Row],[Column4]],Table13[[#This Row],[Column4]]="",H406*(1+Table13[[#This Row],[Ávöxtun]]))</f>
        <v>195.21743247633927</v>
      </c>
      <c r="I407" cm="1">
        <f t="array" ref="I407">_xlfn.IFS(Table13[[#This Row],[Column4]]="NEW",_xlfn.XLOOKUP(Table13[[#This Row],[Year]],$N$2:$N$27,$P$2:$P$27),ISNUMBER(Table13[[#This Row],[Column4]]),Table13[[#This Row],[Column4]],Table13[[#This Row],[Column4]]="",I406*(1+Table13[[#This Row],[Ávöxtun]]))</f>
        <v>195.21743247633927</v>
      </c>
      <c r="L407" s="33">
        <v>195.21743247633927</v>
      </c>
      <c r="M407" s="33">
        <v>195.21743247633927</v>
      </c>
    </row>
    <row r="408" spans="1:13">
      <c r="A408" t="s">
        <v>108</v>
      </c>
      <c r="B408">
        <v>2020</v>
      </c>
      <c r="C408" s="16">
        <v>8.3000000000000004E-2</v>
      </c>
      <c r="D408" s="1">
        <v>40402301.890000001</v>
      </c>
      <c r="E408" s="29">
        <f>Table13[[#This Row],[Ávöxtun]]*Table13[[#This Row],[Eignir]]/SUMIFS(Table13[Eignir],Table13[Year],Table13[[#This Row],[Year]])</f>
        <v>8.0918698990524733E-4</v>
      </c>
      <c r="F408" s="23">
        <f>IF(B408=1997, 100, IF(COUNTIF(A$1:A407,A408)=0, "NEW", F407*(1+Table13[[#This Row],[Ávöxtun]])))</f>
        <v>211.42047937187542</v>
      </c>
      <c r="G408" s="18" cm="1">
        <f t="array" ref="G408">IFERROR(_xlfn.IFS(ISNUMBER(Table13[[#This Row],[Column3]]),Table13[[#This Row],[Column3]],Table13[[#This Row],[Column3]]="NEW",Table13[[#This Row],[Column3]]),"")</f>
        <v>211.42047937187542</v>
      </c>
      <c r="H408" s="15" cm="1">
        <f t="array" ref="H408">_xlfn.IFS(Table13[[#This Row],[Column4]]="NEW",AVERAGEIFS(Table13[Column4],Table13[Year],Table13[[#This Row],[Year]]),ISNUMBER(Table13[[#This Row],[Column4]]),Table13[[#This Row],[Column4]],Table13[[#This Row],[Column4]]="",H407*(1+Table13[[#This Row],[Ávöxtun]]))</f>
        <v>211.42047937187542</v>
      </c>
      <c r="I408" cm="1">
        <f t="array" ref="I408">_xlfn.IFS(Table13[[#This Row],[Column4]]="NEW",_xlfn.XLOOKUP(Table13[[#This Row],[Year]],$N$2:$N$27,$P$2:$P$27),ISNUMBER(Table13[[#This Row],[Column4]]),Table13[[#This Row],[Column4]],Table13[[#This Row],[Column4]]="",I407*(1+Table13[[#This Row],[Ávöxtun]]))</f>
        <v>211.42047937187542</v>
      </c>
      <c r="L408" s="33">
        <v>211.42047937187542</v>
      </c>
      <c r="M408" s="33">
        <v>211.42047937187542</v>
      </c>
    </row>
    <row r="409" spans="1:13">
      <c r="A409" t="s">
        <v>108</v>
      </c>
      <c r="B409">
        <v>2021</v>
      </c>
      <c r="C409" s="16">
        <v>7.9699999999999993E-2</v>
      </c>
      <c r="D409" s="1">
        <v>45136265.799999997</v>
      </c>
      <c r="E409" s="29">
        <f>Table13[[#This Row],[Ávöxtun]]*Table13[[#This Row],[Eignir]]/SUMIFS(Table13[Eignir],Table13[Year],Table13[[#This Row],[Year]])</f>
        <v>7.396200254462822E-4</v>
      </c>
      <c r="F409" s="23">
        <f>IF(B409=1997, 100, IF(COUNTIF(A$1:A408,A409)=0, "NEW", F408*(1+Table13[[#This Row],[Ávöxtun]])))</f>
        <v>228.27069157781386</v>
      </c>
      <c r="G409" s="18" cm="1">
        <f t="array" ref="G409">IFERROR(_xlfn.IFS(ISNUMBER(Table13[[#This Row],[Column3]]),Table13[[#This Row],[Column3]],Table13[[#This Row],[Column3]]="NEW",Table13[[#This Row],[Column3]]),"")</f>
        <v>228.27069157781386</v>
      </c>
      <c r="H409" s="15" cm="1">
        <f t="array" ref="H409">_xlfn.IFS(Table13[[#This Row],[Column4]]="NEW",AVERAGEIFS(Table13[Column4],Table13[Year],Table13[[#This Row],[Year]]),ISNUMBER(Table13[[#This Row],[Column4]]),Table13[[#This Row],[Column4]],Table13[[#This Row],[Column4]]="",H408*(1+Table13[[#This Row],[Ávöxtun]]))</f>
        <v>228.27069157781386</v>
      </c>
      <c r="I409" cm="1">
        <f t="array" ref="I409">_xlfn.IFS(Table13[[#This Row],[Column4]]="NEW",_xlfn.XLOOKUP(Table13[[#This Row],[Year]],$N$2:$N$27,$P$2:$P$27),ISNUMBER(Table13[[#This Row],[Column4]]),Table13[[#This Row],[Column4]],Table13[[#This Row],[Column4]]="",I408*(1+Table13[[#This Row],[Ávöxtun]]))</f>
        <v>228.27069157781386</v>
      </c>
      <c r="L409" s="33">
        <v>228.27069157781386</v>
      </c>
      <c r="M409" s="33">
        <v>228.27069157781386</v>
      </c>
    </row>
    <row r="410" spans="1:13">
      <c r="A410" t="s">
        <v>106</v>
      </c>
      <c r="B410">
        <v>1998</v>
      </c>
      <c r="C410" s="16">
        <v>0</v>
      </c>
      <c r="D410" s="1">
        <v>14246555.289999999</v>
      </c>
      <c r="E410" s="29">
        <f>Table13[[#This Row],[Ávöxtun]]*Table13[[#This Row],[Eignir]]/SUMIFS(Table13[Eignir],Table13[Year],Table13[[#This Row],[Year]])</f>
        <v>0</v>
      </c>
      <c r="F410" s="23" t="str">
        <f>IF(B410=1997, 100, IF(COUNTIF(A$1:A409,A410)=0, "NEW", F409*(1+Table13[[#This Row],[Ávöxtun]])))</f>
        <v>NEW</v>
      </c>
      <c r="G410" s="18" t="str" cm="1">
        <f t="array" ref="G410">IFERROR(_xlfn.IFS(ISNUMBER(Table13[[#This Row],[Column3]]),Table13[[#This Row],[Column3]],Table13[[#This Row],[Column3]]="NEW",Table13[[#This Row],[Column3]]),"")</f>
        <v>NEW</v>
      </c>
      <c r="H410" s="15" cm="1">
        <f t="array" ref="H410">_xlfn.IFS(Table13[[#This Row],[Column4]]="NEW",AVERAGEIFS(Table13[Column4],Table13[Year],Table13[[#This Row],[Year]]),ISNUMBER(Table13[[#This Row],[Column4]]),Table13[[#This Row],[Column4]],Table13[[#This Row],[Column4]]="",H409*(1+Table13[[#This Row],[Ávöxtun]]))</f>
        <v>106.73469387755102</v>
      </c>
      <c r="I410" cm="1">
        <f t="array" ref="I410">_xlfn.IFS(Table13[[#This Row],[Column4]]="NEW",_xlfn.XLOOKUP(Table13[[#This Row],[Year]],$N$2:$N$27,$P$2:$P$27),ISNUMBER(Table13[[#This Row],[Column4]]),Table13[[#This Row],[Column4]],Table13[[#This Row],[Column4]]="",I409*(1+Table13[[#This Row],[Ávöxtun]]))</f>
        <v>106.95001927823813</v>
      </c>
      <c r="L410" s="33">
        <v>106.70588235294117</v>
      </c>
      <c r="M410" s="33">
        <v>115.36660895196104</v>
      </c>
    </row>
    <row r="411" spans="1:13">
      <c r="A411" t="s">
        <v>106</v>
      </c>
      <c r="B411">
        <v>1999</v>
      </c>
      <c r="C411" s="16">
        <v>7.0000000000000007E-2</v>
      </c>
      <c r="D411" s="1">
        <v>17183477.609999999</v>
      </c>
      <c r="E411" s="29">
        <f>Table13[[#This Row],[Ávöxtun]]*Table13[[#This Row],[Eignir]]/SUMIFS(Table13[Eignir],Table13[Year],Table13[[#This Row],[Year]])</f>
        <v>2.7095705192083579E-3</v>
      </c>
      <c r="F411" s="23" t="e">
        <f>IF(B411=1997, 100, IF(COUNTIF(A$1:A410,A411)=0, "NEW", F410*(1+Table13[[#This Row],[Ávöxtun]])))</f>
        <v>#VALUE!</v>
      </c>
      <c r="G411" s="18" t="str" cm="1">
        <f t="array" ref="G411">IFERROR(_xlfn.IFS(ISNUMBER(Table13[[#This Row],[Column3]]),Table13[[#This Row],[Column3]],Table13[[#This Row],[Column3]]="NEW",Table13[[#This Row],[Column3]]),"")</f>
        <v/>
      </c>
      <c r="H411" s="15" cm="1">
        <f t="array" ref="H411">_xlfn.IFS(Table13[[#This Row],[Column4]]="NEW",AVERAGEIFS(Table13[Column4],Table13[Year],Table13[[#This Row],[Year]]),ISNUMBER(Table13[[#This Row],[Column4]]),Table13[[#This Row],[Column4]],Table13[[#This Row],[Column4]]="",H410*(1+Table13[[#This Row],[Ávöxtun]]))</f>
        <v>114.2061224489796</v>
      </c>
      <c r="I411" cm="1">
        <f t="array" ref="I411">_xlfn.IFS(Table13[[#This Row],[Column4]]="NEW",_xlfn.XLOOKUP(Table13[[#This Row],[Year]],$N$2:$N$27,$P$2:$P$27),ISNUMBER(Table13[[#This Row],[Column4]]),Table13[[#This Row],[Column4]],Table13[[#This Row],[Column4]]="",I410*(1+Table13[[#This Row],[Ávöxtun]]))</f>
        <v>114.43652062771481</v>
      </c>
      <c r="L411" s="33">
        <v>114.17529411764706</v>
      </c>
      <c r="M411" s="33">
        <v>123.44227157859832</v>
      </c>
    </row>
    <row r="412" spans="1:13">
      <c r="A412" t="s">
        <v>106</v>
      </c>
      <c r="B412">
        <v>2000</v>
      </c>
      <c r="C412" s="16">
        <v>-0.08</v>
      </c>
      <c r="D412" s="1">
        <v>35197278.909999996</v>
      </c>
      <c r="E412" s="29">
        <f>Table13[[#This Row],[Ávöxtun]]*Table13[[#This Row],[Eignir]]/SUMIFS(Table13[Eignir],Table13[Year],Table13[[#This Row],[Year]])</f>
        <v>-4.508991497201899E-3</v>
      </c>
      <c r="F412" s="23" t="e">
        <f>IF(B412=1997, 100, IF(COUNTIF(A$1:A411,A412)=0, "NEW", F411*(1+Table13[[#This Row],[Ávöxtun]])))</f>
        <v>#VALUE!</v>
      </c>
      <c r="G412" s="18" t="str" cm="1">
        <f t="array" ref="G412">IFERROR(_xlfn.IFS(ISNUMBER(Table13[[#This Row],[Column3]]),Table13[[#This Row],[Column3]],Table13[[#This Row],[Column3]]="NEW",Table13[[#This Row],[Column3]]),"")</f>
        <v/>
      </c>
      <c r="H412" s="15" cm="1">
        <f t="array" ref="H412">_xlfn.IFS(Table13[[#This Row],[Column4]]="NEW",AVERAGEIFS(Table13[Column4],Table13[Year],Table13[[#This Row],[Year]]),ISNUMBER(Table13[[#This Row],[Column4]]),Table13[[#This Row],[Column4]],Table13[[#This Row],[Column4]]="",H411*(1+Table13[[#This Row],[Ávöxtun]]))</f>
        <v>105.06963265306123</v>
      </c>
      <c r="I412" cm="1">
        <f t="array" ref="I412">_xlfn.IFS(Table13[[#This Row],[Column4]]="NEW",_xlfn.XLOOKUP(Table13[[#This Row],[Year]],$N$2:$N$27,$P$2:$P$27),ISNUMBER(Table13[[#This Row],[Column4]]),Table13[[#This Row],[Column4]],Table13[[#This Row],[Column4]]="",I411*(1+Table13[[#This Row],[Ávöxtun]]))</f>
        <v>105.28159897749764</v>
      </c>
      <c r="L412" s="33">
        <v>105.04127058823529</v>
      </c>
      <c r="M412" s="33">
        <v>113.56688985231047</v>
      </c>
    </row>
    <row r="413" spans="1:13">
      <c r="A413" t="s">
        <v>106</v>
      </c>
      <c r="B413">
        <v>2001</v>
      </c>
      <c r="C413" s="16">
        <v>0</v>
      </c>
      <c r="D413" s="1">
        <v>38596234</v>
      </c>
      <c r="E413" s="29">
        <f>Table13[[#This Row],[Ávöxtun]]*Table13[[#This Row],[Eignir]]/SUMIFS(Table13[Eignir],Table13[Year],Table13[[#This Row],[Year]])</f>
        <v>0</v>
      </c>
      <c r="F413" s="23" t="e">
        <f>IF(B413=1997, 100, IF(COUNTIF(A$1:A412,A413)=0, "NEW", F412*(1+Table13[[#This Row],[Ávöxtun]])))</f>
        <v>#VALUE!</v>
      </c>
      <c r="G413" s="18" t="str" cm="1">
        <f t="array" ref="G413">IFERROR(_xlfn.IFS(ISNUMBER(Table13[[#This Row],[Column3]]),Table13[[#This Row],[Column3]],Table13[[#This Row],[Column3]]="NEW",Table13[[#This Row],[Column3]]),"")</f>
        <v/>
      </c>
      <c r="H413" s="15" cm="1">
        <f t="array" ref="H413">_xlfn.IFS(Table13[[#This Row],[Column4]]="NEW",AVERAGEIFS(Table13[Column4],Table13[Year],Table13[[#This Row],[Year]]),ISNUMBER(Table13[[#This Row],[Column4]]),Table13[[#This Row],[Column4]],Table13[[#This Row],[Column4]]="",H412*(1+Table13[[#This Row],[Ávöxtun]]))</f>
        <v>105.06963265306123</v>
      </c>
      <c r="I413" cm="1">
        <f t="array" ref="I413">_xlfn.IFS(Table13[[#This Row],[Column4]]="NEW",_xlfn.XLOOKUP(Table13[[#This Row],[Year]],$N$2:$N$27,$P$2:$P$27),ISNUMBER(Table13[[#This Row],[Column4]]),Table13[[#This Row],[Column4]],Table13[[#This Row],[Column4]]="",I412*(1+Table13[[#This Row],[Ávöxtun]]))</f>
        <v>105.28159897749764</v>
      </c>
      <c r="L413" s="33">
        <v>105.04127058823529</v>
      </c>
      <c r="M413" s="33">
        <v>113.56688985231047</v>
      </c>
    </row>
    <row r="414" spans="1:13">
      <c r="A414" t="s">
        <v>106</v>
      </c>
      <c r="B414">
        <v>2002</v>
      </c>
      <c r="C414" s="16">
        <v>0</v>
      </c>
      <c r="D414" s="1">
        <v>19789062</v>
      </c>
      <c r="E414" s="29">
        <f>Table13[[#This Row],[Ávöxtun]]*Table13[[#This Row],[Eignir]]/SUMIFS(Table13[Eignir],Table13[Year],Table13[[#This Row],[Year]])</f>
        <v>0</v>
      </c>
      <c r="F414" s="23" t="e">
        <f>IF(B414=1997, 100, IF(COUNTIF(A$1:A413,A414)=0, "NEW", F413*(1+Table13[[#This Row],[Ávöxtun]])))</f>
        <v>#VALUE!</v>
      </c>
      <c r="G414" s="18" t="str" cm="1">
        <f t="array" ref="G414">IFERROR(_xlfn.IFS(ISNUMBER(Table13[[#This Row],[Column3]]),Table13[[#This Row],[Column3]],Table13[[#This Row],[Column3]]="NEW",Table13[[#This Row],[Column3]]),"")</f>
        <v/>
      </c>
      <c r="H414" s="15" cm="1">
        <f t="array" ref="H414">_xlfn.IFS(Table13[[#This Row],[Column4]]="NEW",AVERAGEIFS(Table13[Column4],Table13[Year],Table13[[#This Row],[Year]]),ISNUMBER(Table13[[#This Row],[Column4]]),Table13[[#This Row],[Column4]],Table13[[#This Row],[Column4]]="",H413*(1+Table13[[#This Row],[Ávöxtun]]))</f>
        <v>105.06963265306123</v>
      </c>
      <c r="I414" cm="1">
        <f t="array" ref="I414">_xlfn.IFS(Table13[[#This Row],[Column4]]="NEW",_xlfn.XLOOKUP(Table13[[#This Row],[Year]],$N$2:$N$27,$P$2:$P$27),ISNUMBER(Table13[[#This Row],[Column4]]),Table13[[#This Row],[Column4]],Table13[[#This Row],[Column4]]="",I413*(1+Table13[[#This Row],[Ávöxtun]]))</f>
        <v>105.28159897749764</v>
      </c>
      <c r="L414" s="33">
        <v>105.04127058823529</v>
      </c>
      <c r="M414" s="33">
        <v>113.56688985231047</v>
      </c>
    </row>
    <row r="415" spans="1:13">
      <c r="A415" t="s">
        <v>106</v>
      </c>
      <c r="B415">
        <v>2003</v>
      </c>
      <c r="C415" s="16">
        <v>0.18</v>
      </c>
      <c r="D415" s="1">
        <v>22498628</v>
      </c>
      <c r="E415" s="29">
        <f>Table13[[#This Row],[Ávöxtun]]*Table13[[#This Row],[Eignir]]/SUMIFS(Table13[Eignir],Table13[Year],Table13[[#This Row],[Year]])</f>
        <v>6.3496488774599123E-3</v>
      </c>
      <c r="F415" s="23" t="e">
        <f>IF(B415=1997, 100, IF(COUNTIF(A$1:A414,A415)=0, "NEW", F414*(1+Table13[[#This Row],[Ávöxtun]])))</f>
        <v>#VALUE!</v>
      </c>
      <c r="G415" s="18" t="str" cm="1">
        <f t="array" ref="G415">IFERROR(_xlfn.IFS(ISNUMBER(Table13[[#This Row],[Column3]]),Table13[[#This Row],[Column3]],Table13[[#This Row],[Column3]]="NEW",Table13[[#This Row],[Column3]]),"")</f>
        <v/>
      </c>
      <c r="H415" s="15" cm="1">
        <f t="array" ref="H415">_xlfn.IFS(Table13[[#This Row],[Column4]]="NEW",AVERAGEIFS(Table13[Column4],Table13[Year],Table13[[#This Row],[Year]]),ISNUMBER(Table13[[#This Row],[Column4]]),Table13[[#This Row],[Column4]],Table13[[#This Row],[Column4]]="",H414*(1+Table13[[#This Row],[Ávöxtun]]))</f>
        <v>123.98216653061225</v>
      </c>
      <c r="I415" cm="1">
        <f t="array" ref="I415">_xlfn.IFS(Table13[[#This Row],[Column4]]="NEW",_xlfn.XLOOKUP(Table13[[#This Row],[Year]],$N$2:$N$27,$P$2:$P$27),ISNUMBER(Table13[[#This Row],[Column4]]),Table13[[#This Row],[Column4]],Table13[[#This Row],[Column4]]="",I414*(1+Table13[[#This Row],[Ávöxtun]]))</f>
        <v>124.2322867934472</v>
      </c>
      <c r="L415" s="33">
        <v>123.94869929411765</v>
      </c>
      <c r="M415" s="33">
        <v>134.00893002572636</v>
      </c>
    </row>
    <row r="416" spans="1:13">
      <c r="A416" t="s">
        <v>106</v>
      </c>
      <c r="B416">
        <v>2004</v>
      </c>
      <c r="C416" s="16">
        <v>0.18</v>
      </c>
      <c r="D416" s="1">
        <v>25571056</v>
      </c>
      <c r="E416" s="29">
        <f>Table13[[#This Row],[Ávöxtun]]*Table13[[#This Row],[Eignir]]/SUMIFS(Table13[Eignir],Table13[Year],Table13[[#This Row],[Year]])</f>
        <v>6.0592333004151153E-3</v>
      </c>
      <c r="F416" s="23" t="e">
        <f>IF(B416=1997, 100, IF(COUNTIF(A$1:A415,A416)=0, "NEW", F415*(1+Table13[[#This Row],[Ávöxtun]])))</f>
        <v>#VALUE!</v>
      </c>
      <c r="G416" s="18" t="str" cm="1">
        <f t="array" ref="G416">IFERROR(_xlfn.IFS(ISNUMBER(Table13[[#This Row],[Column3]]),Table13[[#This Row],[Column3]],Table13[[#This Row],[Column3]]="NEW",Table13[[#This Row],[Column3]]),"")</f>
        <v/>
      </c>
      <c r="H416" s="15" cm="1">
        <f t="array" ref="H416">_xlfn.IFS(Table13[[#This Row],[Column4]]="NEW",AVERAGEIFS(Table13[Column4],Table13[Year],Table13[[#This Row],[Year]]),ISNUMBER(Table13[[#This Row],[Column4]]),Table13[[#This Row],[Column4]],Table13[[#This Row],[Column4]]="",H415*(1+Table13[[#This Row],[Ávöxtun]]))</f>
        <v>146.29895650612244</v>
      </c>
      <c r="I416" cm="1">
        <f t="array" ref="I416">_xlfn.IFS(Table13[[#This Row],[Column4]]="NEW",_xlfn.XLOOKUP(Table13[[#This Row],[Year]],$N$2:$N$27,$P$2:$P$27),ISNUMBER(Table13[[#This Row],[Column4]]),Table13[[#This Row],[Column4]],Table13[[#This Row],[Column4]]="",I415*(1+Table13[[#This Row],[Ávöxtun]]))</f>
        <v>146.59409841626768</v>
      </c>
      <c r="L416" s="33">
        <v>146.25946516705881</v>
      </c>
      <c r="M416" s="33">
        <v>158.13053743035709</v>
      </c>
    </row>
    <row r="417" spans="1:13">
      <c r="A417" t="s">
        <v>106</v>
      </c>
      <c r="B417">
        <v>2005</v>
      </c>
      <c r="C417" s="16">
        <v>0.16</v>
      </c>
      <c r="D417" s="1">
        <v>28726712</v>
      </c>
      <c r="E417" s="29">
        <f>Table13[[#This Row],[Ávöxtun]]*Table13[[#This Row],[Eignir]]/SUMIFS(Table13[Eignir],Table13[Year],Table13[[#This Row],[Year]])</f>
        <v>4.9241787288544286E-3</v>
      </c>
      <c r="F417" s="23" t="e">
        <f>IF(B417=1997, 100, IF(COUNTIF(A$1:A416,A417)=0, "NEW", F416*(1+Table13[[#This Row],[Ávöxtun]])))</f>
        <v>#VALUE!</v>
      </c>
      <c r="G417" s="18" t="str" cm="1">
        <f t="array" ref="G417">IFERROR(_xlfn.IFS(ISNUMBER(Table13[[#This Row],[Column3]]),Table13[[#This Row],[Column3]],Table13[[#This Row],[Column3]]="NEW",Table13[[#This Row],[Column3]]),"")</f>
        <v/>
      </c>
      <c r="H417" s="15" cm="1">
        <f t="array" ref="H417">_xlfn.IFS(Table13[[#This Row],[Column4]]="NEW",AVERAGEIFS(Table13[Column4],Table13[Year],Table13[[#This Row],[Year]]),ISNUMBER(Table13[[#This Row],[Column4]]),Table13[[#This Row],[Column4]],Table13[[#This Row],[Column4]]="",H416*(1+Table13[[#This Row],[Ávöxtun]]))</f>
        <v>169.70678954710201</v>
      </c>
      <c r="I417" cm="1">
        <f t="array" ref="I417">_xlfn.IFS(Table13[[#This Row],[Column4]]="NEW",_xlfn.XLOOKUP(Table13[[#This Row],[Year]],$N$2:$N$27,$P$2:$P$27),ISNUMBER(Table13[[#This Row],[Column4]]),Table13[[#This Row],[Column4]],Table13[[#This Row],[Column4]]="",I416*(1+Table13[[#This Row],[Ávöxtun]]))</f>
        <v>170.04915416287051</v>
      </c>
      <c r="L417" s="33">
        <v>169.6609795937882</v>
      </c>
      <c r="M417" s="33">
        <v>183.43142341921421</v>
      </c>
    </row>
    <row r="418" spans="1:13">
      <c r="A418" t="s">
        <v>106</v>
      </c>
      <c r="B418">
        <v>2006</v>
      </c>
      <c r="C418" s="16">
        <v>0.156</v>
      </c>
      <c r="D418" s="1">
        <v>35121866</v>
      </c>
      <c r="E418" s="29">
        <f>Table13[[#This Row],[Ávöxtun]]*Table13[[#This Row],[Eignir]]/SUMIFS(Table13[Eignir],Table13[Year],Table13[[#This Row],[Year]])</f>
        <v>4.816238121658138E-3</v>
      </c>
      <c r="F418" s="23" t="e">
        <f>IF(B418=1997, 100, IF(COUNTIF(A$1:A417,A418)=0, "NEW", F417*(1+Table13[[#This Row],[Ávöxtun]])))</f>
        <v>#VALUE!</v>
      </c>
      <c r="G418" s="18" t="str" cm="1">
        <f t="array" ref="G418">IFERROR(_xlfn.IFS(ISNUMBER(Table13[[#This Row],[Column3]]),Table13[[#This Row],[Column3]],Table13[[#This Row],[Column3]]="NEW",Table13[[#This Row],[Column3]]),"")</f>
        <v/>
      </c>
      <c r="H418" s="15" cm="1">
        <f t="array" ref="H418">_xlfn.IFS(Table13[[#This Row],[Column4]]="NEW",AVERAGEIFS(Table13[Column4],Table13[Year],Table13[[#This Row],[Year]]),ISNUMBER(Table13[[#This Row],[Column4]]),Table13[[#This Row],[Column4]],Table13[[#This Row],[Column4]]="",H417*(1+Table13[[#This Row],[Ávöxtun]]))</f>
        <v>196.18104871644991</v>
      </c>
      <c r="I418" cm="1">
        <f t="array" ref="I418">_xlfn.IFS(Table13[[#This Row],[Column4]]="NEW",_xlfn.XLOOKUP(Table13[[#This Row],[Year]],$N$2:$N$27,$P$2:$P$27),ISNUMBER(Table13[[#This Row],[Column4]]),Table13[[#This Row],[Column4]],Table13[[#This Row],[Column4]]="",I417*(1+Table13[[#This Row],[Ávöxtun]]))</f>
        <v>196.5768222122783</v>
      </c>
      <c r="L418" s="33">
        <v>196.12809241041916</v>
      </c>
      <c r="M418" s="33">
        <v>212.04672547261163</v>
      </c>
    </row>
    <row r="419" spans="1:13">
      <c r="A419" t="s">
        <v>106</v>
      </c>
      <c r="B419">
        <v>2007</v>
      </c>
      <c r="C419" s="16">
        <v>2.2499999999999999E-2</v>
      </c>
      <c r="D419" s="1">
        <v>38161101</v>
      </c>
      <c r="E419" s="29">
        <f>Table13[[#This Row],[Ávöxtun]]*Table13[[#This Row],[Eignir]]/SUMIFS(Table13[Eignir],Table13[Year],Table13[[#This Row],[Year]])</f>
        <v>6.6899219896025017E-4</v>
      </c>
      <c r="F419" s="23" t="e">
        <f>IF(B419=1997, 100, IF(COUNTIF(A$1:A418,A419)=0, "NEW", F418*(1+Table13[[#This Row],[Ávöxtun]])))</f>
        <v>#VALUE!</v>
      </c>
      <c r="G419" s="18" t="str" cm="1">
        <f t="array" ref="G419">IFERROR(_xlfn.IFS(ISNUMBER(Table13[[#This Row],[Column3]]),Table13[[#This Row],[Column3]],Table13[[#This Row],[Column3]]="NEW",Table13[[#This Row],[Column3]]),"")</f>
        <v/>
      </c>
      <c r="H419" s="15" cm="1">
        <f t="array" ref="H419">_xlfn.IFS(Table13[[#This Row],[Column4]]="NEW",AVERAGEIFS(Table13[Column4],Table13[Year],Table13[[#This Row],[Year]]),ISNUMBER(Table13[[#This Row],[Column4]]),Table13[[#This Row],[Column4]],Table13[[#This Row],[Column4]]="",H418*(1+Table13[[#This Row],[Ávöxtun]]))</f>
        <v>200.59512231257003</v>
      </c>
      <c r="I419" cm="1">
        <f t="array" ref="I419">_xlfn.IFS(Table13[[#This Row],[Column4]]="NEW",_xlfn.XLOOKUP(Table13[[#This Row],[Year]],$N$2:$N$27,$P$2:$P$27),ISNUMBER(Table13[[#This Row],[Column4]]),Table13[[#This Row],[Column4]],Table13[[#This Row],[Column4]]="",I418*(1+Table13[[#This Row],[Ávöxtun]]))</f>
        <v>200.99980071205457</v>
      </c>
      <c r="L419" s="33">
        <v>200.54097448965359</v>
      </c>
      <c r="M419" s="33">
        <v>216.81777679574537</v>
      </c>
    </row>
    <row r="420" spans="1:13">
      <c r="A420" t="s">
        <v>106</v>
      </c>
      <c r="B420">
        <v>2008</v>
      </c>
      <c r="C420" s="16">
        <v>-0.11199999999999999</v>
      </c>
      <c r="D420" s="1">
        <v>39414110</v>
      </c>
      <c r="E420" s="29">
        <f>Table13[[#This Row],[Ávöxtun]]*Table13[[#This Row],[Eignir]]/SUMIFS(Table13[Eignir],Table13[Year],Table13[[#This Row],[Year]])</f>
        <v>-3.5628698668610753E-3</v>
      </c>
      <c r="F420" s="23" t="e">
        <f>IF(B420=1997, 100, IF(COUNTIF(A$1:A419,A420)=0, "NEW", F419*(1+Table13[[#This Row],[Ávöxtun]])))</f>
        <v>#VALUE!</v>
      </c>
      <c r="G420" s="18" t="str" cm="1">
        <f t="array" ref="G420">IFERROR(_xlfn.IFS(ISNUMBER(Table13[[#This Row],[Column3]]),Table13[[#This Row],[Column3]],Table13[[#This Row],[Column3]]="NEW",Table13[[#This Row],[Column3]]),"")</f>
        <v/>
      </c>
      <c r="H420" s="15" cm="1">
        <f t="array" ref="H420">_xlfn.IFS(Table13[[#This Row],[Column4]]="NEW",AVERAGEIFS(Table13[Column4],Table13[Year],Table13[[#This Row],[Year]]),ISNUMBER(Table13[[#This Row],[Column4]]),Table13[[#This Row],[Column4]],Table13[[#This Row],[Column4]]="",H419*(1+Table13[[#This Row],[Ávöxtun]]))</f>
        <v>178.12846861356218</v>
      </c>
      <c r="I420" cm="1">
        <f t="array" ref="I420">_xlfn.IFS(Table13[[#This Row],[Column4]]="NEW",_xlfn.XLOOKUP(Table13[[#This Row],[Year]],$N$2:$N$27,$P$2:$P$27),ISNUMBER(Table13[[#This Row],[Column4]]),Table13[[#This Row],[Column4]],Table13[[#This Row],[Column4]]="",I419*(1+Table13[[#This Row],[Ávöxtun]]))</f>
        <v>178.48782303230445</v>
      </c>
      <c r="L420" s="33">
        <v>178.08038534681239</v>
      </c>
      <c r="M420" s="33">
        <v>192.53418579462189</v>
      </c>
    </row>
    <row r="421" spans="1:13">
      <c r="A421" t="s">
        <v>106</v>
      </c>
      <c r="B421">
        <v>2009</v>
      </c>
      <c r="C421" s="16">
        <v>5.2600000000000001E-2</v>
      </c>
      <c r="D421" s="1">
        <v>44036710</v>
      </c>
      <c r="E421" s="29">
        <f>Table13[[#This Row],[Ávöxtun]]*Table13[[#This Row],[Eignir]]/SUMIFS(Table13[Eignir],Table13[Year],Table13[[#This Row],[Year]])</f>
        <v>1.6869130826824307E-3</v>
      </c>
      <c r="F421" s="23" t="e">
        <f>IF(B421=1997, 100, IF(COUNTIF(A$1:A420,A421)=0, "NEW", F420*(1+Table13[[#This Row],[Ávöxtun]])))</f>
        <v>#VALUE!</v>
      </c>
      <c r="G421" s="18" t="str" cm="1">
        <f t="array" ref="G421">IFERROR(_xlfn.IFS(ISNUMBER(Table13[[#This Row],[Column3]]),Table13[[#This Row],[Column3]],Table13[[#This Row],[Column3]]="NEW",Table13[[#This Row],[Column3]]),"")</f>
        <v/>
      </c>
      <c r="H421" s="15" cm="1">
        <f t="array" ref="H421">_xlfn.IFS(Table13[[#This Row],[Column4]]="NEW",AVERAGEIFS(Table13[Column4],Table13[Year],Table13[[#This Row],[Year]]),ISNUMBER(Table13[[#This Row],[Column4]]),Table13[[#This Row],[Column4]],Table13[[#This Row],[Column4]]="",H420*(1+Table13[[#This Row],[Ávöxtun]]))</f>
        <v>187.49802606263555</v>
      </c>
      <c r="I421" cm="1">
        <f t="array" ref="I421">_xlfn.IFS(Table13[[#This Row],[Column4]]="NEW",_xlfn.XLOOKUP(Table13[[#This Row],[Year]],$N$2:$N$27,$P$2:$P$27),ISNUMBER(Table13[[#This Row],[Column4]]),Table13[[#This Row],[Column4]],Table13[[#This Row],[Column4]]="",I420*(1+Table13[[#This Row],[Ávöxtun]]))</f>
        <v>187.87628252380367</v>
      </c>
      <c r="L421" s="33">
        <v>187.44741361605472</v>
      </c>
      <c r="M421" s="33">
        <v>202.661483967419</v>
      </c>
    </row>
    <row r="422" spans="1:13">
      <c r="A422" t="s">
        <v>106</v>
      </c>
      <c r="B422">
        <v>2010</v>
      </c>
      <c r="C422" s="16">
        <v>7.7200000000000005E-2</v>
      </c>
      <c r="D422" s="1">
        <v>46827098</v>
      </c>
      <c r="E422" s="29">
        <f>Table13[[#This Row],[Ávöxtun]]*Table13[[#This Row],[Eignir]]/SUMIFS(Table13[Eignir],Table13[Year],Table13[[#This Row],[Year]])</f>
        <v>2.4680359668627183E-3</v>
      </c>
      <c r="F422" s="23" t="e">
        <f>IF(B422=1997, 100, IF(COUNTIF(A$1:A421,A422)=0, "NEW", F421*(1+Table13[[#This Row],[Ávöxtun]])))</f>
        <v>#VALUE!</v>
      </c>
      <c r="G422" s="18" t="str" cm="1">
        <f t="array" ref="G422">IFERROR(_xlfn.IFS(ISNUMBER(Table13[[#This Row],[Column3]]),Table13[[#This Row],[Column3]],Table13[[#This Row],[Column3]]="NEW",Table13[[#This Row],[Column3]]),"")</f>
        <v/>
      </c>
      <c r="H422" s="15" cm="1">
        <f t="array" ref="H422">_xlfn.IFS(Table13[[#This Row],[Column4]]="NEW",AVERAGEIFS(Table13[Column4],Table13[Year],Table13[[#This Row],[Year]]),ISNUMBER(Table13[[#This Row],[Column4]]),Table13[[#This Row],[Column4]],Table13[[#This Row],[Column4]]="",H421*(1+Table13[[#This Row],[Ávöxtun]]))</f>
        <v>201.97287367467101</v>
      </c>
      <c r="I422" cm="1">
        <f t="array" ref="I422">_xlfn.IFS(Table13[[#This Row],[Column4]]="NEW",_xlfn.XLOOKUP(Table13[[#This Row],[Year]],$N$2:$N$27,$P$2:$P$27),ISNUMBER(Table13[[#This Row],[Column4]]),Table13[[#This Row],[Column4]],Table13[[#This Row],[Column4]]="",I421*(1+Table13[[#This Row],[Ávöxtun]]))</f>
        <v>202.3803315346413</v>
      </c>
      <c r="L422" s="33">
        <v>201.91835394721414</v>
      </c>
      <c r="M422" s="33">
        <v>218.30695052970373</v>
      </c>
    </row>
    <row r="423" spans="1:13">
      <c r="A423" t="s">
        <v>106</v>
      </c>
      <c r="B423">
        <v>2011</v>
      </c>
      <c r="C423" s="16">
        <v>8.3000000000000004E-2</v>
      </c>
      <c r="D423" s="1">
        <v>51384697</v>
      </c>
      <c r="E423" s="29">
        <f>Table13[[#This Row],[Ávöxtun]]*Table13[[#This Row],[Eignir]]/SUMIFS(Table13[Eignir],Table13[Year],Table13[[#This Row],[Year]])</f>
        <v>2.6859297742745526E-3</v>
      </c>
      <c r="F423" s="23" t="e">
        <f>IF(B423=1997, 100, IF(COUNTIF(A$1:A422,A423)=0, "NEW", F422*(1+Table13[[#This Row],[Ávöxtun]])))</f>
        <v>#VALUE!</v>
      </c>
      <c r="G423" s="18" t="str" cm="1">
        <f t="array" ref="G423">IFERROR(_xlfn.IFS(ISNUMBER(Table13[[#This Row],[Column3]]),Table13[[#This Row],[Column3]],Table13[[#This Row],[Column3]]="NEW",Table13[[#This Row],[Column3]]),"")</f>
        <v/>
      </c>
      <c r="H423" s="15" cm="1">
        <f t="array" ref="H423">_xlfn.IFS(Table13[[#This Row],[Column4]]="NEW",AVERAGEIFS(Table13[Column4],Table13[Year],Table13[[#This Row],[Year]]),ISNUMBER(Table13[[#This Row],[Column4]]),Table13[[#This Row],[Column4]],Table13[[#This Row],[Column4]]="",H422*(1+Table13[[#This Row],[Ávöxtun]]))</f>
        <v>218.73662218966868</v>
      </c>
      <c r="I423" cm="1">
        <f t="array" ref="I423">_xlfn.IFS(Table13[[#This Row],[Column4]]="NEW",_xlfn.XLOOKUP(Table13[[#This Row],[Year]],$N$2:$N$27,$P$2:$P$27),ISNUMBER(Table13[[#This Row],[Column4]]),Table13[[#This Row],[Column4]],Table13[[#This Row],[Column4]]="",I422*(1+Table13[[#This Row],[Ávöxtun]]))</f>
        <v>219.17789905201653</v>
      </c>
      <c r="L423" s="33">
        <v>218.6775773248329</v>
      </c>
      <c r="M423" s="33">
        <v>236.42642742366914</v>
      </c>
    </row>
    <row r="424" spans="1:13">
      <c r="A424" t="s">
        <v>106</v>
      </c>
      <c r="B424">
        <v>2012</v>
      </c>
      <c r="C424" s="16">
        <v>0.107</v>
      </c>
      <c r="D424" s="1">
        <v>56006035</v>
      </c>
      <c r="E424" s="29">
        <f>Table13[[#This Row],[Ávöxtun]]*Table13[[#This Row],[Eignir]]/SUMIFS(Table13[Eignir],Table13[Year],Table13[[#This Row],[Year]])</f>
        <v>3.3387633453588182E-3</v>
      </c>
      <c r="F424" s="23" t="e">
        <f>IF(B424=1997, 100, IF(COUNTIF(A$1:A423,A424)=0, "NEW", F423*(1+Table13[[#This Row],[Ávöxtun]])))</f>
        <v>#VALUE!</v>
      </c>
      <c r="G424" s="18" t="str" cm="1">
        <f t="array" ref="G424">IFERROR(_xlfn.IFS(ISNUMBER(Table13[[#This Row],[Column3]]),Table13[[#This Row],[Column3]],Table13[[#This Row],[Column3]]="NEW",Table13[[#This Row],[Column3]]),"")</f>
        <v/>
      </c>
      <c r="H424" s="15" cm="1">
        <f t="array" ref="H424">_xlfn.IFS(Table13[[#This Row],[Column4]]="NEW",AVERAGEIFS(Table13[Column4],Table13[Year],Table13[[#This Row],[Year]]),ISNUMBER(Table13[[#This Row],[Column4]]),Table13[[#This Row],[Column4]],Table13[[#This Row],[Column4]]="",H423*(1+Table13[[#This Row],[Ávöxtun]]))</f>
        <v>242.14144076396323</v>
      </c>
      <c r="I424" cm="1">
        <f t="array" ref="I424">_xlfn.IFS(Table13[[#This Row],[Column4]]="NEW",_xlfn.XLOOKUP(Table13[[#This Row],[Year]],$N$2:$N$27,$P$2:$P$27),ISNUMBER(Table13[[#This Row],[Column4]]),Table13[[#This Row],[Column4]],Table13[[#This Row],[Column4]]="",I423*(1+Table13[[#This Row],[Ávöxtun]]))</f>
        <v>242.62993425058229</v>
      </c>
      <c r="L424" s="33">
        <v>242.07607809859002</v>
      </c>
      <c r="M424" s="33">
        <v>261.72405515800176</v>
      </c>
    </row>
    <row r="425" spans="1:13">
      <c r="A425" t="s">
        <v>106</v>
      </c>
      <c r="B425">
        <v>2013</v>
      </c>
      <c r="C425" s="16">
        <v>9.6999999999999989E-2</v>
      </c>
      <c r="D425" s="1">
        <v>60336344</v>
      </c>
      <c r="E425" s="29">
        <f>Table13[[#This Row],[Ávöxtun]]*Table13[[#This Row],[Eignir]]/SUMIFS(Table13[Eignir],Table13[Year],Table13[[#This Row],[Year]])</f>
        <v>2.964985604998009E-3</v>
      </c>
      <c r="F425" s="23" t="e">
        <f>IF(B425=1997, 100, IF(COUNTIF(A$1:A424,A425)=0, "NEW", F424*(1+Table13[[#This Row],[Ávöxtun]])))</f>
        <v>#VALUE!</v>
      </c>
      <c r="G425" s="18" t="str" cm="1">
        <f t="array" ref="G425">IFERROR(_xlfn.IFS(ISNUMBER(Table13[[#This Row],[Column3]]),Table13[[#This Row],[Column3]],Table13[[#This Row],[Column3]]="NEW",Table13[[#This Row],[Column3]]),"")</f>
        <v/>
      </c>
      <c r="H425" s="15" cm="1">
        <f t="array" ref="H425">_xlfn.IFS(Table13[[#This Row],[Column4]]="NEW",AVERAGEIFS(Table13[Column4],Table13[Year],Table13[[#This Row],[Year]]),ISNUMBER(Table13[[#This Row],[Column4]]),Table13[[#This Row],[Column4]],Table13[[#This Row],[Column4]]="",H424*(1+Table13[[#This Row],[Ávöxtun]]))</f>
        <v>265.62916051806764</v>
      </c>
      <c r="I425" cm="1">
        <f t="array" ref="I425">_xlfn.IFS(Table13[[#This Row],[Column4]]="NEW",_xlfn.XLOOKUP(Table13[[#This Row],[Year]],$N$2:$N$27,$P$2:$P$27),ISNUMBER(Table13[[#This Row],[Column4]]),Table13[[#This Row],[Column4]],Table13[[#This Row],[Column4]]="",I424*(1+Table13[[#This Row],[Ávöxtun]]))</f>
        <v>266.16503787288877</v>
      </c>
      <c r="L425" s="33">
        <v>265.55745767415323</v>
      </c>
      <c r="M425" s="33">
        <v>287.1112885083279</v>
      </c>
    </row>
    <row r="426" spans="1:13">
      <c r="A426" t="s">
        <v>106</v>
      </c>
      <c r="B426">
        <v>2014</v>
      </c>
      <c r="C426" s="16">
        <v>9.5000000000000001E-2</v>
      </c>
      <c r="D426" s="1">
        <v>63150185</v>
      </c>
      <c r="E426" s="29">
        <f>Table13[[#This Row],[Ávöxtun]]*Table13[[#This Row],[Eignir]]/SUMIFS(Table13[Eignir],Table13[Year],Table13[[#This Row],[Year]])</f>
        <v>2.7871113893031224E-3</v>
      </c>
      <c r="F426" s="23" t="e">
        <f>IF(B426=1997, 100, IF(COUNTIF(A$1:A425,A426)=0, "NEW", F425*(1+Table13[[#This Row],[Ávöxtun]])))</f>
        <v>#VALUE!</v>
      </c>
      <c r="G426" s="18" t="str" cm="1">
        <f t="array" ref="G426">IFERROR(_xlfn.IFS(ISNUMBER(Table13[[#This Row],[Column3]]),Table13[[#This Row],[Column3]],Table13[[#This Row],[Column3]]="NEW",Table13[[#This Row],[Column3]]),"")</f>
        <v/>
      </c>
      <c r="H426" s="15" cm="1">
        <f t="array" ref="H426">_xlfn.IFS(Table13[[#This Row],[Column4]]="NEW",AVERAGEIFS(Table13[Column4],Table13[Year],Table13[[#This Row],[Year]]),ISNUMBER(Table13[[#This Row],[Column4]]),Table13[[#This Row],[Column4]],Table13[[#This Row],[Column4]]="",H425*(1+Table13[[#This Row],[Ávöxtun]]))</f>
        <v>290.86393076728405</v>
      </c>
      <c r="I426" cm="1">
        <f t="array" ref="I426">_xlfn.IFS(Table13[[#This Row],[Column4]]="NEW",_xlfn.XLOOKUP(Table13[[#This Row],[Year]],$N$2:$N$27,$P$2:$P$27),ISNUMBER(Table13[[#This Row],[Column4]]),Table13[[#This Row],[Column4]],Table13[[#This Row],[Column4]]="",I425*(1+Table13[[#This Row],[Ávöxtun]]))</f>
        <v>291.45071647081318</v>
      </c>
      <c r="L426" s="33">
        <v>290.78541615319779</v>
      </c>
      <c r="M426" s="33">
        <v>314.38686091661907</v>
      </c>
    </row>
    <row r="427" spans="1:13">
      <c r="A427" t="s">
        <v>106</v>
      </c>
      <c r="B427">
        <v>2015</v>
      </c>
      <c r="C427" s="16">
        <v>0.127</v>
      </c>
      <c r="D427" s="1">
        <v>67783235</v>
      </c>
      <c r="E427" s="29">
        <f>Table13[[#This Row],[Ávöxtun]]*Table13[[#This Row],[Eignir]]/SUMIFS(Table13[Eignir],Table13[Year],Table13[[#This Row],[Year]])</f>
        <v>3.6052451062795589E-3</v>
      </c>
      <c r="F427" s="23" t="e">
        <f>IF(B427=1997, 100, IF(COUNTIF(A$1:A426,A427)=0, "NEW", F426*(1+Table13[[#This Row],[Ávöxtun]])))</f>
        <v>#VALUE!</v>
      </c>
      <c r="G427" s="18" t="str" cm="1">
        <f t="array" ref="G427">IFERROR(_xlfn.IFS(ISNUMBER(Table13[[#This Row],[Column3]]),Table13[[#This Row],[Column3]],Table13[[#This Row],[Column3]]="NEW",Table13[[#This Row],[Column3]]),"")</f>
        <v/>
      </c>
      <c r="H427" s="15" cm="1">
        <f t="array" ref="H427">_xlfn.IFS(Table13[[#This Row],[Column4]]="NEW",AVERAGEIFS(Table13[Column4],Table13[Year],Table13[[#This Row],[Year]]),ISNUMBER(Table13[[#This Row],[Column4]]),Table13[[#This Row],[Column4]],Table13[[#This Row],[Column4]]="",H426*(1+Table13[[#This Row],[Ávöxtun]]))</f>
        <v>327.80364997472913</v>
      </c>
      <c r="I427" cm="1">
        <f t="array" ref="I427">_xlfn.IFS(Table13[[#This Row],[Column4]]="NEW",_xlfn.XLOOKUP(Table13[[#This Row],[Year]],$N$2:$N$27,$P$2:$P$27),ISNUMBER(Table13[[#This Row],[Column4]]),Table13[[#This Row],[Column4]],Table13[[#This Row],[Column4]]="",I426*(1+Table13[[#This Row],[Ávöxtun]]))</f>
        <v>328.46495746260644</v>
      </c>
      <c r="L427" s="33">
        <v>327.7151640046539</v>
      </c>
      <c r="M427" s="33">
        <v>354.31399225302971</v>
      </c>
    </row>
    <row r="428" spans="1:13">
      <c r="A428" t="s">
        <v>106</v>
      </c>
      <c r="B428">
        <v>2016</v>
      </c>
      <c r="C428" s="16">
        <v>3.2000000000000001E-2</v>
      </c>
      <c r="D428" s="1">
        <v>71260086.609999999</v>
      </c>
      <c r="E428" s="29">
        <f>Table13[[#This Row],[Ávöxtun]]*Table13[[#This Row],[Eignir]]/SUMIFS(Table13[Eignir],Table13[Year],Table13[[#This Row],[Year]])</f>
        <v>8.7437379533500674E-4</v>
      </c>
      <c r="F428" s="23" t="e">
        <f>IF(B428=1997, 100, IF(COUNTIF(A$1:A427,A428)=0, "NEW", F427*(1+Table13[[#This Row],[Ávöxtun]])))</f>
        <v>#VALUE!</v>
      </c>
      <c r="G428" s="18" t="str" cm="1">
        <f t="array" ref="G428">IFERROR(_xlfn.IFS(ISNUMBER(Table13[[#This Row],[Column3]]),Table13[[#This Row],[Column3]],Table13[[#This Row],[Column3]]="NEW",Table13[[#This Row],[Column3]]),"")</f>
        <v/>
      </c>
      <c r="H428" s="15" cm="1">
        <f t="array" ref="H428">_xlfn.IFS(Table13[[#This Row],[Column4]]="NEW",AVERAGEIFS(Table13[Column4],Table13[Year],Table13[[#This Row],[Year]]),ISNUMBER(Table13[[#This Row],[Column4]]),Table13[[#This Row],[Column4]],Table13[[#This Row],[Column4]]="",H427*(1+Table13[[#This Row],[Ávöxtun]]))</f>
        <v>338.29336677392047</v>
      </c>
      <c r="I428" cm="1">
        <f t="array" ref="I428">_xlfn.IFS(Table13[[#This Row],[Column4]]="NEW",_xlfn.XLOOKUP(Table13[[#This Row],[Year]],$N$2:$N$27,$P$2:$P$27),ISNUMBER(Table13[[#This Row],[Column4]]),Table13[[#This Row],[Column4]],Table13[[#This Row],[Column4]]="",I427*(1+Table13[[#This Row],[Ávöxtun]]))</f>
        <v>338.97583610140987</v>
      </c>
      <c r="L428" s="33">
        <v>338.20204925280285</v>
      </c>
      <c r="M428" s="33">
        <v>365.65204000512665</v>
      </c>
    </row>
    <row r="429" spans="1:13">
      <c r="A429" t="s">
        <v>106</v>
      </c>
      <c r="B429">
        <v>2017</v>
      </c>
      <c r="C429" s="16">
        <v>7.9000000000000001E-2</v>
      </c>
      <c r="D429" s="1">
        <v>74695853</v>
      </c>
      <c r="E429" s="29">
        <f>Table13[[#This Row],[Ávöxtun]]*Table13[[#This Row],[Eignir]]/SUMIFS(Table13[Eignir],Table13[Year],Table13[[#This Row],[Year]])</f>
        <v>2.0305325806595233E-3</v>
      </c>
      <c r="F429" s="23" t="e">
        <f>IF(B429=1997, 100, IF(COUNTIF(A$1:A428,A429)=0, "NEW", F428*(1+Table13[[#This Row],[Ávöxtun]])))</f>
        <v>#VALUE!</v>
      </c>
      <c r="G429" s="18" t="str" cm="1">
        <f t="array" ref="G429">IFERROR(_xlfn.IFS(ISNUMBER(Table13[[#This Row],[Column3]]),Table13[[#This Row],[Column3]],Table13[[#This Row],[Column3]]="NEW",Table13[[#This Row],[Column3]]),"")</f>
        <v/>
      </c>
      <c r="H429" s="15" cm="1">
        <f t="array" ref="H429">_xlfn.IFS(Table13[[#This Row],[Column4]]="NEW",AVERAGEIFS(Table13[Column4],Table13[Year],Table13[[#This Row],[Year]]),ISNUMBER(Table13[[#This Row],[Column4]]),Table13[[#This Row],[Column4]],Table13[[#This Row],[Column4]]="",H428*(1+Table13[[#This Row],[Ávöxtun]]))</f>
        <v>365.01854274906015</v>
      </c>
      <c r="I429" cm="1">
        <f t="array" ref="I429">_xlfn.IFS(Table13[[#This Row],[Column4]]="NEW",_xlfn.XLOOKUP(Table13[[#This Row],[Year]],$N$2:$N$27,$P$2:$P$27),ISNUMBER(Table13[[#This Row],[Column4]]),Table13[[#This Row],[Column4]],Table13[[#This Row],[Column4]]="",I428*(1+Table13[[#This Row],[Ávöxtun]]))</f>
        <v>365.75492715342125</v>
      </c>
      <c r="L429" s="33">
        <v>364.92001114377427</v>
      </c>
      <c r="M429" s="33">
        <v>394.53855116553166</v>
      </c>
    </row>
    <row r="430" spans="1:13">
      <c r="A430" t="s">
        <v>106</v>
      </c>
      <c r="B430">
        <v>2018</v>
      </c>
      <c r="C430" s="16">
        <v>5.2000000000000005E-2</v>
      </c>
      <c r="D430" s="1">
        <v>78395142</v>
      </c>
      <c r="E430" s="29">
        <f>Table13[[#This Row],[Ávöxtun]]*Table13[[#This Row],[Eignir]]/SUMIFS(Table13[Eignir],Table13[Year],Table13[[#This Row],[Year]])</f>
        <v>1.3070380792847595E-3</v>
      </c>
      <c r="F430" s="23" t="e">
        <f>IF(B430=1997, 100, IF(COUNTIF(A$1:A429,A430)=0, "NEW", F429*(1+Table13[[#This Row],[Ávöxtun]])))</f>
        <v>#VALUE!</v>
      </c>
      <c r="G430" s="18" t="str" cm="1">
        <f t="array" ref="G430">IFERROR(_xlfn.IFS(ISNUMBER(Table13[[#This Row],[Column3]]),Table13[[#This Row],[Column3]],Table13[[#This Row],[Column3]]="NEW",Table13[[#This Row],[Column3]]),"")</f>
        <v/>
      </c>
      <c r="H430" s="15" cm="1">
        <f t="array" ref="H430">_xlfn.IFS(Table13[[#This Row],[Column4]]="NEW",AVERAGEIFS(Table13[Column4],Table13[Year],Table13[[#This Row],[Year]]),ISNUMBER(Table13[[#This Row],[Column4]]),Table13[[#This Row],[Column4]],Table13[[#This Row],[Column4]]="",H429*(1+Table13[[#This Row],[Ávöxtun]]))</f>
        <v>383.99950697201132</v>
      </c>
      <c r="I430" cm="1">
        <f t="array" ref="I430">_xlfn.IFS(Table13[[#This Row],[Column4]]="NEW",_xlfn.XLOOKUP(Table13[[#This Row],[Year]],$N$2:$N$27,$P$2:$P$27),ISNUMBER(Table13[[#This Row],[Column4]]),Table13[[#This Row],[Column4]],Table13[[#This Row],[Column4]]="",I429*(1+Table13[[#This Row],[Ávöxtun]]))</f>
        <v>384.77418336539915</v>
      </c>
      <c r="L430" s="33">
        <v>383.89585172325053</v>
      </c>
      <c r="M430" s="33">
        <v>415.05455582613934</v>
      </c>
    </row>
    <row r="431" spans="1:13">
      <c r="A431" t="s">
        <v>106</v>
      </c>
      <c r="B431">
        <v>2019</v>
      </c>
      <c r="C431" s="16">
        <v>0.122</v>
      </c>
      <c r="D431" s="1">
        <v>84401813</v>
      </c>
      <c r="E431" s="29">
        <f>Table13[[#This Row],[Ávöxtun]]*Table13[[#This Row],[Eignir]]/SUMIFS(Table13[Eignir],Table13[Year],Table13[[#This Row],[Year]])</f>
        <v>2.8791372174060349E-3</v>
      </c>
      <c r="F431" s="23" t="e">
        <f>IF(B431=1997, 100, IF(COUNTIF(A$1:A430,A431)=0, "NEW", F430*(1+Table13[[#This Row],[Ávöxtun]])))</f>
        <v>#VALUE!</v>
      </c>
      <c r="G431" s="18" t="str" cm="1">
        <f t="array" ref="G431">IFERROR(_xlfn.IFS(ISNUMBER(Table13[[#This Row],[Column3]]),Table13[[#This Row],[Column3]],Table13[[#This Row],[Column3]]="NEW",Table13[[#This Row],[Column3]]),"")</f>
        <v/>
      </c>
      <c r="H431" s="15" cm="1">
        <f t="array" ref="H431">_xlfn.IFS(Table13[[#This Row],[Column4]]="NEW",AVERAGEIFS(Table13[Column4],Table13[Year],Table13[[#This Row],[Year]]),ISNUMBER(Table13[[#This Row],[Column4]]),Table13[[#This Row],[Column4]],Table13[[#This Row],[Column4]]="",H430*(1+Table13[[#This Row],[Ávöxtun]]))</f>
        <v>430.84744682259668</v>
      </c>
      <c r="I431" cm="1">
        <f t="array" ref="I431">_xlfn.IFS(Table13[[#This Row],[Column4]]="NEW",_xlfn.XLOOKUP(Table13[[#This Row],[Year]],$N$2:$N$27,$P$2:$P$27),ISNUMBER(Table13[[#This Row],[Column4]]),Table13[[#This Row],[Column4]],Table13[[#This Row],[Column4]]="",I430*(1+Table13[[#This Row],[Ávöxtun]]))</f>
        <v>431.71663373597778</v>
      </c>
      <c r="L431" s="33">
        <v>430.73114563348707</v>
      </c>
      <c r="M431" s="33">
        <v>465.6912116369283</v>
      </c>
    </row>
    <row r="432" spans="1:13">
      <c r="A432" t="s">
        <v>106</v>
      </c>
      <c r="B432">
        <v>2020</v>
      </c>
      <c r="C432" s="16">
        <v>0.1125</v>
      </c>
      <c r="D432" s="1">
        <v>91356989</v>
      </c>
      <c r="E432" s="29">
        <f>Table13[[#This Row],[Ávöxtun]]*Table13[[#This Row],[Eignir]]/SUMIFS(Table13[Eignir],Table13[Year],Table13[[#This Row],[Year]])</f>
        <v>2.4800417366266461E-3</v>
      </c>
      <c r="F432" s="23" t="e">
        <f>IF(B432=1997, 100, IF(COUNTIF(A$1:A431,A432)=0, "NEW", F431*(1+Table13[[#This Row],[Ávöxtun]])))</f>
        <v>#VALUE!</v>
      </c>
      <c r="G432" s="18" t="str" cm="1">
        <f t="array" ref="G432">IFERROR(_xlfn.IFS(ISNUMBER(Table13[[#This Row],[Column3]]),Table13[[#This Row],[Column3]],Table13[[#This Row],[Column3]]="NEW",Table13[[#This Row],[Column3]]),"")</f>
        <v/>
      </c>
      <c r="H432" s="15" cm="1">
        <f t="array" ref="H432">_xlfn.IFS(Table13[[#This Row],[Column4]]="NEW",AVERAGEIFS(Table13[Column4],Table13[Year],Table13[[#This Row],[Year]]),ISNUMBER(Table13[[#This Row],[Column4]]),Table13[[#This Row],[Column4]],Table13[[#This Row],[Column4]]="",H431*(1+Table13[[#This Row],[Ávöxtun]]))</f>
        <v>479.31778459013884</v>
      </c>
      <c r="I432" cm="1">
        <f t="array" ref="I432">_xlfn.IFS(Table13[[#This Row],[Column4]]="NEW",_xlfn.XLOOKUP(Table13[[#This Row],[Year]],$N$2:$N$27,$P$2:$P$27),ISNUMBER(Table13[[#This Row],[Column4]]),Table13[[#This Row],[Column4]],Table13[[#This Row],[Column4]]="",I431*(1+Table13[[#This Row],[Ávöxtun]]))</f>
        <v>480.28475503127532</v>
      </c>
      <c r="L432" s="33">
        <v>479.18839951725437</v>
      </c>
      <c r="M432" s="33">
        <v>518.08147294608273</v>
      </c>
    </row>
    <row r="433" spans="1:13">
      <c r="A433" t="s">
        <v>106</v>
      </c>
      <c r="B433">
        <v>2021</v>
      </c>
      <c r="C433" s="16">
        <v>0.14929999999999999</v>
      </c>
      <c r="D433" s="1">
        <v>101903909</v>
      </c>
      <c r="E433" s="29">
        <f>Table13[[#This Row],[Ávöxtun]]*Table13[[#This Row],[Eignir]]/SUMIFS(Table13[Eignir],Table13[Year],Table13[[#This Row],[Year]])</f>
        <v>3.128062090789314E-3</v>
      </c>
      <c r="F433" s="23" t="e">
        <f>IF(B433=1997, 100, IF(COUNTIF(A$1:A432,A433)=0, "NEW", F432*(1+Table13[[#This Row],[Ávöxtun]])))</f>
        <v>#VALUE!</v>
      </c>
      <c r="G433" s="18" t="str" cm="1">
        <f t="array" ref="G433">IFERROR(_xlfn.IFS(ISNUMBER(Table13[[#This Row],[Column3]]),Table13[[#This Row],[Column3]],Table13[[#This Row],[Column3]]="NEW",Table13[[#This Row],[Column3]]),"")</f>
        <v/>
      </c>
      <c r="H433" s="15" cm="1">
        <f t="array" ref="H433">_xlfn.IFS(Table13[[#This Row],[Column4]]="NEW",AVERAGEIFS(Table13[Column4],Table13[Year],Table13[[#This Row],[Year]]),ISNUMBER(Table13[[#This Row],[Column4]]),Table13[[#This Row],[Column4]],Table13[[#This Row],[Column4]]="",H432*(1+Table13[[#This Row],[Ávöxtun]]))</f>
        <v>550.87992982944661</v>
      </c>
      <c r="I433" cm="1">
        <f t="array" ref="I433">_xlfn.IFS(Table13[[#This Row],[Column4]]="NEW",_xlfn.XLOOKUP(Table13[[#This Row],[Year]],$N$2:$N$27,$P$2:$P$27),ISNUMBER(Table13[[#This Row],[Column4]]),Table13[[#This Row],[Column4]],Table13[[#This Row],[Column4]]="",I432*(1+Table13[[#This Row],[Ávöxtun]]))</f>
        <v>551.99126895744473</v>
      </c>
      <c r="L433" s="33">
        <v>550.73122756518046</v>
      </c>
      <c r="M433" s="33">
        <v>595.43103685693291</v>
      </c>
    </row>
    <row r="434" spans="1:13">
      <c r="A434" t="s">
        <v>107</v>
      </c>
      <c r="B434">
        <v>1997</v>
      </c>
      <c r="C434" s="16">
        <v>0.06</v>
      </c>
      <c r="D434" s="1">
        <v>1116343.43</v>
      </c>
      <c r="E434" s="29">
        <f>Table13[[#This Row],[Ávöxtun]]*Table13[[#This Row],[Eignir]]/SUMIFS(Table13[Eignir],Table13[Year],Table13[[#This Row],[Year]])</f>
        <v>2.3472668865311808E-4</v>
      </c>
      <c r="F434" s="23">
        <f>IF(B434=1997, 100, IF(COUNTIF(A$1:A433,A434)=0, "NEW", F433*(1+Table13[[#This Row],[Ávöxtun]])))</f>
        <v>100</v>
      </c>
      <c r="G434" s="18" cm="1">
        <f t="array" ref="G434">IFERROR(_xlfn.IFS(ISNUMBER(Table13[[#This Row],[Column3]]),Table13[[#This Row],[Column3]],Table13[[#This Row],[Column3]]="NEW",Table13[[#This Row],[Column3]]),"")</f>
        <v>100</v>
      </c>
      <c r="H434" s="15" cm="1">
        <f t="array" ref="H434">_xlfn.IFS(Table13[[#This Row],[Column4]]="NEW",AVERAGEIFS(Table13[Column4],Table13[Year],Table13[[#This Row],[Year]]),ISNUMBER(Table13[[#This Row],[Column4]]),Table13[[#This Row],[Column4]],Table13[[#This Row],[Column4]]="",H433*(1+Table13[[#This Row],[Ávöxtun]]))</f>
        <v>100</v>
      </c>
      <c r="I434" cm="1">
        <f t="array" ref="I434">_xlfn.IFS(Table13[[#This Row],[Column4]]="NEW",_xlfn.XLOOKUP(Table13[[#This Row],[Year]],$N$2:$N$27,$P$2:$P$27),ISNUMBER(Table13[[#This Row],[Column4]]),Table13[[#This Row],[Column4]],Table13[[#This Row],[Column4]]="",I433*(1+Table13[[#This Row],[Ávöxtun]]))</f>
        <v>100</v>
      </c>
      <c r="L434" s="33">
        <v>100</v>
      </c>
      <c r="M434" s="33">
        <v>100</v>
      </c>
    </row>
    <row r="435" spans="1:13">
      <c r="A435" t="s">
        <v>107</v>
      </c>
      <c r="B435">
        <v>1998</v>
      </c>
      <c r="C435" s="16">
        <v>0.11</v>
      </c>
      <c r="D435" s="1">
        <v>1309344.56</v>
      </c>
      <c r="E435" s="29">
        <f>Table13[[#This Row],[Ávöxtun]]*Table13[[#This Row],[Eignir]]/SUMIFS(Table13[Eignir],Table13[Year],Table13[[#This Row],[Year]])</f>
        <v>4.3578996745293342E-4</v>
      </c>
      <c r="F435" s="23">
        <f>IF(B435=1997, 100, IF(COUNTIF(A$1:A434,A435)=0, "NEW", F434*(1+Table13[[#This Row],[Ávöxtun]])))</f>
        <v>111.00000000000001</v>
      </c>
      <c r="G435" s="18" cm="1">
        <f t="array" ref="G435">IFERROR(_xlfn.IFS(ISNUMBER(Table13[[#This Row],[Column3]]),Table13[[#This Row],[Column3]],Table13[[#This Row],[Column3]]="NEW",Table13[[#This Row],[Column3]]),"")</f>
        <v>111.00000000000001</v>
      </c>
      <c r="H435" s="15" cm="1">
        <f t="array" ref="H435">_xlfn.IFS(Table13[[#This Row],[Column4]]="NEW",AVERAGEIFS(Table13[Column4],Table13[Year],Table13[[#This Row],[Year]]),ISNUMBER(Table13[[#This Row],[Column4]]),Table13[[#This Row],[Column4]],Table13[[#This Row],[Column4]]="",H434*(1+Table13[[#This Row],[Ávöxtun]]))</f>
        <v>111.00000000000001</v>
      </c>
      <c r="I435" cm="1">
        <f t="array" ref="I435">_xlfn.IFS(Table13[[#This Row],[Column4]]="NEW",_xlfn.XLOOKUP(Table13[[#This Row],[Year]],$N$2:$N$27,$P$2:$P$27),ISNUMBER(Table13[[#This Row],[Column4]]),Table13[[#This Row],[Column4]],Table13[[#This Row],[Column4]]="",I434*(1+Table13[[#This Row],[Ávöxtun]]))</f>
        <v>111.00000000000001</v>
      </c>
      <c r="L435" s="33">
        <v>111.00000000000001</v>
      </c>
      <c r="M435" s="33">
        <v>111.00000000000001</v>
      </c>
    </row>
    <row r="436" spans="1:13">
      <c r="A436" t="s">
        <v>107</v>
      </c>
      <c r="B436">
        <v>1999</v>
      </c>
      <c r="C436" s="16">
        <v>0.06</v>
      </c>
      <c r="D436" s="1">
        <v>1536501.38</v>
      </c>
      <c r="E436" s="29">
        <f>Table13[[#This Row],[Ávöxtun]]*Table13[[#This Row],[Eignir]]/SUMIFS(Table13[Eignir],Table13[Year],Table13[[#This Row],[Year]])</f>
        <v>2.0767086033595091E-4</v>
      </c>
      <c r="F436" s="23">
        <f>IF(B436=1997, 100, IF(COUNTIF(A$1:A435,A436)=0, "NEW", F435*(1+Table13[[#This Row],[Ávöxtun]])))</f>
        <v>117.66000000000003</v>
      </c>
      <c r="G436" s="18" cm="1">
        <f t="array" ref="G436">IFERROR(_xlfn.IFS(ISNUMBER(Table13[[#This Row],[Column3]]),Table13[[#This Row],[Column3]],Table13[[#This Row],[Column3]]="NEW",Table13[[#This Row],[Column3]]),"")</f>
        <v>117.66000000000003</v>
      </c>
      <c r="H436" s="15" cm="1">
        <f t="array" ref="H436">_xlfn.IFS(Table13[[#This Row],[Column4]]="NEW",AVERAGEIFS(Table13[Column4],Table13[Year],Table13[[#This Row],[Year]]),ISNUMBER(Table13[[#This Row],[Column4]]),Table13[[#This Row],[Column4]],Table13[[#This Row],[Column4]]="",H435*(1+Table13[[#This Row],[Ávöxtun]]))</f>
        <v>117.66000000000003</v>
      </c>
      <c r="I436" cm="1">
        <f t="array" ref="I436">_xlfn.IFS(Table13[[#This Row],[Column4]]="NEW",_xlfn.XLOOKUP(Table13[[#This Row],[Year]],$N$2:$N$27,$P$2:$P$27),ISNUMBER(Table13[[#This Row],[Column4]]),Table13[[#This Row],[Column4]],Table13[[#This Row],[Column4]]="",I435*(1+Table13[[#This Row],[Ávöxtun]]))</f>
        <v>117.66000000000003</v>
      </c>
      <c r="L436" s="33">
        <v>117.66000000000003</v>
      </c>
      <c r="M436" s="33">
        <v>117.66000000000003</v>
      </c>
    </row>
    <row r="437" spans="1:13">
      <c r="A437" t="s">
        <v>94</v>
      </c>
      <c r="B437">
        <v>1997</v>
      </c>
      <c r="C437" s="16">
        <v>0.06</v>
      </c>
      <c r="D437" s="1">
        <v>1539299.63</v>
      </c>
      <c r="E437" s="29">
        <f>Table13[[#This Row],[Ávöxtun]]*Table13[[#This Row],[Eignir]]/SUMIFS(Table13[Eignir],Table13[Year],Table13[[#This Row],[Year]])</f>
        <v>3.2365909565559934E-4</v>
      </c>
      <c r="F437" s="23">
        <f>IF(B437=1997, 100, IF(COUNTIF(A$1:A436,A437)=0, "NEW", F436*(1+Table13[[#This Row],[Ávöxtun]])))</f>
        <v>100</v>
      </c>
      <c r="G437" s="18" cm="1">
        <f t="array" ref="G437">IFERROR(_xlfn.IFS(ISNUMBER(Table13[[#This Row],[Column3]]),Table13[[#This Row],[Column3]],Table13[[#This Row],[Column3]]="NEW",Table13[[#This Row],[Column3]]),"")</f>
        <v>100</v>
      </c>
      <c r="H437" s="15" cm="1">
        <f t="array" ref="H437">_xlfn.IFS(Table13[[#This Row],[Column4]]="NEW",AVERAGEIFS(Table13[Column4],Table13[Year],Table13[[#This Row],[Year]]),ISNUMBER(Table13[[#This Row],[Column4]]),Table13[[#This Row],[Column4]],Table13[[#This Row],[Column4]]="",H436*(1+Table13[[#This Row],[Ávöxtun]]))</f>
        <v>100</v>
      </c>
      <c r="I437" cm="1">
        <f t="array" ref="I437">_xlfn.IFS(Table13[[#This Row],[Column4]]="NEW",_xlfn.XLOOKUP(Table13[[#This Row],[Year]],$N$2:$N$27,$P$2:$P$27),ISNUMBER(Table13[[#This Row],[Column4]]),Table13[[#This Row],[Column4]],Table13[[#This Row],[Column4]]="",I436*(1+Table13[[#This Row],[Ávöxtun]]))</f>
        <v>100</v>
      </c>
      <c r="L437" s="33">
        <v>100</v>
      </c>
      <c r="M437" s="33">
        <v>100</v>
      </c>
    </row>
    <row r="438" spans="1:13">
      <c r="A438" t="s">
        <v>94</v>
      </c>
      <c r="B438">
        <v>1998</v>
      </c>
      <c r="C438" s="16">
        <v>7.0000000000000007E-2</v>
      </c>
      <c r="D438" s="1">
        <v>1695187.81</v>
      </c>
      <c r="E438" s="29">
        <f>Table13[[#This Row],[Ávöxtun]]*Table13[[#This Row],[Eignir]]/SUMIFS(Table13[Eignir],Table13[Year],Table13[[#This Row],[Year]])</f>
        <v>3.5904299280755238E-4</v>
      </c>
      <c r="F438" s="23">
        <f>IF(B438=1997, 100, IF(COUNTIF(A$1:A437,A438)=0, "NEW", F437*(1+Table13[[#This Row],[Ávöxtun]])))</f>
        <v>107</v>
      </c>
      <c r="G438" s="18" cm="1">
        <f t="array" ref="G438">IFERROR(_xlfn.IFS(ISNUMBER(Table13[[#This Row],[Column3]]),Table13[[#This Row],[Column3]],Table13[[#This Row],[Column3]]="NEW",Table13[[#This Row],[Column3]]),"")</f>
        <v>107</v>
      </c>
      <c r="H438" s="15" cm="1">
        <f t="array" ref="H438">_xlfn.IFS(Table13[[#This Row],[Column4]]="NEW",AVERAGEIFS(Table13[Column4],Table13[Year],Table13[[#This Row],[Year]]),ISNUMBER(Table13[[#This Row],[Column4]]),Table13[[#This Row],[Column4]],Table13[[#This Row],[Column4]]="",H437*(1+Table13[[#This Row],[Ávöxtun]]))</f>
        <v>107</v>
      </c>
      <c r="I438" cm="1">
        <f t="array" ref="I438">_xlfn.IFS(Table13[[#This Row],[Column4]]="NEW",_xlfn.XLOOKUP(Table13[[#This Row],[Year]],$N$2:$N$27,$P$2:$P$27),ISNUMBER(Table13[[#This Row],[Column4]]),Table13[[#This Row],[Column4]],Table13[[#This Row],[Column4]]="",I437*(1+Table13[[#This Row],[Ávöxtun]]))</f>
        <v>107</v>
      </c>
      <c r="L438" s="33">
        <v>107</v>
      </c>
      <c r="M438" s="33">
        <v>107</v>
      </c>
    </row>
    <row r="439" spans="1:13">
      <c r="A439" t="s">
        <v>94</v>
      </c>
      <c r="B439">
        <v>1999</v>
      </c>
      <c r="C439" s="16">
        <v>0.1</v>
      </c>
      <c r="D439" s="1">
        <v>1943546.67</v>
      </c>
      <c r="E439" s="29">
        <f>Table13[[#This Row],[Ávöxtun]]*Table13[[#This Row],[Eignir]]/SUMIFS(Table13[Eignir],Table13[Year],Table13[[#This Row],[Year]])</f>
        <v>4.378106590245654E-4</v>
      </c>
      <c r="F439" s="23">
        <f>IF(B439=1997, 100, IF(COUNTIF(A$1:A438,A439)=0, "NEW", F438*(1+Table13[[#This Row],[Ávöxtun]])))</f>
        <v>117.7</v>
      </c>
      <c r="G439" s="18" cm="1">
        <f t="array" ref="G439">IFERROR(_xlfn.IFS(ISNUMBER(Table13[[#This Row],[Column3]]),Table13[[#This Row],[Column3]],Table13[[#This Row],[Column3]]="NEW",Table13[[#This Row],[Column3]]),"")</f>
        <v>117.7</v>
      </c>
      <c r="H439" s="15" cm="1">
        <f t="array" ref="H439">_xlfn.IFS(Table13[[#This Row],[Column4]]="NEW",AVERAGEIFS(Table13[Column4],Table13[Year],Table13[[#This Row],[Year]]),ISNUMBER(Table13[[#This Row],[Column4]]),Table13[[#This Row],[Column4]],Table13[[#This Row],[Column4]]="",H438*(1+Table13[[#This Row],[Ávöxtun]]))</f>
        <v>117.7</v>
      </c>
      <c r="I439" cm="1">
        <f t="array" ref="I439">_xlfn.IFS(Table13[[#This Row],[Column4]]="NEW",_xlfn.XLOOKUP(Table13[[#This Row],[Year]],$N$2:$N$27,$P$2:$P$27),ISNUMBER(Table13[[#This Row],[Column4]]),Table13[[#This Row],[Column4]],Table13[[#This Row],[Column4]]="",I438*(1+Table13[[#This Row],[Ávöxtun]]))</f>
        <v>117.7</v>
      </c>
      <c r="L439" s="33">
        <v>117.7</v>
      </c>
      <c r="M439" s="33">
        <v>117.7</v>
      </c>
    </row>
    <row r="440" spans="1:13">
      <c r="A440" t="s">
        <v>94</v>
      </c>
      <c r="B440">
        <v>2000</v>
      </c>
      <c r="C440" s="16">
        <v>0.02</v>
      </c>
      <c r="D440" s="1">
        <v>2010196.24</v>
      </c>
      <c r="E440" s="29">
        <f>Table13[[#This Row],[Ávöxtun]]*Table13[[#This Row],[Eignir]]/SUMIFS(Table13[Eignir],Table13[Year],Table13[[#This Row],[Year]])</f>
        <v>6.4379676743221481E-5</v>
      </c>
      <c r="F440" s="23">
        <f>IF(B440=1997, 100, IF(COUNTIF(A$1:A439,A440)=0, "NEW", F439*(1+Table13[[#This Row],[Ávöxtun]])))</f>
        <v>120.054</v>
      </c>
      <c r="G440" s="18" cm="1">
        <f t="array" ref="G440">IFERROR(_xlfn.IFS(ISNUMBER(Table13[[#This Row],[Column3]]),Table13[[#This Row],[Column3]],Table13[[#This Row],[Column3]]="NEW",Table13[[#This Row],[Column3]]),"")</f>
        <v>120.054</v>
      </c>
      <c r="H440" s="15" cm="1">
        <f t="array" ref="H440">_xlfn.IFS(Table13[[#This Row],[Column4]]="NEW",AVERAGEIFS(Table13[Column4],Table13[Year],Table13[[#This Row],[Year]]),ISNUMBER(Table13[[#This Row],[Column4]]),Table13[[#This Row],[Column4]],Table13[[#This Row],[Column4]]="",H439*(1+Table13[[#This Row],[Ávöxtun]]))</f>
        <v>120.054</v>
      </c>
      <c r="I440" cm="1">
        <f t="array" ref="I440">_xlfn.IFS(Table13[[#This Row],[Column4]]="NEW",_xlfn.XLOOKUP(Table13[[#This Row],[Year]],$N$2:$N$27,$P$2:$P$27),ISNUMBER(Table13[[#This Row],[Column4]]),Table13[[#This Row],[Column4]],Table13[[#This Row],[Column4]]="",I439*(1+Table13[[#This Row],[Ávöxtun]]))</f>
        <v>120.054</v>
      </c>
      <c r="L440" s="33">
        <v>120.054</v>
      </c>
      <c r="M440" s="33">
        <v>120.054</v>
      </c>
    </row>
    <row r="441" spans="1:13">
      <c r="A441" t="s">
        <v>94</v>
      </c>
      <c r="B441">
        <v>2001</v>
      </c>
      <c r="C441" s="16">
        <v>0.01</v>
      </c>
      <c r="D441" s="1">
        <v>2106773</v>
      </c>
      <c r="E441" s="29">
        <f>Table13[[#This Row],[Ávöxtun]]*Table13[[#This Row],[Eignir]]/SUMIFS(Table13[Eignir],Table13[Year],Table13[[#This Row],[Year]])</f>
        <v>2.1921792112415972E-5</v>
      </c>
      <c r="F441" s="23">
        <f>IF(B441=1997, 100, IF(COUNTIF(A$1:A440,A441)=0, "NEW", F440*(1+Table13[[#This Row],[Ávöxtun]])))</f>
        <v>121.25454000000001</v>
      </c>
      <c r="G441" s="18" cm="1">
        <f t="array" ref="G441">IFERROR(_xlfn.IFS(ISNUMBER(Table13[[#This Row],[Column3]]),Table13[[#This Row],[Column3]],Table13[[#This Row],[Column3]]="NEW",Table13[[#This Row],[Column3]]),"")</f>
        <v>121.25454000000001</v>
      </c>
      <c r="H441" s="15" cm="1">
        <f t="array" ref="H441">_xlfn.IFS(Table13[[#This Row],[Column4]]="NEW",AVERAGEIFS(Table13[Column4],Table13[Year],Table13[[#This Row],[Year]]),ISNUMBER(Table13[[#This Row],[Column4]]),Table13[[#This Row],[Column4]],Table13[[#This Row],[Column4]]="",H440*(1+Table13[[#This Row],[Ávöxtun]]))</f>
        <v>121.25454000000001</v>
      </c>
      <c r="I441" cm="1">
        <f t="array" ref="I441">_xlfn.IFS(Table13[[#This Row],[Column4]]="NEW",_xlfn.XLOOKUP(Table13[[#This Row],[Year]],$N$2:$N$27,$P$2:$P$27),ISNUMBER(Table13[[#This Row],[Column4]]),Table13[[#This Row],[Column4]],Table13[[#This Row],[Column4]]="",I440*(1+Table13[[#This Row],[Ávöxtun]]))</f>
        <v>121.25454000000001</v>
      </c>
      <c r="L441" s="33">
        <v>121.25454000000001</v>
      </c>
      <c r="M441" s="33">
        <v>121.25454000000001</v>
      </c>
    </row>
    <row r="442" spans="1:13">
      <c r="A442" t="s">
        <v>94</v>
      </c>
      <c r="B442">
        <v>2002</v>
      </c>
      <c r="C442" s="16">
        <v>0.03</v>
      </c>
      <c r="D442" s="1">
        <v>2110670</v>
      </c>
      <c r="E442" s="29">
        <f>Table13[[#This Row],[Ávöxtun]]*Table13[[#This Row],[Eignir]]/SUMIFS(Table13[Eignir],Table13[Year],Table13[[#This Row],[Year]])</f>
        <v>1.1882570945907402E-4</v>
      </c>
      <c r="F442" s="23">
        <f>IF(B442=1997, 100, IF(COUNTIF(A$1:A441,A442)=0, "NEW", F441*(1+Table13[[#This Row],[Ávöxtun]])))</f>
        <v>124.89217620000001</v>
      </c>
      <c r="G442" s="18" cm="1">
        <f t="array" ref="G442">IFERROR(_xlfn.IFS(ISNUMBER(Table13[[#This Row],[Column3]]),Table13[[#This Row],[Column3]],Table13[[#This Row],[Column3]]="NEW",Table13[[#This Row],[Column3]]),"")</f>
        <v>124.89217620000001</v>
      </c>
      <c r="H442" s="15" cm="1">
        <f t="array" ref="H442">_xlfn.IFS(Table13[[#This Row],[Column4]]="NEW",AVERAGEIFS(Table13[Column4],Table13[Year],Table13[[#This Row],[Year]]),ISNUMBER(Table13[[#This Row],[Column4]]),Table13[[#This Row],[Column4]],Table13[[#This Row],[Column4]]="",H441*(1+Table13[[#This Row],[Ávöxtun]]))</f>
        <v>124.89217620000001</v>
      </c>
      <c r="I442" cm="1">
        <f t="array" ref="I442">_xlfn.IFS(Table13[[#This Row],[Column4]]="NEW",_xlfn.XLOOKUP(Table13[[#This Row],[Year]],$N$2:$N$27,$P$2:$P$27),ISNUMBER(Table13[[#This Row],[Column4]]),Table13[[#This Row],[Column4]],Table13[[#This Row],[Column4]]="",I441*(1+Table13[[#This Row],[Ávöxtun]]))</f>
        <v>124.89217620000001</v>
      </c>
      <c r="L442" s="33">
        <v>124.89217620000001</v>
      </c>
      <c r="M442" s="33">
        <v>124.89217620000001</v>
      </c>
    </row>
    <row r="443" spans="1:13">
      <c r="A443" t="s">
        <v>94</v>
      </c>
      <c r="B443">
        <v>2003</v>
      </c>
      <c r="C443" s="16">
        <v>0.09</v>
      </c>
      <c r="D443" s="1">
        <v>2252809</v>
      </c>
      <c r="E443" s="29">
        <f>Table13[[#This Row],[Ávöxtun]]*Table13[[#This Row],[Eignir]]/SUMIFS(Table13[Eignir],Table13[Year],Table13[[#This Row],[Year]])</f>
        <v>3.178981877913086E-4</v>
      </c>
      <c r="F443" s="23">
        <f>IF(B443=1997, 100, IF(COUNTIF(A$1:A442,A443)=0, "NEW", F442*(1+Table13[[#This Row],[Ávöxtun]])))</f>
        <v>136.13247205800002</v>
      </c>
      <c r="G443" s="18" cm="1">
        <f t="array" ref="G443">IFERROR(_xlfn.IFS(ISNUMBER(Table13[[#This Row],[Column3]]),Table13[[#This Row],[Column3]],Table13[[#This Row],[Column3]]="NEW",Table13[[#This Row],[Column3]]),"")</f>
        <v>136.13247205800002</v>
      </c>
      <c r="H443" s="15" cm="1">
        <f t="array" ref="H443">_xlfn.IFS(Table13[[#This Row],[Column4]]="NEW",AVERAGEIFS(Table13[Column4],Table13[Year],Table13[[#This Row],[Year]]),ISNUMBER(Table13[[#This Row],[Column4]]),Table13[[#This Row],[Column4]],Table13[[#This Row],[Column4]]="",H442*(1+Table13[[#This Row],[Ávöxtun]]))</f>
        <v>136.13247205800002</v>
      </c>
      <c r="I443" cm="1">
        <f t="array" ref="I443">_xlfn.IFS(Table13[[#This Row],[Column4]]="NEW",_xlfn.XLOOKUP(Table13[[#This Row],[Year]],$N$2:$N$27,$P$2:$P$27),ISNUMBER(Table13[[#This Row],[Column4]]),Table13[[#This Row],[Column4]],Table13[[#This Row],[Column4]]="",I442*(1+Table13[[#This Row],[Ávöxtun]]))</f>
        <v>136.13247205800002</v>
      </c>
      <c r="L443" s="33">
        <v>136.13247205800002</v>
      </c>
      <c r="M443" s="33">
        <v>136.13247205800002</v>
      </c>
    </row>
    <row r="444" spans="1:13">
      <c r="A444" t="s">
        <v>94</v>
      </c>
      <c r="B444">
        <v>2004</v>
      </c>
      <c r="C444" s="16">
        <v>0.08</v>
      </c>
      <c r="D444" s="1">
        <v>2420800</v>
      </c>
      <c r="E444" s="29">
        <f>Table13[[#This Row],[Ávöxtun]]*Table13[[#This Row],[Eignir]]/SUMIFS(Table13[Eignir],Table13[Year],Table13[[#This Row],[Year]])</f>
        <v>2.5494435711732324E-4</v>
      </c>
      <c r="F444" s="23">
        <f>IF(B444=1997, 100, IF(COUNTIF(A$1:A443,A444)=0, "NEW", F443*(1+Table13[[#This Row],[Ávöxtun]])))</f>
        <v>147.02306982264002</v>
      </c>
      <c r="G444" s="18" cm="1">
        <f t="array" ref="G444">IFERROR(_xlfn.IFS(ISNUMBER(Table13[[#This Row],[Column3]]),Table13[[#This Row],[Column3]],Table13[[#This Row],[Column3]]="NEW",Table13[[#This Row],[Column3]]),"")</f>
        <v>147.02306982264002</v>
      </c>
      <c r="H444" s="15" cm="1">
        <f t="array" ref="H444">_xlfn.IFS(Table13[[#This Row],[Column4]]="NEW",AVERAGEIFS(Table13[Column4],Table13[Year],Table13[[#This Row],[Year]]),ISNUMBER(Table13[[#This Row],[Column4]]),Table13[[#This Row],[Column4]],Table13[[#This Row],[Column4]]="",H443*(1+Table13[[#This Row],[Ávöxtun]]))</f>
        <v>147.02306982264002</v>
      </c>
      <c r="I444" cm="1">
        <f t="array" ref="I444">_xlfn.IFS(Table13[[#This Row],[Column4]]="NEW",_xlfn.XLOOKUP(Table13[[#This Row],[Year]],$N$2:$N$27,$P$2:$P$27),ISNUMBER(Table13[[#This Row],[Column4]]),Table13[[#This Row],[Column4]],Table13[[#This Row],[Column4]]="",I443*(1+Table13[[#This Row],[Ávöxtun]]))</f>
        <v>147.02306982264002</v>
      </c>
      <c r="L444" s="33">
        <v>147.02306982264002</v>
      </c>
      <c r="M444" s="33">
        <v>147.02306982264002</v>
      </c>
    </row>
    <row r="445" spans="1:13">
      <c r="A445" t="s">
        <v>94</v>
      </c>
      <c r="B445">
        <v>2005</v>
      </c>
      <c r="C445" s="16">
        <v>0.09</v>
      </c>
      <c r="D445" s="1">
        <v>2637386</v>
      </c>
      <c r="E445" s="29">
        <f>Table13[[#This Row],[Ávöxtun]]*Table13[[#This Row],[Eignir]]/SUMIFS(Table13[Eignir],Table13[Year],Table13[[#This Row],[Year]])</f>
        <v>2.5429868280958808E-4</v>
      </c>
      <c r="F445" s="23">
        <f>IF(B445=1997, 100, IF(COUNTIF(A$1:A444,A445)=0, "NEW", F444*(1+Table13[[#This Row],[Ávöxtun]])))</f>
        <v>160.25514610667764</v>
      </c>
      <c r="G445" s="18" cm="1">
        <f t="array" ref="G445">IFERROR(_xlfn.IFS(ISNUMBER(Table13[[#This Row],[Column3]]),Table13[[#This Row],[Column3]],Table13[[#This Row],[Column3]]="NEW",Table13[[#This Row],[Column3]]),"")</f>
        <v>160.25514610667764</v>
      </c>
      <c r="H445" s="15" cm="1">
        <f t="array" ref="H445">_xlfn.IFS(Table13[[#This Row],[Column4]]="NEW",AVERAGEIFS(Table13[Column4],Table13[Year],Table13[[#This Row],[Year]]),ISNUMBER(Table13[[#This Row],[Column4]]),Table13[[#This Row],[Column4]],Table13[[#This Row],[Column4]]="",H444*(1+Table13[[#This Row],[Ávöxtun]]))</f>
        <v>160.25514610667764</v>
      </c>
      <c r="I445" cm="1">
        <f t="array" ref="I445">_xlfn.IFS(Table13[[#This Row],[Column4]]="NEW",_xlfn.XLOOKUP(Table13[[#This Row],[Year]],$N$2:$N$27,$P$2:$P$27),ISNUMBER(Table13[[#This Row],[Column4]]),Table13[[#This Row],[Column4]],Table13[[#This Row],[Column4]]="",I444*(1+Table13[[#This Row],[Ávöxtun]]))</f>
        <v>160.25514610667764</v>
      </c>
      <c r="L445" s="33">
        <v>160.25514610667764</v>
      </c>
      <c r="M445" s="33">
        <v>160.25514610667764</v>
      </c>
    </row>
    <row r="446" spans="1:13">
      <c r="A446" t="s">
        <v>94</v>
      </c>
      <c r="B446">
        <v>2006</v>
      </c>
      <c r="C446" s="16">
        <v>6.88E-2</v>
      </c>
      <c r="D446" s="1">
        <v>2889366</v>
      </c>
      <c r="E446" s="29">
        <f>Table13[[#This Row],[Ávöxtun]]*Table13[[#This Row],[Eignir]]/SUMIFS(Table13[Eignir],Table13[Year],Table13[[#This Row],[Year]])</f>
        <v>1.7474178478131243E-4</v>
      </c>
      <c r="F446" s="23">
        <f>IF(B446=1997, 100, IF(COUNTIF(A$1:A445,A446)=0, "NEW", F445*(1+Table13[[#This Row],[Ávöxtun]])))</f>
        <v>171.28070015881707</v>
      </c>
      <c r="G446" s="18" cm="1">
        <f t="array" ref="G446">IFERROR(_xlfn.IFS(ISNUMBER(Table13[[#This Row],[Column3]]),Table13[[#This Row],[Column3]],Table13[[#This Row],[Column3]]="NEW",Table13[[#This Row],[Column3]]),"")</f>
        <v>171.28070015881707</v>
      </c>
      <c r="H446" s="15" cm="1">
        <f t="array" ref="H446">_xlfn.IFS(Table13[[#This Row],[Column4]]="NEW",AVERAGEIFS(Table13[Column4],Table13[Year],Table13[[#This Row],[Year]]),ISNUMBER(Table13[[#This Row],[Column4]]),Table13[[#This Row],[Column4]],Table13[[#This Row],[Column4]]="",H445*(1+Table13[[#This Row],[Ávöxtun]]))</f>
        <v>171.28070015881707</v>
      </c>
      <c r="I446" cm="1">
        <f t="array" ref="I446">_xlfn.IFS(Table13[[#This Row],[Column4]]="NEW",_xlfn.XLOOKUP(Table13[[#This Row],[Year]],$N$2:$N$27,$P$2:$P$27),ISNUMBER(Table13[[#This Row],[Column4]]),Table13[[#This Row],[Column4]],Table13[[#This Row],[Column4]]="",I445*(1+Table13[[#This Row],[Ávöxtun]]))</f>
        <v>171.28070015881707</v>
      </c>
      <c r="L446" s="33">
        <v>171.28070015881707</v>
      </c>
      <c r="M446" s="33">
        <v>171.28070015881707</v>
      </c>
    </row>
    <row r="447" spans="1:13">
      <c r="A447" t="s">
        <v>109</v>
      </c>
      <c r="B447">
        <v>1997</v>
      </c>
      <c r="C447" s="16">
        <v>0.06</v>
      </c>
      <c r="D447" s="1">
        <v>4289599.13</v>
      </c>
      <c r="E447" s="29">
        <f>Table13[[#This Row],[Ávöxtun]]*Table13[[#This Row],[Eignir]]/SUMIFS(Table13[Eignir],Table13[Year],Table13[[#This Row],[Year]])</f>
        <v>9.0194770925842809E-4</v>
      </c>
      <c r="F447" s="23">
        <f>IF(B447=1997, 100, IF(COUNTIF(A$1:A446,A447)=0, "NEW", F446*(1+Table13[[#This Row],[Ávöxtun]])))</f>
        <v>100</v>
      </c>
      <c r="G447" s="18" cm="1">
        <f t="array" ref="G447">IFERROR(_xlfn.IFS(ISNUMBER(Table13[[#This Row],[Column3]]),Table13[[#This Row],[Column3]],Table13[[#This Row],[Column3]]="NEW",Table13[[#This Row],[Column3]]),"")</f>
        <v>100</v>
      </c>
      <c r="H447" s="15" cm="1">
        <f t="array" ref="H447">_xlfn.IFS(Table13[[#This Row],[Column4]]="NEW",AVERAGEIFS(Table13[Column4],Table13[Year],Table13[[#This Row],[Year]]),ISNUMBER(Table13[[#This Row],[Column4]]),Table13[[#This Row],[Column4]],Table13[[#This Row],[Column4]]="",H446*(1+Table13[[#This Row],[Ávöxtun]]))</f>
        <v>100</v>
      </c>
      <c r="I447" cm="1">
        <f t="array" ref="I447">_xlfn.IFS(Table13[[#This Row],[Column4]]="NEW",_xlfn.XLOOKUP(Table13[[#This Row],[Year]],$N$2:$N$27,$P$2:$P$27),ISNUMBER(Table13[[#This Row],[Column4]]),Table13[[#This Row],[Column4]],Table13[[#This Row],[Column4]]="",I446*(1+Table13[[#This Row],[Ávöxtun]]))</f>
        <v>100</v>
      </c>
      <c r="L447" s="33">
        <v>100</v>
      </c>
      <c r="M447" s="33">
        <v>100</v>
      </c>
    </row>
    <row r="448" spans="1:13">
      <c r="A448" t="s">
        <v>109</v>
      </c>
      <c r="B448">
        <v>1998</v>
      </c>
      <c r="C448" s="16">
        <v>7.0000000000000007E-2</v>
      </c>
      <c r="D448" s="1">
        <v>4700192.82</v>
      </c>
      <c r="E448" s="29">
        <f>Table13[[#This Row],[Ávöxtun]]*Table13[[#This Row],[Eignir]]/SUMIFS(Table13[Eignir],Table13[Year],Table13[[#This Row],[Year]])</f>
        <v>9.9550697976371694E-4</v>
      </c>
      <c r="F448" s="23">
        <f>IF(B448=1997, 100, IF(COUNTIF(A$1:A447,A448)=0, "NEW", F447*(1+Table13[[#This Row],[Ávöxtun]])))</f>
        <v>107</v>
      </c>
      <c r="G448" s="18" cm="1">
        <f t="array" ref="G448">IFERROR(_xlfn.IFS(ISNUMBER(Table13[[#This Row],[Column3]]),Table13[[#This Row],[Column3]],Table13[[#This Row],[Column3]]="NEW",Table13[[#This Row],[Column3]]),"")</f>
        <v>107</v>
      </c>
      <c r="H448" s="15" cm="1">
        <f t="array" ref="H448">_xlfn.IFS(Table13[[#This Row],[Column4]]="NEW",AVERAGEIFS(Table13[Column4],Table13[Year],Table13[[#This Row],[Year]]),ISNUMBER(Table13[[#This Row],[Column4]]),Table13[[#This Row],[Column4]],Table13[[#This Row],[Column4]]="",H447*(1+Table13[[#This Row],[Ávöxtun]]))</f>
        <v>107</v>
      </c>
      <c r="I448" cm="1">
        <f t="array" ref="I448">_xlfn.IFS(Table13[[#This Row],[Column4]]="NEW",_xlfn.XLOOKUP(Table13[[#This Row],[Year]],$N$2:$N$27,$P$2:$P$27),ISNUMBER(Table13[[#This Row],[Column4]]),Table13[[#This Row],[Column4]],Table13[[#This Row],[Column4]]="",I447*(1+Table13[[#This Row],[Ávöxtun]]))</f>
        <v>107</v>
      </c>
      <c r="L448" s="33">
        <v>107</v>
      </c>
      <c r="M448" s="33">
        <v>107</v>
      </c>
    </row>
    <row r="449" spans="1:13">
      <c r="A449" t="s">
        <v>109</v>
      </c>
      <c r="B449">
        <v>1999</v>
      </c>
      <c r="C449" s="16">
        <v>0.09</v>
      </c>
      <c r="D449" s="1">
        <v>6326788.7800000003</v>
      </c>
      <c r="E449" s="29">
        <f>Table13[[#This Row],[Ávöxtun]]*Table13[[#This Row],[Eignir]]/SUMIFS(Table13[Eignir],Table13[Year],Table13[[#This Row],[Year]])</f>
        <v>1.2826766895970259E-3</v>
      </c>
      <c r="F449" s="23">
        <f>IF(B449=1997, 100, IF(COUNTIF(A$1:A448,A449)=0, "NEW", F448*(1+Table13[[#This Row],[Ávöxtun]])))</f>
        <v>116.63000000000001</v>
      </c>
      <c r="G449" s="18" cm="1">
        <f t="array" ref="G449">IFERROR(_xlfn.IFS(ISNUMBER(Table13[[#This Row],[Column3]]),Table13[[#This Row],[Column3]],Table13[[#This Row],[Column3]]="NEW",Table13[[#This Row],[Column3]]),"")</f>
        <v>116.63000000000001</v>
      </c>
      <c r="H449" s="15" cm="1">
        <f t="array" ref="H449">_xlfn.IFS(Table13[[#This Row],[Column4]]="NEW",AVERAGEIFS(Table13[Column4],Table13[Year],Table13[[#This Row],[Year]]),ISNUMBER(Table13[[#This Row],[Column4]]),Table13[[#This Row],[Column4]],Table13[[#This Row],[Column4]]="",H448*(1+Table13[[#This Row],[Ávöxtun]]))</f>
        <v>116.63000000000001</v>
      </c>
      <c r="I449" cm="1">
        <f t="array" ref="I449">_xlfn.IFS(Table13[[#This Row],[Column4]]="NEW",_xlfn.XLOOKUP(Table13[[#This Row],[Year]],$N$2:$N$27,$P$2:$P$27),ISNUMBER(Table13[[#This Row],[Column4]]),Table13[[#This Row],[Column4]],Table13[[#This Row],[Column4]]="",I448*(1+Table13[[#This Row],[Ávöxtun]]))</f>
        <v>116.63000000000001</v>
      </c>
      <c r="L449" s="33">
        <v>116.63000000000001</v>
      </c>
      <c r="M449" s="33">
        <v>116.63000000000001</v>
      </c>
    </row>
    <row r="450" spans="1:13">
      <c r="A450" t="s">
        <v>109</v>
      </c>
      <c r="B450">
        <v>2000</v>
      </c>
      <c r="C450" s="16">
        <v>0.01</v>
      </c>
      <c r="D450" s="1">
        <v>7562626.8399999999</v>
      </c>
      <c r="E450" s="29">
        <f>Table13[[#This Row],[Ávöxtun]]*Table13[[#This Row],[Eignir]]/SUMIFS(Table13[Eignir],Table13[Year],Table13[[#This Row],[Year]])</f>
        <v>1.211024728831476E-4</v>
      </c>
      <c r="F450" s="23">
        <f>IF(B450=1997, 100, IF(COUNTIF(A$1:A449,A450)=0, "NEW", F449*(1+Table13[[#This Row],[Ávöxtun]])))</f>
        <v>117.79630000000002</v>
      </c>
      <c r="G450" s="18" cm="1">
        <f t="array" ref="G450">IFERROR(_xlfn.IFS(ISNUMBER(Table13[[#This Row],[Column3]]),Table13[[#This Row],[Column3]],Table13[[#This Row],[Column3]]="NEW",Table13[[#This Row],[Column3]]),"")</f>
        <v>117.79630000000002</v>
      </c>
      <c r="H450" s="15" cm="1">
        <f t="array" ref="H450">_xlfn.IFS(Table13[[#This Row],[Column4]]="NEW",AVERAGEIFS(Table13[Column4],Table13[Year],Table13[[#This Row],[Year]]),ISNUMBER(Table13[[#This Row],[Column4]]),Table13[[#This Row],[Column4]],Table13[[#This Row],[Column4]]="",H449*(1+Table13[[#This Row],[Ávöxtun]]))</f>
        <v>117.79630000000002</v>
      </c>
      <c r="I450" cm="1">
        <f t="array" ref="I450">_xlfn.IFS(Table13[[#This Row],[Column4]]="NEW",_xlfn.XLOOKUP(Table13[[#This Row],[Year]],$N$2:$N$27,$P$2:$P$27),ISNUMBER(Table13[[#This Row],[Column4]]),Table13[[#This Row],[Column4]],Table13[[#This Row],[Column4]]="",I449*(1+Table13[[#This Row],[Ávöxtun]]))</f>
        <v>117.79630000000002</v>
      </c>
      <c r="L450" s="33">
        <v>117.79630000000002</v>
      </c>
      <c r="M450" s="33">
        <v>117.79630000000002</v>
      </c>
    </row>
    <row r="451" spans="1:13">
      <c r="A451" t="s">
        <v>109</v>
      </c>
      <c r="B451">
        <v>2001</v>
      </c>
      <c r="C451" s="16">
        <v>-0.01</v>
      </c>
      <c r="D451" s="1">
        <v>9604011</v>
      </c>
      <c r="E451" s="29">
        <f>Table13[[#This Row],[Ávöxtun]]*Table13[[#This Row],[Eignir]]/SUMIFS(Table13[Eignir],Table13[Year],Table13[[#This Row],[Year]])</f>
        <v>-9.9933468193942227E-5</v>
      </c>
      <c r="F451" s="23">
        <f>IF(B451=1997, 100, IF(COUNTIF(A$1:A450,A451)=0, "NEW", F450*(1+Table13[[#This Row],[Ávöxtun]])))</f>
        <v>116.61833700000001</v>
      </c>
      <c r="G451" s="18" cm="1">
        <f t="array" ref="G451">IFERROR(_xlfn.IFS(ISNUMBER(Table13[[#This Row],[Column3]]),Table13[[#This Row],[Column3]],Table13[[#This Row],[Column3]]="NEW",Table13[[#This Row],[Column3]]),"")</f>
        <v>116.61833700000001</v>
      </c>
      <c r="H451" s="15" cm="1">
        <f t="array" ref="H451">_xlfn.IFS(Table13[[#This Row],[Column4]]="NEW",AVERAGEIFS(Table13[Column4],Table13[Year],Table13[[#This Row],[Year]]),ISNUMBER(Table13[[#This Row],[Column4]]),Table13[[#This Row],[Column4]],Table13[[#This Row],[Column4]]="",H450*(1+Table13[[#This Row],[Ávöxtun]]))</f>
        <v>116.61833700000001</v>
      </c>
      <c r="I451" cm="1">
        <f t="array" ref="I451">_xlfn.IFS(Table13[[#This Row],[Column4]]="NEW",_xlfn.XLOOKUP(Table13[[#This Row],[Year]],$N$2:$N$27,$P$2:$P$27),ISNUMBER(Table13[[#This Row],[Column4]]),Table13[[#This Row],[Column4]],Table13[[#This Row],[Column4]]="",I450*(1+Table13[[#This Row],[Ávöxtun]]))</f>
        <v>116.61833700000001</v>
      </c>
      <c r="L451" s="33">
        <v>116.61833700000001</v>
      </c>
      <c r="M451" s="33">
        <v>116.61833700000001</v>
      </c>
    </row>
    <row r="452" spans="1:13">
      <c r="A452" t="s">
        <v>109</v>
      </c>
      <c r="B452">
        <v>2002</v>
      </c>
      <c r="C452" s="16">
        <v>-0.03</v>
      </c>
      <c r="D452" s="1">
        <v>10506131</v>
      </c>
      <c r="E452" s="29">
        <f>Table13[[#This Row],[Ávöxtun]]*Table13[[#This Row],[Eignir]]/SUMIFS(Table13[Eignir],Table13[Year],Table13[[#This Row],[Year]])</f>
        <v>-5.9147022971140482E-4</v>
      </c>
      <c r="F452" s="23">
        <f>IF(B452=1997, 100, IF(COUNTIF(A$1:A451,A452)=0, "NEW", F451*(1+Table13[[#This Row],[Ávöxtun]])))</f>
        <v>113.11978689000001</v>
      </c>
      <c r="G452" s="18" cm="1">
        <f t="array" ref="G452">IFERROR(_xlfn.IFS(ISNUMBER(Table13[[#This Row],[Column3]]),Table13[[#This Row],[Column3]],Table13[[#This Row],[Column3]]="NEW",Table13[[#This Row],[Column3]]),"")</f>
        <v>113.11978689000001</v>
      </c>
      <c r="H452" s="15" cm="1">
        <f t="array" ref="H452">_xlfn.IFS(Table13[[#This Row],[Column4]]="NEW",AVERAGEIFS(Table13[Column4],Table13[Year],Table13[[#This Row],[Year]]),ISNUMBER(Table13[[#This Row],[Column4]]),Table13[[#This Row],[Column4]],Table13[[#This Row],[Column4]]="",H451*(1+Table13[[#This Row],[Ávöxtun]]))</f>
        <v>113.11978689000001</v>
      </c>
      <c r="I452" cm="1">
        <f t="array" ref="I452">_xlfn.IFS(Table13[[#This Row],[Column4]]="NEW",_xlfn.XLOOKUP(Table13[[#This Row],[Year]],$N$2:$N$27,$P$2:$P$27),ISNUMBER(Table13[[#This Row],[Column4]]),Table13[[#This Row],[Column4]],Table13[[#This Row],[Column4]]="",I451*(1+Table13[[#This Row],[Ávöxtun]]))</f>
        <v>113.11978689000001</v>
      </c>
      <c r="L452" s="33">
        <v>113.11978689000001</v>
      </c>
      <c r="M452" s="33">
        <v>113.11978689000001</v>
      </c>
    </row>
    <row r="453" spans="1:13">
      <c r="A453" t="s">
        <v>109</v>
      </c>
      <c r="B453">
        <v>2003</v>
      </c>
      <c r="C453" s="16">
        <v>0.12</v>
      </c>
      <c r="D453" s="1">
        <v>12978154</v>
      </c>
      <c r="E453" s="29">
        <f>Table13[[#This Row],[Ávöxtun]]*Table13[[#This Row],[Eignir]]/SUMIFS(Table13[Eignir],Table13[Year],Table13[[#This Row],[Year]])</f>
        <v>2.4418295188963486E-3</v>
      </c>
      <c r="F453" s="23">
        <f>IF(B453=1997, 100, IF(COUNTIF(A$1:A452,A453)=0, "NEW", F452*(1+Table13[[#This Row],[Ávöxtun]])))</f>
        <v>126.69416131680003</v>
      </c>
      <c r="G453" s="18" cm="1">
        <f t="array" ref="G453">IFERROR(_xlfn.IFS(ISNUMBER(Table13[[#This Row],[Column3]]),Table13[[#This Row],[Column3]],Table13[[#This Row],[Column3]]="NEW",Table13[[#This Row],[Column3]]),"")</f>
        <v>126.69416131680003</v>
      </c>
      <c r="H453" s="15" cm="1">
        <f t="array" ref="H453">_xlfn.IFS(Table13[[#This Row],[Column4]]="NEW",AVERAGEIFS(Table13[Column4],Table13[Year],Table13[[#This Row],[Year]]),ISNUMBER(Table13[[#This Row],[Column4]]),Table13[[#This Row],[Column4]],Table13[[#This Row],[Column4]]="",H452*(1+Table13[[#This Row],[Ávöxtun]]))</f>
        <v>126.69416131680003</v>
      </c>
      <c r="I453" cm="1">
        <f t="array" ref="I453">_xlfn.IFS(Table13[[#This Row],[Column4]]="NEW",_xlfn.XLOOKUP(Table13[[#This Row],[Year]],$N$2:$N$27,$P$2:$P$27),ISNUMBER(Table13[[#This Row],[Column4]]),Table13[[#This Row],[Column4]],Table13[[#This Row],[Column4]]="",I452*(1+Table13[[#This Row],[Ávöxtun]]))</f>
        <v>126.69416131680003</v>
      </c>
      <c r="L453" s="33">
        <v>126.69416131680003</v>
      </c>
      <c r="M453" s="33">
        <v>126.69416131680003</v>
      </c>
    </row>
    <row r="454" spans="1:13">
      <c r="A454" t="s">
        <v>109</v>
      </c>
      <c r="B454">
        <v>2004</v>
      </c>
      <c r="C454" s="16">
        <v>0.09</v>
      </c>
      <c r="D454" s="1">
        <v>15523906</v>
      </c>
      <c r="E454" s="29">
        <f>Table13[[#This Row],[Ávöxtun]]*Table13[[#This Row],[Eignir]]/SUMIFS(Table13[Eignir],Table13[Year],Table13[[#This Row],[Year]])</f>
        <v>1.8392468458814139E-3</v>
      </c>
      <c r="F454" s="23">
        <f>IF(B454=1997, 100, IF(COUNTIF(A$1:A453,A454)=0, "NEW", F453*(1+Table13[[#This Row],[Ávöxtun]])))</f>
        <v>138.09663583531204</v>
      </c>
      <c r="G454" s="18" cm="1">
        <f t="array" ref="G454">IFERROR(_xlfn.IFS(ISNUMBER(Table13[[#This Row],[Column3]]),Table13[[#This Row],[Column3]],Table13[[#This Row],[Column3]]="NEW",Table13[[#This Row],[Column3]]),"")</f>
        <v>138.09663583531204</v>
      </c>
      <c r="H454" s="15" cm="1">
        <f t="array" ref="H454">_xlfn.IFS(Table13[[#This Row],[Column4]]="NEW",AVERAGEIFS(Table13[Column4],Table13[Year],Table13[[#This Row],[Year]]),ISNUMBER(Table13[[#This Row],[Column4]]),Table13[[#This Row],[Column4]],Table13[[#This Row],[Column4]]="",H453*(1+Table13[[#This Row],[Ávöxtun]]))</f>
        <v>138.09663583531204</v>
      </c>
      <c r="I454" cm="1">
        <f t="array" ref="I454">_xlfn.IFS(Table13[[#This Row],[Column4]]="NEW",_xlfn.XLOOKUP(Table13[[#This Row],[Year]],$N$2:$N$27,$P$2:$P$27),ISNUMBER(Table13[[#This Row],[Column4]]),Table13[[#This Row],[Column4]],Table13[[#This Row],[Column4]]="",I453*(1+Table13[[#This Row],[Ávöxtun]]))</f>
        <v>138.09663583531204</v>
      </c>
      <c r="L454" s="33">
        <v>138.09663583531204</v>
      </c>
      <c r="M454" s="33">
        <v>138.09663583531204</v>
      </c>
    </row>
    <row r="455" spans="1:13">
      <c r="A455" t="s">
        <v>109</v>
      </c>
      <c r="B455">
        <v>2005</v>
      </c>
      <c r="C455" s="16">
        <v>0.14000000000000001</v>
      </c>
      <c r="D455" s="1">
        <v>18614234</v>
      </c>
      <c r="E455" s="29">
        <f>Table13[[#This Row],[Ávöxtun]]*Table13[[#This Row],[Eignir]]/SUMIFS(Table13[Eignir],Table13[Year],Table13[[#This Row],[Year]])</f>
        <v>2.7919080410987876E-3</v>
      </c>
      <c r="F455" s="23">
        <f>IF(B455=1997, 100, IF(COUNTIF(A$1:A454,A455)=0, "NEW", F454*(1+Table13[[#This Row],[Ávöxtun]])))</f>
        <v>157.43016485225576</v>
      </c>
      <c r="G455" s="18" cm="1">
        <f t="array" ref="G455">IFERROR(_xlfn.IFS(ISNUMBER(Table13[[#This Row],[Column3]]),Table13[[#This Row],[Column3]],Table13[[#This Row],[Column3]]="NEW",Table13[[#This Row],[Column3]]),"")</f>
        <v>157.43016485225576</v>
      </c>
      <c r="H455" s="15" cm="1">
        <f t="array" ref="H455">_xlfn.IFS(Table13[[#This Row],[Column4]]="NEW",AVERAGEIFS(Table13[Column4],Table13[Year],Table13[[#This Row],[Year]]),ISNUMBER(Table13[[#This Row],[Column4]]),Table13[[#This Row],[Column4]],Table13[[#This Row],[Column4]]="",H454*(1+Table13[[#This Row],[Ávöxtun]]))</f>
        <v>157.43016485225576</v>
      </c>
      <c r="I455" cm="1">
        <f t="array" ref="I455">_xlfn.IFS(Table13[[#This Row],[Column4]]="NEW",_xlfn.XLOOKUP(Table13[[#This Row],[Year]],$N$2:$N$27,$P$2:$P$27),ISNUMBER(Table13[[#This Row],[Column4]]),Table13[[#This Row],[Column4]],Table13[[#This Row],[Column4]]="",I454*(1+Table13[[#This Row],[Ávöxtun]]))</f>
        <v>157.43016485225576</v>
      </c>
      <c r="L455" s="33">
        <v>157.43016485225576</v>
      </c>
      <c r="M455" s="33">
        <v>157.43016485225576</v>
      </c>
    </row>
    <row r="456" spans="1:13">
      <c r="A456" t="s">
        <v>109</v>
      </c>
      <c r="B456">
        <v>2006</v>
      </c>
      <c r="C456" s="16">
        <v>0.1109</v>
      </c>
      <c r="D456" s="1">
        <v>22367837</v>
      </c>
      <c r="E456" s="29">
        <f>Table13[[#This Row],[Ávöxtun]]*Table13[[#This Row],[Eignir]]/SUMIFS(Table13[Eignir],Table13[Year],Table13[[#This Row],[Year]])</f>
        <v>2.1805261853699459E-3</v>
      </c>
      <c r="F456" s="23">
        <f>IF(B456=1997, 100, IF(COUNTIF(A$1:A455,A456)=0, "NEW", F455*(1+Table13[[#This Row],[Ávöxtun]])))</f>
        <v>174.88917013437091</v>
      </c>
      <c r="G456" s="18" cm="1">
        <f t="array" ref="G456">IFERROR(_xlfn.IFS(ISNUMBER(Table13[[#This Row],[Column3]]),Table13[[#This Row],[Column3]],Table13[[#This Row],[Column3]]="NEW",Table13[[#This Row],[Column3]]),"")</f>
        <v>174.88917013437091</v>
      </c>
      <c r="H456" s="15" cm="1">
        <f t="array" ref="H456">_xlfn.IFS(Table13[[#This Row],[Column4]]="NEW",AVERAGEIFS(Table13[Column4],Table13[Year],Table13[[#This Row],[Year]]),ISNUMBER(Table13[[#This Row],[Column4]]),Table13[[#This Row],[Column4]],Table13[[#This Row],[Column4]]="",H455*(1+Table13[[#This Row],[Ávöxtun]]))</f>
        <v>174.88917013437091</v>
      </c>
      <c r="I456" cm="1">
        <f t="array" ref="I456">_xlfn.IFS(Table13[[#This Row],[Column4]]="NEW",_xlfn.XLOOKUP(Table13[[#This Row],[Year]],$N$2:$N$27,$P$2:$P$27),ISNUMBER(Table13[[#This Row],[Column4]]),Table13[[#This Row],[Column4]],Table13[[#This Row],[Column4]]="",I455*(1+Table13[[#This Row],[Ávöxtun]]))</f>
        <v>174.88917013437091</v>
      </c>
      <c r="L456" s="33">
        <v>174.88917013437091</v>
      </c>
      <c r="M456" s="33">
        <v>174.88917013437091</v>
      </c>
    </row>
    <row r="457" spans="1:13">
      <c r="A457" t="s">
        <v>109</v>
      </c>
      <c r="B457">
        <v>2007</v>
      </c>
      <c r="C457" s="16">
        <v>-1.47E-2</v>
      </c>
      <c r="D457" s="1">
        <v>23208801</v>
      </c>
      <c r="E457" s="29">
        <f>Table13[[#This Row],[Ávöxtun]]*Table13[[#This Row],[Eignir]]/SUMIFS(Table13[Eignir],Table13[Year],Table13[[#This Row],[Year]])</f>
        <v>-2.6582001534138886E-4</v>
      </c>
      <c r="F457" s="23">
        <f>IF(B457=1997, 100, IF(COUNTIF(A$1:A456,A457)=0, "NEW", F456*(1+Table13[[#This Row],[Ávöxtun]])))</f>
        <v>172.31829933339566</v>
      </c>
      <c r="G457" s="18" cm="1">
        <f t="array" ref="G457">IFERROR(_xlfn.IFS(ISNUMBER(Table13[[#This Row],[Column3]]),Table13[[#This Row],[Column3]],Table13[[#This Row],[Column3]]="NEW",Table13[[#This Row],[Column3]]),"")</f>
        <v>172.31829933339566</v>
      </c>
      <c r="H457" s="15" cm="1">
        <f t="array" ref="H457">_xlfn.IFS(Table13[[#This Row],[Column4]]="NEW",AVERAGEIFS(Table13[Column4],Table13[Year],Table13[[#This Row],[Year]]),ISNUMBER(Table13[[#This Row],[Column4]]),Table13[[#This Row],[Column4]],Table13[[#This Row],[Column4]]="",H456*(1+Table13[[#This Row],[Ávöxtun]]))</f>
        <v>172.31829933339566</v>
      </c>
      <c r="I457" cm="1">
        <f t="array" ref="I457">_xlfn.IFS(Table13[[#This Row],[Column4]]="NEW",_xlfn.XLOOKUP(Table13[[#This Row],[Year]],$N$2:$N$27,$P$2:$P$27),ISNUMBER(Table13[[#This Row],[Column4]]),Table13[[#This Row],[Column4]],Table13[[#This Row],[Column4]]="",I456*(1+Table13[[#This Row],[Ávöxtun]]))</f>
        <v>172.31829933339566</v>
      </c>
      <c r="L457" s="33">
        <v>172.31829933339566</v>
      </c>
      <c r="M457" s="33">
        <v>172.31829933339566</v>
      </c>
    </row>
    <row r="458" spans="1:13">
      <c r="A458" t="s">
        <v>109</v>
      </c>
      <c r="B458">
        <v>2008</v>
      </c>
      <c r="C458" s="16">
        <v>-0.26730000000000004</v>
      </c>
      <c r="D458" s="1">
        <v>21133490</v>
      </c>
      <c r="E458" s="29">
        <f>Table13[[#This Row],[Ávöxtun]]*Table13[[#This Row],[Eignir]]/SUMIFS(Table13[Eignir],Table13[Year],Table13[[#This Row],[Year]])</f>
        <v>-4.5593233588916565E-3</v>
      </c>
      <c r="F458" s="23">
        <f>IF(B458=1997, 100, IF(COUNTIF(A$1:A457,A458)=0, "NEW", F457*(1+Table13[[#This Row],[Ávöxtun]])))</f>
        <v>126.25761792157898</v>
      </c>
      <c r="G458" s="18" cm="1">
        <f t="array" ref="G458">IFERROR(_xlfn.IFS(ISNUMBER(Table13[[#This Row],[Column3]]),Table13[[#This Row],[Column3]],Table13[[#This Row],[Column3]]="NEW",Table13[[#This Row],[Column3]]),"")</f>
        <v>126.25761792157898</v>
      </c>
      <c r="H458" s="15" cm="1">
        <f t="array" ref="H458">_xlfn.IFS(Table13[[#This Row],[Column4]]="NEW",AVERAGEIFS(Table13[Column4],Table13[Year],Table13[[#This Row],[Year]]),ISNUMBER(Table13[[#This Row],[Column4]]),Table13[[#This Row],[Column4]],Table13[[#This Row],[Column4]]="",H457*(1+Table13[[#This Row],[Ávöxtun]]))</f>
        <v>126.25761792157898</v>
      </c>
      <c r="I458" cm="1">
        <f t="array" ref="I458">_xlfn.IFS(Table13[[#This Row],[Column4]]="NEW",_xlfn.XLOOKUP(Table13[[#This Row],[Year]],$N$2:$N$27,$P$2:$P$27),ISNUMBER(Table13[[#This Row],[Column4]]),Table13[[#This Row],[Column4]],Table13[[#This Row],[Column4]]="",I457*(1+Table13[[#This Row],[Ávöxtun]]))</f>
        <v>126.25761792157898</v>
      </c>
      <c r="L458" s="33">
        <v>126.25761792157898</v>
      </c>
      <c r="M458" s="33">
        <v>126.25761792157898</v>
      </c>
    </row>
    <row r="459" spans="1:13">
      <c r="A459" t="s">
        <v>109</v>
      </c>
      <c r="B459">
        <v>2009</v>
      </c>
      <c r="C459" s="16">
        <v>2.53E-2</v>
      </c>
      <c r="D459" s="1">
        <v>22965845</v>
      </c>
      <c r="E459" s="29">
        <f>Table13[[#This Row],[Ávöxtun]]*Table13[[#This Row],[Eignir]]/SUMIFS(Table13[Eignir],Table13[Year],Table13[[#This Row],[Year]])</f>
        <v>4.2315068433642093E-4</v>
      </c>
      <c r="F459" s="23">
        <f>IF(B459=1997, 100, IF(COUNTIF(A$1:A458,A459)=0, "NEW", F458*(1+Table13[[#This Row],[Ávöxtun]])))</f>
        <v>129.45193565499494</v>
      </c>
      <c r="G459" s="18" cm="1">
        <f t="array" ref="G459">IFERROR(_xlfn.IFS(ISNUMBER(Table13[[#This Row],[Column3]]),Table13[[#This Row],[Column3]],Table13[[#This Row],[Column3]]="NEW",Table13[[#This Row],[Column3]]),"")</f>
        <v>129.45193565499494</v>
      </c>
      <c r="H459" s="15" cm="1">
        <f t="array" ref="H459">_xlfn.IFS(Table13[[#This Row],[Column4]]="NEW",AVERAGEIFS(Table13[Column4],Table13[Year],Table13[[#This Row],[Year]]),ISNUMBER(Table13[[#This Row],[Column4]]),Table13[[#This Row],[Column4]],Table13[[#This Row],[Column4]]="",H458*(1+Table13[[#This Row],[Ávöxtun]]))</f>
        <v>129.45193565499494</v>
      </c>
      <c r="I459" cm="1">
        <f t="array" ref="I459">_xlfn.IFS(Table13[[#This Row],[Column4]]="NEW",_xlfn.XLOOKUP(Table13[[#This Row],[Year]],$N$2:$N$27,$P$2:$P$27),ISNUMBER(Table13[[#This Row],[Column4]]),Table13[[#This Row],[Column4]],Table13[[#This Row],[Column4]]="",I458*(1+Table13[[#This Row],[Ávöxtun]]))</f>
        <v>129.45193565499494</v>
      </c>
      <c r="L459" s="33">
        <v>129.45193565499494</v>
      </c>
      <c r="M459" s="33">
        <v>129.45193565499494</v>
      </c>
    </row>
    <row r="460" spans="1:13">
      <c r="A460" t="s">
        <v>109</v>
      </c>
      <c r="B460">
        <v>2010</v>
      </c>
      <c r="C460" s="16">
        <v>1.83E-2</v>
      </c>
      <c r="D460" s="1">
        <v>23330418</v>
      </c>
      <c r="E460" s="29">
        <f>Table13[[#This Row],[Ávöxtun]]*Table13[[#This Row],[Eignir]]/SUMIFS(Table13[Eignir],Table13[Year],Table13[[#This Row],[Year]])</f>
        <v>2.9148120045788554E-4</v>
      </c>
      <c r="F460" s="23">
        <f>IF(B460=1997, 100, IF(COUNTIF(A$1:A459,A460)=0, "NEW", F459*(1+Table13[[#This Row],[Ávöxtun]])))</f>
        <v>131.82090607748134</v>
      </c>
      <c r="G460" s="18" cm="1">
        <f t="array" ref="G460">IFERROR(_xlfn.IFS(ISNUMBER(Table13[[#This Row],[Column3]]),Table13[[#This Row],[Column3]],Table13[[#This Row],[Column3]]="NEW",Table13[[#This Row],[Column3]]),"")</f>
        <v>131.82090607748134</v>
      </c>
      <c r="H460" s="15" cm="1">
        <f t="array" ref="H460">_xlfn.IFS(Table13[[#This Row],[Column4]]="NEW",AVERAGEIFS(Table13[Column4],Table13[Year],Table13[[#This Row],[Year]]),ISNUMBER(Table13[[#This Row],[Column4]]),Table13[[#This Row],[Column4]],Table13[[#This Row],[Column4]]="",H459*(1+Table13[[#This Row],[Ávöxtun]]))</f>
        <v>131.82090607748134</v>
      </c>
      <c r="I460" cm="1">
        <f t="array" ref="I460">_xlfn.IFS(Table13[[#This Row],[Column4]]="NEW",_xlfn.XLOOKUP(Table13[[#This Row],[Year]],$N$2:$N$27,$P$2:$P$27),ISNUMBER(Table13[[#This Row],[Column4]]),Table13[[#This Row],[Column4]],Table13[[#This Row],[Column4]]="",I459*(1+Table13[[#This Row],[Ávöxtun]]))</f>
        <v>131.82090607748134</v>
      </c>
      <c r="L460" s="33">
        <v>131.82090607748134</v>
      </c>
      <c r="M460" s="33">
        <v>131.82090607748134</v>
      </c>
    </row>
    <row r="461" spans="1:13">
      <c r="A461" t="s">
        <v>109</v>
      </c>
      <c r="B461">
        <v>2011</v>
      </c>
      <c r="C461" s="16">
        <v>1.6E-2</v>
      </c>
      <c r="D461" s="1">
        <v>23806386</v>
      </c>
      <c r="E461" s="29">
        <f>Table13[[#This Row],[Ávöxtun]]*Table13[[#This Row],[Eignir]]/SUMIFS(Table13[Eignir],Table13[Year],Table13[[#This Row],[Year]])</f>
        <v>2.3988120117954224E-4</v>
      </c>
      <c r="F461" s="23">
        <f>IF(B461=1997, 100, IF(COUNTIF(A$1:A460,A461)=0, "NEW", F460*(1+Table13[[#This Row],[Ávöxtun]])))</f>
        <v>133.93004057472103</v>
      </c>
      <c r="G461" s="18" cm="1">
        <f t="array" ref="G461">IFERROR(_xlfn.IFS(ISNUMBER(Table13[[#This Row],[Column3]]),Table13[[#This Row],[Column3]],Table13[[#This Row],[Column3]]="NEW",Table13[[#This Row],[Column3]]),"")</f>
        <v>133.93004057472103</v>
      </c>
      <c r="H461" s="15" cm="1">
        <f t="array" ref="H461">_xlfn.IFS(Table13[[#This Row],[Column4]]="NEW",AVERAGEIFS(Table13[Column4],Table13[Year],Table13[[#This Row],[Year]]),ISNUMBER(Table13[[#This Row],[Column4]]),Table13[[#This Row],[Column4]],Table13[[#This Row],[Column4]]="",H460*(1+Table13[[#This Row],[Ávöxtun]]))</f>
        <v>133.93004057472103</v>
      </c>
      <c r="I461" cm="1">
        <f t="array" ref="I461">_xlfn.IFS(Table13[[#This Row],[Column4]]="NEW",_xlfn.XLOOKUP(Table13[[#This Row],[Year]],$N$2:$N$27,$P$2:$P$27),ISNUMBER(Table13[[#This Row],[Column4]]),Table13[[#This Row],[Column4]],Table13[[#This Row],[Column4]]="",I460*(1+Table13[[#This Row],[Ávöxtun]]))</f>
        <v>133.93004057472103</v>
      </c>
      <c r="L461" s="33">
        <v>133.93004057472103</v>
      </c>
      <c r="M461" s="33">
        <v>133.93004057472103</v>
      </c>
    </row>
    <row r="462" spans="1:13">
      <c r="A462" t="s">
        <v>109</v>
      </c>
      <c r="B462">
        <v>2012</v>
      </c>
      <c r="C462" s="16">
        <v>9.6000000000000002E-2</v>
      </c>
      <c r="D462" s="1">
        <v>25622182</v>
      </c>
      <c r="E462" s="29">
        <f>Table13[[#This Row],[Ávöxtun]]*Table13[[#This Row],[Eignir]]/SUMIFS(Table13[Eignir],Table13[Year],Table13[[#This Row],[Year]])</f>
        <v>1.3704221724543805E-3</v>
      </c>
      <c r="F462" s="23">
        <f>IF(B462=1997, 100, IF(COUNTIF(A$1:A461,A462)=0, "NEW", F461*(1+Table13[[#This Row],[Ávöxtun]])))</f>
        <v>146.78732446989426</v>
      </c>
      <c r="G462" s="18" cm="1">
        <f t="array" ref="G462">IFERROR(_xlfn.IFS(ISNUMBER(Table13[[#This Row],[Column3]]),Table13[[#This Row],[Column3]],Table13[[#This Row],[Column3]]="NEW",Table13[[#This Row],[Column3]]),"")</f>
        <v>146.78732446989426</v>
      </c>
      <c r="H462" s="15" cm="1">
        <f t="array" ref="H462">_xlfn.IFS(Table13[[#This Row],[Column4]]="NEW",AVERAGEIFS(Table13[Column4],Table13[Year],Table13[[#This Row],[Year]]),ISNUMBER(Table13[[#This Row],[Column4]]),Table13[[#This Row],[Column4]],Table13[[#This Row],[Column4]]="",H461*(1+Table13[[#This Row],[Ávöxtun]]))</f>
        <v>146.78732446989426</v>
      </c>
      <c r="I462" cm="1">
        <f t="array" ref="I462">_xlfn.IFS(Table13[[#This Row],[Column4]]="NEW",_xlfn.XLOOKUP(Table13[[#This Row],[Year]],$N$2:$N$27,$P$2:$P$27),ISNUMBER(Table13[[#This Row],[Column4]]),Table13[[#This Row],[Column4]],Table13[[#This Row],[Column4]]="",I461*(1+Table13[[#This Row],[Ávöxtun]]))</f>
        <v>146.78732446989426</v>
      </c>
      <c r="L462" s="33">
        <v>146.78732446989426</v>
      </c>
      <c r="M462" s="33">
        <v>146.78732446989426</v>
      </c>
    </row>
    <row r="463" spans="1:13">
      <c r="A463" t="s">
        <v>109</v>
      </c>
      <c r="B463">
        <v>2013</v>
      </c>
      <c r="C463" s="16">
        <v>7.3499999999999996E-2</v>
      </c>
      <c r="D463" s="1">
        <v>26385503</v>
      </c>
      <c r="E463" s="29">
        <f>Table13[[#This Row],[Ávöxtun]]*Table13[[#This Row],[Eignir]]/SUMIFS(Table13[Eignir],Table13[Year],Table13[[#This Row],[Year]])</f>
        <v>9.8248195070683303E-4</v>
      </c>
      <c r="F463" s="23">
        <f>IF(B463=1997, 100, IF(COUNTIF(A$1:A462,A463)=0, "NEW", F462*(1+Table13[[#This Row],[Ávöxtun]])))</f>
        <v>157.57619281843148</v>
      </c>
      <c r="G463" s="18" cm="1">
        <f t="array" ref="G463">IFERROR(_xlfn.IFS(ISNUMBER(Table13[[#This Row],[Column3]]),Table13[[#This Row],[Column3]],Table13[[#This Row],[Column3]]="NEW",Table13[[#This Row],[Column3]]),"")</f>
        <v>157.57619281843148</v>
      </c>
      <c r="H463" s="15" cm="1">
        <f t="array" ref="H463">_xlfn.IFS(Table13[[#This Row],[Column4]]="NEW",AVERAGEIFS(Table13[Column4],Table13[Year],Table13[[#This Row],[Year]]),ISNUMBER(Table13[[#This Row],[Column4]]),Table13[[#This Row],[Column4]],Table13[[#This Row],[Column4]]="",H462*(1+Table13[[#This Row],[Ávöxtun]]))</f>
        <v>157.57619281843148</v>
      </c>
      <c r="I463" cm="1">
        <f t="array" ref="I463">_xlfn.IFS(Table13[[#This Row],[Column4]]="NEW",_xlfn.XLOOKUP(Table13[[#This Row],[Year]],$N$2:$N$27,$P$2:$P$27),ISNUMBER(Table13[[#This Row],[Column4]]),Table13[[#This Row],[Column4]],Table13[[#This Row],[Column4]]="",I462*(1+Table13[[#This Row],[Ávöxtun]]))</f>
        <v>157.57619281843148</v>
      </c>
      <c r="L463" s="33">
        <v>157.57619281843148</v>
      </c>
      <c r="M463" s="33">
        <v>157.57619281843148</v>
      </c>
    </row>
    <row r="464" spans="1:13">
      <c r="A464" t="s">
        <v>109</v>
      </c>
      <c r="B464">
        <v>2014</v>
      </c>
      <c r="C464" s="16">
        <v>9.3000000000000013E-2</v>
      </c>
      <c r="D464" s="1">
        <v>27645876</v>
      </c>
      <c r="E464" s="29">
        <f>Table13[[#This Row],[Ávöxtun]]*Table13[[#This Row],[Eignir]]/SUMIFS(Table13[Eignir],Table13[Year],Table13[[#This Row],[Year]])</f>
        <v>1.1944539139210095E-3</v>
      </c>
      <c r="F464" s="23">
        <f>IF(B464=1997, 100, IF(COUNTIF(A$1:A463,A464)=0, "NEW", F463*(1+Table13[[#This Row],[Ávöxtun]])))</f>
        <v>172.2307787505456</v>
      </c>
      <c r="G464" s="18" cm="1">
        <f t="array" ref="G464">IFERROR(_xlfn.IFS(ISNUMBER(Table13[[#This Row],[Column3]]),Table13[[#This Row],[Column3]],Table13[[#This Row],[Column3]]="NEW",Table13[[#This Row],[Column3]]),"")</f>
        <v>172.2307787505456</v>
      </c>
      <c r="H464" s="15" cm="1">
        <f t="array" ref="H464">_xlfn.IFS(Table13[[#This Row],[Column4]]="NEW",AVERAGEIFS(Table13[Column4],Table13[Year],Table13[[#This Row],[Year]]),ISNUMBER(Table13[[#This Row],[Column4]]),Table13[[#This Row],[Column4]],Table13[[#This Row],[Column4]]="",H463*(1+Table13[[#This Row],[Ávöxtun]]))</f>
        <v>172.2307787505456</v>
      </c>
      <c r="I464" cm="1">
        <f t="array" ref="I464">_xlfn.IFS(Table13[[#This Row],[Column4]]="NEW",_xlfn.XLOOKUP(Table13[[#This Row],[Year]],$N$2:$N$27,$P$2:$P$27),ISNUMBER(Table13[[#This Row],[Column4]]),Table13[[#This Row],[Column4]],Table13[[#This Row],[Column4]]="",I463*(1+Table13[[#This Row],[Ávöxtun]]))</f>
        <v>172.2307787505456</v>
      </c>
      <c r="L464" s="33">
        <v>172.2307787505456</v>
      </c>
      <c r="M464" s="33">
        <v>172.2307787505456</v>
      </c>
    </row>
    <row r="465" spans="1:13">
      <c r="A465" t="s">
        <v>109</v>
      </c>
      <c r="B465">
        <v>2015</v>
      </c>
      <c r="C465" s="16">
        <v>5.0999999999999997E-2</v>
      </c>
      <c r="D465" s="1">
        <v>27883167</v>
      </c>
      <c r="E465" s="29">
        <f>Table13[[#This Row],[Ávöxtun]]*Table13[[#This Row],[Eignir]]/SUMIFS(Table13[Eignir],Table13[Year],Table13[[#This Row],[Year]])</f>
        <v>5.9555388086937405E-4</v>
      </c>
      <c r="F465" s="23">
        <f>IF(B465=1997, 100, IF(COUNTIF(A$1:A464,A465)=0, "NEW", F464*(1+Table13[[#This Row],[Ávöxtun]])))</f>
        <v>181.01454846682341</v>
      </c>
      <c r="G465" s="18" cm="1">
        <f t="array" ref="G465">IFERROR(_xlfn.IFS(ISNUMBER(Table13[[#This Row],[Column3]]),Table13[[#This Row],[Column3]],Table13[[#This Row],[Column3]]="NEW",Table13[[#This Row],[Column3]]),"")</f>
        <v>181.01454846682341</v>
      </c>
      <c r="H465" s="15" cm="1">
        <f t="array" ref="H465">_xlfn.IFS(Table13[[#This Row],[Column4]]="NEW",AVERAGEIFS(Table13[Column4],Table13[Year],Table13[[#This Row],[Year]]),ISNUMBER(Table13[[#This Row],[Column4]]),Table13[[#This Row],[Column4]],Table13[[#This Row],[Column4]]="",H464*(1+Table13[[#This Row],[Ávöxtun]]))</f>
        <v>181.01454846682341</v>
      </c>
      <c r="I465" cm="1">
        <f t="array" ref="I465">_xlfn.IFS(Table13[[#This Row],[Column4]]="NEW",_xlfn.XLOOKUP(Table13[[#This Row],[Year]],$N$2:$N$27,$P$2:$P$27),ISNUMBER(Table13[[#This Row],[Column4]]),Table13[[#This Row],[Column4]],Table13[[#This Row],[Column4]]="",I464*(1+Table13[[#This Row],[Ávöxtun]]))</f>
        <v>181.01454846682341</v>
      </c>
      <c r="L465" s="33">
        <v>181.01454846682341</v>
      </c>
      <c r="M465" s="33">
        <v>181.01454846682341</v>
      </c>
    </row>
    <row r="466" spans="1:13">
      <c r="A466" t="s">
        <v>109</v>
      </c>
      <c r="B466">
        <v>2016</v>
      </c>
      <c r="C466" s="16">
        <v>-9.7000000000000003E-3</v>
      </c>
      <c r="D466" s="1">
        <v>26626803.609999999</v>
      </c>
      <c r="E466" s="29">
        <f>Table13[[#This Row],[Ávöxtun]]*Table13[[#This Row],[Eignir]]/SUMIFS(Table13[Eignir],Table13[Year],Table13[[#This Row],[Year]])</f>
        <v>-9.9035655093505351E-5</v>
      </c>
      <c r="F466" s="23">
        <f>IF(B466=1997, 100, IF(COUNTIF(A$1:A465,A466)=0, "NEW", F465*(1+Table13[[#This Row],[Ávöxtun]])))</f>
        <v>179.25870734669522</v>
      </c>
      <c r="G466" s="18" cm="1">
        <f t="array" ref="G466">IFERROR(_xlfn.IFS(ISNUMBER(Table13[[#This Row],[Column3]]),Table13[[#This Row],[Column3]],Table13[[#This Row],[Column3]]="NEW",Table13[[#This Row],[Column3]]),"")</f>
        <v>179.25870734669522</v>
      </c>
      <c r="H466" s="15" cm="1">
        <f t="array" ref="H466">_xlfn.IFS(Table13[[#This Row],[Column4]]="NEW",AVERAGEIFS(Table13[Column4],Table13[Year],Table13[[#This Row],[Year]]),ISNUMBER(Table13[[#This Row],[Column4]]),Table13[[#This Row],[Column4]],Table13[[#This Row],[Column4]]="",H465*(1+Table13[[#This Row],[Ávöxtun]]))</f>
        <v>179.25870734669522</v>
      </c>
      <c r="I466" cm="1">
        <f t="array" ref="I466">_xlfn.IFS(Table13[[#This Row],[Column4]]="NEW",_xlfn.XLOOKUP(Table13[[#This Row],[Year]],$N$2:$N$27,$P$2:$P$27),ISNUMBER(Table13[[#This Row],[Column4]]),Table13[[#This Row],[Column4]],Table13[[#This Row],[Column4]]="",I465*(1+Table13[[#This Row],[Ávöxtun]]))</f>
        <v>179.25870734669522</v>
      </c>
      <c r="L466" s="33">
        <v>179.25870734669522</v>
      </c>
      <c r="M466" s="33">
        <v>179.25870734669522</v>
      </c>
    </row>
    <row r="467" spans="1:13">
      <c r="A467" t="s">
        <v>109</v>
      </c>
      <c r="B467">
        <v>2017</v>
      </c>
      <c r="C467" s="16">
        <v>7.2000000000000008E-2</v>
      </c>
      <c r="D467" s="1">
        <v>26839154</v>
      </c>
      <c r="E467" s="29">
        <f>Table13[[#This Row],[Ávöxtun]]*Table13[[#This Row],[Eignir]]/SUMIFS(Table13[Eignir],Table13[Year],Table13[[#This Row],[Year]])</f>
        <v>6.6494802217964739E-4</v>
      </c>
      <c r="F467" s="23">
        <f>IF(B467=1997, 100, IF(COUNTIF(A$1:A466,A467)=0, "NEW", F466*(1+Table13[[#This Row],[Ávöxtun]])))</f>
        <v>192.16533427565727</v>
      </c>
      <c r="G467" s="18" cm="1">
        <f t="array" ref="G467">IFERROR(_xlfn.IFS(ISNUMBER(Table13[[#This Row],[Column3]]),Table13[[#This Row],[Column3]],Table13[[#This Row],[Column3]]="NEW",Table13[[#This Row],[Column3]]),"")</f>
        <v>192.16533427565727</v>
      </c>
      <c r="H467" s="15" cm="1">
        <f t="array" ref="H467">_xlfn.IFS(Table13[[#This Row],[Column4]]="NEW",AVERAGEIFS(Table13[Column4],Table13[Year],Table13[[#This Row],[Year]]),ISNUMBER(Table13[[#This Row],[Column4]]),Table13[[#This Row],[Column4]],Table13[[#This Row],[Column4]]="",H466*(1+Table13[[#This Row],[Ávöxtun]]))</f>
        <v>192.16533427565727</v>
      </c>
      <c r="I467" cm="1">
        <f t="array" ref="I467">_xlfn.IFS(Table13[[#This Row],[Column4]]="NEW",_xlfn.XLOOKUP(Table13[[#This Row],[Year]],$N$2:$N$27,$P$2:$P$27),ISNUMBER(Table13[[#This Row],[Column4]]),Table13[[#This Row],[Column4]],Table13[[#This Row],[Column4]]="",I466*(1+Table13[[#This Row],[Ávöxtun]]))</f>
        <v>192.16533427565727</v>
      </c>
      <c r="L467" s="33">
        <v>192.16533427565727</v>
      </c>
      <c r="M467" s="33">
        <v>192.16533427565727</v>
      </c>
    </row>
    <row r="468" spans="1:13">
      <c r="A468" t="s">
        <v>110</v>
      </c>
      <c r="B468">
        <v>1997</v>
      </c>
      <c r="C468" s="16">
        <v>0.06</v>
      </c>
      <c r="D468" s="1">
        <v>167252.48000000001</v>
      </c>
      <c r="E468" s="29">
        <f>Table13[[#This Row],[Ávöxtun]]*Table13[[#This Row],[Eignir]]/SUMIFS(Table13[Eignir],Table13[Year],Table13[[#This Row],[Year]])</f>
        <v>3.5167153533945971E-5</v>
      </c>
      <c r="F468" s="23">
        <f>IF(B468=1997, 100, IF(COUNTIF(A$1:A467,A468)=0, "NEW", F467*(1+Table13[[#This Row],[Ávöxtun]])))</f>
        <v>100</v>
      </c>
      <c r="G468" s="18" cm="1">
        <f t="array" ref="G468">IFERROR(_xlfn.IFS(ISNUMBER(Table13[[#This Row],[Column3]]),Table13[[#This Row],[Column3]],Table13[[#This Row],[Column3]]="NEW",Table13[[#This Row],[Column3]]),"")</f>
        <v>100</v>
      </c>
      <c r="H468" s="15" cm="1">
        <f t="array" ref="H468">_xlfn.IFS(Table13[[#This Row],[Column4]]="NEW",AVERAGEIFS(Table13[Column4],Table13[Year],Table13[[#This Row],[Year]]),ISNUMBER(Table13[[#This Row],[Column4]]),Table13[[#This Row],[Column4]],Table13[[#This Row],[Column4]]="",H467*(1+Table13[[#This Row],[Ávöxtun]]))</f>
        <v>100</v>
      </c>
      <c r="I468" cm="1">
        <f t="array" ref="I468">_xlfn.IFS(Table13[[#This Row],[Column4]]="NEW",_xlfn.XLOOKUP(Table13[[#This Row],[Year]],$N$2:$N$27,$P$2:$P$27),ISNUMBER(Table13[[#This Row],[Column4]]),Table13[[#This Row],[Column4]],Table13[[#This Row],[Column4]]="",I467*(1+Table13[[#This Row],[Ávöxtun]]))</f>
        <v>100</v>
      </c>
      <c r="L468" s="33">
        <v>100</v>
      </c>
      <c r="M468" s="33">
        <v>100</v>
      </c>
    </row>
    <row r="469" spans="1:13">
      <c r="A469" t="s">
        <v>110</v>
      </c>
      <c r="B469">
        <v>1998</v>
      </c>
      <c r="C469" s="16">
        <v>0.06</v>
      </c>
      <c r="D469" s="1">
        <v>163463.51999999999</v>
      </c>
      <c r="E469" s="29">
        <f>Table13[[#This Row],[Ávöxtun]]*Table13[[#This Row],[Eignir]]/SUMIFS(Table13[Eignir],Table13[Year],Table13[[#This Row],[Year]])</f>
        <v>2.9675817505852733E-5</v>
      </c>
      <c r="F469" s="23">
        <f>IF(B469=1997, 100, IF(COUNTIF(A$1:A468,A469)=0, "NEW", F468*(1+Table13[[#This Row],[Ávöxtun]])))</f>
        <v>106</v>
      </c>
      <c r="G469" s="18" cm="1">
        <f t="array" ref="G469">IFERROR(_xlfn.IFS(ISNUMBER(Table13[[#This Row],[Column3]]),Table13[[#This Row],[Column3]],Table13[[#This Row],[Column3]]="NEW",Table13[[#This Row],[Column3]]),"")</f>
        <v>106</v>
      </c>
      <c r="H469" s="15" cm="1">
        <f t="array" ref="H469">_xlfn.IFS(Table13[[#This Row],[Column4]]="NEW",AVERAGEIFS(Table13[Column4],Table13[Year],Table13[[#This Row],[Year]]),ISNUMBER(Table13[[#This Row],[Column4]]),Table13[[#This Row],[Column4]],Table13[[#This Row],[Column4]]="",H468*(1+Table13[[#This Row],[Ávöxtun]]))</f>
        <v>106</v>
      </c>
      <c r="I469" cm="1">
        <f t="array" ref="I469">_xlfn.IFS(Table13[[#This Row],[Column4]]="NEW",_xlfn.XLOOKUP(Table13[[#This Row],[Year]],$N$2:$N$27,$P$2:$P$27),ISNUMBER(Table13[[#This Row],[Column4]]),Table13[[#This Row],[Column4]],Table13[[#This Row],[Column4]]="",I468*(1+Table13[[#This Row],[Ávöxtun]]))</f>
        <v>106</v>
      </c>
      <c r="L469" s="33">
        <v>106</v>
      </c>
      <c r="M469" s="33">
        <v>106</v>
      </c>
    </row>
    <row r="470" spans="1:13">
      <c r="A470" t="s">
        <v>110</v>
      </c>
      <c r="B470">
        <v>1999</v>
      </c>
      <c r="C470" s="16">
        <v>0.06</v>
      </c>
      <c r="D470" s="1">
        <v>165834.60999999999</v>
      </c>
      <c r="E470" s="29">
        <f>Table13[[#This Row],[Ávöxtun]]*Table13[[#This Row],[Eignir]]/SUMIFS(Table13[Eignir],Table13[Year],Table13[[#This Row],[Year]])</f>
        <v>2.2413918126241375E-5</v>
      </c>
      <c r="F470" s="23">
        <f>IF(B470=1997, 100, IF(COUNTIF(A$1:A469,A470)=0, "NEW", F469*(1+Table13[[#This Row],[Ávöxtun]])))</f>
        <v>112.36</v>
      </c>
      <c r="G470" s="18" cm="1">
        <f t="array" ref="G470">IFERROR(_xlfn.IFS(ISNUMBER(Table13[[#This Row],[Column3]]),Table13[[#This Row],[Column3]],Table13[[#This Row],[Column3]]="NEW",Table13[[#This Row],[Column3]]),"")</f>
        <v>112.36</v>
      </c>
      <c r="H470" s="15" cm="1">
        <f t="array" ref="H470">_xlfn.IFS(Table13[[#This Row],[Column4]]="NEW",AVERAGEIFS(Table13[Column4],Table13[Year],Table13[[#This Row],[Year]]),ISNUMBER(Table13[[#This Row],[Column4]]),Table13[[#This Row],[Column4]],Table13[[#This Row],[Column4]]="",H469*(1+Table13[[#This Row],[Ávöxtun]]))</f>
        <v>112.36</v>
      </c>
      <c r="I470" cm="1">
        <f t="array" ref="I470">_xlfn.IFS(Table13[[#This Row],[Column4]]="NEW",_xlfn.XLOOKUP(Table13[[#This Row],[Year]],$N$2:$N$27,$P$2:$P$27),ISNUMBER(Table13[[#This Row],[Column4]]),Table13[[#This Row],[Column4]],Table13[[#This Row],[Column4]]="",I469*(1+Table13[[#This Row],[Ávöxtun]]))</f>
        <v>112.36</v>
      </c>
      <c r="L470" s="33">
        <v>112.36</v>
      </c>
      <c r="M470" s="33">
        <v>112.36</v>
      </c>
    </row>
    <row r="471" spans="1:13">
      <c r="A471" t="s">
        <v>97</v>
      </c>
      <c r="B471">
        <v>1997</v>
      </c>
      <c r="C471" s="16">
        <v>0.06</v>
      </c>
      <c r="D471" s="1">
        <v>996815.56</v>
      </c>
      <c r="E471" s="29">
        <f>Table13[[#This Row],[Ávöxtun]]*Table13[[#This Row],[Eignir]]/SUMIFS(Table13[Eignir],Table13[Year],Table13[[#This Row],[Year]])</f>
        <v>2.0959429626123531E-4</v>
      </c>
      <c r="F471" s="23">
        <f>IF(B471=1997, 100, IF(COUNTIF(A$1:A470,A471)=0, "NEW", F470*(1+Table13[[#This Row],[Ávöxtun]])))</f>
        <v>100</v>
      </c>
      <c r="G471" s="18" cm="1">
        <f t="array" ref="G471">IFERROR(_xlfn.IFS(ISNUMBER(Table13[[#This Row],[Column3]]),Table13[[#This Row],[Column3]],Table13[[#This Row],[Column3]]="NEW",Table13[[#This Row],[Column3]]),"")</f>
        <v>100</v>
      </c>
      <c r="H471" s="15" cm="1">
        <f t="array" ref="H471">_xlfn.IFS(Table13[[#This Row],[Column4]]="NEW",AVERAGEIFS(Table13[Column4],Table13[Year],Table13[[#This Row],[Year]]),ISNUMBER(Table13[[#This Row],[Column4]]),Table13[[#This Row],[Column4]],Table13[[#This Row],[Column4]]="",H470*(1+Table13[[#This Row],[Ávöxtun]]))</f>
        <v>100</v>
      </c>
      <c r="I471" cm="1">
        <f t="array" ref="I471">_xlfn.IFS(Table13[[#This Row],[Column4]]="NEW",_xlfn.XLOOKUP(Table13[[#This Row],[Year]],$N$2:$N$27,$P$2:$P$27),ISNUMBER(Table13[[#This Row],[Column4]]),Table13[[#This Row],[Column4]],Table13[[#This Row],[Column4]]="",I470*(1+Table13[[#This Row],[Ávöxtun]]))</f>
        <v>100</v>
      </c>
      <c r="L471" s="33">
        <v>100</v>
      </c>
      <c r="M471" s="33">
        <v>100</v>
      </c>
    </row>
    <row r="472" spans="1:13">
      <c r="A472" t="s">
        <v>97</v>
      </c>
      <c r="B472">
        <v>1998</v>
      </c>
      <c r="C472" s="16">
        <v>0.06</v>
      </c>
      <c r="D472" s="1">
        <v>1059315.1499999999</v>
      </c>
      <c r="E472" s="29">
        <f>Table13[[#This Row],[Ávöxtun]]*Table13[[#This Row],[Eignir]]/SUMIFS(Table13[Eignir],Table13[Year],Table13[[#This Row],[Year]])</f>
        <v>1.9231228516665378E-4</v>
      </c>
      <c r="F472" s="23">
        <f>IF(B472=1997, 100, IF(COUNTIF(A$1:A471,A472)=0, "NEW", F471*(1+Table13[[#This Row],[Ávöxtun]])))</f>
        <v>106</v>
      </c>
      <c r="G472" s="18" cm="1">
        <f t="array" ref="G472">IFERROR(_xlfn.IFS(ISNUMBER(Table13[[#This Row],[Column3]]),Table13[[#This Row],[Column3]],Table13[[#This Row],[Column3]]="NEW",Table13[[#This Row],[Column3]]),"")</f>
        <v>106</v>
      </c>
      <c r="H472" s="15" cm="1">
        <f t="array" ref="H472">_xlfn.IFS(Table13[[#This Row],[Column4]]="NEW",AVERAGEIFS(Table13[Column4],Table13[Year],Table13[[#This Row],[Year]]),ISNUMBER(Table13[[#This Row],[Column4]]),Table13[[#This Row],[Column4]],Table13[[#This Row],[Column4]]="",H471*(1+Table13[[#This Row],[Ávöxtun]]))</f>
        <v>106</v>
      </c>
      <c r="I472" cm="1">
        <f t="array" ref="I472">_xlfn.IFS(Table13[[#This Row],[Column4]]="NEW",_xlfn.XLOOKUP(Table13[[#This Row],[Year]],$N$2:$N$27,$P$2:$P$27),ISNUMBER(Table13[[#This Row],[Column4]]),Table13[[#This Row],[Column4]],Table13[[#This Row],[Column4]]="",I471*(1+Table13[[#This Row],[Ávöxtun]]))</f>
        <v>106</v>
      </c>
      <c r="L472" s="33">
        <v>106</v>
      </c>
      <c r="M472" s="33">
        <v>106</v>
      </c>
    </row>
    <row r="473" spans="1:13">
      <c r="A473" t="s">
        <v>97</v>
      </c>
      <c r="B473">
        <v>1999</v>
      </c>
      <c r="C473" s="16">
        <v>0.09</v>
      </c>
      <c r="D473" s="1">
        <v>1161341.6599999999</v>
      </c>
      <c r="E473" s="29">
        <f>Table13[[#This Row],[Ávöxtun]]*Table13[[#This Row],[Eignir]]/SUMIFS(Table13[Eignir],Table13[Year],Table13[[#This Row],[Year]])</f>
        <v>2.3544738535429891E-4</v>
      </c>
      <c r="F473" s="23">
        <f>IF(B473=1997, 100, IF(COUNTIF(A$1:A472,A473)=0, "NEW", F472*(1+Table13[[#This Row],[Ávöxtun]])))</f>
        <v>115.54</v>
      </c>
      <c r="G473" s="18" cm="1">
        <f t="array" ref="G473">IFERROR(_xlfn.IFS(ISNUMBER(Table13[[#This Row],[Column3]]),Table13[[#This Row],[Column3]],Table13[[#This Row],[Column3]]="NEW",Table13[[#This Row],[Column3]]),"")</f>
        <v>115.54</v>
      </c>
      <c r="H473" s="15" cm="1">
        <f t="array" ref="H473">_xlfn.IFS(Table13[[#This Row],[Column4]]="NEW",AVERAGEIFS(Table13[Column4],Table13[Year],Table13[[#This Row],[Year]]),ISNUMBER(Table13[[#This Row],[Column4]]),Table13[[#This Row],[Column4]],Table13[[#This Row],[Column4]]="",H472*(1+Table13[[#This Row],[Ávöxtun]]))</f>
        <v>115.54</v>
      </c>
      <c r="I473" cm="1">
        <f t="array" ref="I473">_xlfn.IFS(Table13[[#This Row],[Column4]]="NEW",_xlfn.XLOOKUP(Table13[[#This Row],[Year]],$N$2:$N$27,$P$2:$P$27),ISNUMBER(Table13[[#This Row],[Column4]]),Table13[[#This Row],[Column4]],Table13[[#This Row],[Column4]]="",I472*(1+Table13[[#This Row],[Ávöxtun]]))</f>
        <v>115.54</v>
      </c>
      <c r="L473" s="33">
        <v>115.54</v>
      </c>
      <c r="M473" s="33">
        <v>115.54</v>
      </c>
    </row>
    <row r="474" spans="1:13">
      <c r="A474" t="s">
        <v>97</v>
      </c>
      <c r="B474">
        <v>2000</v>
      </c>
      <c r="C474" s="16">
        <v>0.03</v>
      </c>
      <c r="D474" s="1">
        <v>1195355.19</v>
      </c>
      <c r="E474" s="29">
        <f>Table13[[#This Row],[Ávöxtun]]*Table13[[#This Row],[Eignir]]/SUMIFS(Table13[Eignir],Table13[Year],Table13[[#This Row],[Year]])</f>
        <v>5.7424677646545652E-5</v>
      </c>
      <c r="F474" s="23">
        <f>IF(B474=1997, 100, IF(COUNTIF(A$1:A473,A474)=0, "NEW", F473*(1+Table13[[#This Row],[Ávöxtun]])))</f>
        <v>119.00620000000001</v>
      </c>
      <c r="G474" s="18" cm="1">
        <f t="array" ref="G474">IFERROR(_xlfn.IFS(ISNUMBER(Table13[[#This Row],[Column3]]),Table13[[#This Row],[Column3]],Table13[[#This Row],[Column3]]="NEW",Table13[[#This Row],[Column3]]),"")</f>
        <v>119.00620000000001</v>
      </c>
      <c r="H474" s="15" cm="1">
        <f t="array" ref="H474">_xlfn.IFS(Table13[[#This Row],[Column4]]="NEW",AVERAGEIFS(Table13[Column4],Table13[Year],Table13[[#This Row],[Year]]),ISNUMBER(Table13[[#This Row],[Column4]]),Table13[[#This Row],[Column4]],Table13[[#This Row],[Column4]]="",H473*(1+Table13[[#This Row],[Ávöxtun]]))</f>
        <v>119.00620000000001</v>
      </c>
      <c r="I474" cm="1">
        <f t="array" ref="I474">_xlfn.IFS(Table13[[#This Row],[Column4]]="NEW",_xlfn.XLOOKUP(Table13[[#This Row],[Year]],$N$2:$N$27,$P$2:$P$27),ISNUMBER(Table13[[#This Row],[Column4]]),Table13[[#This Row],[Column4]],Table13[[#This Row],[Column4]]="",I473*(1+Table13[[#This Row],[Ávöxtun]]))</f>
        <v>119.00620000000001</v>
      </c>
      <c r="L474" s="33">
        <v>119.00620000000001</v>
      </c>
      <c r="M474" s="33">
        <v>119.00620000000001</v>
      </c>
    </row>
    <row r="475" spans="1:13">
      <c r="A475" t="s">
        <v>97</v>
      </c>
      <c r="B475">
        <v>2001</v>
      </c>
      <c r="C475" s="16">
        <v>0.03</v>
      </c>
      <c r="D475" s="1">
        <v>1261185</v>
      </c>
      <c r="E475" s="29">
        <f>Table13[[#This Row],[Ávöxtun]]*Table13[[#This Row],[Eignir]]/SUMIFS(Table13[Eignir],Table13[Year],Table13[[#This Row],[Year]])</f>
        <v>3.9369360702786686E-5</v>
      </c>
      <c r="F475" s="23">
        <f>IF(B475=1997, 100, IF(COUNTIF(A$1:A474,A475)=0, "NEW", F474*(1+Table13[[#This Row],[Ávöxtun]])))</f>
        <v>122.57638600000001</v>
      </c>
      <c r="G475" s="18" cm="1">
        <f t="array" ref="G475">IFERROR(_xlfn.IFS(ISNUMBER(Table13[[#This Row],[Column3]]),Table13[[#This Row],[Column3]],Table13[[#This Row],[Column3]]="NEW",Table13[[#This Row],[Column3]]),"")</f>
        <v>122.57638600000001</v>
      </c>
      <c r="H475" s="15" cm="1">
        <f t="array" ref="H475">_xlfn.IFS(Table13[[#This Row],[Column4]]="NEW",AVERAGEIFS(Table13[Column4],Table13[Year],Table13[[#This Row],[Year]]),ISNUMBER(Table13[[#This Row],[Column4]]),Table13[[#This Row],[Column4]],Table13[[#This Row],[Column4]]="",H474*(1+Table13[[#This Row],[Ávöxtun]]))</f>
        <v>122.57638600000001</v>
      </c>
      <c r="I475" cm="1">
        <f t="array" ref="I475">_xlfn.IFS(Table13[[#This Row],[Column4]]="NEW",_xlfn.XLOOKUP(Table13[[#This Row],[Year]],$N$2:$N$27,$P$2:$P$27),ISNUMBER(Table13[[#This Row],[Column4]]),Table13[[#This Row],[Column4]],Table13[[#This Row],[Column4]]="",I474*(1+Table13[[#This Row],[Ávöxtun]]))</f>
        <v>122.57638600000001</v>
      </c>
      <c r="L475" s="33">
        <v>122.57638600000001</v>
      </c>
      <c r="M475" s="33">
        <v>122.57638600000001</v>
      </c>
    </row>
    <row r="476" spans="1:13">
      <c r="A476" t="s">
        <v>97</v>
      </c>
      <c r="B476">
        <v>2002</v>
      </c>
      <c r="C476" s="16">
        <v>0.03</v>
      </c>
      <c r="D476" s="1">
        <v>1252986</v>
      </c>
      <c r="E476" s="29">
        <f>Table13[[#This Row],[Ávöxtun]]*Table13[[#This Row],[Eignir]]/SUMIFS(Table13[Eignir],Table13[Year],Table13[[#This Row],[Year]])</f>
        <v>7.0540136730179207E-5</v>
      </c>
      <c r="F476" s="23">
        <f>IF(B476=1997, 100, IF(COUNTIF(A$1:A475,A476)=0, "NEW", F475*(1+Table13[[#This Row],[Ávöxtun]])))</f>
        <v>126.25367758000002</v>
      </c>
      <c r="G476" s="18" cm="1">
        <f t="array" ref="G476">IFERROR(_xlfn.IFS(ISNUMBER(Table13[[#This Row],[Column3]]),Table13[[#This Row],[Column3]],Table13[[#This Row],[Column3]]="NEW",Table13[[#This Row],[Column3]]),"")</f>
        <v>126.25367758000002</v>
      </c>
      <c r="H476" s="15" cm="1">
        <f t="array" ref="H476">_xlfn.IFS(Table13[[#This Row],[Column4]]="NEW",AVERAGEIFS(Table13[Column4],Table13[Year],Table13[[#This Row],[Year]]),ISNUMBER(Table13[[#This Row],[Column4]]),Table13[[#This Row],[Column4]],Table13[[#This Row],[Column4]]="",H475*(1+Table13[[#This Row],[Ávöxtun]]))</f>
        <v>126.25367758000002</v>
      </c>
      <c r="I476" cm="1">
        <f t="array" ref="I476">_xlfn.IFS(Table13[[#This Row],[Column4]]="NEW",_xlfn.XLOOKUP(Table13[[#This Row],[Year]],$N$2:$N$27,$P$2:$P$27),ISNUMBER(Table13[[#This Row],[Column4]]),Table13[[#This Row],[Column4]],Table13[[#This Row],[Column4]]="",I475*(1+Table13[[#This Row],[Ávöxtun]]))</f>
        <v>126.25367758000002</v>
      </c>
      <c r="L476" s="33">
        <v>126.25367758000002</v>
      </c>
      <c r="M476" s="33">
        <v>126.25367758000002</v>
      </c>
    </row>
    <row r="477" spans="1:13">
      <c r="A477" t="s">
        <v>97</v>
      </c>
      <c r="B477">
        <v>2003</v>
      </c>
      <c r="C477" s="16">
        <v>0.12</v>
      </c>
      <c r="D477" s="1">
        <v>1371428</v>
      </c>
      <c r="E477" s="29">
        <f>Table13[[#This Row],[Ávöxtun]]*Table13[[#This Row],[Eignir]]/SUMIFS(Table13[Eignir],Table13[Year],Table13[[#This Row],[Year]])</f>
        <v>2.5803310497324821E-4</v>
      </c>
      <c r="F477" s="23">
        <f>IF(B477=1997, 100, IF(COUNTIF(A$1:A476,A477)=0, "NEW", F476*(1+Table13[[#This Row],[Ávöxtun]])))</f>
        <v>141.40411888960003</v>
      </c>
      <c r="G477" s="18" cm="1">
        <f t="array" ref="G477">IFERROR(_xlfn.IFS(ISNUMBER(Table13[[#This Row],[Column3]]),Table13[[#This Row],[Column3]],Table13[[#This Row],[Column3]]="NEW",Table13[[#This Row],[Column3]]),"")</f>
        <v>141.40411888960003</v>
      </c>
      <c r="H477" s="15" cm="1">
        <f t="array" ref="H477">_xlfn.IFS(Table13[[#This Row],[Column4]]="NEW",AVERAGEIFS(Table13[Column4],Table13[Year],Table13[[#This Row],[Year]]),ISNUMBER(Table13[[#This Row],[Column4]]),Table13[[#This Row],[Column4]],Table13[[#This Row],[Column4]]="",H476*(1+Table13[[#This Row],[Ávöxtun]]))</f>
        <v>141.40411888960003</v>
      </c>
      <c r="I477" cm="1">
        <f t="array" ref="I477">_xlfn.IFS(Table13[[#This Row],[Column4]]="NEW",_xlfn.XLOOKUP(Table13[[#This Row],[Year]],$N$2:$N$27,$P$2:$P$27),ISNUMBER(Table13[[#This Row],[Column4]]),Table13[[#This Row],[Column4]],Table13[[#This Row],[Column4]]="",I476*(1+Table13[[#This Row],[Ávöxtun]]))</f>
        <v>141.40411888960003</v>
      </c>
      <c r="L477" s="33">
        <v>141.40411888960003</v>
      </c>
      <c r="M477" s="33">
        <v>141.40411888960003</v>
      </c>
    </row>
    <row r="478" spans="1:13">
      <c r="A478" t="s">
        <v>97</v>
      </c>
      <c r="B478">
        <v>2004</v>
      </c>
      <c r="C478" s="16">
        <v>0.09</v>
      </c>
      <c r="D478" s="1">
        <v>1482603</v>
      </c>
      <c r="E478" s="29">
        <f>Table13[[#This Row],[Ávöxtun]]*Table13[[#This Row],[Eignir]]/SUMIFS(Table13[Eignir],Table13[Year],Table13[[#This Row],[Year]])</f>
        <v>1.7565636454152208E-4</v>
      </c>
      <c r="F478" s="23">
        <f>IF(B478=1997, 100, IF(COUNTIF(A$1:A477,A478)=0, "NEW", F477*(1+Table13[[#This Row],[Ávöxtun]])))</f>
        <v>154.13048958966405</v>
      </c>
      <c r="G478" s="18" cm="1">
        <f t="array" ref="G478">IFERROR(_xlfn.IFS(ISNUMBER(Table13[[#This Row],[Column3]]),Table13[[#This Row],[Column3]],Table13[[#This Row],[Column3]]="NEW",Table13[[#This Row],[Column3]]),"")</f>
        <v>154.13048958966405</v>
      </c>
      <c r="H478" s="15" cm="1">
        <f t="array" ref="H478">_xlfn.IFS(Table13[[#This Row],[Column4]]="NEW",AVERAGEIFS(Table13[Column4],Table13[Year],Table13[[#This Row],[Year]]),ISNUMBER(Table13[[#This Row],[Column4]]),Table13[[#This Row],[Column4]],Table13[[#This Row],[Column4]]="",H477*(1+Table13[[#This Row],[Ávöxtun]]))</f>
        <v>154.13048958966405</v>
      </c>
      <c r="I478" cm="1">
        <f t="array" ref="I478">_xlfn.IFS(Table13[[#This Row],[Column4]]="NEW",_xlfn.XLOOKUP(Table13[[#This Row],[Year]],$N$2:$N$27,$P$2:$P$27),ISNUMBER(Table13[[#This Row],[Column4]]),Table13[[#This Row],[Column4]],Table13[[#This Row],[Column4]]="",I477*(1+Table13[[#This Row],[Ávöxtun]]))</f>
        <v>154.13048958966405</v>
      </c>
      <c r="L478" s="33">
        <v>154.13048958966405</v>
      </c>
      <c r="M478" s="33">
        <v>154.13048958966405</v>
      </c>
    </row>
    <row r="479" spans="1:13">
      <c r="A479" t="s">
        <v>97</v>
      </c>
      <c r="B479">
        <v>2005</v>
      </c>
      <c r="C479" s="16">
        <v>0.08</v>
      </c>
      <c r="D479" s="1">
        <v>1598629</v>
      </c>
      <c r="E479" s="29">
        <f>Table13[[#This Row],[Ávöxtun]]*Table13[[#This Row],[Eignir]]/SUMIFS(Table13[Eignir],Table13[Year],Table13[[#This Row],[Year]])</f>
        <v>1.3701419983480579E-4</v>
      </c>
      <c r="F479" s="23">
        <f>IF(B479=1997, 100, IF(COUNTIF(A$1:A478,A479)=0, "NEW", F478*(1+Table13[[#This Row],[Ávöxtun]])))</f>
        <v>166.46092875683718</v>
      </c>
      <c r="G479" s="18" cm="1">
        <f t="array" ref="G479">IFERROR(_xlfn.IFS(ISNUMBER(Table13[[#This Row],[Column3]]),Table13[[#This Row],[Column3]],Table13[[#This Row],[Column3]]="NEW",Table13[[#This Row],[Column3]]),"")</f>
        <v>166.46092875683718</v>
      </c>
      <c r="H479" s="15" cm="1">
        <f t="array" ref="H479">_xlfn.IFS(Table13[[#This Row],[Column4]]="NEW",AVERAGEIFS(Table13[Column4],Table13[Year],Table13[[#This Row],[Year]]),ISNUMBER(Table13[[#This Row],[Column4]]),Table13[[#This Row],[Column4]],Table13[[#This Row],[Column4]]="",H478*(1+Table13[[#This Row],[Ávöxtun]]))</f>
        <v>166.46092875683718</v>
      </c>
      <c r="I479" cm="1">
        <f t="array" ref="I479">_xlfn.IFS(Table13[[#This Row],[Column4]]="NEW",_xlfn.XLOOKUP(Table13[[#This Row],[Year]],$N$2:$N$27,$P$2:$P$27),ISNUMBER(Table13[[#This Row],[Column4]]),Table13[[#This Row],[Column4]],Table13[[#This Row],[Column4]]="",I478*(1+Table13[[#This Row],[Ávöxtun]]))</f>
        <v>166.46092875683718</v>
      </c>
      <c r="L479" s="33">
        <v>166.46092875683718</v>
      </c>
      <c r="M479" s="33">
        <v>166.46092875683718</v>
      </c>
    </row>
    <row r="480" spans="1:13">
      <c r="A480" t="s">
        <v>97</v>
      </c>
      <c r="B480">
        <v>2006</v>
      </c>
      <c r="C480" s="16">
        <v>7.4900000000000008E-2</v>
      </c>
      <c r="D480" s="1">
        <v>1769815</v>
      </c>
      <c r="E480" s="29">
        <f>Table13[[#This Row],[Ávöxtun]]*Table13[[#This Row],[Eignir]]/SUMIFS(Table13[Eignir],Table13[Year],Table13[[#This Row],[Year]])</f>
        <v>1.1652402032278191E-4</v>
      </c>
      <c r="F480" s="23">
        <f>IF(B480=1997, 100, IF(COUNTIF(A$1:A479,A480)=0, "NEW", F479*(1+Table13[[#This Row],[Ávöxtun]])))</f>
        <v>178.92885232072427</v>
      </c>
      <c r="G480" s="18" cm="1">
        <f t="array" ref="G480">IFERROR(_xlfn.IFS(ISNUMBER(Table13[[#This Row],[Column3]]),Table13[[#This Row],[Column3]],Table13[[#This Row],[Column3]]="NEW",Table13[[#This Row],[Column3]]),"")</f>
        <v>178.92885232072427</v>
      </c>
      <c r="H480" s="15" cm="1">
        <f t="array" ref="H480">_xlfn.IFS(Table13[[#This Row],[Column4]]="NEW",AVERAGEIFS(Table13[Column4],Table13[Year],Table13[[#This Row],[Year]]),ISNUMBER(Table13[[#This Row],[Column4]]),Table13[[#This Row],[Column4]],Table13[[#This Row],[Column4]]="",H479*(1+Table13[[#This Row],[Ávöxtun]]))</f>
        <v>178.92885232072427</v>
      </c>
      <c r="I480" cm="1">
        <f t="array" ref="I480">_xlfn.IFS(Table13[[#This Row],[Column4]]="NEW",_xlfn.XLOOKUP(Table13[[#This Row],[Year]],$N$2:$N$27,$P$2:$P$27),ISNUMBER(Table13[[#This Row],[Column4]]),Table13[[#This Row],[Column4]],Table13[[#This Row],[Column4]]="",I479*(1+Table13[[#This Row],[Ávöxtun]]))</f>
        <v>178.92885232072427</v>
      </c>
      <c r="L480" s="33">
        <v>178.92885232072427</v>
      </c>
      <c r="M480" s="33">
        <v>178.92885232072427</v>
      </c>
    </row>
    <row r="481" spans="1:13">
      <c r="A481" t="s">
        <v>98</v>
      </c>
      <c r="B481">
        <v>1997</v>
      </c>
      <c r="C481" s="16">
        <v>0.08</v>
      </c>
      <c r="D481" s="1">
        <v>12918896.17</v>
      </c>
      <c r="E481" s="29">
        <f>Table13[[#This Row],[Ávöxtun]]*Table13[[#This Row],[Eignir]]/SUMIFS(Table13[Eignir],Table13[Year],Table13[[#This Row],[Year]])</f>
        <v>3.6218361214494124E-3</v>
      </c>
      <c r="F481" s="23">
        <f>IF(B481=1997, 100, IF(COUNTIF(A$1:A480,A481)=0, "NEW", F480*(1+Table13[[#This Row],[Ávöxtun]])))</f>
        <v>100</v>
      </c>
      <c r="G481" s="18" cm="1">
        <f t="array" ref="G481">IFERROR(_xlfn.IFS(ISNUMBER(Table13[[#This Row],[Column3]]),Table13[[#This Row],[Column3]],Table13[[#This Row],[Column3]]="NEW",Table13[[#This Row],[Column3]]),"")</f>
        <v>100</v>
      </c>
      <c r="H481" s="15" cm="1">
        <f t="array" ref="H481">_xlfn.IFS(Table13[[#This Row],[Column4]]="NEW",AVERAGEIFS(Table13[Column4],Table13[Year],Table13[[#This Row],[Year]]),ISNUMBER(Table13[[#This Row],[Column4]]),Table13[[#This Row],[Column4]],Table13[[#This Row],[Column4]]="",H480*(1+Table13[[#This Row],[Ávöxtun]]))</f>
        <v>100</v>
      </c>
      <c r="I481" cm="1">
        <f t="array" ref="I481">_xlfn.IFS(Table13[[#This Row],[Column4]]="NEW",_xlfn.XLOOKUP(Table13[[#This Row],[Year]],$N$2:$N$27,$P$2:$P$27),ISNUMBER(Table13[[#This Row],[Column4]]),Table13[[#This Row],[Column4]],Table13[[#This Row],[Column4]]="",I480*(1+Table13[[#This Row],[Ávöxtun]]))</f>
        <v>100</v>
      </c>
      <c r="L481" s="33">
        <v>100</v>
      </c>
      <c r="M481" s="33">
        <v>100</v>
      </c>
    </row>
    <row r="482" spans="1:13">
      <c r="A482" t="s">
        <v>98</v>
      </c>
      <c r="B482">
        <v>1998</v>
      </c>
      <c r="C482" s="16">
        <v>0.1</v>
      </c>
      <c r="D482" s="1">
        <v>14831105.6</v>
      </c>
      <c r="E482" s="29">
        <f>Table13[[#This Row],[Ávöxtun]]*Table13[[#This Row],[Eignir]]/SUMIFS(Table13[Eignir],Table13[Year],Table13[[#This Row],[Year]])</f>
        <v>4.4874964884686055E-3</v>
      </c>
      <c r="F482" s="23">
        <f>IF(B482=1997, 100, IF(COUNTIF(A$1:A481,A482)=0, "NEW", F481*(1+Table13[[#This Row],[Ávöxtun]])))</f>
        <v>110.00000000000001</v>
      </c>
      <c r="G482" s="18" cm="1">
        <f t="array" ref="G482">IFERROR(_xlfn.IFS(ISNUMBER(Table13[[#This Row],[Column3]]),Table13[[#This Row],[Column3]],Table13[[#This Row],[Column3]]="NEW",Table13[[#This Row],[Column3]]),"")</f>
        <v>110.00000000000001</v>
      </c>
      <c r="H482" s="15" cm="1">
        <f t="array" ref="H482">_xlfn.IFS(Table13[[#This Row],[Column4]]="NEW",AVERAGEIFS(Table13[Column4],Table13[Year],Table13[[#This Row],[Year]]),ISNUMBER(Table13[[#This Row],[Column4]]),Table13[[#This Row],[Column4]],Table13[[#This Row],[Column4]]="",H481*(1+Table13[[#This Row],[Ávöxtun]]))</f>
        <v>110.00000000000001</v>
      </c>
      <c r="I482" cm="1">
        <f t="array" ref="I482">_xlfn.IFS(Table13[[#This Row],[Column4]]="NEW",_xlfn.XLOOKUP(Table13[[#This Row],[Year]],$N$2:$N$27,$P$2:$P$27),ISNUMBER(Table13[[#This Row],[Column4]]),Table13[[#This Row],[Column4]],Table13[[#This Row],[Column4]]="",I481*(1+Table13[[#This Row],[Ávöxtun]]))</f>
        <v>110.00000000000001</v>
      </c>
      <c r="L482" s="33">
        <v>110.00000000000001</v>
      </c>
      <c r="M482" s="33">
        <v>110.00000000000001</v>
      </c>
    </row>
    <row r="483" spans="1:13">
      <c r="A483" t="s">
        <v>98</v>
      </c>
      <c r="B483">
        <v>1999</v>
      </c>
      <c r="C483" s="16">
        <v>0.16</v>
      </c>
      <c r="D483" s="1">
        <v>18759203.879999999</v>
      </c>
      <c r="E483" s="29">
        <f>Table13[[#This Row],[Ávöxtun]]*Table13[[#This Row],[Eignir]]/SUMIFS(Table13[Eignir],Table13[Year],Table13[[#This Row],[Year]])</f>
        <v>6.7612305196490972E-3</v>
      </c>
      <c r="F483" s="23">
        <f>IF(B483=1997, 100, IF(COUNTIF(A$1:A482,A483)=0, "NEW", F482*(1+Table13[[#This Row],[Ávöxtun]])))</f>
        <v>127.60000000000001</v>
      </c>
      <c r="G483" s="18" cm="1">
        <f t="array" ref="G483">IFERROR(_xlfn.IFS(ISNUMBER(Table13[[#This Row],[Column3]]),Table13[[#This Row],[Column3]],Table13[[#This Row],[Column3]]="NEW",Table13[[#This Row],[Column3]]),"")</f>
        <v>127.60000000000001</v>
      </c>
      <c r="H483" s="15" cm="1">
        <f t="array" ref="H483">_xlfn.IFS(Table13[[#This Row],[Column4]]="NEW",AVERAGEIFS(Table13[Column4],Table13[Year],Table13[[#This Row],[Year]]),ISNUMBER(Table13[[#This Row],[Column4]]),Table13[[#This Row],[Column4]],Table13[[#This Row],[Column4]]="",H482*(1+Table13[[#This Row],[Ávöxtun]]))</f>
        <v>127.60000000000001</v>
      </c>
      <c r="I483" cm="1">
        <f t="array" ref="I483">_xlfn.IFS(Table13[[#This Row],[Column4]]="NEW",_xlfn.XLOOKUP(Table13[[#This Row],[Year]],$N$2:$N$27,$P$2:$P$27),ISNUMBER(Table13[[#This Row],[Column4]]),Table13[[#This Row],[Column4]],Table13[[#This Row],[Column4]]="",I482*(1+Table13[[#This Row],[Ávöxtun]]))</f>
        <v>127.60000000000001</v>
      </c>
      <c r="L483" s="33">
        <v>127.60000000000001</v>
      </c>
      <c r="M483" s="33">
        <v>127.60000000000001</v>
      </c>
    </row>
    <row r="484" spans="1:13">
      <c r="A484" t="s">
        <v>98</v>
      </c>
      <c r="B484">
        <v>2000</v>
      </c>
      <c r="C484" s="16">
        <v>-0.03</v>
      </c>
      <c r="D484" s="1">
        <v>19525603.260000002</v>
      </c>
      <c r="E484" s="29">
        <f>Table13[[#This Row],[Ávöxtun]]*Table13[[#This Row],[Eignir]]/SUMIFS(Table13[Eignir],Table13[Year],Table13[[#This Row],[Year]])</f>
        <v>-9.3800694759173719E-4</v>
      </c>
      <c r="F484" s="23">
        <f>IF(B484=1997, 100, IF(COUNTIF(A$1:A483,A484)=0, "NEW", F483*(1+Table13[[#This Row],[Ávöxtun]])))</f>
        <v>123.77200000000001</v>
      </c>
      <c r="G484" s="18" cm="1">
        <f t="array" ref="G484">IFERROR(_xlfn.IFS(ISNUMBER(Table13[[#This Row],[Column3]]),Table13[[#This Row],[Column3]],Table13[[#This Row],[Column3]]="NEW",Table13[[#This Row],[Column3]]),"")</f>
        <v>123.77200000000001</v>
      </c>
      <c r="H484" s="15" cm="1">
        <f t="array" ref="H484">_xlfn.IFS(Table13[[#This Row],[Column4]]="NEW",AVERAGEIFS(Table13[Column4],Table13[Year],Table13[[#This Row],[Year]]),ISNUMBER(Table13[[#This Row],[Column4]]),Table13[[#This Row],[Column4]],Table13[[#This Row],[Column4]]="",H483*(1+Table13[[#This Row],[Ávöxtun]]))</f>
        <v>123.77200000000001</v>
      </c>
      <c r="I484" cm="1">
        <f t="array" ref="I484">_xlfn.IFS(Table13[[#This Row],[Column4]]="NEW",_xlfn.XLOOKUP(Table13[[#This Row],[Year]],$N$2:$N$27,$P$2:$P$27),ISNUMBER(Table13[[#This Row],[Column4]]),Table13[[#This Row],[Column4]],Table13[[#This Row],[Column4]]="",I483*(1+Table13[[#This Row],[Ávöxtun]]))</f>
        <v>123.77200000000001</v>
      </c>
      <c r="L484" s="33">
        <v>123.77200000000001</v>
      </c>
      <c r="M484" s="33">
        <v>123.77200000000001</v>
      </c>
    </row>
    <row r="485" spans="1:13">
      <c r="A485" t="s">
        <v>98</v>
      </c>
      <c r="B485">
        <v>2001</v>
      </c>
      <c r="C485" s="16">
        <v>-0.04</v>
      </c>
      <c r="D485" s="1">
        <v>56446787</v>
      </c>
      <c r="E485" s="29">
        <f>Table13[[#This Row],[Ávöxtun]]*Table13[[#This Row],[Eignir]]/SUMIFS(Table13[Eignir],Table13[Year],Table13[[#This Row],[Year]])</f>
        <v>-2.3494030539176732E-3</v>
      </c>
      <c r="F485" s="23">
        <f>IF(B485=1997, 100, IF(COUNTIF(A$1:A484,A485)=0, "NEW", F484*(1+Table13[[#This Row],[Ávöxtun]])))</f>
        <v>118.82112000000001</v>
      </c>
      <c r="G485" s="18" cm="1">
        <f t="array" ref="G485">IFERROR(_xlfn.IFS(ISNUMBER(Table13[[#This Row],[Column3]]),Table13[[#This Row],[Column3]],Table13[[#This Row],[Column3]]="NEW",Table13[[#This Row],[Column3]]),"")</f>
        <v>118.82112000000001</v>
      </c>
      <c r="H485" s="15" cm="1">
        <f t="array" ref="H485">_xlfn.IFS(Table13[[#This Row],[Column4]]="NEW",AVERAGEIFS(Table13[Column4],Table13[Year],Table13[[#This Row],[Year]]),ISNUMBER(Table13[[#This Row],[Column4]]),Table13[[#This Row],[Column4]],Table13[[#This Row],[Column4]]="",H484*(1+Table13[[#This Row],[Ávöxtun]]))</f>
        <v>118.82112000000001</v>
      </c>
      <c r="I485" cm="1">
        <f t="array" ref="I485">_xlfn.IFS(Table13[[#This Row],[Column4]]="NEW",_xlfn.XLOOKUP(Table13[[#This Row],[Year]],$N$2:$N$27,$P$2:$P$27),ISNUMBER(Table13[[#This Row],[Column4]]),Table13[[#This Row],[Column4]],Table13[[#This Row],[Column4]]="",I484*(1+Table13[[#This Row],[Ávöxtun]]))</f>
        <v>118.82112000000001</v>
      </c>
      <c r="L485" s="33">
        <v>118.82112000000001</v>
      </c>
      <c r="M485" s="33">
        <v>118.82112000000001</v>
      </c>
    </row>
    <row r="486" spans="1:13">
      <c r="A486" t="s">
        <v>98</v>
      </c>
      <c r="B486">
        <v>2002</v>
      </c>
      <c r="C486" s="16">
        <v>-0.02</v>
      </c>
      <c r="D486" s="1">
        <v>27968753</v>
      </c>
      <c r="E486" s="29">
        <f>Table13[[#This Row],[Ávöxtun]]*Table13[[#This Row],[Eignir]]/SUMIFS(Table13[Eignir],Table13[Year],Table13[[#This Row],[Year]])</f>
        <v>-1.0497162568949214E-3</v>
      </c>
      <c r="F486" s="23">
        <f>IF(B486=1997, 100, IF(COUNTIF(A$1:A485,A486)=0, "NEW", F485*(1+Table13[[#This Row],[Ávöxtun]])))</f>
        <v>116.44469760000001</v>
      </c>
      <c r="G486" s="18" cm="1">
        <f t="array" ref="G486">IFERROR(_xlfn.IFS(ISNUMBER(Table13[[#This Row],[Column3]]),Table13[[#This Row],[Column3]],Table13[[#This Row],[Column3]]="NEW",Table13[[#This Row],[Column3]]),"")</f>
        <v>116.44469760000001</v>
      </c>
      <c r="H486" s="15" cm="1">
        <f t="array" ref="H486">_xlfn.IFS(Table13[[#This Row],[Column4]]="NEW",AVERAGEIFS(Table13[Column4],Table13[Year],Table13[[#This Row],[Year]]),ISNUMBER(Table13[[#This Row],[Column4]]),Table13[[#This Row],[Column4]],Table13[[#This Row],[Column4]]="",H485*(1+Table13[[#This Row],[Ávöxtun]]))</f>
        <v>116.44469760000001</v>
      </c>
      <c r="I486" cm="1">
        <f t="array" ref="I486">_xlfn.IFS(Table13[[#This Row],[Column4]]="NEW",_xlfn.XLOOKUP(Table13[[#This Row],[Year]],$N$2:$N$27,$P$2:$P$27),ISNUMBER(Table13[[#This Row],[Column4]]),Table13[[#This Row],[Column4]],Table13[[#This Row],[Column4]]="",I485*(1+Table13[[#This Row],[Ávöxtun]]))</f>
        <v>116.44469760000001</v>
      </c>
      <c r="L486" s="33">
        <v>116.44469760000001</v>
      </c>
      <c r="M486" s="33">
        <v>116.44469760000001</v>
      </c>
    </row>
    <row r="487" spans="1:13">
      <c r="A487" t="s">
        <v>98</v>
      </c>
      <c r="B487">
        <v>2003</v>
      </c>
      <c r="C487" s="16">
        <v>0.09</v>
      </c>
      <c r="D487" s="1">
        <v>32242102</v>
      </c>
      <c r="E487" s="29">
        <f>Table13[[#This Row],[Ávöxtun]]*Table13[[#This Row],[Eignir]]/SUMIFS(Table13[Eignir],Table13[Year],Table13[[#This Row],[Year]])</f>
        <v>4.5497446949042397E-3</v>
      </c>
      <c r="F487" s="23">
        <f>IF(B487=1997, 100, IF(COUNTIF(A$1:A486,A487)=0, "NEW", F486*(1+Table13[[#This Row],[Ávöxtun]])))</f>
        <v>126.92472038400003</v>
      </c>
      <c r="G487" s="18" cm="1">
        <f t="array" ref="G487">IFERROR(_xlfn.IFS(ISNUMBER(Table13[[#This Row],[Column3]]),Table13[[#This Row],[Column3]],Table13[[#This Row],[Column3]]="NEW",Table13[[#This Row],[Column3]]),"")</f>
        <v>126.92472038400003</v>
      </c>
      <c r="H487" s="15" cm="1">
        <f t="array" ref="H487">_xlfn.IFS(Table13[[#This Row],[Column4]]="NEW",AVERAGEIFS(Table13[Column4],Table13[Year],Table13[[#This Row],[Year]]),ISNUMBER(Table13[[#This Row],[Column4]]),Table13[[#This Row],[Column4]],Table13[[#This Row],[Column4]]="",H486*(1+Table13[[#This Row],[Ávöxtun]]))</f>
        <v>126.92472038400003</v>
      </c>
      <c r="I487" cm="1">
        <f t="array" ref="I487">_xlfn.IFS(Table13[[#This Row],[Column4]]="NEW",_xlfn.XLOOKUP(Table13[[#This Row],[Year]],$N$2:$N$27,$P$2:$P$27),ISNUMBER(Table13[[#This Row],[Column4]]),Table13[[#This Row],[Column4]],Table13[[#This Row],[Column4]]="",I486*(1+Table13[[#This Row],[Ávöxtun]]))</f>
        <v>126.92472038400003</v>
      </c>
      <c r="L487" s="33">
        <v>126.92472038400003</v>
      </c>
      <c r="M487" s="33">
        <v>126.92472038400003</v>
      </c>
    </row>
    <row r="488" spans="1:13">
      <c r="A488" t="s">
        <v>98</v>
      </c>
      <c r="B488">
        <v>2004</v>
      </c>
      <c r="C488" s="16">
        <v>0.13</v>
      </c>
      <c r="D488" s="1">
        <v>38019390.359999999</v>
      </c>
      <c r="E488" s="29">
        <f>Table13[[#This Row],[Ávöxtun]]*Table13[[#This Row],[Eignir]]/SUMIFS(Table13[Eignir],Table13[Year],Table13[[#This Row],[Year]])</f>
        <v>6.50646363976763E-3</v>
      </c>
      <c r="F488" s="23">
        <f>IF(B488=1997, 100, IF(COUNTIF(A$1:A487,A488)=0, "NEW", F487*(1+Table13[[#This Row],[Ávöxtun]])))</f>
        <v>143.42493403392001</v>
      </c>
      <c r="G488" s="18" cm="1">
        <f t="array" ref="G488">IFERROR(_xlfn.IFS(ISNUMBER(Table13[[#This Row],[Column3]]),Table13[[#This Row],[Column3]],Table13[[#This Row],[Column3]]="NEW",Table13[[#This Row],[Column3]]),"")</f>
        <v>143.42493403392001</v>
      </c>
      <c r="H488" s="15" cm="1">
        <f t="array" ref="H488">_xlfn.IFS(Table13[[#This Row],[Column4]]="NEW",AVERAGEIFS(Table13[Column4],Table13[Year],Table13[[#This Row],[Year]]),ISNUMBER(Table13[[#This Row],[Column4]]),Table13[[#This Row],[Column4]],Table13[[#This Row],[Column4]]="",H487*(1+Table13[[#This Row],[Ávöxtun]]))</f>
        <v>143.42493403392001</v>
      </c>
      <c r="I488" cm="1">
        <f t="array" ref="I488">_xlfn.IFS(Table13[[#This Row],[Column4]]="NEW",_xlfn.XLOOKUP(Table13[[#This Row],[Year]],$N$2:$N$27,$P$2:$P$27),ISNUMBER(Table13[[#This Row],[Column4]]),Table13[[#This Row],[Column4]],Table13[[#This Row],[Column4]]="",I487*(1+Table13[[#This Row],[Ávöxtun]]))</f>
        <v>143.42493403392001</v>
      </c>
      <c r="L488" s="33">
        <v>143.42493403392001</v>
      </c>
      <c r="M488" s="33">
        <v>143.42493403392001</v>
      </c>
    </row>
    <row r="489" spans="1:13">
      <c r="A489" t="s">
        <v>98</v>
      </c>
      <c r="B489">
        <v>2005</v>
      </c>
      <c r="C489" s="16">
        <v>0.14000000000000001</v>
      </c>
      <c r="D489" s="1">
        <v>46325670</v>
      </c>
      <c r="E489" s="29">
        <f>Table13[[#This Row],[Ávöxtun]]*Table13[[#This Row],[Eignir]]/SUMIFS(Table13[Eignir],Table13[Year],Table13[[#This Row],[Year]])</f>
        <v>6.9482854133180493E-3</v>
      </c>
      <c r="F489" s="23">
        <f>IF(B489=1997, 100, IF(COUNTIF(A$1:A488,A489)=0, "NEW", F488*(1+Table13[[#This Row],[Ávöxtun]])))</f>
        <v>163.50442479866882</v>
      </c>
      <c r="G489" s="18" cm="1">
        <f t="array" ref="G489">IFERROR(_xlfn.IFS(ISNUMBER(Table13[[#This Row],[Column3]]),Table13[[#This Row],[Column3]],Table13[[#This Row],[Column3]]="NEW",Table13[[#This Row],[Column3]]),"")</f>
        <v>163.50442479866882</v>
      </c>
      <c r="H489" s="15" cm="1">
        <f t="array" ref="H489">_xlfn.IFS(Table13[[#This Row],[Column4]]="NEW",AVERAGEIFS(Table13[Column4],Table13[Year],Table13[[#This Row],[Year]]),ISNUMBER(Table13[[#This Row],[Column4]]),Table13[[#This Row],[Column4]],Table13[[#This Row],[Column4]]="",H488*(1+Table13[[#This Row],[Ávöxtun]]))</f>
        <v>163.50442479866882</v>
      </c>
      <c r="I489" cm="1">
        <f t="array" ref="I489">_xlfn.IFS(Table13[[#This Row],[Column4]]="NEW",_xlfn.XLOOKUP(Table13[[#This Row],[Year]],$N$2:$N$27,$P$2:$P$27),ISNUMBER(Table13[[#This Row],[Column4]]),Table13[[#This Row],[Column4]],Table13[[#This Row],[Column4]]="",I488*(1+Table13[[#This Row],[Ávöxtun]]))</f>
        <v>163.50442479866882</v>
      </c>
      <c r="L489" s="33">
        <v>163.50442479866882</v>
      </c>
      <c r="M489" s="33">
        <v>163.50442479866882</v>
      </c>
    </row>
    <row r="490" spans="1:13">
      <c r="A490" t="s">
        <v>98</v>
      </c>
      <c r="B490">
        <v>2006</v>
      </c>
      <c r="C490" s="16">
        <v>8.6400000000000005E-2</v>
      </c>
      <c r="D490" s="1">
        <v>55126217</v>
      </c>
      <c r="E490" s="29">
        <f>Table13[[#This Row],[Ávöxtun]]*Table13[[#This Row],[Eignir]]/SUMIFS(Table13[Eignir],Table13[Year],Table13[[#This Row],[Year]])</f>
        <v>4.1867565050633703E-3</v>
      </c>
      <c r="F490" s="23">
        <f>IF(B490=1997, 100, IF(COUNTIF(A$1:A489,A490)=0, "NEW", F489*(1+Table13[[#This Row],[Ávöxtun]])))</f>
        <v>177.63120710127382</v>
      </c>
      <c r="G490" s="18" cm="1">
        <f t="array" ref="G490">IFERROR(_xlfn.IFS(ISNUMBER(Table13[[#This Row],[Column3]]),Table13[[#This Row],[Column3]],Table13[[#This Row],[Column3]]="NEW",Table13[[#This Row],[Column3]]),"")</f>
        <v>177.63120710127382</v>
      </c>
      <c r="H490" s="15" cm="1">
        <f t="array" ref="H490">_xlfn.IFS(Table13[[#This Row],[Column4]]="NEW",AVERAGEIFS(Table13[Column4],Table13[Year],Table13[[#This Row],[Year]]),ISNUMBER(Table13[[#This Row],[Column4]]),Table13[[#This Row],[Column4]],Table13[[#This Row],[Column4]]="",H489*(1+Table13[[#This Row],[Ávöxtun]]))</f>
        <v>177.63120710127382</v>
      </c>
      <c r="I490" cm="1">
        <f t="array" ref="I490">_xlfn.IFS(Table13[[#This Row],[Column4]]="NEW",_xlfn.XLOOKUP(Table13[[#This Row],[Year]],$N$2:$N$27,$P$2:$P$27),ISNUMBER(Table13[[#This Row],[Column4]]),Table13[[#This Row],[Column4]],Table13[[#This Row],[Column4]]="",I489*(1+Table13[[#This Row],[Ávöxtun]]))</f>
        <v>177.63120710127382</v>
      </c>
      <c r="L490" s="33">
        <v>177.63120710127382</v>
      </c>
      <c r="M490" s="33">
        <v>177.63120710127382</v>
      </c>
    </row>
    <row r="491" spans="1:13">
      <c r="A491" t="s">
        <v>141</v>
      </c>
      <c r="B491">
        <v>1997</v>
      </c>
      <c r="C491" s="16">
        <v>0</v>
      </c>
      <c r="D491" s="1">
        <v>9495.1</v>
      </c>
      <c r="E491" s="29">
        <f>Table13[[#This Row],[Ávöxtun]]*Table13[[#This Row],[Eignir]]/SUMIFS(Table13[Eignir],Table13[Year],Table13[[#This Row],[Year]])</f>
        <v>0</v>
      </c>
      <c r="F491" s="23">
        <f>IF(B491=1997, 100, IF(COUNTIF(A$1:A490,A491)=0, "NEW", F490*(1+Table13[[#This Row],[Ávöxtun]])))</f>
        <v>100</v>
      </c>
      <c r="G491" s="18" cm="1">
        <f t="array" ref="G491">IFERROR(_xlfn.IFS(ISNUMBER(Table13[[#This Row],[Column3]]),Table13[[#This Row],[Column3]],Table13[[#This Row],[Column3]]="NEW",Table13[[#This Row],[Column3]]),"")</f>
        <v>100</v>
      </c>
      <c r="H491" s="15" cm="1">
        <f t="array" ref="H491">_xlfn.IFS(Table13[[#This Row],[Column4]]="NEW",AVERAGEIFS(Table13[Column4],Table13[Year],Table13[[#This Row],[Year]]),ISNUMBER(Table13[[#This Row],[Column4]]),Table13[[#This Row],[Column4]],Table13[[#This Row],[Column4]]="",H490*(1+Table13[[#This Row],[Ávöxtun]]))</f>
        <v>100</v>
      </c>
      <c r="I491" cm="1">
        <f t="array" ref="I491">_xlfn.IFS(Table13[[#This Row],[Column4]]="NEW",_xlfn.XLOOKUP(Table13[[#This Row],[Year]],$N$2:$N$27,$P$2:$P$27),ISNUMBER(Table13[[#This Row],[Column4]]),Table13[[#This Row],[Column4]],Table13[[#This Row],[Column4]]="",I490*(1+Table13[[#This Row],[Ávöxtun]]))</f>
        <v>100</v>
      </c>
      <c r="L491" s="33">
        <v>100</v>
      </c>
      <c r="M491" s="33">
        <v>100</v>
      </c>
    </row>
    <row r="492" spans="1:13">
      <c r="A492" t="s">
        <v>141</v>
      </c>
      <c r="B492">
        <v>1998</v>
      </c>
      <c r="C492" s="16">
        <v>0</v>
      </c>
      <c r="D492" s="1">
        <v>6062.53</v>
      </c>
      <c r="E492" s="29">
        <f>Table13[[#This Row],[Ávöxtun]]*Table13[[#This Row],[Eignir]]/SUMIFS(Table13[Eignir],Table13[Year],Table13[[#This Row],[Year]])</f>
        <v>0</v>
      </c>
      <c r="F492" s="23">
        <f>IF(B492=1997, 100, IF(COUNTIF(A$1:A491,A492)=0, "NEW", F491*(1+Table13[[#This Row],[Ávöxtun]])))</f>
        <v>100</v>
      </c>
      <c r="G492" s="18" cm="1">
        <f t="array" ref="G492">IFERROR(_xlfn.IFS(ISNUMBER(Table13[[#This Row],[Column3]]),Table13[[#This Row],[Column3]],Table13[[#This Row],[Column3]]="NEW",Table13[[#This Row],[Column3]]),"")</f>
        <v>100</v>
      </c>
      <c r="H492" s="15" cm="1">
        <f t="array" ref="H492">_xlfn.IFS(Table13[[#This Row],[Column4]]="NEW",AVERAGEIFS(Table13[Column4],Table13[Year],Table13[[#This Row],[Year]]),ISNUMBER(Table13[[#This Row],[Column4]]),Table13[[#This Row],[Column4]],Table13[[#This Row],[Column4]]="",H491*(1+Table13[[#This Row],[Ávöxtun]]))</f>
        <v>100</v>
      </c>
      <c r="I492" cm="1">
        <f t="array" ref="I492">_xlfn.IFS(Table13[[#This Row],[Column4]]="NEW",_xlfn.XLOOKUP(Table13[[#This Row],[Year]],$N$2:$N$27,$P$2:$P$27),ISNUMBER(Table13[[#This Row],[Column4]]),Table13[[#This Row],[Column4]],Table13[[#This Row],[Column4]]="",I491*(1+Table13[[#This Row],[Ávöxtun]]))</f>
        <v>100</v>
      </c>
      <c r="L492" s="33">
        <v>100</v>
      </c>
      <c r="M492" s="33">
        <v>100</v>
      </c>
    </row>
    <row r="493" spans="1:13">
      <c r="A493" t="s">
        <v>99</v>
      </c>
      <c r="B493">
        <v>1997</v>
      </c>
      <c r="C493" s="16">
        <v>0.05</v>
      </c>
      <c r="D493" s="1">
        <v>1267436.26</v>
      </c>
      <c r="E493" s="29">
        <f>Table13[[#This Row],[Ávöxtun]]*Table13[[#This Row],[Eignir]]/SUMIFS(Table13[Eignir],Table13[Year],Table13[[#This Row],[Year]])</f>
        <v>2.220800430478433E-4</v>
      </c>
      <c r="F493" s="23">
        <f>IF(B493=1997, 100, IF(COUNTIF(A$1:A492,A493)=0, "NEW", F492*(1+Table13[[#This Row],[Ávöxtun]])))</f>
        <v>100</v>
      </c>
      <c r="G493" s="18" cm="1">
        <f t="array" ref="G493">IFERROR(_xlfn.IFS(ISNUMBER(Table13[[#This Row],[Column3]]),Table13[[#This Row],[Column3]],Table13[[#This Row],[Column3]]="NEW",Table13[[#This Row],[Column3]]),"")</f>
        <v>100</v>
      </c>
      <c r="H493" s="15" cm="1">
        <f t="array" ref="H493">_xlfn.IFS(Table13[[#This Row],[Column4]]="NEW",AVERAGEIFS(Table13[Column4],Table13[Year],Table13[[#This Row],[Year]]),ISNUMBER(Table13[[#This Row],[Column4]]),Table13[[#This Row],[Column4]],Table13[[#This Row],[Column4]]="",H492*(1+Table13[[#This Row],[Ávöxtun]]))</f>
        <v>100</v>
      </c>
      <c r="I493" cm="1">
        <f t="array" ref="I493">_xlfn.IFS(Table13[[#This Row],[Column4]]="NEW",_xlfn.XLOOKUP(Table13[[#This Row],[Year]],$N$2:$N$27,$P$2:$P$27),ISNUMBER(Table13[[#This Row],[Column4]]),Table13[[#This Row],[Column4]],Table13[[#This Row],[Column4]]="",I492*(1+Table13[[#This Row],[Ávöxtun]]))</f>
        <v>100</v>
      </c>
      <c r="L493" s="33">
        <v>100</v>
      </c>
      <c r="M493" s="33">
        <v>100</v>
      </c>
    </row>
    <row r="494" spans="1:13">
      <c r="A494" t="s">
        <v>99</v>
      </c>
      <c r="B494">
        <v>1998</v>
      </c>
      <c r="C494" s="16">
        <v>0.06</v>
      </c>
      <c r="D494" s="1">
        <v>1417601.36</v>
      </c>
      <c r="E494" s="29">
        <f>Table13[[#This Row],[Ávöxtun]]*Table13[[#This Row],[Eignir]]/SUMIFS(Table13[Eignir],Table13[Year],Table13[[#This Row],[Year]])</f>
        <v>2.5735698861378153E-4</v>
      </c>
      <c r="F494" s="23">
        <f>IF(B494=1997, 100, IF(COUNTIF(A$1:A493,A494)=0, "NEW", F493*(1+Table13[[#This Row],[Ávöxtun]])))</f>
        <v>106</v>
      </c>
      <c r="G494" s="18" cm="1">
        <f t="array" ref="G494">IFERROR(_xlfn.IFS(ISNUMBER(Table13[[#This Row],[Column3]]),Table13[[#This Row],[Column3]],Table13[[#This Row],[Column3]]="NEW",Table13[[#This Row],[Column3]]),"")</f>
        <v>106</v>
      </c>
      <c r="H494" s="15" cm="1">
        <f t="array" ref="H494">_xlfn.IFS(Table13[[#This Row],[Column4]]="NEW",AVERAGEIFS(Table13[Column4],Table13[Year],Table13[[#This Row],[Year]]),ISNUMBER(Table13[[#This Row],[Column4]]),Table13[[#This Row],[Column4]],Table13[[#This Row],[Column4]]="",H493*(1+Table13[[#This Row],[Ávöxtun]]))</f>
        <v>106</v>
      </c>
      <c r="I494" cm="1">
        <f t="array" ref="I494">_xlfn.IFS(Table13[[#This Row],[Column4]]="NEW",_xlfn.XLOOKUP(Table13[[#This Row],[Year]],$N$2:$N$27,$P$2:$P$27),ISNUMBER(Table13[[#This Row],[Column4]]),Table13[[#This Row],[Column4]],Table13[[#This Row],[Column4]]="",I493*(1+Table13[[#This Row],[Ávöxtun]]))</f>
        <v>106</v>
      </c>
      <c r="L494" s="33">
        <v>106</v>
      </c>
      <c r="M494" s="33">
        <v>106</v>
      </c>
    </row>
    <row r="495" spans="1:13">
      <c r="A495" t="s">
        <v>99</v>
      </c>
      <c r="B495">
        <v>1999</v>
      </c>
      <c r="C495" s="16">
        <v>0.05</v>
      </c>
      <c r="D495" s="1">
        <v>1646109.34</v>
      </c>
      <c r="E495" s="29">
        <f>Table13[[#This Row],[Ávöxtun]]*Table13[[#This Row],[Eignir]]/SUMIFS(Table13[Eignir],Table13[Year],Table13[[#This Row],[Year]])</f>
        <v>1.8540440167868271E-4</v>
      </c>
      <c r="F495" s="23">
        <f>IF(B495=1997, 100, IF(COUNTIF(A$1:A494,A495)=0, "NEW", F494*(1+Table13[[#This Row],[Ávöxtun]])))</f>
        <v>111.30000000000001</v>
      </c>
      <c r="G495" s="18" cm="1">
        <f t="array" ref="G495">IFERROR(_xlfn.IFS(ISNUMBER(Table13[[#This Row],[Column3]]),Table13[[#This Row],[Column3]],Table13[[#This Row],[Column3]]="NEW",Table13[[#This Row],[Column3]]),"")</f>
        <v>111.30000000000001</v>
      </c>
      <c r="H495" s="15" cm="1">
        <f t="array" ref="H495">_xlfn.IFS(Table13[[#This Row],[Column4]]="NEW",AVERAGEIFS(Table13[Column4],Table13[Year],Table13[[#This Row],[Year]]),ISNUMBER(Table13[[#This Row],[Column4]]),Table13[[#This Row],[Column4]],Table13[[#This Row],[Column4]]="",H494*(1+Table13[[#This Row],[Ávöxtun]]))</f>
        <v>111.30000000000001</v>
      </c>
      <c r="I495" cm="1">
        <f t="array" ref="I495">_xlfn.IFS(Table13[[#This Row],[Column4]]="NEW",_xlfn.XLOOKUP(Table13[[#This Row],[Year]],$N$2:$N$27,$P$2:$P$27),ISNUMBER(Table13[[#This Row],[Column4]]),Table13[[#This Row],[Column4]],Table13[[#This Row],[Column4]]="",I494*(1+Table13[[#This Row],[Ávöxtun]]))</f>
        <v>111.30000000000001</v>
      </c>
      <c r="L495" s="33">
        <v>111.30000000000001</v>
      </c>
      <c r="M495" s="33">
        <v>111.30000000000001</v>
      </c>
    </row>
    <row r="496" spans="1:13">
      <c r="A496" t="s">
        <v>99</v>
      </c>
      <c r="B496">
        <v>2000</v>
      </c>
      <c r="C496" s="16">
        <v>0.03</v>
      </c>
      <c r="D496" s="1">
        <v>1875408.81</v>
      </c>
      <c r="E496" s="29">
        <f>Table13[[#This Row],[Ávöxtun]]*Table13[[#This Row],[Eignir]]/SUMIFS(Table13[Eignir],Table13[Year],Table13[[#This Row],[Year]])</f>
        <v>9.0094347914900348E-5</v>
      </c>
      <c r="F496" s="23">
        <f>IF(B496=1997, 100, IF(COUNTIF(A$1:A495,A496)=0, "NEW", F495*(1+Table13[[#This Row],[Ávöxtun]])))</f>
        <v>114.63900000000001</v>
      </c>
      <c r="G496" s="18" cm="1">
        <f t="array" ref="G496">IFERROR(_xlfn.IFS(ISNUMBER(Table13[[#This Row],[Column3]]),Table13[[#This Row],[Column3]],Table13[[#This Row],[Column3]]="NEW",Table13[[#This Row],[Column3]]),"")</f>
        <v>114.63900000000001</v>
      </c>
      <c r="H496" s="15" cm="1">
        <f t="array" ref="H496">_xlfn.IFS(Table13[[#This Row],[Column4]]="NEW",AVERAGEIFS(Table13[Column4],Table13[Year],Table13[[#This Row],[Year]]),ISNUMBER(Table13[[#This Row],[Column4]]),Table13[[#This Row],[Column4]],Table13[[#This Row],[Column4]]="",H495*(1+Table13[[#This Row],[Ávöxtun]]))</f>
        <v>114.63900000000001</v>
      </c>
      <c r="I496" cm="1">
        <f t="array" ref="I496">_xlfn.IFS(Table13[[#This Row],[Column4]]="NEW",_xlfn.XLOOKUP(Table13[[#This Row],[Year]],$N$2:$N$27,$P$2:$P$27),ISNUMBER(Table13[[#This Row],[Column4]]),Table13[[#This Row],[Column4]],Table13[[#This Row],[Column4]]="",I495*(1+Table13[[#This Row],[Ávöxtun]]))</f>
        <v>114.63900000000001</v>
      </c>
      <c r="L496" s="33">
        <v>114.63900000000001</v>
      </c>
      <c r="M496" s="33">
        <v>114.63900000000001</v>
      </c>
    </row>
    <row r="497" spans="1:13">
      <c r="A497" t="s">
        <v>99</v>
      </c>
      <c r="B497">
        <v>2001</v>
      </c>
      <c r="C497" s="16">
        <v>0.04</v>
      </c>
      <c r="D497" s="1">
        <v>2207701</v>
      </c>
      <c r="E497" s="29">
        <f>Table13[[#This Row],[Ávöxtun]]*Table13[[#This Row],[Eignir]]/SUMIFS(Table13[Eignir],Table13[Year],Table13[[#This Row],[Year]])</f>
        <v>9.1887948760256295E-5</v>
      </c>
      <c r="F497" s="23">
        <f>IF(B497=1997, 100, IF(COUNTIF(A$1:A496,A497)=0, "NEW", F496*(1+Table13[[#This Row],[Ávöxtun]])))</f>
        <v>119.22456000000001</v>
      </c>
      <c r="G497" s="18" cm="1">
        <f t="array" ref="G497">IFERROR(_xlfn.IFS(ISNUMBER(Table13[[#This Row],[Column3]]),Table13[[#This Row],[Column3]],Table13[[#This Row],[Column3]]="NEW",Table13[[#This Row],[Column3]]),"")</f>
        <v>119.22456000000001</v>
      </c>
      <c r="H497" s="15" cm="1">
        <f t="array" ref="H497">_xlfn.IFS(Table13[[#This Row],[Column4]]="NEW",AVERAGEIFS(Table13[Column4],Table13[Year],Table13[[#This Row],[Year]]),ISNUMBER(Table13[[#This Row],[Column4]]),Table13[[#This Row],[Column4]],Table13[[#This Row],[Column4]]="",H496*(1+Table13[[#This Row],[Ávöxtun]]))</f>
        <v>119.22456000000001</v>
      </c>
      <c r="I497" cm="1">
        <f t="array" ref="I497">_xlfn.IFS(Table13[[#This Row],[Column4]]="NEW",_xlfn.XLOOKUP(Table13[[#This Row],[Year]],$N$2:$N$27,$P$2:$P$27),ISNUMBER(Table13[[#This Row],[Column4]]),Table13[[#This Row],[Column4]],Table13[[#This Row],[Column4]]="",I496*(1+Table13[[#This Row],[Ávöxtun]]))</f>
        <v>119.22456000000001</v>
      </c>
      <c r="L497" s="33">
        <v>119.22456000000001</v>
      </c>
      <c r="M497" s="33">
        <v>119.22456000000001</v>
      </c>
    </row>
    <row r="498" spans="1:13">
      <c r="A498" t="s">
        <v>99</v>
      </c>
      <c r="B498">
        <v>2002</v>
      </c>
      <c r="C498" s="16">
        <v>0.04</v>
      </c>
      <c r="D498" s="1">
        <v>2384937.79</v>
      </c>
      <c r="E498" s="29">
        <f>Table13[[#This Row],[Ávöxtun]]*Table13[[#This Row],[Eignir]]/SUMIFS(Table13[Eignir],Table13[Year],Table13[[#This Row],[Year]])</f>
        <v>1.7902177975872186E-4</v>
      </c>
      <c r="F498" s="23">
        <f>IF(B498=1997, 100, IF(COUNTIF(A$1:A497,A498)=0, "NEW", F497*(1+Table13[[#This Row],[Ávöxtun]])))</f>
        <v>123.99354240000001</v>
      </c>
      <c r="G498" s="18" cm="1">
        <f t="array" ref="G498">IFERROR(_xlfn.IFS(ISNUMBER(Table13[[#This Row],[Column3]]),Table13[[#This Row],[Column3]],Table13[[#This Row],[Column3]]="NEW",Table13[[#This Row],[Column3]]),"")</f>
        <v>123.99354240000001</v>
      </c>
      <c r="H498" s="15" cm="1">
        <f t="array" ref="H498">_xlfn.IFS(Table13[[#This Row],[Column4]]="NEW",AVERAGEIFS(Table13[Column4],Table13[Year],Table13[[#This Row],[Year]]),ISNUMBER(Table13[[#This Row],[Column4]]),Table13[[#This Row],[Column4]],Table13[[#This Row],[Column4]]="",H497*(1+Table13[[#This Row],[Ávöxtun]]))</f>
        <v>123.99354240000001</v>
      </c>
      <c r="I498" cm="1">
        <f t="array" ref="I498">_xlfn.IFS(Table13[[#This Row],[Column4]]="NEW",_xlfn.XLOOKUP(Table13[[#This Row],[Year]],$N$2:$N$27,$P$2:$P$27),ISNUMBER(Table13[[#This Row],[Column4]]),Table13[[#This Row],[Column4]],Table13[[#This Row],[Column4]]="",I497*(1+Table13[[#This Row],[Ávöxtun]]))</f>
        <v>123.99354240000001</v>
      </c>
      <c r="L498" s="33">
        <v>123.99354240000001</v>
      </c>
      <c r="M498" s="33">
        <v>123.99354240000001</v>
      </c>
    </row>
    <row r="499" spans="1:13">
      <c r="A499" t="s">
        <v>99</v>
      </c>
      <c r="B499">
        <v>2003</v>
      </c>
      <c r="C499" s="16">
        <v>7.0000000000000007E-2</v>
      </c>
      <c r="D499" s="1">
        <v>2672915</v>
      </c>
      <c r="E499" s="29">
        <f>Table13[[#This Row],[Ávöxtun]]*Table13[[#This Row],[Eignir]]/SUMIFS(Table13[Eignir],Table13[Year],Table13[[#This Row],[Year]])</f>
        <v>2.9336233822561768E-4</v>
      </c>
      <c r="F499" s="23">
        <f>IF(B499=1997, 100, IF(COUNTIF(A$1:A498,A499)=0, "NEW", F498*(1+Table13[[#This Row],[Ávöxtun]])))</f>
        <v>132.673090368</v>
      </c>
      <c r="G499" s="18" cm="1">
        <f t="array" ref="G499">IFERROR(_xlfn.IFS(ISNUMBER(Table13[[#This Row],[Column3]]),Table13[[#This Row],[Column3]],Table13[[#This Row],[Column3]]="NEW",Table13[[#This Row],[Column3]]),"")</f>
        <v>132.673090368</v>
      </c>
      <c r="H499" s="15" cm="1">
        <f t="array" ref="H499">_xlfn.IFS(Table13[[#This Row],[Column4]]="NEW",AVERAGEIFS(Table13[Column4],Table13[Year],Table13[[#This Row],[Year]]),ISNUMBER(Table13[[#This Row],[Column4]]),Table13[[#This Row],[Column4]],Table13[[#This Row],[Column4]]="",H498*(1+Table13[[#This Row],[Ávöxtun]]))</f>
        <v>132.673090368</v>
      </c>
      <c r="I499" cm="1">
        <f t="array" ref="I499">_xlfn.IFS(Table13[[#This Row],[Column4]]="NEW",_xlfn.XLOOKUP(Table13[[#This Row],[Year]],$N$2:$N$27,$P$2:$P$27),ISNUMBER(Table13[[#This Row],[Column4]]),Table13[[#This Row],[Column4]],Table13[[#This Row],[Column4]]="",I498*(1+Table13[[#This Row],[Ávöxtun]]))</f>
        <v>132.673090368</v>
      </c>
      <c r="L499" s="33">
        <v>132.673090368</v>
      </c>
      <c r="M499" s="33">
        <v>132.673090368</v>
      </c>
    </row>
    <row r="500" spans="1:13">
      <c r="A500" t="s">
        <v>99</v>
      </c>
      <c r="B500">
        <v>2004</v>
      </c>
      <c r="C500" s="16">
        <v>0.05</v>
      </c>
      <c r="D500" s="1">
        <v>2960624</v>
      </c>
      <c r="E500" s="29">
        <f>Table13[[#This Row],[Ávöxtun]]*Table13[[#This Row],[Eignir]]/SUMIFS(Table13[Eignir],Table13[Year],Table13[[#This Row],[Year]])</f>
        <v>1.9487214514471405E-4</v>
      </c>
      <c r="F500" s="23">
        <f>IF(B500=1997, 100, IF(COUNTIF(A$1:A499,A500)=0, "NEW", F499*(1+Table13[[#This Row],[Ávöxtun]])))</f>
        <v>139.3067448864</v>
      </c>
      <c r="G500" s="18" cm="1">
        <f t="array" ref="G500">IFERROR(_xlfn.IFS(ISNUMBER(Table13[[#This Row],[Column3]]),Table13[[#This Row],[Column3]],Table13[[#This Row],[Column3]]="NEW",Table13[[#This Row],[Column3]]),"")</f>
        <v>139.3067448864</v>
      </c>
      <c r="H500" s="15" cm="1">
        <f t="array" ref="H500">_xlfn.IFS(Table13[[#This Row],[Column4]]="NEW",AVERAGEIFS(Table13[Column4],Table13[Year],Table13[[#This Row],[Year]]),ISNUMBER(Table13[[#This Row],[Column4]]),Table13[[#This Row],[Column4]],Table13[[#This Row],[Column4]]="",H499*(1+Table13[[#This Row],[Ávöxtun]]))</f>
        <v>139.3067448864</v>
      </c>
      <c r="I500" cm="1">
        <f t="array" ref="I500">_xlfn.IFS(Table13[[#This Row],[Column4]]="NEW",_xlfn.XLOOKUP(Table13[[#This Row],[Year]],$N$2:$N$27,$P$2:$P$27),ISNUMBER(Table13[[#This Row],[Column4]]),Table13[[#This Row],[Column4]],Table13[[#This Row],[Column4]]="",I499*(1+Table13[[#This Row],[Ávöxtun]]))</f>
        <v>139.3067448864</v>
      </c>
      <c r="L500" s="33">
        <v>139.3067448864</v>
      </c>
      <c r="M500" s="33">
        <v>139.3067448864</v>
      </c>
    </row>
    <row r="501" spans="1:13">
      <c r="A501" t="s">
        <v>99</v>
      </c>
      <c r="B501">
        <v>2005</v>
      </c>
      <c r="C501" s="16">
        <v>0.06</v>
      </c>
      <c r="D501" s="1">
        <v>3332256</v>
      </c>
      <c r="E501" s="29">
        <f>Table13[[#This Row],[Ávöxtun]]*Table13[[#This Row],[Eignir]]/SUMIFS(Table13[Eignir],Table13[Year],Table13[[#This Row],[Year]])</f>
        <v>2.1419903687068602E-4</v>
      </c>
      <c r="F501" s="23">
        <f>IF(B501=1997, 100, IF(COUNTIF(A$1:A500,A501)=0, "NEW", F500*(1+Table13[[#This Row],[Ávöxtun]])))</f>
        <v>147.66514957958401</v>
      </c>
      <c r="G501" s="18" cm="1">
        <f t="array" ref="G501">IFERROR(_xlfn.IFS(ISNUMBER(Table13[[#This Row],[Column3]]),Table13[[#This Row],[Column3]],Table13[[#This Row],[Column3]]="NEW",Table13[[#This Row],[Column3]]),"")</f>
        <v>147.66514957958401</v>
      </c>
      <c r="H501" s="15" cm="1">
        <f t="array" ref="H501">_xlfn.IFS(Table13[[#This Row],[Column4]]="NEW",AVERAGEIFS(Table13[Column4],Table13[Year],Table13[[#This Row],[Year]]),ISNUMBER(Table13[[#This Row],[Column4]]),Table13[[#This Row],[Column4]],Table13[[#This Row],[Column4]]="",H500*(1+Table13[[#This Row],[Ávöxtun]]))</f>
        <v>147.66514957958401</v>
      </c>
      <c r="I501" cm="1">
        <f t="array" ref="I501">_xlfn.IFS(Table13[[#This Row],[Column4]]="NEW",_xlfn.XLOOKUP(Table13[[#This Row],[Year]],$N$2:$N$27,$P$2:$P$27),ISNUMBER(Table13[[#This Row],[Column4]]),Table13[[#This Row],[Column4]],Table13[[#This Row],[Column4]]="",I500*(1+Table13[[#This Row],[Ávöxtun]]))</f>
        <v>147.66514957958401</v>
      </c>
      <c r="L501" s="33">
        <v>147.66514957958401</v>
      </c>
      <c r="M501" s="33">
        <v>147.66514957958401</v>
      </c>
    </row>
    <row r="502" spans="1:13">
      <c r="A502" t="s">
        <v>99</v>
      </c>
      <c r="B502">
        <v>2006</v>
      </c>
      <c r="C502" s="16">
        <v>6.7599999999999993E-2</v>
      </c>
      <c r="D502" s="1">
        <v>3883469</v>
      </c>
      <c r="E502" s="29">
        <f>Table13[[#This Row],[Ávöxtun]]*Table13[[#This Row],[Eignir]]/SUMIFS(Table13[Eignir],Table13[Year],Table13[[#This Row],[Year]])</f>
        <v>2.3076625897098678E-4</v>
      </c>
      <c r="F502" s="23">
        <f>IF(B502=1997, 100, IF(COUNTIF(A$1:A501,A502)=0, "NEW", F501*(1+Table13[[#This Row],[Ávöxtun]])))</f>
        <v>157.6473136911639</v>
      </c>
      <c r="G502" s="18" cm="1">
        <f t="array" ref="G502">IFERROR(_xlfn.IFS(ISNUMBER(Table13[[#This Row],[Column3]]),Table13[[#This Row],[Column3]],Table13[[#This Row],[Column3]]="NEW",Table13[[#This Row],[Column3]]),"")</f>
        <v>157.6473136911639</v>
      </c>
      <c r="H502" s="15" cm="1">
        <f t="array" ref="H502">_xlfn.IFS(Table13[[#This Row],[Column4]]="NEW",AVERAGEIFS(Table13[Column4],Table13[Year],Table13[[#This Row],[Year]]),ISNUMBER(Table13[[#This Row],[Column4]]),Table13[[#This Row],[Column4]],Table13[[#This Row],[Column4]]="",H501*(1+Table13[[#This Row],[Ávöxtun]]))</f>
        <v>157.6473136911639</v>
      </c>
      <c r="I502" cm="1">
        <f t="array" ref="I502">_xlfn.IFS(Table13[[#This Row],[Column4]]="NEW",_xlfn.XLOOKUP(Table13[[#This Row],[Year]],$N$2:$N$27,$P$2:$P$27),ISNUMBER(Table13[[#This Row],[Column4]]),Table13[[#This Row],[Column4]],Table13[[#This Row],[Column4]]="",I501*(1+Table13[[#This Row],[Ávöxtun]]))</f>
        <v>157.6473136911639</v>
      </c>
      <c r="L502" s="33">
        <v>157.6473136911639</v>
      </c>
      <c r="M502" s="33">
        <v>157.6473136911639</v>
      </c>
    </row>
    <row r="503" spans="1:13">
      <c r="A503" t="s">
        <v>99</v>
      </c>
      <c r="B503">
        <v>2007</v>
      </c>
      <c r="C503" s="16">
        <v>0.01</v>
      </c>
      <c r="D503" s="1">
        <v>4277591</v>
      </c>
      <c r="E503" s="29">
        <f>Table13[[#This Row],[Ávöxtun]]*Table13[[#This Row],[Eignir]]/SUMIFS(Table13[Eignir],Table13[Year],Table13[[#This Row],[Year]])</f>
        <v>3.3328586607283985E-5</v>
      </c>
      <c r="F503" s="23">
        <f>IF(B503=1997, 100, IF(COUNTIF(A$1:A502,A503)=0, "NEW", F502*(1+Table13[[#This Row],[Ávöxtun]])))</f>
        <v>159.22378682807553</v>
      </c>
      <c r="G503" s="18" cm="1">
        <f t="array" ref="G503">IFERROR(_xlfn.IFS(ISNUMBER(Table13[[#This Row],[Column3]]),Table13[[#This Row],[Column3]],Table13[[#This Row],[Column3]]="NEW",Table13[[#This Row],[Column3]]),"")</f>
        <v>159.22378682807553</v>
      </c>
      <c r="H503" s="15" cm="1">
        <f t="array" ref="H503">_xlfn.IFS(Table13[[#This Row],[Column4]]="NEW",AVERAGEIFS(Table13[Column4],Table13[Year],Table13[[#This Row],[Year]]),ISNUMBER(Table13[[#This Row],[Column4]]),Table13[[#This Row],[Column4]],Table13[[#This Row],[Column4]]="",H502*(1+Table13[[#This Row],[Ávöxtun]]))</f>
        <v>159.22378682807553</v>
      </c>
      <c r="I503" cm="1">
        <f t="array" ref="I503">_xlfn.IFS(Table13[[#This Row],[Column4]]="NEW",_xlfn.XLOOKUP(Table13[[#This Row],[Year]],$N$2:$N$27,$P$2:$P$27),ISNUMBER(Table13[[#This Row],[Column4]]),Table13[[#This Row],[Column4]],Table13[[#This Row],[Column4]]="",I502*(1+Table13[[#This Row],[Ávöxtun]]))</f>
        <v>159.22378682807553</v>
      </c>
      <c r="L503" s="33">
        <v>159.22378682807553</v>
      </c>
      <c r="M503" s="33">
        <v>159.22378682807553</v>
      </c>
    </row>
    <row r="504" spans="1:13">
      <c r="A504" t="s">
        <v>99</v>
      </c>
      <c r="B504">
        <v>2008</v>
      </c>
      <c r="C504" s="16">
        <v>-0.1283</v>
      </c>
      <c r="D504" s="1">
        <v>4479466</v>
      </c>
      <c r="E504" s="29">
        <f>Table13[[#This Row],[Ávöxtun]]*Table13[[#This Row],[Eignir]]/SUMIFS(Table13[Eignir],Table13[Year],Table13[[#This Row],[Year]])</f>
        <v>-4.6385593108592515E-4</v>
      </c>
      <c r="F504" s="23">
        <f>IF(B504=1997, 100, IF(COUNTIF(A$1:A503,A504)=0, "NEW", F503*(1+Table13[[#This Row],[Ávöxtun]])))</f>
        <v>138.79537497803344</v>
      </c>
      <c r="G504" s="18" cm="1">
        <f t="array" ref="G504">IFERROR(_xlfn.IFS(ISNUMBER(Table13[[#This Row],[Column3]]),Table13[[#This Row],[Column3]],Table13[[#This Row],[Column3]]="NEW",Table13[[#This Row],[Column3]]),"")</f>
        <v>138.79537497803344</v>
      </c>
      <c r="H504" s="15" cm="1">
        <f t="array" ref="H504">_xlfn.IFS(Table13[[#This Row],[Column4]]="NEW",AVERAGEIFS(Table13[Column4],Table13[Year],Table13[[#This Row],[Year]]),ISNUMBER(Table13[[#This Row],[Column4]]),Table13[[#This Row],[Column4]],Table13[[#This Row],[Column4]]="",H503*(1+Table13[[#This Row],[Ávöxtun]]))</f>
        <v>138.79537497803344</v>
      </c>
      <c r="I504" cm="1">
        <f t="array" ref="I504">_xlfn.IFS(Table13[[#This Row],[Column4]]="NEW",_xlfn.XLOOKUP(Table13[[#This Row],[Year]],$N$2:$N$27,$P$2:$P$27),ISNUMBER(Table13[[#This Row],[Column4]]),Table13[[#This Row],[Column4]],Table13[[#This Row],[Column4]]="",I503*(1+Table13[[#This Row],[Ávöxtun]]))</f>
        <v>138.79537497803344</v>
      </c>
      <c r="L504" s="33">
        <v>138.79537497803344</v>
      </c>
      <c r="M504" s="33">
        <v>138.79537497803344</v>
      </c>
    </row>
    <row r="505" spans="1:13">
      <c r="A505" t="s">
        <v>99</v>
      </c>
      <c r="B505">
        <v>2009</v>
      </c>
      <c r="C505" s="16">
        <v>-1.9800000000000002E-2</v>
      </c>
      <c r="D505" s="1">
        <v>4892437</v>
      </c>
      <c r="E505" s="29">
        <f>Table13[[#This Row],[Ávöxtun]]*Table13[[#This Row],[Eignir]]/SUMIFS(Table13[Eignir],Table13[Year],Table13[[#This Row],[Year]])</f>
        <v>-7.054764636110498E-5</v>
      </c>
      <c r="F505" s="23">
        <f>IF(B505=1997, 100, IF(COUNTIF(A$1:A504,A505)=0, "NEW", F504*(1+Table13[[#This Row],[Ávöxtun]])))</f>
        <v>136.04722655346836</v>
      </c>
      <c r="G505" s="18" cm="1">
        <f t="array" ref="G505">IFERROR(_xlfn.IFS(ISNUMBER(Table13[[#This Row],[Column3]]),Table13[[#This Row],[Column3]],Table13[[#This Row],[Column3]]="NEW",Table13[[#This Row],[Column3]]),"")</f>
        <v>136.04722655346836</v>
      </c>
      <c r="H505" s="15" cm="1">
        <f t="array" ref="H505">_xlfn.IFS(Table13[[#This Row],[Column4]]="NEW",AVERAGEIFS(Table13[Column4],Table13[Year],Table13[[#This Row],[Year]]),ISNUMBER(Table13[[#This Row],[Column4]]),Table13[[#This Row],[Column4]],Table13[[#This Row],[Column4]]="",H504*(1+Table13[[#This Row],[Ávöxtun]]))</f>
        <v>136.04722655346836</v>
      </c>
      <c r="I505" cm="1">
        <f t="array" ref="I505">_xlfn.IFS(Table13[[#This Row],[Column4]]="NEW",_xlfn.XLOOKUP(Table13[[#This Row],[Year]],$N$2:$N$27,$P$2:$P$27),ISNUMBER(Table13[[#This Row],[Column4]]),Table13[[#This Row],[Column4]],Table13[[#This Row],[Column4]]="",I504*(1+Table13[[#This Row],[Ávöxtun]]))</f>
        <v>136.04722655346836</v>
      </c>
      <c r="L505" s="33">
        <v>136.04722655346836</v>
      </c>
      <c r="M505" s="33">
        <v>136.04722655346836</v>
      </c>
    </row>
    <row r="506" spans="1:13">
      <c r="A506" t="s">
        <v>99</v>
      </c>
      <c r="B506">
        <v>2010</v>
      </c>
      <c r="C506" s="16">
        <v>9.2600000000000002E-2</v>
      </c>
      <c r="D506" s="1">
        <v>5619868</v>
      </c>
      <c r="E506" s="29">
        <f>Table13[[#This Row],[Ávöxtun]]*Table13[[#This Row],[Eignir]]/SUMIFS(Table13[Eignir],Table13[Year],Table13[[#This Row],[Year]])</f>
        <v>3.5528268431863632E-4</v>
      </c>
      <c r="F506" s="23">
        <f>IF(B506=1997, 100, IF(COUNTIF(A$1:A505,A506)=0, "NEW", F505*(1+Table13[[#This Row],[Ávöxtun]])))</f>
        <v>148.64519973231953</v>
      </c>
      <c r="G506" s="18" cm="1">
        <f t="array" ref="G506">IFERROR(_xlfn.IFS(ISNUMBER(Table13[[#This Row],[Column3]]),Table13[[#This Row],[Column3]],Table13[[#This Row],[Column3]]="NEW",Table13[[#This Row],[Column3]]),"")</f>
        <v>148.64519973231953</v>
      </c>
      <c r="H506" s="15" cm="1">
        <f t="array" ref="H506">_xlfn.IFS(Table13[[#This Row],[Column4]]="NEW",AVERAGEIFS(Table13[Column4],Table13[Year],Table13[[#This Row],[Year]]),ISNUMBER(Table13[[#This Row],[Column4]]),Table13[[#This Row],[Column4]],Table13[[#This Row],[Column4]]="",H505*(1+Table13[[#This Row],[Ávöxtun]]))</f>
        <v>148.64519973231953</v>
      </c>
      <c r="I506" cm="1">
        <f t="array" ref="I506">_xlfn.IFS(Table13[[#This Row],[Column4]]="NEW",_xlfn.XLOOKUP(Table13[[#This Row],[Year]],$N$2:$N$27,$P$2:$P$27),ISNUMBER(Table13[[#This Row],[Column4]]),Table13[[#This Row],[Column4]],Table13[[#This Row],[Column4]]="",I505*(1+Table13[[#This Row],[Ávöxtun]]))</f>
        <v>148.64519973231953</v>
      </c>
      <c r="L506" s="33">
        <v>148.64519973231953</v>
      </c>
      <c r="M506" s="33">
        <v>148.64519973231953</v>
      </c>
    </row>
    <row r="507" spans="1:13">
      <c r="A507" t="s">
        <v>99</v>
      </c>
      <c r="B507">
        <v>2011</v>
      </c>
      <c r="C507" s="16">
        <v>3.2000000000000001E-2</v>
      </c>
      <c r="D507" s="1">
        <v>6244872</v>
      </c>
      <c r="E507" s="29">
        <f>Table13[[#This Row],[Ávöxtun]]*Table13[[#This Row],[Eignir]]/SUMIFS(Table13[Eignir],Table13[Year],Table13[[#This Row],[Year]])</f>
        <v>1.2585088694877839E-4</v>
      </c>
      <c r="F507" s="23">
        <f>IF(B507=1997, 100, IF(COUNTIF(A$1:A506,A507)=0, "NEW", F506*(1+Table13[[#This Row],[Ávöxtun]])))</f>
        <v>153.40184612375376</v>
      </c>
      <c r="G507" s="18" cm="1">
        <f t="array" ref="G507">IFERROR(_xlfn.IFS(ISNUMBER(Table13[[#This Row],[Column3]]),Table13[[#This Row],[Column3]],Table13[[#This Row],[Column3]]="NEW",Table13[[#This Row],[Column3]]),"")</f>
        <v>153.40184612375376</v>
      </c>
      <c r="H507" s="15" cm="1">
        <f t="array" ref="H507">_xlfn.IFS(Table13[[#This Row],[Column4]]="NEW",AVERAGEIFS(Table13[Column4],Table13[Year],Table13[[#This Row],[Year]]),ISNUMBER(Table13[[#This Row],[Column4]]),Table13[[#This Row],[Column4]],Table13[[#This Row],[Column4]]="",H506*(1+Table13[[#This Row],[Ávöxtun]]))</f>
        <v>153.40184612375376</v>
      </c>
      <c r="I507" cm="1">
        <f t="array" ref="I507">_xlfn.IFS(Table13[[#This Row],[Column4]]="NEW",_xlfn.XLOOKUP(Table13[[#This Row],[Year]],$N$2:$N$27,$P$2:$P$27),ISNUMBER(Table13[[#This Row],[Column4]]),Table13[[#This Row],[Column4]],Table13[[#This Row],[Column4]]="",I506*(1+Table13[[#This Row],[Ávöxtun]]))</f>
        <v>153.40184612375376</v>
      </c>
      <c r="L507" s="33">
        <v>153.40184612375376</v>
      </c>
      <c r="M507" s="33">
        <v>153.40184612375376</v>
      </c>
    </row>
    <row r="508" spans="1:13">
      <c r="A508" t="s">
        <v>99</v>
      </c>
      <c r="B508">
        <v>2012</v>
      </c>
      <c r="C508" s="16">
        <v>5.2999999999999999E-2</v>
      </c>
      <c r="D508" s="1">
        <v>7019544</v>
      </c>
      <c r="E508" s="29">
        <f>Table13[[#This Row],[Ávöxtun]]*Table13[[#This Row],[Eignir]]/SUMIFS(Table13[Eignir],Table13[Year],Table13[[#This Row],[Year]])</f>
        <v>2.0727732822819667E-4</v>
      </c>
      <c r="F508" s="23">
        <f>IF(B508=1997, 100, IF(COUNTIF(A$1:A507,A508)=0, "NEW", F507*(1+Table13[[#This Row],[Ávöxtun]])))</f>
        <v>161.53214396831271</v>
      </c>
      <c r="G508" s="18" cm="1">
        <f t="array" ref="G508">IFERROR(_xlfn.IFS(ISNUMBER(Table13[[#This Row],[Column3]]),Table13[[#This Row],[Column3]],Table13[[#This Row],[Column3]]="NEW",Table13[[#This Row],[Column3]]),"")</f>
        <v>161.53214396831271</v>
      </c>
      <c r="H508" s="15" cm="1">
        <f t="array" ref="H508">_xlfn.IFS(Table13[[#This Row],[Column4]]="NEW",AVERAGEIFS(Table13[Column4],Table13[Year],Table13[[#This Row],[Year]]),ISNUMBER(Table13[[#This Row],[Column4]]),Table13[[#This Row],[Column4]],Table13[[#This Row],[Column4]]="",H507*(1+Table13[[#This Row],[Ávöxtun]]))</f>
        <v>161.53214396831271</v>
      </c>
      <c r="I508" cm="1">
        <f t="array" ref="I508">_xlfn.IFS(Table13[[#This Row],[Column4]]="NEW",_xlfn.XLOOKUP(Table13[[#This Row],[Year]],$N$2:$N$27,$P$2:$P$27),ISNUMBER(Table13[[#This Row],[Column4]]),Table13[[#This Row],[Column4]],Table13[[#This Row],[Column4]]="",I507*(1+Table13[[#This Row],[Ávöxtun]]))</f>
        <v>161.53214396831271</v>
      </c>
      <c r="L508" s="33">
        <v>161.53214396831271</v>
      </c>
      <c r="M508" s="33">
        <v>161.53214396831271</v>
      </c>
    </row>
    <row r="509" spans="1:13">
      <c r="A509" t="s">
        <v>99</v>
      </c>
      <c r="B509">
        <v>2013</v>
      </c>
      <c r="C509" s="16">
        <v>4.4000000000000004E-2</v>
      </c>
      <c r="D509" s="1">
        <v>7781988</v>
      </c>
      <c r="E509" s="29">
        <f>Table13[[#This Row],[Ávöxtun]]*Table13[[#This Row],[Eignir]]/SUMIFS(Table13[Eignir],Table13[Year],Table13[[#This Row],[Year]])</f>
        <v>1.7346629276404404E-4</v>
      </c>
      <c r="F509" s="23">
        <f>IF(B509=1997, 100, IF(COUNTIF(A$1:A508,A509)=0, "NEW", F508*(1+Table13[[#This Row],[Ávöxtun]])))</f>
        <v>168.63955830291849</v>
      </c>
      <c r="G509" s="18" cm="1">
        <f t="array" ref="G509">IFERROR(_xlfn.IFS(ISNUMBER(Table13[[#This Row],[Column3]]),Table13[[#This Row],[Column3]],Table13[[#This Row],[Column3]]="NEW",Table13[[#This Row],[Column3]]),"")</f>
        <v>168.63955830291849</v>
      </c>
      <c r="H509" s="15" cm="1">
        <f t="array" ref="H509">_xlfn.IFS(Table13[[#This Row],[Column4]]="NEW",AVERAGEIFS(Table13[Column4],Table13[Year],Table13[[#This Row],[Year]]),ISNUMBER(Table13[[#This Row],[Column4]]),Table13[[#This Row],[Column4]],Table13[[#This Row],[Column4]]="",H508*(1+Table13[[#This Row],[Ávöxtun]]))</f>
        <v>168.63955830291849</v>
      </c>
      <c r="I509" cm="1">
        <f t="array" ref="I509">_xlfn.IFS(Table13[[#This Row],[Column4]]="NEW",_xlfn.XLOOKUP(Table13[[#This Row],[Year]],$N$2:$N$27,$P$2:$P$27),ISNUMBER(Table13[[#This Row],[Column4]]),Table13[[#This Row],[Column4]],Table13[[#This Row],[Column4]]="",I508*(1+Table13[[#This Row],[Ávöxtun]]))</f>
        <v>168.63955830291849</v>
      </c>
      <c r="L509" s="33">
        <v>168.63955830291849</v>
      </c>
      <c r="M509" s="33">
        <v>168.63955830291849</v>
      </c>
    </row>
    <row r="510" spans="1:13">
      <c r="A510" t="s">
        <v>99</v>
      </c>
      <c r="B510">
        <v>2014</v>
      </c>
      <c r="C510" s="16">
        <v>4.2000000000000003E-2</v>
      </c>
      <c r="D510" s="1">
        <v>8384042</v>
      </c>
      <c r="E510" s="29">
        <f>Table13[[#This Row],[Ávöxtun]]*Table13[[#This Row],[Eignir]]/SUMIFS(Table13[Eignir],Table13[Year],Table13[[#This Row],[Year]])</f>
        <v>1.6359078228928982E-4</v>
      </c>
      <c r="F510" s="23">
        <f>IF(B510=1997, 100, IF(COUNTIF(A$1:A509,A510)=0, "NEW", F509*(1+Table13[[#This Row],[Ávöxtun]])))</f>
        <v>175.72241975164107</v>
      </c>
      <c r="G510" s="18" cm="1">
        <f t="array" ref="G510">IFERROR(_xlfn.IFS(ISNUMBER(Table13[[#This Row],[Column3]]),Table13[[#This Row],[Column3]],Table13[[#This Row],[Column3]]="NEW",Table13[[#This Row],[Column3]]),"")</f>
        <v>175.72241975164107</v>
      </c>
      <c r="H510" s="15" cm="1">
        <f t="array" ref="H510">_xlfn.IFS(Table13[[#This Row],[Column4]]="NEW",AVERAGEIFS(Table13[Column4],Table13[Year],Table13[[#This Row],[Year]]),ISNUMBER(Table13[[#This Row],[Column4]]),Table13[[#This Row],[Column4]],Table13[[#This Row],[Column4]]="",H509*(1+Table13[[#This Row],[Ávöxtun]]))</f>
        <v>175.72241975164107</v>
      </c>
      <c r="I510" cm="1">
        <f t="array" ref="I510">_xlfn.IFS(Table13[[#This Row],[Column4]]="NEW",_xlfn.XLOOKUP(Table13[[#This Row],[Year]],$N$2:$N$27,$P$2:$P$27),ISNUMBER(Table13[[#This Row],[Column4]]),Table13[[#This Row],[Column4]],Table13[[#This Row],[Column4]]="",I509*(1+Table13[[#This Row],[Ávöxtun]]))</f>
        <v>175.72241975164107</v>
      </c>
      <c r="L510" s="33">
        <v>175.72241975164107</v>
      </c>
      <c r="M510" s="33">
        <v>175.72241975164107</v>
      </c>
    </row>
    <row r="511" spans="1:13">
      <c r="A511" t="s">
        <v>99</v>
      </c>
      <c r="B511">
        <v>2015</v>
      </c>
      <c r="C511" s="16">
        <v>6.7000000000000004E-2</v>
      </c>
      <c r="D511" s="1">
        <v>9355308</v>
      </c>
      <c r="E511" s="29">
        <f>Table13[[#This Row],[Ávöxtun]]*Table13[[#This Row],[Eignir]]/SUMIFS(Table13[Eignir],Table13[Year],Table13[[#This Row],[Year]])</f>
        <v>2.6250747577195827E-4</v>
      </c>
      <c r="F511" s="23">
        <f>IF(B511=1997, 100, IF(COUNTIF(A$1:A510,A511)=0, "NEW", F510*(1+Table13[[#This Row],[Ávöxtun]])))</f>
        <v>187.49582187500101</v>
      </c>
      <c r="G511" s="18" cm="1">
        <f t="array" ref="G511">IFERROR(_xlfn.IFS(ISNUMBER(Table13[[#This Row],[Column3]]),Table13[[#This Row],[Column3]],Table13[[#This Row],[Column3]]="NEW",Table13[[#This Row],[Column3]]),"")</f>
        <v>187.49582187500101</v>
      </c>
      <c r="H511" s="15" cm="1">
        <f t="array" ref="H511">_xlfn.IFS(Table13[[#This Row],[Column4]]="NEW",AVERAGEIFS(Table13[Column4],Table13[Year],Table13[[#This Row],[Year]]),ISNUMBER(Table13[[#This Row],[Column4]]),Table13[[#This Row],[Column4]],Table13[[#This Row],[Column4]]="",H510*(1+Table13[[#This Row],[Ávöxtun]]))</f>
        <v>187.49582187500101</v>
      </c>
      <c r="I511" cm="1">
        <f t="array" ref="I511">_xlfn.IFS(Table13[[#This Row],[Column4]]="NEW",_xlfn.XLOOKUP(Table13[[#This Row],[Year]],$N$2:$N$27,$P$2:$P$27),ISNUMBER(Table13[[#This Row],[Column4]]),Table13[[#This Row],[Column4]],Table13[[#This Row],[Column4]]="",I510*(1+Table13[[#This Row],[Ávöxtun]]))</f>
        <v>187.49582187500101</v>
      </c>
      <c r="L511" s="33">
        <v>187.49582187500101</v>
      </c>
      <c r="M511" s="33">
        <v>187.49582187500101</v>
      </c>
    </row>
    <row r="512" spans="1:13">
      <c r="A512" t="s">
        <v>99</v>
      </c>
      <c r="B512">
        <v>2016</v>
      </c>
      <c r="C512" s="16">
        <v>7.000000000000001E-4</v>
      </c>
      <c r="D512" s="1">
        <v>10148760</v>
      </c>
      <c r="E512" s="29">
        <f>Table13[[#This Row],[Ávöxtun]]*Table13[[#This Row],[Eignir]]/SUMIFS(Table13[Eignir],Table13[Year],Table13[[#This Row],[Year]])</f>
        <v>2.7240296579858074E-6</v>
      </c>
      <c r="F512" s="23">
        <f>IF(B512=1997, 100, IF(COUNTIF(A$1:A511,A512)=0, "NEW", F511*(1+Table13[[#This Row],[Ávöxtun]])))</f>
        <v>187.62706895031349</v>
      </c>
      <c r="G512" s="18" cm="1">
        <f t="array" ref="G512">IFERROR(_xlfn.IFS(ISNUMBER(Table13[[#This Row],[Column3]]),Table13[[#This Row],[Column3]],Table13[[#This Row],[Column3]]="NEW",Table13[[#This Row],[Column3]]),"")</f>
        <v>187.62706895031349</v>
      </c>
      <c r="H512" s="15" cm="1">
        <f t="array" ref="H512">_xlfn.IFS(Table13[[#This Row],[Column4]]="NEW",AVERAGEIFS(Table13[Column4],Table13[Year],Table13[[#This Row],[Year]]),ISNUMBER(Table13[[#This Row],[Column4]]),Table13[[#This Row],[Column4]],Table13[[#This Row],[Column4]]="",H511*(1+Table13[[#This Row],[Ávöxtun]]))</f>
        <v>187.62706895031349</v>
      </c>
      <c r="I512" cm="1">
        <f t="array" ref="I512">_xlfn.IFS(Table13[[#This Row],[Column4]]="NEW",_xlfn.XLOOKUP(Table13[[#This Row],[Year]],$N$2:$N$27,$P$2:$P$27),ISNUMBER(Table13[[#This Row],[Column4]]),Table13[[#This Row],[Column4]],Table13[[#This Row],[Column4]]="",I511*(1+Table13[[#This Row],[Ávöxtun]]))</f>
        <v>187.62706895031349</v>
      </c>
      <c r="L512" s="33">
        <v>187.62706895031349</v>
      </c>
      <c r="M512" s="33">
        <v>187.62706895031349</v>
      </c>
    </row>
    <row r="513" spans="1:13">
      <c r="A513" t="s">
        <v>99</v>
      </c>
      <c r="B513">
        <v>2017</v>
      </c>
      <c r="C513" s="16">
        <v>5.7000000000000002E-2</v>
      </c>
      <c r="D513" s="1">
        <v>11270032</v>
      </c>
      <c r="E513" s="29">
        <f>Table13[[#This Row],[Ávöxtun]]*Table13[[#This Row],[Eignir]]/SUMIFS(Table13[Eignir],Table13[Year],Table13[[#This Row],[Year]])</f>
        <v>2.210478956069886E-4</v>
      </c>
      <c r="F513" s="23">
        <f>IF(B513=1997, 100, IF(COUNTIF(A$1:A512,A513)=0, "NEW", F512*(1+Table13[[#This Row],[Ávöxtun]])))</f>
        <v>198.32181188048133</v>
      </c>
      <c r="G513" s="18" cm="1">
        <f t="array" ref="G513">IFERROR(_xlfn.IFS(ISNUMBER(Table13[[#This Row],[Column3]]),Table13[[#This Row],[Column3]],Table13[[#This Row],[Column3]]="NEW",Table13[[#This Row],[Column3]]),"")</f>
        <v>198.32181188048133</v>
      </c>
      <c r="H513" s="15" cm="1">
        <f t="array" ref="H513">_xlfn.IFS(Table13[[#This Row],[Column4]]="NEW",AVERAGEIFS(Table13[Column4],Table13[Year],Table13[[#This Row],[Year]]),ISNUMBER(Table13[[#This Row],[Column4]]),Table13[[#This Row],[Column4]],Table13[[#This Row],[Column4]]="",H512*(1+Table13[[#This Row],[Ávöxtun]]))</f>
        <v>198.32181188048133</v>
      </c>
      <c r="I513" cm="1">
        <f t="array" ref="I513">_xlfn.IFS(Table13[[#This Row],[Column4]]="NEW",_xlfn.XLOOKUP(Table13[[#This Row],[Year]],$N$2:$N$27,$P$2:$P$27),ISNUMBER(Table13[[#This Row],[Column4]]),Table13[[#This Row],[Column4]],Table13[[#This Row],[Column4]]="",I512*(1+Table13[[#This Row],[Ávöxtun]]))</f>
        <v>198.32181188048133</v>
      </c>
      <c r="L513" s="33">
        <v>198.32181188048133</v>
      </c>
      <c r="M513" s="33">
        <v>198.32181188048133</v>
      </c>
    </row>
    <row r="514" spans="1:13">
      <c r="A514" t="s">
        <v>99</v>
      </c>
      <c r="B514">
        <v>2018</v>
      </c>
      <c r="C514" s="16">
        <v>2.6000000000000002E-2</v>
      </c>
      <c r="D514" s="1">
        <v>12420748</v>
      </c>
      <c r="E514" s="29">
        <f>Table13[[#This Row],[Ávöxtun]]*Table13[[#This Row],[Eignir]]/SUMIFS(Table13[Eignir],Table13[Year],Table13[[#This Row],[Year]])</f>
        <v>1.0354207030583615E-4</v>
      </c>
      <c r="F514" s="23">
        <f>IF(B514=1997, 100, IF(COUNTIF(A$1:A513,A514)=0, "NEW", F513*(1+Table13[[#This Row],[Ávöxtun]])))</f>
        <v>203.47817898937384</v>
      </c>
      <c r="G514" s="18" cm="1">
        <f t="array" ref="G514">IFERROR(_xlfn.IFS(ISNUMBER(Table13[[#This Row],[Column3]]),Table13[[#This Row],[Column3]],Table13[[#This Row],[Column3]]="NEW",Table13[[#This Row],[Column3]]),"")</f>
        <v>203.47817898937384</v>
      </c>
      <c r="H514" s="15" cm="1">
        <f t="array" ref="H514">_xlfn.IFS(Table13[[#This Row],[Column4]]="NEW",AVERAGEIFS(Table13[Column4],Table13[Year],Table13[[#This Row],[Year]]),ISNUMBER(Table13[[#This Row],[Column4]]),Table13[[#This Row],[Column4]],Table13[[#This Row],[Column4]]="",H513*(1+Table13[[#This Row],[Ávöxtun]]))</f>
        <v>203.47817898937384</v>
      </c>
      <c r="I514" cm="1">
        <f t="array" ref="I514">_xlfn.IFS(Table13[[#This Row],[Column4]]="NEW",_xlfn.XLOOKUP(Table13[[#This Row],[Year]],$N$2:$N$27,$P$2:$P$27),ISNUMBER(Table13[[#This Row],[Column4]]),Table13[[#This Row],[Column4]],Table13[[#This Row],[Column4]]="",I513*(1+Table13[[#This Row],[Ávöxtun]]))</f>
        <v>203.47817898937384</v>
      </c>
      <c r="L514" s="33">
        <v>203.47817898937384</v>
      </c>
      <c r="M514" s="33">
        <v>203.47817898937384</v>
      </c>
    </row>
    <row r="515" spans="1:13">
      <c r="A515" t="s">
        <v>99</v>
      </c>
      <c r="B515">
        <v>2019</v>
      </c>
      <c r="C515" s="16">
        <v>7.7200000000000005E-2</v>
      </c>
      <c r="D515" s="1">
        <v>14311168</v>
      </c>
      <c r="E515" s="29">
        <f>Table13[[#This Row],[Ávöxtun]]*Table13[[#This Row],[Eignir]]/SUMIFS(Table13[Eignir],Table13[Year],Table13[[#This Row],[Year]])</f>
        <v>3.0891794526318871E-4</v>
      </c>
      <c r="F515" s="23">
        <f>IF(B515=1997, 100, IF(COUNTIF(A$1:A514,A515)=0, "NEW", F514*(1+Table13[[#This Row],[Ávöxtun]])))</f>
        <v>219.18669440735349</v>
      </c>
      <c r="G515" s="18" cm="1">
        <f t="array" ref="G515">IFERROR(_xlfn.IFS(ISNUMBER(Table13[[#This Row],[Column3]]),Table13[[#This Row],[Column3]],Table13[[#This Row],[Column3]]="NEW",Table13[[#This Row],[Column3]]),"")</f>
        <v>219.18669440735349</v>
      </c>
      <c r="H515" s="15" cm="1">
        <f t="array" ref="H515">_xlfn.IFS(Table13[[#This Row],[Column4]]="NEW",AVERAGEIFS(Table13[Column4],Table13[Year],Table13[[#This Row],[Year]]),ISNUMBER(Table13[[#This Row],[Column4]]),Table13[[#This Row],[Column4]],Table13[[#This Row],[Column4]]="",H514*(1+Table13[[#This Row],[Ávöxtun]]))</f>
        <v>219.18669440735349</v>
      </c>
      <c r="I515" cm="1">
        <f t="array" ref="I515">_xlfn.IFS(Table13[[#This Row],[Column4]]="NEW",_xlfn.XLOOKUP(Table13[[#This Row],[Year]],$N$2:$N$27,$P$2:$P$27),ISNUMBER(Table13[[#This Row],[Column4]]),Table13[[#This Row],[Column4]],Table13[[#This Row],[Column4]]="",I514*(1+Table13[[#This Row],[Ávöxtun]]))</f>
        <v>219.18669440735349</v>
      </c>
      <c r="L515" s="33">
        <v>219.18669440735349</v>
      </c>
      <c r="M515" s="33">
        <v>219.18669440735349</v>
      </c>
    </row>
    <row r="516" spans="1:13">
      <c r="A516" t="s">
        <v>99</v>
      </c>
      <c r="B516">
        <v>2020</v>
      </c>
      <c r="C516" s="16">
        <v>7.0800000000000002E-2</v>
      </c>
      <c r="D516" s="1">
        <v>16282896</v>
      </c>
      <c r="E516" s="29">
        <f>Table13[[#This Row],[Ávöxtun]]*Table13[[#This Row],[Eignir]]/SUMIFS(Table13[Eignir],Table13[Year],Table13[[#This Row],[Year]])</f>
        <v>2.7818236595235281E-4</v>
      </c>
      <c r="F516" s="23">
        <f>IF(B516=1997, 100, IF(COUNTIF(A$1:A515,A516)=0, "NEW", F515*(1+Table13[[#This Row],[Ávöxtun]])))</f>
        <v>234.70511237139411</v>
      </c>
      <c r="G516" s="18" cm="1">
        <f t="array" ref="G516">IFERROR(_xlfn.IFS(ISNUMBER(Table13[[#This Row],[Column3]]),Table13[[#This Row],[Column3]],Table13[[#This Row],[Column3]]="NEW",Table13[[#This Row],[Column3]]),"")</f>
        <v>234.70511237139411</v>
      </c>
      <c r="H516" s="15" cm="1">
        <f t="array" ref="H516">_xlfn.IFS(Table13[[#This Row],[Column4]]="NEW",AVERAGEIFS(Table13[Column4],Table13[Year],Table13[[#This Row],[Year]]),ISNUMBER(Table13[[#This Row],[Column4]]),Table13[[#This Row],[Column4]],Table13[[#This Row],[Column4]]="",H515*(1+Table13[[#This Row],[Ávöxtun]]))</f>
        <v>234.70511237139411</v>
      </c>
      <c r="I516" cm="1">
        <f t="array" ref="I516">_xlfn.IFS(Table13[[#This Row],[Column4]]="NEW",_xlfn.XLOOKUP(Table13[[#This Row],[Year]],$N$2:$N$27,$P$2:$P$27),ISNUMBER(Table13[[#This Row],[Column4]]),Table13[[#This Row],[Column4]],Table13[[#This Row],[Column4]]="",I515*(1+Table13[[#This Row],[Ávöxtun]]))</f>
        <v>234.70511237139411</v>
      </c>
      <c r="L516" s="33">
        <v>234.70511237139411</v>
      </c>
      <c r="M516" s="33">
        <v>234.70511237139411</v>
      </c>
    </row>
    <row r="517" spans="1:13">
      <c r="A517" t="s">
        <v>99</v>
      </c>
      <c r="B517">
        <v>2021</v>
      </c>
      <c r="C517" s="16">
        <v>8.0600000000000005E-2</v>
      </c>
      <c r="D517" s="1">
        <v>18966050</v>
      </c>
      <c r="E517" s="29">
        <f>Table13[[#This Row],[Ávöxtun]]*Table13[[#This Row],[Eignir]]/SUMIFS(Table13[Eignir],Table13[Year],Table13[[#This Row],[Year]])</f>
        <v>3.142944026031977E-4</v>
      </c>
      <c r="F517" s="23">
        <f>IF(B517=1997, 100, IF(COUNTIF(A$1:A516,A517)=0, "NEW", F516*(1+Table13[[#This Row],[Ávöxtun]])))</f>
        <v>253.62234442852846</v>
      </c>
      <c r="G517" s="18" cm="1">
        <f t="array" ref="G517">IFERROR(_xlfn.IFS(ISNUMBER(Table13[[#This Row],[Column3]]),Table13[[#This Row],[Column3]],Table13[[#This Row],[Column3]]="NEW",Table13[[#This Row],[Column3]]),"")</f>
        <v>253.62234442852846</v>
      </c>
      <c r="H517" s="15" cm="1">
        <f t="array" ref="H517">_xlfn.IFS(Table13[[#This Row],[Column4]]="NEW",AVERAGEIFS(Table13[Column4],Table13[Year],Table13[[#This Row],[Year]]),ISNUMBER(Table13[[#This Row],[Column4]]),Table13[[#This Row],[Column4]],Table13[[#This Row],[Column4]]="",H516*(1+Table13[[#This Row],[Ávöxtun]]))</f>
        <v>253.62234442852846</v>
      </c>
      <c r="I517" cm="1">
        <f t="array" ref="I517">_xlfn.IFS(Table13[[#This Row],[Column4]]="NEW",_xlfn.XLOOKUP(Table13[[#This Row],[Year]],$N$2:$N$27,$P$2:$P$27),ISNUMBER(Table13[[#This Row],[Column4]]),Table13[[#This Row],[Column4]],Table13[[#This Row],[Column4]]="",I516*(1+Table13[[#This Row],[Ávöxtun]]))</f>
        <v>253.62234442852846</v>
      </c>
      <c r="L517" s="33">
        <v>253.62234442852846</v>
      </c>
      <c r="M517" s="33">
        <v>253.62234442852846</v>
      </c>
    </row>
    <row r="518" spans="1:13">
      <c r="A518" t="s">
        <v>111</v>
      </c>
      <c r="B518">
        <v>1997</v>
      </c>
      <c r="C518" s="16">
        <v>7.0000000000000007E-2</v>
      </c>
      <c r="D518" s="1">
        <v>28695766.84</v>
      </c>
      <c r="E518" s="29">
        <f>Table13[[#This Row],[Ávöxtun]]*Table13[[#This Row],[Eignir]]/SUMIFS(Table13[Eignir],Table13[Year],Table13[[#This Row],[Year]])</f>
        <v>7.0392967841754065E-3</v>
      </c>
      <c r="F518" s="23">
        <f>IF(B518=1997, 100, IF(COUNTIF(A$1:A517,A518)=0, "NEW", F517*(1+Table13[[#This Row],[Ávöxtun]])))</f>
        <v>100</v>
      </c>
      <c r="G518" s="18" cm="1">
        <f t="array" ref="G518">IFERROR(_xlfn.IFS(ISNUMBER(Table13[[#This Row],[Column3]]),Table13[[#This Row],[Column3]],Table13[[#This Row],[Column3]]="NEW",Table13[[#This Row],[Column3]]),"")</f>
        <v>100</v>
      </c>
      <c r="H518" s="15" cm="1">
        <f t="array" ref="H518">_xlfn.IFS(Table13[[#This Row],[Column4]]="NEW",AVERAGEIFS(Table13[Column4],Table13[Year],Table13[[#This Row],[Year]]),ISNUMBER(Table13[[#This Row],[Column4]]),Table13[[#This Row],[Column4]],Table13[[#This Row],[Column4]]="",H517*(1+Table13[[#This Row],[Ávöxtun]]))</f>
        <v>100</v>
      </c>
      <c r="I518" cm="1">
        <f t="array" ref="I518">_xlfn.IFS(Table13[[#This Row],[Column4]]="NEW",_xlfn.XLOOKUP(Table13[[#This Row],[Year]],$N$2:$N$27,$P$2:$P$27),ISNUMBER(Table13[[#This Row],[Column4]]),Table13[[#This Row],[Column4]],Table13[[#This Row],[Column4]]="",I517*(1+Table13[[#This Row],[Ávöxtun]]))</f>
        <v>100</v>
      </c>
      <c r="L518" s="33">
        <v>100</v>
      </c>
      <c r="M518" s="33">
        <v>100</v>
      </c>
    </row>
    <row r="519" spans="1:13">
      <c r="A519" t="s">
        <v>111</v>
      </c>
      <c r="B519">
        <v>1998</v>
      </c>
      <c r="C519" s="16">
        <v>0.08</v>
      </c>
      <c r="D519" s="1">
        <v>32170922.469999999</v>
      </c>
      <c r="E519" s="29">
        <f>Table13[[#This Row],[Ávöxtun]]*Table13[[#This Row],[Eignir]]/SUMIFS(Table13[Eignir],Table13[Year],Table13[[#This Row],[Year]])</f>
        <v>7.7872496094921343E-3</v>
      </c>
      <c r="F519" s="23">
        <f>IF(B519=1997, 100, IF(COUNTIF(A$1:A518,A519)=0, "NEW", F518*(1+Table13[[#This Row],[Ávöxtun]])))</f>
        <v>108</v>
      </c>
      <c r="G519" s="18" cm="1">
        <f t="array" ref="G519">IFERROR(_xlfn.IFS(ISNUMBER(Table13[[#This Row],[Column3]]),Table13[[#This Row],[Column3]],Table13[[#This Row],[Column3]]="NEW",Table13[[#This Row],[Column3]]),"")</f>
        <v>108</v>
      </c>
      <c r="H519" s="15" cm="1">
        <f t="array" ref="H519">_xlfn.IFS(Table13[[#This Row],[Column4]]="NEW",AVERAGEIFS(Table13[Column4],Table13[Year],Table13[[#This Row],[Year]]),ISNUMBER(Table13[[#This Row],[Column4]]),Table13[[#This Row],[Column4]],Table13[[#This Row],[Column4]]="",H518*(1+Table13[[#This Row],[Ávöxtun]]))</f>
        <v>108</v>
      </c>
      <c r="I519" cm="1">
        <f t="array" ref="I519">_xlfn.IFS(Table13[[#This Row],[Column4]]="NEW",_xlfn.XLOOKUP(Table13[[#This Row],[Year]],$N$2:$N$27,$P$2:$P$27),ISNUMBER(Table13[[#This Row],[Column4]]),Table13[[#This Row],[Column4]],Table13[[#This Row],[Column4]]="",I518*(1+Table13[[#This Row],[Ávöxtun]]))</f>
        <v>108</v>
      </c>
      <c r="L519" s="33">
        <v>108</v>
      </c>
      <c r="M519" s="33">
        <v>108</v>
      </c>
    </row>
    <row r="520" spans="1:13">
      <c r="A520" t="s">
        <v>111</v>
      </c>
      <c r="B520">
        <v>1999</v>
      </c>
      <c r="C520" s="16">
        <v>0.12</v>
      </c>
      <c r="D520" s="1">
        <v>38967903.960000001</v>
      </c>
      <c r="E520" s="29">
        <f>Table13[[#This Row],[Ávöxtun]]*Table13[[#This Row],[Eignir]]/SUMIFS(Table13[Eignir],Table13[Year],Table13[[#This Row],[Year]])</f>
        <v>1.0533668561836124E-2</v>
      </c>
      <c r="F520" s="23">
        <f>IF(B520=1997, 100, IF(COUNTIF(A$1:A519,A520)=0, "NEW", F519*(1+Table13[[#This Row],[Ávöxtun]])))</f>
        <v>120.96000000000001</v>
      </c>
      <c r="G520" s="18" cm="1">
        <f t="array" ref="G520">IFERROR(_xlfn.IFS(ISNUMBER(Table13[[#This Row],[Column3]]),Table13[[#This Row],[Column3]],Table13[[#This Row],[Column3]]="NEW",Table13[[#This Row],[Column3]]),"")</f>
        <v>120.96000000000001</v>
      </c>
      <c r="H520" s="15" cm="1">
        <f t="array" ref="H520">_xlfn.IFS(Table13[[#This Row],[Column4]]="NEW",AVERAGEIFS(Table13[Column4],Table13[Year],Table13[[#This Row],[Year]]),ISNUMBER(Table13[[#This Row],[Column4]]),Table13[[#This Row],[Column4]],Table13[[#This Row],[Column4]]="",H519*(1+Table13[[#This Row],[Ávöxtun]]))</f>
        <v>120.96000000000001</v>
      </c>
      <c r="I520" cm="1">
        <f t="array" ref="I520">_xlfn.IFS(Table13[[#This Row],[Column4]]="NEW",_xlfn.XLOOKUP(Table13[[#This Row],[Year]],$N$2:$N$27,$P$2:$P$27),ISNUMBER(Table13[[#This Row],[Column4]]),Table13[[#This Row],[Column4]],Table13[[#This Row],[Column4]]="",I519*(1+Table13[[#This Row],[Ávöxtun]]))</f>
        <v>120.96000000000001</v>
      </c>
      <c r="L520" s="33">
        <v>120.96000000000001</v>
      </c>
      <c r="M520" s="33">
        <v>120.96000000000001</v>
      </c>
    </row>
    <row r="521" spans="1:13">
      <c r="A521" t="s">
        <v>111</v>
      </c>
      <c r="B521">
        <v>2000</v>
      </c>
      <c r="C521" s="16">
        <v>-0.01</v>
      </c>
      <c r="D521" s="1">
        <v>41515181.030000001</v>
      </c>
      <c r="E521" s="29">
        <f>Table13[[#This Row],[Ávöxtun]]*Table13[[#This Row],[Eignir]]/SUMIFS(Table13[Eignir],Table13[Year],Table13[[#This Row],[Year]])</f>
        <v>-6.6479428263374932E-4</v>
      </c>
      <c r="F521" s="23">
        <f>IF(B521=1997, 100, IF(COUNTIF(A$1:A520,A521)=0, "NEW", F520*(1+Table13[[#This Row],[Ávöxtun]])))</f>
        <v>119.75040000000001</v>
      </c>
      <c r="G521" s="18" cm="1">
        <f t="array" ref="G521">IFERROR(_xlfn.IFS(ISNUMBER(Table13[[#This Row],[Column3]]),Table13[[#This Row],[Column3]],Table13[[#This Row],[Column3]]="NEW",Table13[[#This Row],[Column3]]),"")</f>
        <v>119.75040000000001</v>
      </c>
      <c r="H521" s="15" cm="1">
        <f t="array" ref="H521">_xlfn.IFS(Table13[[#This Row],[Column4]]="NEW",AVERAGEIFS(Table13[Column4],Table13[Year],Table13[[#This Row],[Year]]),ISNUMBER(Table13[[#This Row],[Column4]]),Table13[[#This Row],[Column4]],Table13[[#This Row],[Column4]]="",H520*(1+Table13[[#This Row],[Ávöxtun]]))</f>
        <v>119.75040000000001</v>
      </c>
      <c r="I521" cm="1">
        <f t="array" ref="I521">_xlfn.IFS(Table13[[#This Row],[Column4]]="NEW",_xlfn.XLOOKUP(Table13[[#This Row],[Year]],$N$2:$N$27,$P$2:$P$27),ISNUMBER(Table13[[#This Row],[Column4]]),Table13[[#This Row],[Column4]],Table13[[#This Row],[Column4]]="",I520*(1+Table13[[#This Row],[Ávöxtun]]))</f>
        <v>119.75040000000001</v>
      </c>
      <c r="L521" s="33">
        <v>119.75040000000001</v>
      </c>
      <c r="M521" s="33">
        <v>119.75040000000001</v>
      </c>
    </row>
    <row r="522" spans="1:13">
      <c r="A522" t="s">
        <v>111</v>
      </c>
      <c r="B522">
        <v>2001</v>
      </c>
      <c r="C522" s="16">
        <v>-0.03</v>
      </c>
      <c r="D522" s="1">
        <v>90003599</v>
      </c>
      <c r="E522" s="29">
        <f>Table13[[#This Row],[Ávöxtun]]*Table13[[#This Row],[Eignir]]/SUMIFS(Table13[Eignir],Table13[Year],Table13[[#This Row],[Year]])</f>
        <v>-2.8095673145335305E-3</v>
      </c>
      <c r="F522" s="23">
        <f>IF(B522=1997, 100, IF(COUNTIF(A$1:A521,A522)=0, "NEW", F521*(1+Table13[[#This Row],[Ávöxtun]])))</f>
        <v>116.15788800000001</v>
      </c>
      <c r="G522" s="18" cm="1">
        <f t="array" ref="G522">IFERROR(_xlfn.IFS(ISNUMBER(Table13[[#This Row],[Column3]]),Table13[[#This Row],[Column3]],Table13[[#This Row],[Column3]]="NEW",Table13[[#This Row],[Column3]]),"")</f>
        <v>116.15788800000001</v>
      </c>
      <c r="H522" s="15" cm="1">
        <f t="array" ref="H522">_xlfn.IFS(Table13[[#This Row],[Column4]]="NEW",AVERAGEIFS(Table13[Column4],Table13[Year],Table13[[#This Row],[Year]]),ISNUMBER(Table13[[#This Row],[Column4]]),Table13[[#This Row],[Column4]],Table13[[#This Row],[Column4]]="",H521*(1+Table13[[#This Row],[Ávöxtun]]))</f>
        <v>116.15788800000001</v>
      </c>
      <c r="I522" cm="1">
        <f t="array" ref="I522">_xlfn.IFS(Table13[[#This Row],[Column4]]="NEW",_xlfn.XLOOKUP(Table13[[#This Row],[Year]],$N$2:$N$27,$P$2:$P$27),ISNUMBER(Table13[[#This Row],[Column4]]),Table13[[#This Row],[Column4]],Table13[[#This Row],[Column4]]="",I521*(1+Table13[[#This Row],[Ávöxtun]]))</f>
        <v>116.15788800000001</v>
      </c>
      <c r="L522" s="33">
        <v>116.15788800000001</v>
      </c>
      <c r="M522" s="33">
        <v>116.15788800000001</v>
      </c>
    </row>
    <row r="523" spans="1:13">
      <c r="A523" t="s">
        <v>111</v>
      </c>
      <c r="B523">
        <v>2002</v>
      </c>
      <c r="C523" s="16">
        <v>0</v>
      </c>
      <c r="D523" s="1">
        <v>47018568</v>
      </c>
      <c r="E523" s="29">
        <f>Table13[[#This Row],[Ávöxtun]]*Table13[[#This Row],[Eignir]]/SUMIFS(Table13[Eignir],Table13[Year],Table13[[#This Row],[Year]])</f>
        <v>0</v>
      </c>
      <c r="F523" s="23">
        <f>IF(B523=1997, 100, IF(COUNTIF(A$1:A522,A523)=0, "NEW", F522*(1+Table13[[#This Row],[Ávöxtun]])))</f>
        <v>116.15788800000001</v>
      </c>
      <c r="G523" s="18" cm="1">
        <f t="array" ref="G523">IFERROR(_xlfn.IFS(ISNUMBER(Table13[[#This Row],[Column3]]),Table13[[#This Row],[Column3]],Table13[[#This Row],[Column3]]="NEW",Table13[[#This Row],[Column3]]),"")</f>
        <v>116.15788800000001</v>
      </c>
      <c r="H523" s="15" cm="1">
        <f t="array" ref="H523">_xlfn.IFS(Table13[[#This Row],[Column4]]="NEW",AVERAGEIFS(Table13[Column4],Table13[Year],Table13[[#This Row],[Year]]),ISNUMBER(Table13[[#This Row],[Column4]]),Table13[[#This Row],[Column4]],Table13[[#This Row],[Column4]]="",H522*(1+Table13[[#This Row],[Ávöxtun]]))</f>
        <v>116.15788800000001</v>
      </c>
      <c r="I523" cm="1">
        <f t="array" ref="I523">_xlfn.IFS(Table13[[#This Row],[Column4]]="NEW",_xlfn.XLOOKUP(Table13[[#This Row],[Year]],$N$2:$N$27,$P$2:$P$27),ISNUMBER(Table13[[#This Row],[Column4]]),Table13[[#This Row],[Column4]],Table13[[#This Row],[Column4]]="",I522*(1+Table13[[#This Row],[Ávöxtun]]))</f>
        <v>116.15788800000001</v>
      </c>
      <c r="L523" s="33">
        <v>116.15788800000001</v>
      </c>
      <c r="M523" s="33">
        <v>116.15788800000001</v>
      </c>
    </row>
    <row r="524" spans="1:13">
      <c r="A524" t="s">
        <v>111</v>
      </c>
      <c r="B524">
        <v>2003</v>
      </c>
      <c r="C524" s="16">
        <v>0.15</v>
      </c>
      <c r="D524" s="1">
        <v>56142043</v>
      </c>
      <c r="E524" s="29">
        <f>Table13[[#This Row],[Ávöxtun]]*Table13[[#This Row],[Eignir]]/SUMIFS(Table13[Eignir],Table13[Year],Table13[[#This Row],[Year]])</f>
        <v>1.3203851819810824E-2</v>
      </c>
      <c r="F524" s="23">
        <f>IF(B524=1997, 100, IF(COUNTIF(A$1:A523,A524)=0, "NEW", F523*(1+Table13[[#This Row],[Ávöxtun]])))</f>
        <v>133.58157120000001</v>
      </c>
      <c r="G524" s="18" cm="1">
        <f t="array" ref="G524">IFERROR(_xlfn.IFS(ISNUMBER(Table13[[#This Row],[Column3]]),Table13[[#This Row],[Column3]],Table13[[#This Row],[Column3]]="NEW",Table13[[#This Row],[Column3]]),"")</f>
        <v>133.58157120000001</v>
      </c>
      <c r="H524" s="15" cm="1">
        <f t="array" ref="H524">_xlfn.IFS(Table13[[#This Row],[Column4]]="NEW",AVERAGEIFS(Table13[Column4],Table13[Year],Table13[[#This Row],[Year]]),ISNUMBER(Table13[[#This Row],[Column4]]),Table13[[#This Row],[Column4]],Table13[[#This Row],[Column4]]="",H523*(1+Table13[[#This Row],[Ávöxtun]]))</f>
        <v>133.58157120000001</v>
      </c>
      <c r="I524" cm="1">
        <f t="array" ref="I524">_xlfn.IFS(Table13[[#This Row],[Column4]]="NEW",_xlfn.XLOOKUP(Table13[[#This Row],[Year]],$N$2:$N$27,$P$2:$P$27),ISNUMBER(Table13[[#This Row],[Column4]]),Table13[[#This Row],[Column4]],Table13[[#This Row],[Column4]]="",I523*(1+Table13[[#This Row],[Ávöxtun]]))</f>
        <v>133.58157120000001</v>
      </c>
      <c r="L524" s="33">
        <v>133.58157120000001</v>
      </c>
      <c r="M524" s="33">
        <v>133.58157120000001</v>
      </c>
    </row>
    <row r="525" spans="1:13">
      <c r="A525" t="s">
        <v>111</v>
      </c>
      <c r="B525">
        <v>2004</v>
      </c>
      <c r="C525" s="16">
        <v>0.16</v>
      </c>
      <c r="D525" s="1">
        <v>68288832</v>
      </c>
      <c r="E525" s="29">
        <f>Table13[[#This Row],[Ávöxtun]]*Table13[[#This Row],[Eignir]]/SUMIFS(Table13[Eignir],Table13[Year],Table13[[#This Row],[Year]])</f>
        <v>1.4383552852390031E-2</v>
      </c>
      <c r="F525" s="23">
        <f>IF(B525=1997, 100, IF(COUNTIF(A$1:A524,A525)=0, "NEW", F524*(1+Table13[[#This Row],[Ávöxtun]])))</f>
        <v>154.95462259199999</v>
      </c>
      <c r="G525" s="18" cm="1">
        <f t="array" ref="G525">IFERROR(_xlfn.IFS(ISNUMBER(Table13[[#This Row],[Column3]]),Table13[[#This Row],[Column3]],Table13[[#This Row],[Column3]]="NEW",Table13[[#This Row],[Column3]]),"")</f>
        <v>154.95462259199999</v>
      </c>
      <c r="H525" s="15" cm="1">
        <f t="array" ref="H525">_xlfn.IFS(Table13[[#This Row],[Column4]]="NEW",AVERAGEIFS(Table13[Column4],Table13[Year],Table13[[#This Row],[Year]]),ISNUMBER(Table13[[#This Row],[Column4]]),Table13[[#This Row],[Column4]],Table13[[#This Row],[Column4]]="",H524*(1+Table13[[#This Row],[Ávöxtun]]))</f>
        <v>154.95462259199999</v>
      </c>
      <c r="I525" cm="1">
        <f t="array" ref="I525">_xlfn.IFS(Table13[[#This Row],[Column4]]="NEW",_xlfn.XLOOKUP(Table13[[#This Row],[Year]],$N$2:$N$27,$P$2:$P$27),ISNUMBER(Table13[[#This Row],[Column4]]),Table13[[#This Row],[Column4]],Table13[[#This Row],[Column4]]="",I524*(1+Table13[[#This Row],[Ávöxtun]]))</f>
        <v>154.95462259199999</v>
      </c>
      <c r="L525" s="33">
        <v>154.95462259199999</v>
      </c>
      <c r="M525" s="33">
        <v>154.95462259199999</v>
      </c>
    </row>
    <row r="526" spans="1:13">
      <c r="A526" t="s">
        <v>112</v>
      </c>
      <c r="B526">
        <v>1997</v>
      </c>
      <c r="C526" s="16">
        <v>0.05</v>
      </c>
      <c r="D526" s="1">
        <v>38314</v>
      </c>
      <c r="E526" s="29">
        <f>Table13[[#This Row],[Ávöxtun]]*Table13[[#This Row],[Eignir]]/SUMIFS(Table13[Eignir],Table13[Year],Table13[[#This Row],[Year]])</f>
        <v>6.7133748953458758E-6</v>
      </c>
      <c r="F526" s="23">
        <f>IF(B526=1997, 100, IF(COUNTIF(A$1:A525,A526)=0, "NEW", F525*(1+Table13[[#This Row],[Ávöxtun]])))</f>
        <v>100</v>
      </c>
      <c r="G526" s="18" cm="1">
        <f t="array" ref="G526">IFERROR(_xlfn.IFS(ISNUMBER(Table13[[#This Row],[Column3]]),Table13[[#This Row],[Column3]],Table13[[#This Row],[Column3]]="NEW",Table13[[#This Row],[Column3]]),"")</f>
        <v>100</v>
      </c>
      <c r="H526" s="15" cm="1">
        <f t="array" ref="H526">_xlfn.IFS(Table13[[#This Row],[Column4]]="NEW",AVERAGEIFS(Table13[Column4],Table13[Year],Table13[[#This Row],[Year]]),ISNUMBER(Table13[[#This Row],[Column4]]),Table13[[#This Row],[Column4]],Table13[[#This Row],[Column4]]="",H525*(1+Table13[[#This Row],[Ávöxtun]]))</f>
        <v>100</v>
      </c>
      <c r="I526" cm="1">
        <f t="array" ref="I526">_xlfn.IFS(Table13[[#This Row],[Column4]]="NEW",_xlfn.XLOOKUP(Table13[[#This Row],[Year]],$N$2:$N$27,$P$2:$P$27),ISNUMBER(Table13[[#This Row],[Column4]]),Table13[[#This Row],[Column4]],Table13[[#This Row],[Column4]]="",I525*(1+Table13[[#This Row],[Ávöxtun]]))</f>
        <v>100</v>
      </c>
      <c r="L526" s="33">
        <v>100</v>
      </c>
      <c r="M526" s="33">
        <v>100</v>
      </c>
    </row>
    <row r="527" spans="1:13">
      <c r="A527" t="s">
        <v>112</v>
      </c>
      <c r="B527">
        <v>1998</v>
      </c>
      <c r="C527" s="16">
        <v>0.05</v>
      </c>
      <c r="D527" s="1">
        <v>37913.39</v>
      </c>
      <c r="E527" s="29">
        <f>Table13[[#This Row],[Ávöxtun]]*Table13[[#This Row],[Eignir]]/SUMIFS(Table13[Eignir],Table13[Year],Table13[[#This Row],[Year]])</f>
        <v>5.735789666649691E-6</v>
      </c>
      <c r="F527" s="23">
        <f>IF(B527=1997, 100, IF(COUNTIF(A$1:A526,A527)=0, "NEW", F526*(1+Table13[[#This Row],[Ávöxtun]])))</f>
        <v>105</v>
      </c>
      <c r="G527" s="18" cm="1">
        <f t="array" ref="G527">IFERROR(_xlfn.IFS(ISNUMBER(Table13[[#This Row],[Column3]]),Table13[[#This Row],[Column3]],Table13[[#This Row],[Column3]]="NEW",Table13[[#This Row],[Column3]]),"")</f>
        <v>105</v>
      </c>
      <c r="H527" s="15" cm="1">
        <f t="array" ref="H527">_xlfn.IFS(Table13[[#This Row],[Column4]]="NEW",AVERAGEIFS(Table13[Column4],Table13[Year],Table13[[#This Row],[Year]]),ISNUMBER(Table13[[#This Row],[Column4]]),Table13[[#This Row],[Column4]],Table13[[#This Row],[Column4]]="",H526*(1+Table13[[#This Row],[Ávöxtun]]))</f>
        <v>105</v>
      </c>
      <c r="I527" cm="1">
        <f t="array" ref="I527">_xlfn.IFS(Table13[[#This Row],[Column4]]="NEW",_xlfn.XLOOKUP(Table13[[#This Row],[Year]],$N$2:$N$27,$P$2:$P$27),ISNUMBER(Table13[[#This Row],[Column4]]),Table13[[#This Row],[Column4]],Table13[[#This Row],[Column4]]="",I526*(1+Table13[[#This Row],[Ávöxtun]]))</f>
        <v>105</v>
      </c>
      <c r="L527" s="33">
        <v>105</v>
      </c>
      <c r="M527" s="33">
        <v>105</v>
      </c>
    </row>
    <row r="528" spans="1:13">
      <c r="A528" t="s">
        <v>112</v>
      </c>
      <c r="B528">
        <v>1999</v>
      </c>
      <c r="C528" s="16">
        <v>0.06</v>
      </c>
      <c r="D528" s="1">
        <v>39726.46</v>
      </c>
      <c r="E528" s="29">
        <f>Table13[[#This Row],[Ávöxtun]]*Table13[[#This Row],[Eignir]]/SUMIFS(Table13[Eignir],Table13[Year],Table13[[#This Row],[Year]])</f>
        <v>5.369359399014494E-6</v>
      </c>
      <c r="F528" s="23">
        <f>IF(B528=1997, 100, IF(COUNTIF(A$1:A527,A528)=0, "NEW", F527*(1+Table13[[#This Row],[Ávöxtun]])))</f>
        <v>111.30000000000001</v>
      </c>
      <c r="G528" s="18" cm="1">
        <f t="array" ref="G528">IFERROR(_xlfn.IFS(ISNUMBER(Table13[[#This Row],[Column3]]),Table13[[#This Row],[Column3]],Table13[[#This Row],[Column3]]="NEW",Table13[[#This Row],[Column3]]),"")</f>
        <v>111.30000000000001</v>
      </c>
      <c r="H528" s="15" cm="1">
        <f t="array" ref="H528">_xlfn.IFS(Table13[[#This Row],[Column4]]="NEW",AVERAGEIFS(Table13[Column4],Table13[Year],Table13[[#This Row],[Year]]),ISNUMBER(Table13[[#This Row],[Column4]]),Table13[[#This Row],[Column4]],Table13[[#This Row],[Column4]]="",H527*(1+Table13[[#This Row],[Ávöxtun]]))</f>
        <v>111.30000000000001</v>
      </c>
      <c r="I528" cm="1">
        <f t="array" ref="I528">_xlfn.IFS(Table13[[#This Row],[Column4]]="NEW",_xlfn.XLOOKUP(Table13[[#This Row],[Year]],$N$2:$N$27,$P$2:$P$27),ISNUMBER(Table13[[#This Row],[Column4]]),Table13[[#This Row],[Column4]],Table13[[#This Row],[Column4]]="",I527*(1+Table13[[#This Row],[Ávöxtun]]))</f>
        <v>111.30000000000001</v>
      </c>
      <c r="L528" s="33">
        <v>111.30000000000001</v>
      </c>
      <c r="M528" s="33">
        <v>111.30000000000001</v>
      </c>
    </row>
    <row r="529" spans="1:13">
      <c r="A529" t="s">
        <v>113</v>
      </c>
      <c r="B529">
        <v>1997</v>
      </c>
      <c r="C529" s="16">
        <v>0.05</v>
      </c>
      <c r="D529" s="1">
        <v>777612.59</v>
      </c>
      <c r="E529" s="29">
        <f>Table13[[#This Row],[Ávöxtun]]*Table13[[#This Row],[Eignir]]/SUMIFS(Table13[Eignir],Table13[Year],Table13[[#This Row],[Year]])</f>
        <v>1.3625319308897233E-4</v>
      </c>
      <c r="F529" s="23">
        <f>IF(B529=1997, 100, IF(COUNTIF(A$1:A528,A529)=0, "NEW", F528*(1+Table13[[#This Row],[Ávöxtun]])))</f>
        <v>100</v>
      </c>
      <c r="G529" s="18" cm="1">
        <f t="array" ref="G529">IFERROR(_xlfn.IFS(ISNUMBER(Table13[[#This Row],[Column3]]),Table13[[#This Row],[Column3]],Table13[[#This Row],[Column3]]="NEW",Table13[[#This Row],[Column3]]),"")</f>
        <v>100</v>
      </c>
      <c r="H529" s="15" cm="1">
        <f t="array" ref="H529">_xlfn.IFS(Table13[[#This Row],[Column4]]="NEW",AVERAGEIFS(Table13[Column4],Table13[Year],Table13[[#This Row],[Year]]),ISNUMBER(Table13[[#This Row],[Column4]]),Table13[[#This Row],[Column4]],Table13[[#This Row],[Column4]]="",H528*(1+Table13[[#This Row],[Ávöxtun]]))</f>
        <v>100</v>
      </c>
      <c r="I529" cm="1">
        <f t="array" ref="I529">_xlfn.IFS(Table13[[#This Row],[Column4]]="NEW",_xlfn.XLOOKUP(Table13[[#This Row],[Year]],$N$2:$N$27,$P$2:$P$27),ISNUMBER(Table13[[#This Row],[Column4]]),Table13[[#This Row],[Column4]],Table13[[#This Row],[Column4]]="",I528*(1+Table13[[#This Row],[Ávöxtun]]))</f>
        <v>100</v>
      </c>
      <c r="L529" s="33">
        <v>100</v>
      </c>
      <c r="M529" s="33">
        <v>100</v>
      </c>
    </row>
    <row r="530" spans="1:13">
      <c r="A530" t="s">
        <v>113</v>
      </c>
      <c r="B530">
        <v>1998</v>
      </c>
      <c r="C530" s="16">
        <v>7.0000000000000007E-2</v>
      </c>
      <c r="D530" s="1">
        <v>853427.34</v>
      </c>
      <c r="E530" s="29">
        <f>Table13[[#This Row],[Ávöxtun]]*Table13[[#This Row],[Eignir]]/SUMIFS(Table13[Eignir],Table13[Year],Table13[[#This Row],[Year]])</f>
        <v>1.8075702555776907E-4</v>
      </c>
      <c r="F530" s="23">
        <f>IF(B530=1997, 100, IF(COUNTIF(A$1:A529,A530)=0, "NEW", F529*(1+Table13[[#This Row],[Ávöxtun]])))</f>
        <v>107</v>
      </c>
      <c r="G530" s="18" cm="1">
        <f t="array" ref="G530">IFERROR(_xlfn.IFS(ISNUMBER(Table13[[#This Row],[Column3]]),Table13[[#This Row],[Column3]],Table13[[#This Row],[Column3]]="NEW",Table13[[#This Row],[Column3]]),"")</f>
        <v>107</v>
      </c>
      <c r="H530" s="15" cm="1">
        <f t="array" ref="H530">_xlfn.IFS(Table13[[#This Row],[Column4]]="NEW",AVERAGEIFS(Table13[Column4],Table13[Year],Table13[[#This Row],[Year]]),ISNUMBER(Table13[[#This Row],[Column4]]),Table13[[#This Row],[Column4]],Table13[[#This Row],[Column4]]="",H529*(1+Table13[[#This Row],[Ávöxtun]]))</f>
        <v>107</v>
      </c>
      <c r="I530" cm="1">
        <f t="array" ref="I530">_xlfn.IFS(Table13[[#This Row],[Column4]]="NEW",_xlfn.XLOOKUP(Table13[[#This Row],[Year]],$N$2:$N$27,$P$2:$P$27),ISNUMBER(Table13[[#This Row],[Column4]]),Table13[[#This Row],[Column4]],Table13[[#This Row],[Column4]]="",I529*(1+Table13[[#This Row],[Ávöxtun]]))</f>
        <v>107</v>
      </c>
      <c r="L530" s="33">
        <v>107</v>
      </c>
      <c r="M530" s="33">
        <v>107</v>
      </c>
    </row>
    <row r="531" spans="1:13">
      <c r="A531" t="s">
        <v>113</v>
      </c>
      <c r="B531">
        <v>1999</v>
      </c>
      <c r="C531" s="16">
        <v>0.09</v>
      </c>
      <c r="D531" s="1">
        <v>989697.96</v>
      </c>
      <c r="E531" s="29">
        <f>Table13[[#This Row],[Ávöxtun]]*Table13[[#This Row],[Eignir]]/SUMIFS(Table13[Eignir],Table13[Year],Table13[[#This Row],[Year]])</f>
        <v>2.0064878837850657E-4</v>
      </c>
      <c r="F531" s="23">
        <f>IF(B531=1997, 100, IF(COUNTIF(A$1:A530,A531)=0, "NEW", F530*(1+Table13[[#This Row],[Ávöxtun]])))</f>
        <v>116.63000000000001</v>
      </c>
      <c r="G531" s="18" cm="1">
        <f t="array" ref="G531">IFERROR(_xlfn.IFS(ISNUMBER(Table13[[#This Row],[Column3]]),Table13[[#This Row],[Column3]],Table13[[#This Row],[Column3]]="NEW",Table13[[#This Row],[Column3]]),"")</f>
        <v>116.63000000000001</v>
      </c>
      <c r="H531" s="15" cm="1">
        <f t="array" ref="H531">_xlfn.IFS(Table13[[#This Row],[Column4]]="NEW",AVERAGEIFS(Table13[Column4],Table13[Year],Table13[[#This Row],[Year]]),ISNUMBER(Table13[[#This Row],[Column4]]),Table13[[#This Row],[Column4]],Table13[[#This Row],[Column4]]="",H530*(1+Table13[[#This Row],[Ávöxtun]]))</f>
        <v>116.63000000000001</v>
      </c>
      <c r="I531" cm="1">
        <f t="array" ref="I531">_xlfn.IFS(Table13[[#This Row],[Column4]]="NEW",_xlfn.XLOOKUP(Table13[[#This Row],[Year]],$N$2:$N$27,$P$2:$P$27),ISNUMBER(Table13[[#This Row],[Column4]]),Table13[[#This Row],[Column4]],Table13[[#This Row],[Column4]]="",I530*(1+Table13[[#This Row],[Ávöxtun]]))</f>
        <v>116.63000000000001</v>
      </c>
      <c r="L531" s="33">
        <v>116.63000000000001</v>
      </c>
      <c r="M531" s="33">
        <v>116.63000000000001</v>
      </c>
    </row>
    <row r="532" spans="1:13">
      <c r="A532" t="s">
        <v>113</v>
      </c>
      <c r="B532">
        <v>2000</v>
      </c>
      <c r="C532" s="16">
        <v>0.03</v>
      </c>
      <c r="D532" s="1">
        <v>1066448.1299999999</v>
      </c>
      <c r="E532" s="29">
        <f>Table13[[#This Row],[Ávöxtun]]*Table13[[#This Row],[Eignir]]/SUMIFS(Table13[Eignir],Table13[Year],Table13[[#This Row],[Year]])</f>
        <v>5.1232002507983764E-5</v>
      </c>
      <c r="F532" s="23">
        <f>IF(B532=1997, 100, IF(COUNTIF(A$1:A531,A532)=0, "NEW", F531*(1+Table13[[#This Row],[Ávöxtun]])))</f>
        <v>120.12890000000002</v>
      </c>
      <c r="G532" s="18" cm="1">
        <f t="array" ref="G532">IFERROR(_xlfn.IFS(ISNUMBER(Table13[[#This Row],[Column3]]),Table13[[#This Row],[Column3]],Table13[[#This Row],[Column3]]="NEW",Table13[[#This Row],[Column3]]),"")</f>
        <v>120.12890000000002</v>
      </c>
      <c r="H532" s="15" cm="1">
        <f t="array" ref="H532">_xlfn.IFS(Table13[[#This Row],[Column4]]="NEW",AVERAGEIFS(Table13[Column4],Table13[Year],Table13[[#This Row],[Year]]),ISNUMBER(Table13[[#This Row],[Column4]]),Table13[[#This Row],[Column4]],Table13[[#This Row],[Column4]]="",H531*(1+Table13[[#This Row],[Ávöxtun]]))</f>
        <v>120.12890000000002</v>
      </c>
      <c r="I532" cm="1">
        <f t="array" ref="I532">_xlfn.IFS(Table13[[#This Row],[Column4]]="NEW",_xlfn.XLOOKUP(Table13[[#This Row],[Year]],$N$2:$N$27,$P$2:$P$27),ISNUMBER(Table13[[#This Row],[Column4]]),Table13[[#This Row],[Column4]],Table13[[#This Row],[Column4]]="",I531*(1+Table13[[#This Row],[Ávöxtun]]))</f>
        <v>120.12890000000002</v>
      </c>
      <c r="L532" s="33">
        <v>120.12890000000002</v>
      </c>
      <c r="M532" s="33">
        <v>120.12890000000002</v>
      </c>
    </row>
    <row r="533" spans="1:13">
      <c r="A533" t="s">
        <v>113</v>
      </c>
      <c r="B533">
        <v>2001</v>
      </c>
      <c r="C533" s="16">
        <v>0</v>
      </c>
      <c r="D533" s="1">
        <v>1133696.6499999999</v>
      </c>
      <c r="E533" s="29">
        <f>Table13[[#This Row],[Ávöxtun]]*Table13[[#This Row],[Eignir]]/SUMIFS(Table13[Eignir],Table13[Year],Table13[[#This Row],[Year]])</f>
        <v>0</v>
      </c>
      <c r="F533" s="23">
        <f>IF(B533=1997, 100, IF(COUNTIF(A$1:A532,A533)=0, "NEW", F532*(1+Table13[[#This Row],[Ávöxtun]])))</f>
        <v>120.12890000000002</v>
      </c>
      <c r="G533" s="18" cm="1">
        <f t="array" ref="G533">IFERROR(_xlfn.IFS(ISNUMBER(Table13[[#This Row],[Column3]]),Table13[[#This Row],[Column3]],Table13[[#This Row],[Column3]]="NEW",Table13[[#This Row],[Column3]]),"")</f>
        <v>120.12890000000002</v>
      </c>
      <c r="H533" s="15" cm="1">
        <f t="array" ref="H533">_xlfn.IFS(Table13[[#This Row],[Column4]]="NEW",AVERAGEIFS(Table13[Column4],Table13[Year],Table13[[#This Row],[Year]]),ISNUMBER(Table13[[#This Row],[Column4]]),Table13[[#This Row],[Column4]],Table13[[#This Row],[Column4]]="",H532*(1+Table13[[#This Row],[Ávöxtun]]))</f>
        <v>120.12890000000002</v>
      </c>
      <c r="I533" cm="1">
        <f t="array" ref="I533">_xlfn.IFS(Table13[[#This Row],[Column4]]="NEW",_xlfn.XLOOKUP(Table13[[#This Row],[Year]],$N$2:$N$27,$P$2:$P$27),ISNUMBER(Table13[[#This Row],[Column4]]),Table13[[#This Row],[Column4]],Table13[[#This Row],[Column4]]="",I532*(1+Table13[[#This Row],[Ávöxtun]]))</f>
        <v>120.12890000000002</v>
      </c>
      <c r="L533" s="33">
        <v>120.12890000000002</v>
      </c>
      <c r="M533" s="33">
        <v>120.12890000000002</v>
      </c>
    </row>
    <row r="534" spans="1:13">
      <c r="A534" t="s">
        <v>113</v>
      </c>
      <c r="B534">
        <v>2002</v>
      </c>
      <c r="C534" s="16">
        <v>-0.02</v>
      </c>
      <c r="D534" s="1">
        <v>1104587.3999999999</v>
      </c>
      <c r="E534" s="29">
        <f>Table13[[#This Row],[Ávöxtun]]*Table13[[#This Row],[Eignir]]/SUMIFS(Table13[Eignir],Table13[Year],Table13[[#This Row],[Year]])</f>
        <v>-4.1457098603620013E-5</v>
      </c>
      <c r="F534" s="23">
        <f>IF(B534=1997, 100, IF(COUNTIF(A$1:A533,A534)=0, "NEW", F533*(1+Table13[[#This Row],[Ávöxtun]])))</f>
        <v>117.72632200000001</v>
      </c>
      <c r="G534" s="18" cm="1">
        <f t="array" ref="G534">IFERROR(_xlfn.IFS(ISNUMBER(Table13[[#This Row],[Column3]]),Table13[[#This Row],[Column3]],Table13[[#This Row],[Column3]]="NEW",Table13[[#This Row],[Column3]]),"")</f>
        <v>117.72632200000001</v>
      </c>
      <c r="H534" s="15" cm="1">
        <f t="array" ref="H534">_xlfn.IFS(Table13[[#This Row],[Column4]]="NEW",AVERAGEIFS(Table13[Column4],Table13[Year],Table13[[#This Row],[Year]]),ISNUMBER(Table13[[#This Row],[Column4]]),Table13[[#This Row],[Column4]],Table13[[#This Row],[Column4]]="",H533*(1+Table13[[#This Row],[Ávöxtun]]))</f>
        <v>117.72632200000001</v>
      </c>
      <c r="I534" cm="1">
        <f t="array" ref="I534">_xlfn.IFS(Table13[[#This Row],[Column4]]="NEW",_xlfn.XLOOKUP(Table13[[#This Row],[Year]],$N$2:$N$27,$P$2:$P$27),ISNUMBER(Table13[[#This Row],[Column4]]),Table13[[#This Row],[Column4]],Table13[[#This Row],[Column4]]="",I533*(1+Table13[[#This Row],[Ávöxtun]]))</f>
        <v>117.72632200000001</v>
      </c>
      <c r="L534" s="33">
        <v>117.72632200000001</v>
      </c>
      <c r="M534" s="33">
        <v>117.72632200000001</v>
      </c>
    </row>
    <row r="535" spans="1:13">
      <c r="A535" t="s">
        <v>113</v>
      </c>
      <c r="B535">
        <v>2003</v>
      </c>
      <c r="C535" s="16">
        <v>0.08</v>
      </c>
      <c r="D535" s="1">
        <v>1184785</v>
      </c>
      <c r="E535" s="29">
        <f>Table13[[#This Row],[Ávöxtun]]*Table13[[#This Row],[Eignir]]/SUMIFS(Table13[Eignir],Table13[Year],Table13[[#This Row],[Year]])</f>
        <v>1.4861091372191608E-4</v>
      </c>
      <c r="F535" s="23">
        <f>IF(B535=1997, 100, IF(COUNTIF(A$1:A534,A535)=0, "NEW", F534*(1+Table13[[#This Row],[Ávöxtun]])))</f>
        <v>127.14442776000001</v>
      </c>
      <c r="G535" s="18" cm="1">
        <f t="array" ref="G535">IFERROR(_xlfn.IFS(ISNUMBER(Table13[[#This Row],[Column3]]),Table13[[#This Row],[Column3]],Table13[[#This Row],[Column3]]="NEW",Table13[[#This Row],[Column3]]),"")</f>
        <v>127.14442776000001</v>
      </c>
      <c r="H535" s="15" cm="1">
        <f t="array" ref="H535">_xlfn.IFS(Table13[[#This Row],[Column4]]="NEW",AVERAGEIFS(Table13[Column4],Table13[Year],Table13[[#This Row],[Year]]),ISNUMBER(Table13[[#This Row],[Column4]]),Table13[[#This Row],[Column4]],Table13[[#This Row],[Column4]]="",H534*(1+Table13[[#This Row],[Ávöxtun]]))</f>
        <v>127.14442776000001</v>
      </c>
      <c r="I535" cm="1">
        <f t="array" ref="I535">_xlfn.IFS(Table13[[#This Row],[Column4]]="NEW",_xlfn.XLOOKUP(Table13[[#This Row],[Year]],$N$2:$N$27,$P$2:$P$27),ISNUMBER(Table13[[#This Row],[Column4]]),Table13[[#This Row],[Column4]],Table13[[#This Row],[Column4]]="",I534*(1+Table13[[#This Row],[Ávöxtun]]))</f>
        <v>127.14442776000001</v>
      </c>
      <c r="L535" s="33">
        <v>127.14442776000001</v>
      </c>
      <c r="M535" s="33">
        <v>127.14442776000001</v>
      </c>
    </row>
    <row r="536" spans="1:13">
      <c r="A536" t="s">
        <v>113</v>
      </c>
      <c r="B536">
        <v>2004</v>
      </c>
      <c r="C536" s="16">
        <v>0.11</v>
      </c>
      <c r="D536" s="1">
        <v>1311725</v>
      </c>
      <c r="E536" s="29">
        <f>Table13[[#This Row],[Ávöxtun]]*Table13[[#This Row],[Eignir]]/SUMIFS(Table13[Eignir],Table13[Year],Table13[[#This Row],[Year]])</f>
        <v>1.8994680246390292E-4</v>
      </c>
      <c r="F536" s="23">
        <f>IF(B536=1997, 100, IF(COUNTIF(A$1:A535,A536)=0, "NEW", F535*(1+Table13[[#This Row],[Ávöxtun]])))</f>
        <v>141.13031481360002</v>
      </c>
      <c r="G536" s="18" cm="1">
        <f t="array" ref="G536">IFERROR(_xlfn.IFS(ISNUMBER(Table13[[#This Row],[Column3]]),Table13[[#This Row],[Column3]],Table13[[#This Row],[Column3]]="NEW",Table13[[#This Row],[Column3]]),"")</f>
        <v>141.13031481360002</v>
      </c>
      <c r="H536" s="15" cm="1">
        <f t="array" ref="H536">_xlfn.IFS(Table13[[#This Row],[Column4]]="NEW",AVERAGEIFS(Table13[Column4],Table13[Year],Table13[[#This Row],[Year]]),ISNUMBER(Table13[[#This Row],[Column4]]),Table13[[#This Row],[Column4]],Table13[[#This Row],[Column4]]="",H535*(1+Table13[[#This Row],[Ávöxtun]]))</f>
        <v>141.13031481360002</v>
      </c>
      <c r="I536" cm="1">
        <f t="array" ref="I536">_xlfn.IFS(Table13[[#This Row],[Column4]]="NEW",_xlfn.XLOOKUP(Table13[[#This Row],[Year]],$N$2:$N$27,$P$2:$P$27),ISNUMBER(Table13[[#This Row],[Column4]]),Table13[[#This Row],[Column4]],Table13[[#This Row],[Column4]]="",I535*(1+Table13[[#This Row],[Ávöxtun]]))</f>
        <v>141.13031481360002</v>
      </c>
      <c r="L536" s="33">
        <v>141.13031481360002</v>
      </c>
      <c r="M536" s="33">
        <v>141.13031481360002</v>
      </c>
    </row>
    <row r="537" spans="1:13">
      <c r="A537" t="s">
        <v>113</v>
      </c>
      <c r="B537">
        <v>2005</v>
      </c>
      <c r="C537" s="16">
        <v>0.1</v>
      </c>
      <c r="D537" s="1">
        <v>2147153</v>
      </c>
      <c r="E537" s="29">
        <f>Table13[[#This Row],[Ávöxtun]]*Table13[[#This Row],[Eignir]]/SUMIFS(Table13[Eignir],Table13[Year],Table13[[#This Row],[Year]])</f>
        <v>2.3003339910159174E-4</v>
      </c>
      <c r="F537" s="23">
        <f>IF(B537=1997, 100, IF(COUNTIF(A$1:A536,A537)=0, "NEW", F536*(1+Table13[[#This Row],[Ávöxtun]])))</f>
        <v>155.24334629496005</v>
      </c>
      <c r="G537" s="18" cm="1">
        <f t="array" ref="G537">IFERROR(_xlfn.IFS(ISNUMBER(Table13[[#This Row],[Column3]]),Table13[[#This Row],[Column3]],Table13[[#This Row],[Column3]]="NEW",Table13[[#This Row],[Column3]]),"")</f>
        <v>155.24334629496005</v>
      </c>
      <c r="H537" s="15" cm="1">
        <f t="array" ref="H537">_xlfn.IFS(Table13[[#This Row],[Column4]]="NEW",AVERAGEIFS(Table13[Column4],Table13[Year],Table13[[#This Row],[Year]]),ISNUMBER(Table13[[#This Row],[Column4]]),Table13[[#This Row],[Column4]],Table13[[#This Row],[Column4]]="",H536*(1+Table13[[#This Row],[Ávöxtun]]))</f>
        <v>155.24334629496005</v>
      </c>
      <c r="I537" cm="1">
        <f t="array" ref="I537">_xlfn.IFS(Table13[[#This Row],[Column4]]="NEW",_xlfn.XLOOKUP(Table13[[#This Row],[Year]],$N$2:$N$27,$P$2:$P$27),ISNUMBER(Table13[[#This Row],[Column4]]),Table13[[#This Row],[Column4]],Table13[[#This Row],[Column4]]="",I536*(1+Table13[[#This Row],[Ávöxtun]]))</f>
        <v>155.24334629496005</v>
      </c>
      <c r="L537" s="33">
        <v>155.24334629496005</v>
      </c>
      <c r="M537" s="33">
        <v>155.24334629496005</v>
      </c>
    </row>
    <row r="538" spans="1:13">
      <c r="A538" t="s">
        <v>113</v>
      </c>
      <c r="B538">
        <v>2006</v>
      </c>
      <c r="C538" s="16">
        <v>7.0599999999999996E-2</v>
      </c>
      <c r="D538" s="1">
        <v>2382635</v>
      </c>
      <c r="E538" s="29">
        <f>Table13[[#This Row],[Ávöxtun]]*Table13[[#This Row],[Eignir]]/SUMIFS(Table13[Eignir],Table13[Year],Table13[[#This Row],[Year]])</f>
        <v>1.478658857419448E-4</v>
      </c>
      <c r="F538" s="23">
        <f>IF(B538=1997, 100, IF(COUNTIF(A$1:A537,A538)=0, "NEW", F537*(1+Table13[[#This Row],[Ávöxtun]])))</f>
        <v>166.20352654338421</v>
      </c>
      <c r="G538" s="18" cm="1">
        <f t="array" ref="G538">IFERROR(_xlfn.IFS(ISNUMBER(Table13[[#This Row],[Column3]]),Table13[[#This Row],[Column3]],Table13[[#This Row],[Column3]]="NEW",Table13[[#This Row],[Column3]]),"")</f>
        <v>166.20352654338421</v>
      </c>
      <c r="H538" s="15" cm="1">
        <f t="array" ref="H538">_xlfn.IFS(Table13[[#This Row],[Column4]]="NEW",AVERAGEIFS(Table13[Column4],Table13[Year],Table13[[#This Row],[Year]]),ISNUMBER(Table13[[#This Row],[Column4]]),Table13[[#This Row],[Column4]],Table13[[#This Row],[Column4]]="",H537*(1+Table13[[#This Row],[Ávöxtun]]))</f>
        <v>166.20352654338421</v>
      </c>
      <c r="I538" cm="1">
        <f t="array" ref="I538">_xlfn.IFS(Table13[[#This Row],[Column4]]="NEW",_xlfn.XLOOKUP(Table13[[#This Row],[Year]],$N$2:$N$27,$P$2:$P$27),ISNUMBER(Table13[[#This Row],[Column4]]),Table13[[#This Row],[Column4]],Table13[[#This Row],[Column4]]="",I537*(1+Table13[[#This Row],[Ávöxtun]]))</f>
        <v>166.20352654338421</v>
      </c>
      <c r="L538" s="33">
        <v>166.20352654338421</v>
      </c>
      <c r="M538" s="33">
        <v>166.20352654338421</v>
      </c>
    </row>
    <row r="539" spans="1:13">
      <c r="A539" t="s">
        <v>113</v>
      </c>
      <c r="B539">
        <v>2007</v>
      </c>
      <c r="C539" s="16">
        <v>4.02E-2</v>
      </c>
      <c r="D539" s="1">
        <v>5935385</v>
      </c>
      <c r="E539" s="29">
        <f>Table13[[#This Row],[Ávöxtun]]*Table13[[#This Row],[Eignir]]/SUMIFS(Table13[Eignir],Table13[Year],Table13[[#This Row],[Year]])</f>
        <v>1.8590564921721088E-4</v>
      </c>
      <c r="F539" s="23">
        <f>IF(B539=1997, 100, IF(COUNTIF(A$1:A538,A539)=0, "NEW", F538*(1+Table13[[#This Row],[Ávöxtun]])))</f>
        <v>172.88490831042827</v>
      </c>
      <c r="G539" s="18" cm="1">
        <f t="array" ref="G539">IFERROR(_xlfn.IFS(ISNUMBER(Table13[[#This Row],[Column3]]),Table13[[#This Row],[Column3]],Table13[[#This Row],[Column3]]="NEW",Table13[[#This Row],[Column3]]),"")</f>
        <v>172.88490831042827</v>
      </c>
      <c r="H539" s="15" cm="1">
        <f t="array" ref="H539">_xlfn.IFS(Table13[[#This Row],[Column4]]="NEW",AVERAGEIFS(Table13[Column4],Table13[Year],Table13[[#This Row],[Year]]),ISNUMBER(Table13[[#This Row],[Column4]]),Table13[[#This Row],[Column4]],Table13[[#This Row],[Column4]]="",H538*(1+Table13[[#This Row],[Ávöxtun]]))</f>
        <v>172.88490831042827</v>
      </c>
      <c r="I539" cm="1">
        <f t="array" ref="I539">_xlfn.IFS(Table13[[#This Row],[Column4]]="NEW",_xlfn.XLOOKUP(Table13[[#This Row],[Year]],$N$2:$N$27,$P$2:$P$27),ISNUMBER(Table13[[#This Row],[Column4]]),Table13[[#This Row],[Column4]],Table13[[#This Row],[Column4]]="",I538*(1+Table13[[#This Row],[Ávöxtun]]))</f>
        <v>172.88490831042827</v>
      </c>
      <c r="L539" s="33">
        <v>172.88490831042827</v>
      </c>
      <c r="M539" s="33">
        <v>172.88490831042827</v>
      </c>
    </row>
    <row r="540" spans="1:13">
      <c r="A540" t="s">
        <v>113</v>
      </c>
      <c r="B540">
        <v>2008</v>
      </c>
      <c r="C540" s="16">
        <v>-5.6000000000000008E-3</v>
      </c>
      <c r="D540" s="1">
        <v>6904779</v>
      </c>
      <c r="E540" s="29">
        <f>Table13[[#This Row],[Ávöxtun]]*Table13[[#This Row],[Eignir]]/SUMIFS(Table13[Eignir],Table13[Year],Table13[[#This Row],[Year]])</f>
        <v>-3.1208149868708382E-5</v>
      </c>
      <c r="F540" s="23">
        <f>IF(B540=1997, 100, IF(COUNTIF(A$1:A539,A540)=0, "NEW", F539*(1+Table13[[#This Row],[Ávöxtun]])))</f>
        <v>171.91675282388988</v>
      </c>
      <c r="G540" s="18" cm="1">
        <f t="array" ref="G540">IFERROR(_xlfn.IFS(ISNUMBER(Table13[[#This Row],[Column3]]),Table13[[#This Row],[Column3]],Table13[[#This Row],[Column3]]="NEW",Table13[[#This Row],[Column3]]),"")</f>
        <v>171.91675282388988</v>
      </c>
      <c r="H540" s="15" cm="1">
        <f t="array" ref="H540">_xlfn.IFS(Table13[[#This Row],[Column4]]="NEW",AVERAGEIFS(Table13[Column4],Table13[Year],Table13[[#This Row],[Year]]),ISNUMBER(Table13[[#This Row],[Column4]]),Table13[[#This Row],[Column4]],Table13[[#This Row],[Column4]]="",H539*(1+Table13[[#This Row],[Ávöxtun]]))</f>
        <v>171.91675282388988</v>
      </c>
      <c r="I540" cm="1">
        <f t="array" ref="I540">_xlfn.IFS(Table13[[#This Row],[Column4]]="NEW",_xlfn.XLOOKUP(Table13[[#This Row],[Year]],$N$2:$N$27,$P$2:$P$27),ISNUMBER(Table13[[#This Row],[Column4]]),Table13[[#This Row],[Column4]],Table13[[#This Row],[Column4]]="",I539*(1+Table13[[#This Row],[Ávöxtun]]))</f>
        <v>171.91675282388988</v>
      </c>
      <c r="L540" s="33">
        <v>171.91675282388988</v>
      </c>
      <c r="M540" s="33">
        <v>171.91675282388988</v>
      </c>
    </row>
    <row r="541" spans="1:13">
      <c r="A541" t="s">
        <v>113</v>
      </c>
      <c r="B541">
        <v>2009</v>
      </c>
      <c r="C541" s="16">
        <v>3.1300000000000001E-2</v>
      </c>
      <c r="D541" s="1">
        <v>7588249</v>
      </c>
      <c r="E541" s="29">
        <f>Table13[[#This Row],[Ávöxtun]]*Table13[[#This Row],[Eignir]]/SUMIFS(Table13[Eignir],Table13[Year],Table13[[#This Row],[Year]])</f>
        <v>1.7297287658355777E-4</v>
      </c>
      <c r="F541" s="23">
        <f>IF(B541=1997, 100, IF(COUNTIF(A$1:A540,A541)=0, "NEW", F540*(1+Table13[[#This Row],[Ávöxtun]])))</f>
        <v>177.29774718727765</v>
      </c>
      <c r="G541" s="18" cm="1">
        <f t="array" ref="G541">IFERROR(_xlfn.IFS(ISNUMBER(Table13[[#This Row],[Column3]]),Table13[[#This Row],[Column3]],Table13[[#This Row],[Column3]]="NEW",Table13[[#This Row],[Column3]]),"")</f>
        <v>177.29774718727765</v>
      </c>
      <c r="H541" s="15" cm="1">
        <f t="array" ref="H541">_xlfn.IFS(Table13[[#This Row],[Column4]]="NEW",AVERAGEIFS(Table13[Column4],Table13[Year],Table13[[#This Row],[Year]]),ISNUMBER(Table13[[#This Row],[Column4]]),Table13[[#This Row],[Column4]],Table13[[#This Row],[Column4]]="",H540*(1+Table13[[#This Row],[Ávöxtun]]))</f>
        <v>177.29774718727765</v>
      </c>
      <c r="I541" cm="1">
        <f t="array" ref="I541">_xlfn.IFS(Table13[[#This Row],[Column4]]="NEW",_xlfn.XLOOKUP(Table13[[#This Row],[Year]],$N$2:$N$27,$P$2:$P$27),ISNUMBER(Table13[[#This Row],[Column4]]),Table13[[#This Row],[Column4]],Table13[[#This Row],[Column4]]="",I540*(1+Table13[[#This Row],[Ávöxtun]]))</f>
        <v>177.29774718727765</v>
      </c>
      <c r="L541" s="33">
        <v>177.29774718727765</v>
      </c>
      <c r="M541" s="33">
        <v>177.29774718727765</v>
      </c>
    </row>
    <row r="542" spans="1:13">
      <c r="A542" t="s">
        <v>113</v>
      </c>
      <c r="B542">
        <v>2010</v>
      </c>
      <c r="C542" s="16">
        <v>3.2500000000000001E-2</v>
      </c>
      <c r="D542" s="1">
        <v>7866337</v>
      </c>
      <c r="E542" s="29">
        <f>Table13[[#This Row],[Ávöxtun]]*Table13[[#This Row],[Eignir]]/SUMIFS(Table13[Eignir],Table13[Year],Table13[[#This Row],[Year]])</f>
        <v>1.7453914685506414E-4</v>
      </c>
      <c r="F542" s="23">
        <f>IF(B542=1997, 100, IF(COUNTIF(A$1:A541,A542)=0, "NEW", F541*(1+Table13[[#This Row],[Ávöxtun]])))</f>
        <v>183.05992397086416</v>
      </c>
      <c r="G542" s="18" cm="1">
        <f t="array" ref="G542">IFERROR(_xlfn.IFS(ISNUMBER(Table13[[#This Row],[Column3]]),Table13[[#This Row],[Column3]],Table13[[#This Row],[Column3]]="NEW",Table13[[#This Row],[Column3]]),"")</f>
        <v>183.05992397086416</v>
      </c>
      <c r="H542" s="15" cm="1">
        <f t="array" ref="H542">_xlfn.IFS(Table13[[#This Row],[Column4]]="NEW",AVERAGEIFS(Table13[Column4],Table13[Year],Table13[[#This Row],[Year]]),ISNUMBER(Table13[[#This Row],[Column4]]),Table13[[#This Row],[Column4]],Table13[[#This Row],[Column4]]="",H541*(1+Table13[[#This Row],[Ávöxtun]]))</f>
        <v>183.05992397086416</v>
      </c>
      <c r="I542" cm="1">
        <f t="array" ref="I542">_xlfn.IFS(Table13[[#This Row],[Column4]]="NEW",_xlfn.XLOOKUP(Table13[[#This Row],[Year]],$N$2:$N$27,$P$2:$P$27),ISNUMBER(Table13[[#This Row],[Column4]]),Table13[[#This Row],[Column4]],Table13[[#This Row],[Column4]]="",I541*(1+Table13[[#This Row],[Ávöxtun]]))</f>
        <v>183.05992397086416</v>
      </c>
      <c r="L542" s="33">
        <v>183.05992397086416</v>
      </c>
      <c r="M542" s="33">
        <v>183.05992397086416</v>
      </c>
    </row>
    <row r="543" spans="1:13">
      <c r="A543" t="s">
        <v>113</v>
      </c>
      <c r="B543">
        <v>2011</v>
      </c>
      <c r="C543" s="16">
        <v>0.03</v>
      </c>
      <c r="D543" s="1">
        <v>8325781</v>
      </c>
      <c r="E543" s="29">
        <f>Table13[[#This Row],[Ávöxtun]]*Table13[[#This Row],[Eignir]]/SUMIFS(Table13[Eignir],Table13[Year],Table13[[#This Row],[Year]])</f>
        <v>1.5730010009481886E-4</v>
      </c>
      <c r="F543" s="23">
        <f>IF(B543=1997, 100, IF(COUNTIF(A$1:A542,A543)=0, "NEW", F542*(1+Table13[[#This Row],[Ávöxtun]])))</f>
        <v>188.5517216899901</v>
      </c>
      <c r="G543" s="18" cm="1">
        <f t="array" ref="G543">IFERROR(_xlfn.IFS(ISNUMBER(Table13[[#This Row],[Column3]]),Table13[[#This Row],[Column3]],Table13[[#This Row],[Column3]]="NEW",Table13[[#This Row],[Column3]]),"")</f>
        <v>188.5517216899901</v>
      </c>
      <c r="H543" s="15" cm="1">
        <f t="array" ref="H543">_xlfn.IFS(Table13[[#This Row],[Column4]]="NEW",AVERAGEIFS(Table13[Column4],Table13[Year],Table13[[#This Row],[Year]]),ISNUMBER(Table13[[#This Row],[Column4]]),Table13[[#This Row],[Column4]],Table13[[#This Row],[Column4]]="",H542*(1+Table13[[#This Row],[Ávöxtun]]))</f>
        <v>188.5517216899901</v>
      </c>
      <c r="I543" cm="1">
        <f t="array" ref="I543">_xlfn.IFS(Table13[[#This Row],[Column4]]="NEW",_xlfn.XLOOKUP(Table13[[#This Row],[Year]],$N$2:$N$27,$P$2:$P$27),ISNUMBER(Table13[[#This Row],[Column4]]),Table13[[#This Row],[Column4]],Table13[[#This Row],[Column4]]="",I542*(1+Table13[[#This Row],[Ávöxtun]]))</f>
        <v>188.5517216899901</v>
      </c>
      <c r="L543" s="33">
        <v>188.5517216899901</v>
      </c>
      <c r="M543" s="33">
        <v>188.5517216899901</v>
      </c>
    </row>
    <row r="544" spans="1:13">
      <c r="A544" t="s">
        <v>113</v>
      </c>
      <c r="B544">
        <v>2012</v>
      </c>
      <c r="C544" s="16">
        <v>0.03</v>
      </c>
      <c r="D544" s="1">
        <v>8693781</v>
      </c>
      <c r="E544" s="29">
        <f>Table13[[#This Row],[Ávöxtun]]*Table13[[#This Row],[Eignir]]/SUMIFS(Table13[Eignir],Table13[Year],Table13[[#This Row],[Year]])</f>
        <v>1.453104950827204E-4</v>
      </c>
      <c r="F544" s="23">
        <f>IF(B544=1997, 100, IF(COUNTIF(A$1:A543,A544)=0, "NEW", F543*(1+Table13[[#This Row],[Ávöxtun]])))</f>
        <v>194.2082733406898</v>
      </c>
      <c r="G544" s="18" cm="1">
        <f t="array" ref="G544">IFERROR(_xlfn.IFS(ISNUMBER(Table13[[#This Row],[Column3]]),Table13[[#This Row],[Column3]],Table13[[#This Row],[Column3]]="NEW",Table13[[#This Row],[Column3]]),"")</f>
        <v>194.2082733406898</v>
      </c>
      <c r="H544" s="15" cm="1">
        <f t="array" ref="H544">_xlfn.IFS(Table13[[#This Row],[Column4]]="NEW",AVERAGEIFS(Table13[Column4],Table13[Year],Table13[[#This Row],[Year]]),ISNUMBER(Table13[[#This Row],[Column4]]),Table13[[#This Row],[Column4]],Table13[[#This Row],[Column4]]="",H543*(1+Table13[[#This Row],[Ávöxtun]]))</f>
        <v>194.2082733406898</v>
      </c>
      <c r="I544" cm="1">
        <f t="array" ref="I544">_xlfn.IFS(Table13[[#This Row],[Column4]]="NEW",_xlfn.XLOOKUP(Table13[[#This Row],[Year]],$N$2:$N$27,$P$2:$P$27),ISNUMBER(Table13[[#This Row],[Column4]]),Table13[[#This Row],[Column4]],Table13[[#This Row],[Column4]]="",I543*(1+Table13[[#This Row],[Ávöxtun]]))</f>
        <v>194.2082733406898</v>
      </c>
      <c r="L544" s="33">
        <v>194.2082733406898</v>
      </c>
      <c r="M544" s="33">
        <v>194.2082733406898</v>
      </c>
    </row>
    <row r="545" spans="1:13">
      <c r="A545" t="s">
        <v>113</v>
      </c>
      <c r="B545">
        <v>2013</v>
      </c>
      <c r="C545" s="16">
        <v>7.2000000000000008E-2</v>
      </c>
      <c r="D545" s="1">
        <v>9128704</v>
      </c>
      <c r="E545" s="29">
        <f>Table13[[#This Row],[Ávöxtun]]*Table13[[#This Row],[Eignir]]/SUMIFS(Table13[Eignir],Table13[Year],Table13[[#This Row],[Year]])</f>
        <v>3.3297642442995984E-4</v>
      </c>
      <c r="F545" s="23">
        <f>IF(B545=1997, 100, IF(COUNTIF(A$1:A544,A545)=0, "NEW", F544*(1+Table13[[#This Row],[Ávöxtun]])))</f>
        <v>208.19126902121948</v>
      </c>
      <c r="G545" s="18" cm="1">
        <f t="array" ref="G545">IFERROR(_xlfn.IFS(ISNUMBER(Table13[[#This Row],[Column3]]),Table13[[#This Row],[Column3]],Table13[[#This Row],[Column3]]="NEW",Table13[[#This Row],[Column3]]),"")</f>
        <v>208.19126902121948</v>
      </c>
      <c r="H545" s="15" cm="1">
        <f t="array" ref="H545">_xlfn.IFS(Table13[[#This Row],[Column4]]="NEW",AVERAGEIFS(Table13[Column4],Table13[Year],Table13[[#This Row],[Year]]),ISNUMBER(Table13[[#This Row],[Column4]]),Table13[[#This Row],[Column4]],Table13[[#This Row],[Column4]]="",H544*(1+Table13[[#This Row],[Ávöxtun]]))</f>
        <v>208.19126902121948</v>
      </c>
      <c r="I545" cm="1">
        <f t="array" ref="I545">_xlfn.IFS(Table13[[#This Row],[Column4]]="NEW",_xlfn.XLOOKUP(Table13[[#This Row],[Year]],$N$2:$N$27,$P$2:$P$27),ISNUMBER(Table13[[#This Row],[Column4]]),Table13[[#This Row],[Column4]],Table13[[#This Row],[Column4]]="",I544*(1+Table13[[#This Row],[Ávöxtun]]))</f>
        <v>208.19126902121948</v>
      </c>
      <c r="L545" s="33">
        <v>208.19126902121948</v>
      </c>
      <c r="M545" s="33">
        <v>208.19126902121948</v>
      </c>
    </row>
    <row r="546" spans="1:13">
      <c r="A546" t="s">
        <v>113</v>
      </c>
      <c r="B546">
        <v>2014</v>
      </c>
      <c r="C546" s="16">
        <v>0.05</v>
      </c>
      <c r="D546" s="1">
        <v>9397602</v>
      </c>
      <c r="E546" s="29">
        <f>Table13[[#This Row],[Ávöxtun]]*Table13[[#This Row],[Eignir]]/SUMIFS(Table13[Eignir],Table13[Year],Table13[[#This Row],[Year]])</f>
        <v>2.1829467713263149E-4</v>
      </c>
      <c r="F546" s="23">
        <f>IF(B546=1997, 100, IF(COUNTIF(A$1:A545,A546)=0, "NEW", F545*(1+Table13[[#This Row],[Ávöxtun]])))</f>
        <v>218.60083247228047</v>
      </c>
      <c r="G546" s="18" cm="1">
        <f t="array" ref="G546">IFERROR(_xlfn.IFS(ISNUMBER(Table13[[#This Row],[Column3]]),Table13[[#This Row],[Column3]],Table13[[#This Row],[Column3]]="NEW",Table13[[#This Row],[Column3]]),"")</f>
        <v>218.60083247228047</v>
      </c>
      <c r="H546" s="15" cm="1">
        <f t="array" ref="H546">_xlfn.IFS(Table13[[#This Row],[Column4]]="NEW",AVERAGEIFS(Table13[Column4],Table13[Year],Table13[[#This Row],[Year]]),ISNUMBER(Table13[[#This Row],[Column4]]),Table13[[#This Row],[Column4]],Table13[[#This Row],[Column4]]="",H545*(1+Table13[[#This Row],[Ávöxtun]]))</f>
        <v>218.60083247228047</v>
      </c>
      <c r="I546" cm="1">
        <f t="array" ref="I546">_xlfn.IFS(Table13[[#This Row],[Column4]]="NEW",_xlfn.XLOOKUP(Table13[[#This Row],[Year]],$N$2:$N$27,$P$2:$P$27),ISNUMBER(Table13[[#This Row],[Column4]]),Table13[[#This Row],[Column4]],Table13[[#This Row],[Column4]]="",I545*(1+Table13[[#This Row],[Ávöxtun]]))</f>
        <v>218.60083247228047</v>
      </c>
      <c r="L546" s="33">
        <v>218.60083247228047</v>
      </c>
      <c r="M546" s="33">
        <v>218.60083247228047</v>
      </c>
    </row>
    <row r="547" spans="1:13">
      <c r="A547" t="s">
        <v>113</v>
      </c>
      <c r="B547">
        <v>2015</v>
      </c>
      <c r="C547" s="16">
        <v>0.09</v>
      </c>
      <c r="D547" s="1">
        <v>10346055</v>
      </c>
      <c r="E547" s="29">
        <f>Table13[[#This Row],[Ávöxtun]]*Table13[[#This Row],[Eignir]]/SUMIFS(Table13[Eignir],Table13[Year],Table13[[#This Row],[Year]])</f>
        <v>3.8996539974044884E-4</v>
      </c>
      <c r="F547" s="23">
        <f>IF(B547=1997, 100, IF(COUNTIF(A$1:A546,A547)=0, "NEW", F546*(1+Table13[[#This Row],[Ávöxtun]])))</f>
        <v>238.27490739478574</v>
      </c>
      <c r="G547" s="18" cm="1">
        <f t="array" ref="G547">IFERROR(_xlfn.IFS(ISNUMBER(Table13[[#This Row],[Column3]]),Table13[[#This Row],[Column3]],Table13[[#This Row],[Column3]]="NEW",Table13[[#This Row],[Column3]]),"")</f>
        <v>238.27490739478574</v>
      </c>
      <c r="H547" s="15" cm="1">
        <f t="array" ref="H547">_xlfn.IFS(Table13[[#This Row],[Column4]]="NEW",AVERAGEIFS(Table13[Column4],Table13[Year],Table13[[#This Row],[Year]]),ISNUMBER(Table13[[#This Row],[Column4]]),Table13[[#This Row],[Column4]],Table13[[#This Row],[Column4]]="",H546*(1+Table13[[#This Row],[Ávöxtun]]))</f>
        <v>238.27490739478574</v>
      </c>
      <c r="I547" cm="1">
        <f t="array" ref="I547">_xlfn.IFS(Table13[[#This Row],[Column4]]="NEW",_xlfn.XLOOKUP(Table13[[#This Row],[Year]],$N$2:$N$27,$P$2:$P$27),ISNUMBER(Table13[[#This Row],[Column4]]),Table13[[#This Row],[Column4]],Table13[[#This Row],[Column4]]="",I546*(1+Table13[[#This Row],[Ávöxtun]]))</f>
        <v>238.27490739478574</v>
      </c>
      <c r="L547" s="33">
        <v>238.27490739478574</v>
      </c>
      <c r="M547" s="33">
        <v>238.27490739478574</v>
      </c>
    </row>
    <row r="548" spans="1:13">
      <c r="A548" t="s">
        <v>113</v>
      </c>
      <c r="B548">
        <v>2016</v>
      </c>
      <c r="C548" s="16">
        <v>2.2499999999999999E-2</v>
      </c>
      <c r="D548" s="1">
        <v>10443166.810000001</v>
      </c>
      <c r="E548" s="29">
        <f>Table13[[#This Row],[Ávöxtun]]*Table13[[#This Row],[Eignir]]/SUMIFS(Table13[Eignir],Table13[Year],Table13[[#This Row],[Year]])</f>
        <v>9.0098081308032156E-5</v>
      </c>
      <c r="F548" s="23">
        <f>IF(B548=1997, 100, IF(COUNTIF(A$1:A547,A548)=0, "NEW", F547*(1+Table13[[#This Row],[Ávöxtun]])))</f>
        <v>243.63609281116842</v>
      </c>
      <c r="G548" s="18" cm="1">
        <f t="array" ref="G548">IFERROR(_xlfn.IFS(ISNUMBER(Table13[[#This Row],[Column3]]),Table13[[#This Row],[Column3]],Table13[[#This Row],[Column3]]="NEW",Table13[[#This Row],[Column3]]),"")</f>
        <v>243.63609281116842</v>
      </c>
      <c r="H548" s="15" cm="1">
        <f t="array" ref="H548">_xlfn.IFS(Table13[[#This Row],[Column4]]="NEW",AVERAGEIFS(Table13[Column4],Table13[Year],Table13[[#This Row],[Year]]),ISNUMBER(Table13[[#This Row],[Column4]]),Table13[[#This Row],[Column4]],Table13[[#This Row],[Column4]]="",H547*(1+Table13[[#This Row],[Ávöxtun]]))</f>
        <v>243.63609281116842</v>
      </c>
      <c r="I548" cm="1">
        <f t="array" ref="I548">_xlfn.IFS(Table13[[#This Row],[Column4]]="NEW",_xlfn.XLOOKUP(Table13[[#This Row],[Year]],$N$2:$N$27,$P$2:$P$27),ISNUMBER(Table13[[#This Row],[Column4]]),Table13[[#This Row],[Column4]],Table13[[#This Row],[Column4]]="",I547*(1+Table13[[#This Row],[Ávöxtun]]))</f>
        <v>243.63609281116842</v>
      </c>
      <c r="L548" s="33">
        <v>243.63609281116842</v>
      </c>
      <c r="M548" s="33">
        <v>243.63609281116842</v>
      </c>
    </row>
    <row r="549" spans="1:13">
      <c r="A549" t="s">
        <v>113</v>
      </c>
      <c r="B549">
        <v>2017</v>
      </c>
      <c r="C549" s="16">
        <v>3.4000000000000002E-2</v>
      </c>
      <c r="D549" s="1">
        <v>11991979</v>
      </c>
      <c r="E549" s="29">
        <f>Table13[[#This Row],[Ávöxtun]]*Table13[[#This Row],[Eignir]]/SUMIFS(Table13[Eignir],Table13[Year],Table13[[#This Row],[Year]])</f>
        <v>1.402995106485801E-4</v>
      </c>
      <c r="F549" s="23">
        <f>IF(B549=1997, 100, IF(COUNTIF(A$1:A548,A549)=0, "NEW", F548*(1+Table13[[#This Row],[Ávöxtun]])))</f>
        <v>251.91971996674815</v>
      </c>
      <c r="G549" s="18" cm="1">
        <f t="array" ref="G549">IFERROR(_xlfn.IFS(ISNUMBER(Table13[[#This Row],[Column3]]),Table13[[#This Row],[Column3]],Table13[[#This Row],[Column3]]="NEW",Table13[[#This Row],[Column3]]),"")</f>
        <v>251.91971996674815</v>
      </c>
      <c r="H549" s="15" cm="1">
        <f t="array" ref="H549">_xlfn.IFS(Table13[[#This Row],[Column4]]="NEW",AVERAGEIFS(Table13[Column4],Table13[Year],Table13[[#This Row],[Year]]),ISNUMBER(Table13[[#This Row],[Column4]]),Table13[[#This Row],[Column4]],Table13[[#This Row],[Column4]]="",H548*(1+Table13[[#This Row],[Ávöxtun]]))</f>
        <v>251.91971996674815</v>
      </c>
      <c r="I549" cm="1">
        <f t="array" ref="I549">_xlfn.IFS(Table13[[#This Row],[Column4]]="NEW",_xlfn.XLOOKUP(Table13[[#This Row],[Year]],$N$2:$N$27,$P$2:$P$27),ISNUMBER(Table13[[#This Row],[Column4]]),Table13[[#This Row],[Column4]],Table13[[#This Row],[Column4]]="",I548*(1+Table13[[#This Row],[Ávöxtun]]))</f>
        <v>251.91971996674815</v>
      </c>
      <c r="L549" s="33">
        <v>251.91971996674815</v>
      </c>
      <c r="M549" s="33">
        <v>251.91971996674815</v>
      </c>
    </row>
    <row r="550" spans="1:13">
      <c r="A550" t="s">
        <v>113</v>
      </c>
      <c r="B550">
        <v>2018</v>
      </c>
      <c r="C550" s="16">
        <v>6.9999999999999993E-3</v>
      </c>
      <c r="D550" s="1">
        <v>12025984</v>
      </c>
      <c r="E550" s="29">
        <f>Table13[[#This Row],[Ávöxtun]]*Table13[[#This Row],[Eignir]]/SUMIFS(Table13[Eignir],Table13[Year],Table13[[#This Row],[Year]])</f>
        <v>2.6990716122652264E-5</v>
      </c>
      <c r="F550" s="23">
        <f>IF(B550=1997, 100, IF(COUNTIF(A$1:A549,A550)=0, "NEW", F549*(1+Table13[[#This Row],[Ávöxtun]])))</f>
        <v>253.68315800651536</v>
      </c>
      <c r="G550" s="18" cm="1">
        <f t="array" ref="G550">IFERROR(_xlfn.IFS(ISNUMBER(Table13[[#This Row],[Column3]]),Table13[[#This Row],[Column3]],Table13[[#This Row],[Column3]]="NEW",Table13[[#This Row],[Column3]]),"")</f>
        <v>253.68315800651536</v>
      </c>
      <c r="H550" s="15" cm="1">
        <f t="array" ref="H550">_xlfn.IFS(Table13[[#This Row],[Column4]]="NEW",AVERAGEIFS(Table13[Column4],Table13[Year],Table13[[#This Row],[Year]]),ISNUMBER(Table13[[#This Row],[Column4]]),Table13[[#This Row],[Column4]],Table13[[#This Row],[Column4]]="",H549*(1+Table13[[#This Row],[Ávöxtun]]))</f>
        <v>253.68315800651536</v>
      </c>
      <c r="I550" cm="1">
        <f t="array" ref="I550">_xlfn.IFS(Table13[[#This Row],[Column4]]="NEW",_xlfn.XLOOKUP(Table13[[#This Row],[Year]],$N$2:$N$27,$P$2:$P$27),ISNUMBER(Table13[[#This Row],[Column4]]),Table13[[#This Row],[Column4]],Table13[[#This Row],[Column4]]="",I549*(1+Table13[[#This Row],[Ávöxtun]]))</f>
        <v>253.68315800651536</v>
      </c>
      <c r="L550" s="33">
        <v>253.68315800651536</v>
      </c>
      <c r="M550" s="33">
        <v>253.68315800651536</v>
      </c>
    </row>
    <row r="551" spans="1:13">
      <c r="A551" t="s">
        <v>113</v>
      </c>
      <c r="B551">
        <v>2019</v>
      </c>
      <c r="C551" s="16">
        <v>6.7000000000000004E-2</v>
      </c>
      <c r="D551" s="1">
        <v>12726848.77</v>
      </c>
      <c r="E551" s="29">
        <f>Table13[[#This Row],[Ávöxtun]]*Table13[[#This Row],[Eignir]]/SUMIFS(Table13[Eignir],Table13[Year],Table13[[#This Row],[Year]])</f>
        <v>2.3842206406802954E-4</v>
      </c>
      <c r="F551" s="23">
        <f>IF(B551=1997, 100, IF(COUNTIF(A$1:A550,A551)=0, "NEW", F550*(1+Table13[[#This Row],[Ávöxtun]])))</f>
        <v>270.67992959295185</v>
      </c>
      <c r="G551" s="18" cm="1">
        <f t="array" ref="G551">IFERROR(_xlfn.IFS(ISNUMBER(Table13[[#This Row],[Column3]]),Table13[[#This Row],[Column3]],Table13[[#This Row],[Column3]]="NEW",Table13[[#This Row],[Column3]]),"")</f>
        <v>270.67992959295185</v>
      </c>
      <c r="H551" s="15" cm="1">
        <f t="array" ref="H551">_xlfn.IFS(Table13[[#This Row],[Column4]]="NEW",AVERAGEIFS(Table13[Column4],Table13[Year],Table13[[#This Row],[Year]]),ISNUMBER(Table13[[#This Row],[Column4]]),Table13[[#This Row],[Column4]],Table13[[#This Row],[Column4]]="",H550*(1+Table13[[#This Row],[Ávöxtun]]))</f>
        <v>270.67992959295185</v>
      </c>
      <c r="I551" cm="1">
        <f t="array" ref="I551">_xlfn.IFS(Table13[[#This Row],[Column4]]="NEW",_xlfn.XLOOKUP(Table13[[#This Row],[Year]],$N$2:$N$27,$P$2:$P$27),ISNUMBER(Table13[[#This Row],[Column4]]),Table13[[#This Row],[Column4]],Table13[[#This Row],[Column4]]="",I550*(1+Table13[[#This Row],[Ávöxtun]]))</f>
        <v>270.67992959295185</v>
      </c>
      <c r="L551" s="33">
        <v>270.67992959295185</v>
      </c>
      <c r="M551" s="33">
        <v>270.67992959295185</v>
      </c>
    </row>
    <row r="552" spans="1:13">
      <c r="A552" t="s">
        <v>113</v>
      </c>
      <c r="B552">
        <v>2020</v>
      </c>
      <c r="C552" s="16">
        <v>7.4200000000000002E-2</v>
      </c>
      <c r="D552" s="1">
        <v>13505036.48</v>
      </c>
      <c r="E552" s="29">
        <f>Table13[[#This Row],[Ávöxtun]]*Table13[[#This Row],[Eignir]]/SUMIFS(Table13[Eignir],Table13[Year],Table13[[#This Row],[Year]])</f>
        <v>2.4180448767537429E-4</v>
      </c>
      <c r="F552" s="23">
        <f>IF(B552=1997, 100, IF(COUNTIF(A$1:A551,A552)=0, "NEW", F551*(1+Table13[[#This Row],[Ávöxtun]])))</f>
        <v>290.7643803687489</v>
      </c>
      <c r="G552" s="18" cm="1">
        <f t="array" ref="G552">IFERROR(_xlfn.IFS(ISNUMBER(Table13[[#This Row],[Column3]]),Table13[[#This Row],[Column3]],Table13[[#This Row],[Column3]]="NEW",Table13[[#This Row],[Column3]]),"")</f>
        <v>290.7643803687489</v>
      </c>
      <c r="H552" s="15" cm="1">
        <f t="array" ref="H552">_xlfn.IFS(Table13[[#This Row],[Column4]]="NEW",AVERAGEIFS(Table13[Column4],Table13[Year],Table13[[#This Row],[Year]]),ISNUMBER(Table13[[#This Row],[Column4]]),Table13[[#This Row],[Column4]],Table13[[#This Row],[Column4]]="",H551*(1+Table13[[#This Row],[Ávöxtun]]))</f>
        <v>290.7643803687489</v>
      </c>
      <c r="I552" cm="1">
        <f t="array" ref="I552">_xlfn.IFS(Table13[[#This Row],[Column4]]="NEW",_xlfn.XLOOKUP(Table13[[#This Row],[Year]],$N$2:$N$27,$P$2:$P$27),ISNUMBER(Table13[[#This Row],[Column4]]),Table13[[#This Row],[Column4]],Table13[[#This Row],[Column4]]="",I551*(1+Table13[[#This Row],[Ávöxtun]]))</f>
        <v>290.7643803687489</v>
      </c>
      <c r="L552" s="33">
        <v>290.7643803687489</v>
      </c>
      <c r="M552" s="33">
        <v>290.7643803687489</v>
      </c>
    </row>
    <row r="553" spans="1:13">
      <c r="A553" t="s">
        <v>113</v>
      </c>
      <c r="B553">
        <v>2021</v>
      </c>
      <c r="C553" s="16">
        <v>0.08</v>
      </c>
      <c r="D553" s="1">
        <v>14586205.210000001</v>
      </c>
      <c r="E553" s="29">
        <f>Table13[[#This Row],[Ávöxtun]]*Table13[[#This Row],[Eignir]]/SUMIFS(Table13[Eignir],Table13[Year],Table13[[#This Row],[Year]])</f>
        <v>2.3991478898334749E-4</v>
      </c>
      <c r="F553" s="23">
        <f>IF(B553=1997, 100, IF(COUNTIF(A$1:A552,A553)=0, "NEW", F552*(1+Table13[[#This Row],[Ávöxtun]])))</f>
        <v>314.02553079824884</v>
      </c>
      <c r="G553" s="18" cm="1">
        <f t="array" ref="G553">IFERROR(_xlfn.IFS(ISNUMBER(Table13[[#This Row],[Column3]]),Table13[[#This Row],[Column3]],Table13[[#This Row],[Column3]]="NEW",Table13[[#This Row],[Column3]]),"")</f>
        <v>314.02553079824884</v>
      </c>
      <c r="H553" s="15" cm="1">
        <f t="array" ref="H553">_xlfn.IFS(Table13[[#This Row],[Column4]]="NEW",AVERAGEIFS(Table13[Column4],Table13[Year],Table13[[#This Row],[Year]]),ISNUMBER(Table13[[#This Row],[Column4]]),Table13[[#This Row],[Column4]],Table13[[#This Row],[Column4]]="",H552*(1+Table13[[#This Row],[Ávöxtun]]))</f>
        <v>314.02553079824884</v>
      </c>
      <c r="I553" cm="1">
        <f t="array" ref="I553">_xlfn.IFS(Table13[[#This Row],[Column4]]="NEW",_xlfn.XLOOKUP(Table13[[#This Row],[Year]],$N$2:$N$27,$P$2:$P$27),ISNUMBER(Table13[[#This Row],[Column4]]),Table13[[#This Row],[Column4]],Table13[[#This Row],[Column4]]="",I552*(1+Table13[[#This Row],[Ávöxtun]]))</f>
        <v>314.02553079824884</v>
      </c>
      <c r="L553" s="33">
        <v>314.02553079824884</v>
      </c>
      <c r="M553" s="33">
        <v>314.02553079824884</v>
      </c>
    </row>
    <row r="554" spans="1:13">
      <c r="A554" t="s">
        <v>114</v>
      </c>
      <c r="B554">
        <v>1997</v>
      </c>
      <c r="C554" s="16">
        <v>0.02</v>
      </c>
      <c r="D554" s="1">
        <v>4701050</v>
      </c>
      <c r="E554" s="29">
        <f>Table13[[#This Row],[Ávöxtun]]*Table13[[#This Row],[Eignir]]/SUMIFS(Table13[Eignir],Table13[Year],Table13[[#This Row],[Year]])</f>
        <v>3.2948698702057452E-4</v>
      </c>
      <c r="F554" s="23">
        <f>IF(B554=1997, 100, IF(COUNTIF(A$1:A553,A554)=0, "NEW", F553*(1+Table13[[#This Row],[Ávöxtun]])))</f>
        <v>100</v>
      </c>
      <c r="G554" s="18" cm="1">
        <f t="array" ref="G554">IFERROR(_xlfn.IFS(ISNUMBER(Table13[[#This Row],[Column3]]),Table13[[#This Row],[Column3]],Table13[[#This Row],[Column3]]="NEW",Table13[[#This Row],[Column3]]),"")</f>
        <v>100</v>
      </c>
      <c r="H554" s="15" cm="1">
        <f t="array" ref="H554">_xlfn.IFS(Table13[[#This Row],[Column4]]="NEW",AVERAGEIFS(Table13[Column4],Table13[Year],Table13[[#This Row],[Year]]),ISNUMBER(Table13[[#This Row],[Column4]]),Table13[[#This Row],[Column4]],Table13[[#This Row],[Column4]]="",H553*(1+Table13[[#This Row],[Ávöxtun]]))</f>
        <v>100</v>
      </c>
      <c r="I554" cm="1">
        <f t="array" ref="I554">_xlfn.IFS(Table13[[#This Row],[Column4]]="NEW",_xlfn.XLOOKUP(Table13[[#This Row],[Year]],$N$2:$N$27,$P$2:$P$27),ISNUMBER(Table13[[#This Row],[Column4]]),Table13[[#This Row],[Column4]],Table13[[#This Row],[Column4]]="",I553*(1+Table13[[#This Row],[Ávöxtun]]))</f>
        <v>100</v>
      </c>
      <c r="L554" s="33">
        <v>100</v>
      </c>
      <c r="M554" s="33">
        <v>100</v>
      </c>
    </row>
    <row r="555" spans="1:13">
      <c r="A555" t="s">
        <v>114</v>
      </c>
      <c r="B555">
        <v>1998</v>
      </c>
      <c r="C555" s="16">
        <v>0.1</v>
      </c>
      <c r="D555" s="1">
        <v>5380107.6100000003</v>
      </c>
      <c r="E555" s="29">
        <f>Table13[[#This Row],[Ávöxtun]]*Table13[[#This Row],[Eignir]]/SUMIFS(Table13[Eignir],Table13[Year],Table13[[#This Row],[Year]])</f>
        <v>1.6278768864984835E-3</v>
      </c>
      <c r="F555" s="23">
        <f>IF(B555=1997, 100, IF(COUNTIF(A$1:A554,A555)=0, "NEW", F554*(1+Table13[[#This Row],[Ávöxtun]])))</f>
        <v>110.00000000000001</v>
      </c>
      <c r="G555" s="18" cm="1">
        <f t="array" ref="G555">IFERROR(_xlfn.IFS(ISNUMBER(Table13[[#This Row],[Column3]]),Table13[[#This Row],[Column3]],Table13[[#This Row],[Column3]]="NEW",Table13[[#This Row],[Column3]]),"")</f>
        <v>110.00000000000001</v>
      </c>
      <c r="H555" s="15" cm="1">
        <f t="array" ref="H555">_xlfn.IFS(Table13[[#This Row],[Column4]]="NEW",AVERAGEIFS(Table13[Column4],Table13[Year],Table13[[#This Row],[Year]]),ISNUMBER(Table13[[#This Row],[Column4]]),Table13[[#This Row],[Column4]],Table13[[#This Row],[Column4]]="",H554*(1+Table13[[#This Row],[Ávöxtun]]))</f>
        <v>110.00000000000001</v>
      </c>
      <c r="I555" cm="1">
        <f t="array" ref="I555">_xlfn.IFS(Table13[[#This Row],[Column4]]="NEW",_xlfn.XLOOKUP(Table13[[#This Row],[Year]],$N$2:$N$27,$P$2:$P$27),ISNUMBER(Table13[[#This Row],[Column4]]),Table13[[#This Row],[Column4]],Table13[[#This Row],[Column4]]="",I554*(1+Table13[[#This Row],[Ávöxtun]]))</f>
        <v>110.00000000000001</v>
      </c>
      <c r="L555" s="33">
        <v>110.00000000000001</v>
      </c>
      <c r="M555" s="33">
        <v>110.00000000000001</v>
      </c>
    </row>
    <row r="556" spans="1:13">
      <c r="A556" t="s">
        <v>114</v>
      </c>
      <c r="B556">
        <v>1999</v>
      </c>
      <c r="C556" s="16">
        <v>0.14000000000000001</v>
      </c>
      <c r="D556" s="1">
        <v>5992910.3499999996</v>
      </c>
      <c r="E556" s="29">
        <f>Table13[[#This Row],[Ávöxtun]]*Table13[[#This Row],[Eignir]]/SUMIFS(Table13[Eignir],Table13[Year],Table13[[#This Row],[Year]])</f>
        <v>1.8899798489182122E-3</v>
      </c>
      <c r="F556" s="23">
        <f>IF(B556=1997, 100, IF(COUNTIF(A$1:A555,A556)=0, "NEW", F555*(1+Table13[[#This Row],[Ávöxtun]])))</f>
        <v>125.40000000000003</v>
      </c>
      <c r="G556" s="18" cm="1">
        <f t="array" ref="G556">IFERROR(_xlfn.IFS(ISNUMBER(Table13[[#This Row],[Column3]]),Table13[[#This Row],[Column3]],Table13[[#This Row],[Column3]]="NEW",Table13[[#This Row],[Column3]]),"")</f>
        <v>125.40000000000003</v>
      </c>
      <c r="H556" s="15" cm="1">
        <f t="array" ref="H556">_xlfn.IFS(Table13[[#This Row],[Column4]]="NEW",AVERAGEIFS(Table13[Column4],Table13[Year],Table13[[#This Row],[Year]]),ISNUMBER(Table13[[#This Row],[Column4]]),Table13[[#This Row],[Column4]],Table13[[#This Row],[Column4]]="",H555*(1+Table13[[#This Row],[Ávöxtun]]))</f>
        <v>125.40000000000003</v>
      </c>
      <c r="I556" cm="1">
        <f t="array" ref="I556">_xlfn.IFS(Table13[[#This Row],[Column4]]="NEW",_xlfn.XLOOKUP(Table13[[#This Row],[Year]],$N$2:$N$27,$P$2:$P$27),ISNUMBER(Table13[[#This Row],[Column4]]),Table13[[#This Row],[Column4]],Table13[[#This Row],[Column4]]="",I555*(1+Table13[[#This Row],[Ávöxtun]]))</f>
        <v>125.40000000000003</v>
      </c>
      <c r="L556" s="33">
        <v>125.40000000000003</v>
      </c>
      <c r="M556" s="33">
        <v>125.40000000000003</v>
      </c>
    </row>
    <row r="557" spans="1:13">
      <c r="A557" t="s">
        <v>114</v>
      </c>
      <c r="B557">
        <v>2000</v>
      </c>
      <c r="C557" s="16">
        <v>-0.01</v>
      </c>
      <c r="D557" s="1">
        <v>6122434.2400000002</v>
      </c>
      <c r="E557" s="29">
        <f>Table13[[#This Row],[Ávöxtun]]*Table13[[#This Row],[Eignir]]/SUMIFS(Table13[Eignir],Table13[Year],Table13[[#This Row],[Year]])</f>
        <v>-9.8040263286143365E-5</v>
      </c>
      <c r="F557" s="23">
        <f>IF(B557=1997, 100, IF(COUNTIF(A$1:A556,A557)=0, "NEW", F556*(1+Table13[[#This Row],[Ávöxtun]])))</f>
        <v>124.14600000000003</v>
      </c>
      <c r="G557" s="18" cm="1">
        <f t="array" ref="G557">IFERROR(_xlfn.IFS(ISNUMBER(Table13[[#This Row],[Column3]]),Table13[[#This Row],[Column3]],Table13[[#This Row],[Column3]]="NEW",Table13[[#This Row],[Column3]]),"")</f>
        <v>124.14600000000003</v>
      </c>
      <c r="H557" s="15" cm="1">
        <f t="array" ref="H557">_xlfn.IFS(Table13[[#This Row],[Column4]]="NEW",AVERAGEIFS(Table13[Column4],Table13[Year],Table13[[#This Row],[Year]]),ISNUMBER(Table13[[#This Row],[Column4]]),Table13[[#This Row],[Column4]],Table13[[#This Row],[Column4]]="",H556*(1+Table13[[#This Row],[Ávöxtun]]))</f>
        <v>124.14600000000003</v>
      </c>
      <c r="I557" cm="1">
        <f t="array" ref="I557">_xlfn.IFS(Table13[[#This Row],[Column4]]="NEW",_xlfn.XLOOKUP(Table13[[#This Row],[Year]],$N$2:$N$27,$P$2:$P$27),ISNUMBER(Table13[[#This Row],[Column4]]),Table13[[#This Row],[Column4]],Table13[[#This Row],[Column4]]="",I556*(1+Table13[[#This Row],[Ávöxtun]]))</f>
        <v>124.14600000000003</v>
      </c>
      <c r="L557" s="33">
        <v>124.14600000000003</v>
      </c>
      <c r="M557" s="33">
        <v>124.14600000000003</v>
      </c>
    </row>
    <row r="558" spans="1:13">
      <c r="A558" t="s">
        <v>114</v>
      </c>
      <c r="B558">
        <v>2001</v>
      </c>
      <c r="C558" s="16">
        <v>-0.02</v>
      </c>
      <c r="D558" s="1">
        <v>6362109.0599999996</v>
      </c>
      <c r="E558" s="29">
        <f>Table13[[#This Row],[Ávöxtun]]*Table13[[#This Row],[Eignir]]/SUMIFS(Table13[Eignir],Table13[Year],Table13[[#This Row],[Year]])</f>
        <v>-1.3240043631643106E-4</v>
      </c>
      <c r="F558" s="23">
        <f>IF(B558=1997, 100, IF(COUNTIF(A$1:A557,A558)=0, "NEW", F557*(1+Table13[[#This Row],[Ávöxtun]])))</f>
        <v>121.66308000000002</v>
      </c>
      <c r="G558" s="18" cm="1">
        <f t="array" ref="G558">IFERROR(_xlfn.IFS(ISNUMBER(Table13[[#This Row],[Column3]]),Table13[[#This Row],[Column3]],Table13[[#This Row],[Column3]]="NEW",Table13[[#This Row],[Column3]]),"")</f>
        <v>121.66308000000002</v>
      </c>
      <c r="H558" s="15" cm="1">
        <f t="array" ref="H558">_xlfn.IFS(Table13[[#This Row],[Column4]]="NEW",AVERAGEIFS(Table13[Column4],Table13[Year],Table13[[#This Row],[Year]]),ISNUMBER(Table13[[#This Row],[Column4]]),Table13[[#This Row],[Column4]],Table13[[#This Row],[Column4]]="",H557*(1+Table13[[#This Row],[Ávöxtun]]))</f>
        <v>121.66308000000002</v>
      </c>
      <c r="I558" cm="1">
        <f t="array" ref="I558">_xlfn.IFS(Table13[[#This Row],[Column4]]="NEW",_xlfn.XLOOKUP(Table13[[#This Row],[Year]],$N$2:$N$27,$P$2:$P$27),ISNUMBER(Table13[[#This Row],[Column4]]),Table13[[#This Row],[Column4]],Table13[[#This Row],[Column4]]="",I557*(1+Table13[[#This Row],[Ávöxtun]]))</f>
        <v>121.66308000000002</v>
      </c>
      <c r="L558" s="33">
        <v>121.66308000000002</v>
      </c>
      <c r="M558" s="33">
        <v>121.66308000000002</v>
      </c>
    </row>
    <row r="559" spans="1:13">
      <c r="A559" t="s">
        <v>114</v>
      </c>
      <c r="B559">
        <v>2002</v>
      </c>
      <c r="C559" s="16">
        <v>0.05</v>
      </c>
      <c r="D559" s="1">
        <v>6712815.9199999999</v>
      </c>
      <c r="E559" s="29">
        <f>Table13[[#This Row],[Ávöxtun]]*Table13[[#This Row],[Eignir]]/SUMIFS(Table13[Eignir],Table13[Year],Table13[[#This Row],[Year]])</f>
        <v>6.2985932915627643E-4</v>
      </c>
      <c r="F559" s="23">
        <f>IF(B559=1997, 100, IF(COUNTIF(A$1:A558,A559)=0, "NEW", F558*(1+Table13[[#This Row],[Ávöxtun]])))</f>
        <v>127.74623400000003</v>
      </c>
      <c r="G559" s="18" cm="1">
        <f t="array" ref="G559">IFERROR(_xlfn.IFS(ISNUMBER(Table13[[#This Row],[Column3]]),Table13[[#This Row],[Column3]],Table13[[#This Row],[Column3]]="NEW",Table13[[#This Row],[Column3]]),"")</f>
        <v>127.74623400000003</v>
      </c>
      <c r="H559" s="15" cm="1">
        <f t="array" ref="H559">_xlfn.IFS(Table13[[#This Row],[Column4]]="NEW",AVERAGEIFS(Table13[Column4],Table13[Year],Table13[[#This Row],[Year]]),ISNUMBER(Table13[[#This Row],[Column4]]),Table13[[#This Row],[Column4]],Table13[[#This Row],[Column4]]="",H558*(1+Table13[[#This Row],[Ávöxtun]]))</f>
        <v>127.74623400000003</v>
      </c>
      <c r="I559" cm="1">
        <f t="array" ref="I559">_xlfn.IFS(Table13[[#This Row],[Column4]]="NEW",_xlfn.XLOOKUP(Table13[[#This Row],[Year]],$N$2:$N$27,$P$2:$P$27),ISNUMBER(Table13[[#This Row],[Column4]]),Table13[[#This Row],[Column4]],Table13[[#This Row],[Column4]]="",I558*(1+Table13[[#This Row],[Ávöxtun]]))</f>
        <v>127.74623400000003</v>
      </c>
      <c r="L559" s="33">
        <v>127.74623400000003</v>
      </c>
      <c r="M559" s="33">
        <v>127.74623400000003</v>
      </c>
    </row>
    <row r="560" spans="1:13">
      <c r="A560" t="s">
        <v>114</v>
      </c>
      <c r="B560">
        <v>2003</v>
      </c>
      <c r="C560" s="16">
        <v>0.11</v>
      </c>
      <c r="D560" s="1">
        <v>7503172</v>
      </c>
      <c r="E560" s="29">
        <f>Table13[[#This Row],[Ávöxtun]]*Table13[[#This Row],[Eignir]]/SUMIFS(Table13[Eignir],Table13[Year],Table13[[#This Row],[Year]])</f>
        <v>1.2940729450975981E-3</v>
      </c>
      <c r="F560" s="23">
        <f>IF(B560=1997, 100, IF(COUNTIF(A$1:A559,A560)=0, "NEW", F559*(1+Table13[[#This Row],[Ávöxtun]])))</f>
        <v>141.79831974000004</v>
      </c>
      <c r="G560" s="18" cm="1">
        <f t="array" ref="G560">IFERROR(_xlfn.IFS(ISNUMBER(Table13[[#This Row],[Column3]]),Table13[[#This Row],[Column3]],Table13[[#This Row],[Column3]]="NEW",Table13[[#This Row],[Column3]]),"")</f>
        <v>141.79831974000004</v>
      </c>
      <c r="H560" s="15" cm="1">
        <f t="array" ref="H560">_xlfn.IFS(Table13[[#This Row],[Column4]]="NEW",AVERAGEIFS(Table13[Column4],Table13[Year],Table13[[#This Row],[Year]]),ISNUMBER(Table13[[#This Row],[Column4]]),Table13[[#This Row],[Column4]],Table13[[#This Row],[Column4]]="",H559*(1+Table13[[#This Row],[Ávöxtun]]))</f>
        <v>141.79831974000004</v>
      </c>
      <c r="I560" cm="1">
        <f t="array" ref="I560">_xlfn.IFS(Table13[[#This Row],[Column4]]="NEW",_xlfn.XLOOKUP(Table13[[#This Row],[Year]],$N$2:$N$27,$P$2:$P$27),ISNUMBER(Table13[[#This Row],[Column4]]),Table13[[#This Row],[Column4]],Table13[[#This Row],[Column4]]="",I559*(1+Table13[[#This Row],[Ávöxtun]]))</f>
        <v>141.79831974000004</v>
      </c>
      <c r="L560" s="33">
        <v>141.79831974000004</v>
      </c>
      <c r="M560" s="33">
        <v>141.79831974000004</v>
      </c>
    </row>
    <row r="561" spans="1:13">
      <c r="A561" t="s">
        <v>114</v>
      </c>
      <c r="B561">
        <v>2004</v>
      </c>
      <c r="C561" s="16">
        <v>0.19</v>
      </c>
      <c r="D561" s="1">
        <v>9080552.8100000005</v>
      </c>
      <c r="E561" s="29">
        <f>Table13[[#This Row],[Ávöxtun]]*Table13[[#This Row],[Eignir]]/SUMIFS(Table13[Eignir],Table13[Year],Table13[[#This Row],[Year]])</f>
        <v>2.2712366918937808E-3</v>
      </c>
      <c r="F561" s="23">
        <f>IF(B561=1997, 100, IF(COUNTIF(A$1:A560,A561)=0, "NEW", F560*(1+Table13[[#This Row],[Ávöxtun]])))</f>
        <v>168.74000049060004</v>
      </c>
      <c r="G561" s="18" cm="1">
        <f t="array" ref="G561">IFERROR(_xlfn.IFS(ISNUMBER(Table13[[#This Row],[Column3]]),Table13[[#This Row],[Column3]],Table13[[#This Row],[Column3]]="NEW",Table13[[#This Row],[Column3]]),"")</f>
        <v>168.74000049060004</v>
      </c>
      <c r="H561" s="15" cm="1">
        <f t="array" ref="H561">_xlfn.IFS(Table13[[#This Row],[Column4]]="NEW",AVERAGEIFS(Table13[Column4],Table13[Year],Table13[[#This Row],[Year]]),ISNUMBER(Table13[[#This Row],[Column4]]),Table13[[#This Row],[Column4]],Table13[[#This Row],[Column4]]="",H560*(1+Table13[[#This Row],[Ávöxtun]]))</f>
        <v>168.74000049060004</v>
      </c>
      <c r="I561" cm="1">
        <f t="array" ref="I561">_xlfn.IFS(Table13[[#This Row],[Column4]]="NEW",_xlfn.XLOOKUP(Table13[[#This Row],[Year]],$N$2:$N$27,$P$2:$P$27),ISNUMBER(Table13[[#This Row],[Column4]]),Table13[[#This Row],[Column4]],Table13[[#This Row],[Column4]]="",I560*(1+Table13[[#This Row],[Ávöxtun]]))</f>
        <v>168.74000049060004</v>
      </c>
      <c r="L561" s="33">
        <v>168.74000049060004</v>
      </c>
      <c r="M561" s="33">
        <v>168.74000049060004</v>
      </c>
    </row>
    <row r="562" spans="1:13">
      <c r="A562" t="s">
        <v>114</v>
      </c>
      <c r="B562">
        <v>2005</v>
      </c>
      <c r="C562" s="16">
        <v>0.16</v>
      </c>
      <c r="D562" s="1">
        <v>10695930</v>
      </c>
      <c r="E562" s="29">
        <f>Table13[[#This Row],[Ávöxtun]]*Table13[[#This Row],[Eignir]]/SUMIFS(Table13[Eignir],Table13[Year],Table13[[#This Row],[Year]])</f>
        <v>1.8334388909985923E-3</v>
      </c>
      <c r="F562" s="23">
        <f>IF(B562=1997, 100, IF(COUNTIF(A$1:A561,A562)=0, "NEW", F561*(1+Table13[[#This Row],[Ávöxtun]])))</f>
        <v>195.73840056909603</v>
      </c>
      <c r="G562" s="18" cm="1">
        <f t="array" ref="G562">IFERROR(_xlfn.IFS(ISNUMBER(Table13[[#This Row],[Column3]]),Table13[[#This Row],[Column3]],Table13[[#This Row],[Column3]]="NEW",Table13[[#This Row],[Column3]]),"")</f>
        <v>195.73840056909603</v>
      </c>
      <c r="H562" s="15" cm="1">
        <f t="array" ref="H562">_xlfn.IFS(Table13[[#This Row],[Column4]]="NEW",AVERAGEIFS(Table13[Column4],Table13[Year],Table13[[#This Row],[Year]]),ISNUMBER(Table13[[#This Row],[Column4]]),Table13[[#This Row],[Column4]],Table13[[#This Row],[Column4]]="",H561*(1+Table13[[#This Row],[Ávöxtun]]))</f>
        <v>195.73840056909603</v>
      </c>
      <c r="I562" cm="1">
        <f t="array" ref="I562">_xlfn.IFS(Table13[[#This Row],[Column4]]="NEW",_xlfn.XLOOKUP(Table13[[#This Row],[Year]],$N$2:$N$27,$P$2:$P$27),ISNUMBER(Table13[[#This Row],[Column4]]),Table13[[#This Row],[Column4]],Table13[[#This Row],[Column4]]="",I561*(1+Table13[[#This Row],[Ávöxtun]]))</f>
        <v>195.73840056909603</v>
      </c>
      <c r="L562" s="33">
        <v>195.73840056909603</v>
      </c>
      <c r="M562" s="33">
        <v>195.73840056909603</v>
      </c>
    </row>
    <row r="563" spans="1:13">
      <c r="A563" t="s">
        <v>114</v>
      </c>
      <c r="B563">
        <v>2006</v>
      </c>
      <c r="C563" s="16">
        <v>6.4600000000000005E-2</v>
      </c>
      <c r="D563" s="1">
        <v>11972512</v>
      </c>
      <c r="E563" s="29">
        <f>Table13[[#This Row],[Ávöxtun]]*Table13[[#This Row],[Eignir]]/SUMIFS(Table13[Eignir],Table13[Year],Table13[[#This Row],[Year]])</f>
        <v>6.7986638704811535E-4</v>
      </c>
      <c r="F563" s="23">
        <f>IF(B563=1997, 100, IF(COUNTIF(A$1:A562,A563)=0, "NEW", F562*(1+Table13[[#This Row],[Ávöxtun]])))</f>
        <v>208.38310124585962</v>
      </c>
      <c r="G563" s="18" cm="1">
        <f t="array" ref="G563">IFERROR(_xlfn.IFS(ISNUMBER(Table13[[#This Row],[Column3]]),Table13[[#This Row],[Column3]],Table13[[#This Row],[Column3]]="NEW",Table13[[#This Row],[Column3]]),"")</f>
        <v>208.38310124585962</v>
      </c>
      <c r="H563" s="15" cm="1">
        <f t="array" ref="H563">_xlfn.IFS(Table13[[#This Row],[Column4]]="NEW",AVERAGEIFS(Table13[Column4],Table13[Year],Table13[[#This Row],[Year]]),ISNUMBER(Table13[[#This Row],[Column4]]),Table13[[#This Row],[Column4]],Table13[[#This Row],[Column4]]="",H562*(1+Table13[[#This Row],[Ávöxtun]]))</f>
        <v>208.38310124585962</v>
      </c>
      <c r="I563" cm="1">
        <f t="array" ref="I563">_xlfn.IFS(Table13[[#This Row],[Column4]]="NEW",_xlfn.XLOOKUP(Table13[[#This Row],[Year]],$N$2:$N$27,$P$2:$P$27),ISNUMBER(Table13[[#This Row],[Column4]]),Table13[[#This Row],[Column4]],Table13[[#This Row],[Column4]]="",I562*(1+Table13[[#This Row],[Ávöxtun]]))</f>
        <v>208.38310124585962</v>
      </c>
      <c r="L563" s="33">
        <v>208.38310124585962</v>
      </c>
      <c r="M563" s="33">
        <v>208.38310124585962</v>
      </c>
    </row>
    <row r="564" spans="1:13">
      <c r="A564" t="s">
        <v>114</v>
      </c>
      <c r="B564">
        <v>2007</v>
      </c>
      <c r="C564" s="16">
        <v>5.8200000000000002E-2</v>
      </c>
      <c r="D564" s="1">
        <v>12974259</v>
      </c>
      <c r="E564" s="29">
        <f>Table13[[#This Row],[Ávöxtun]]*Table13[[#This Row],[Eignir]]/SUMIFS(Table13[Eignir],Table13[Year],Table13[[#This Row],[Year]])</f>
        <v>5.8833297054967904E-4</v>
      </c>
      <c r="F564" s="23">
        <f>IF(B564=1997, 100, IF(COUNTIF(A$1:A563,A564)=0, "NEW", F563*(1+Table13[[#This Row],[Ávöxtun]])))</f>
        <v>220.51099773836864</v>
      </c>
      <c r="G564" s="18" cm="1">
        <f t="array" ref="G564">IFERROR(_xlfn.IFS(ISNUMBER(Table13[[#This Row],[Column3]]),Table13[[#This Row],[Column3]],Table13[[#This Row],[Column3]]="NEW",Table13[[#This Row],[Column3]]),"")</f>
        <v>220.51099773836864</v>
      </c>
      <c r="H564" s="15" cm="1">
        <f t="array" ref="H564">_xlfn.IFS(Table13[[#This Row],[Column4]]="NEW",AVERAGEIFS(Table13[Column4],Table13[Year],Table13[[#This Row],[Year]]),ISNUMBER(Table13[[#This Row],[Column4]]),Table13[[#This Row],[Column4]],Table13[[#This Row],[Column4]]="",H563*(1+Table13[[#This Row],[Ávöxtun]]))</f>
        <v>220.51099773836864</v>
      </c>
      <c r="I564" cm="1">
        <f t="array" ref="I564">_xlfn.IFS(Table13[[#This Row],[Column4]]="NEW",_xlfn.XLOOKUP(Table13[[#This Row],[Year]],$N$2:$N$27,$P$2:$P$27),ISNUMBER(Table13[[#This Row],[Column4]]),Table13[[#This Row],[Column4]],Table13[[#This Row],[Column4]]="",I563*(1+Table13[[#This Row],[Ávöxtun]]))</f>
        <v>220.51099773836864</v>
      </c>
      <c r="L564" s="33">
        <v>220.51099773836864</v>
      </c>
      <c r="M564" s="33">
        <v>220.51099773836864</v>
      </c>
    </row>
    <row r="565" spans="1:13">
      <c r="A565" t="s">
        <v>114</v>
      </c>
      <c r="B565">
        <v>2008</v>
      </c>
      <c r="C565" s="16">
        <v>-4.5899999999999996E-2</v>
      </c>
      <c r="D565" s="1">
        <v>13978654</v>
      </c>
      <c r="E565" s="29">
        <f>Table13[[#This Row],[Ávöxtun]]*Table13[[#This Row],[Eignir]]/SUMIFS(Table13[Eignir],Table13[Year],Table13[[#This Row],[Year]])</f>
        <v>-5.1785509564313112E-4</v>
      </c>
      <c r="F565" s="23">
        <f>IF(B565=1997, 100, IF(COUNTIF(A$1:A564,A565)=0, "NEW", F564*(1+Table13[[#This Row],[Ávöxtun]])))</f>
        <v>210.38954294217751</v>
      </c>
      <c r="G565" s="18" cm="1">
        <f t="array" ref="G565">IFERROR(_xlfn.IFS(ISNUMBER(Table13[[#This Row],[Column3]]),Table13[[#This Row],[Column3]],Table13[[#This Row],[Column3]]="NEW",Table13[[#This Row],[Column3]]),"")</f>
        <v>210.38954294217751</v>
      </c>
      <c r="H565" s="15" cm="1">
        <f t="array" ref="H565">_xlfn.IFS(Table13[[#This Row],[Column4]]="NEW",AVERAGEIFS(Table13[Column4],Table13[Year],Table13[[#This Row],[Year]]),ISNUMBER(Table13[[#This Row],[Column4]]),Table13[[#This Row],[Column4]],Table13[[#This Row],[Column4]]="",H564*(1+Table13[[#This Row],[Ávöxtun]]))</f>
        <v>210.38954294217751</v>
      </c>
      <c r="I565" cm="1">
        <f t="array" ref="I565">_xlfn.IFS(Table13[[#This Row],[Column4]]="NEW",_xlfn.XLOOKUP(Table13[[#This Row],[Year]],$N$2:$N$27,$P$2:$P$27),ISNUMBER(Table13[[#This Row],[Column4]]),Table13[[#This Row],[Column4]],Table13[[#This Row],[Column4]]="",I564*(1+Table13[[#This Row],[Ávöxtun]]))</f>
        <v>210.38954294217751</v>
      </c>
      <c r="L565" s="33">
        <v>210.38954294217751</v>
      </c>
      <c r="M565" s="33">
        <v>210.38954294217751</v>
      </c>
    </row>
    <row r="566" spans="1:13">
      <c r="A566" t="s">
        <v>114</v>
      </c>
      <c r="B566">
        <v>2009</v>
      </c>
      <c r="C566" s="16">
        <v>4.4800000000000006E-2</v>
      </c>
      <c r="D566" s="1">
        <v>15428962</v>
      </c>
      <c r="E566" s="29">
        <f>Table13[[#This Row],[Ávöxtun]]*Table13[[#This Row],[Eignir]]/SUMIFS(Table13[Eignir],Table13[Year],Table13[[#This Row],[Year]])</f>
        <v>5.0339259236423977E-4</v>
      </c>
      <c r="F566" s="23">
        <f>IF(B566=1997, 100, IF(COUNTIF(A$1:A565,A566)=0, "NEW", F565*(1+Table13[[#This Row],[Ávöxtun]])))</f>
        <v>219.81499446598707</v>
      </c>
      <c r="G566" s="18" cm="1">
        <f t="array" ref="G566">IFERROR(_xlfn.IFS(ISNUMBER(Table13[[#This Row],[Column3]]),Table13[[#This Row],[Column3]],Table13[[#This Row],[Column3]]="NEW",Table13[[#This Row],[Column3]]),"")</f>
        <v>219.81499446598707</v>
      </c>
      <c r="H566" s="15" cm="1">
        <f t="array" ref="H566">_xlfn.IFS(Table13[[#This Row],[Column4]]="NEW",AVERAGEIFS(Table13[Column4],Table13[Year],Table13[[#This Row],[Year]]),ISNUMBER(Table13[[#This Row],[Column4]]),Table13[[#This Row],[Column4]],Table13[[#This Row],[Column4]]="",H565*(1+Table13[[#This Row],[Ávöxtun]]))</f>
        <v>219.81499446598707</v>
      </c>
      <c r="I566" cm="1">
        <f t="array" ref="I566">_xlfn.IFS(Table13[[#This Row],[Column4]]="NEW",_xlfn.XLOOKUP(Table13[[#This Row],[Year]],$N$2:$N$27,$P$2:$P$27),ISNUMBER(Table13[[#This Row],[Column4]]),Table13[[#This Row],[Column4]],Table13[[#This Row],[Column4]]="",I565*(1+Table13[[#This Row],[Ávöxtun]]))</f>
        <v>219.81499446598707</v>
      </c>
      <c r="L566" s="33">
        <v>219.81499446598707</v>
      </c>
      <c r="M566" s="33">
        <v>219.81499446598707</v>
      </c>
    </row>
    <row r="567" spans="1:13">
      <c r="A567" t="s">
        <v>114</v>
      </c>
      <c r="B567">
        <v>2010</v>
      </c>
      <c r="C567" s="16">
        <v>5.0099999999999999E-2</v>
      </c>
      <c r="D567" s="1">
        <v>16108136</v>
      </c>
      <c r="E567" s="29">
        <f>Table13[[#This Row],[Ávöxtun]]*Table13[[#This Row],[Eignir]]/SUMIFS(Table13[Eignir],Table13[Year],Table13[[#This Row],[Year]])</f>
        <v>5.5095985208775361E-4</v>
      </c>
      <c r="F567" s="23">
        <f>IF(B567=1997, 100, IF(COUNTIF(A$1:A566,A567)=0, "NEW", F566*(1+Table13[[#This Row],[Ávöxtun]])))</f>
        <v>230.82772568873304</v>
      </c>
      <c r="G567" s="18" cm="1">
        <f t="array" ref="G567">IFERROR(_xlfn.IFS(ISNUMBER(Table13[[#This Row],[Column3]]),Table13[[#This Row],[Column3]],Table13[[#This Row],[Column3]]="NEW",Table13[[#This Row],[Column3]]),"")</f>
        <v>230.82772568873304</v>
      </c>
      <c r="H567" s="15" cm="1">
        <f t="array" ref="H567">_xlfn.IFS(Table13[[#This Row],[Column4]]="NEW",AVERAGEIFS(Table13[Column4],Table13[Year],Table13[[#This Row],[Year]]),ISNUMBER(Table13[[#This Row],[Column4]]),Table13[[#This Row],[Column4]],Table13[[#This Row],[Column4]]="",H566*(1+Table13[[#This Row],[Ávöxtun]]))</f>
        <v>230.82772568873304</v>
      </c>
      <c r="I567" cm="1">
        <f t="array" ref="I567">_xlfn.IFS(Table13[[#This Row],[Column4]]="NEW",_xlfn.XLOOKUP(Table13[[#This Row],[Year]],$N$2:$N$27,$P$2:$P$27),ISNUMBER(Table13[[#This Row],[Column4]]),Table13[[#This Row],[Column4]],Table13[[#This Row],[Column4]]="",I566*(1+Table13[[#This Row],[Ávöxtun]]))</f>
        <v>230.82772568873304</v>
      </c>
      <c r="L567" s="33">
        <v>230.82772568873304</v>
      </c>
      <c r="M567" s="33">
        <v>230.82772568873304</v>
      </c>
    </row>
    <row r="568" spans="1:13">
      <c r="A568" t="s">
        <v>114</v>
      </c>
      <c r="B568">
        <v>2011</v>
      </c>
      <c r="C568" s="16">
        <v>4.7E-2</v>
      </c>
      <c r="D568" s="1">
        <v>17134433</v>
      </c>
      <c r="E568" s="29">
        <f>Table13[[#This Row],[Ávöxtun]]*Table13[[#This Row],[Eignir]]/SUMIFS(Table13[Eignir],Table13[Year],Table13[[#This Row],[Year]])</f>
        <v>5.0716626352328368E-4</v>
      </c>
      <c r="F568" s="23">
        <f>IF(B568=1997, 100, IF(COUNTIF(A$1:A567,A568)=0, "NEW", F567*(1+Table13[[#This Row],[Ávöxtun]])))</f>
        <v>241.67662879610347</v>
      </c>
      <c r="G568" s="18" cm="1">
        <f t="array" ref="G568">IFERROR(_xlfn.IFS(ISNUMBER(Table13[[#This Row],[Column3]]),Table13[[#This Row],[Column3]],Table13[[#This Row],[Column3]]="NEW",Table13[[#This Row],[Column3]]),"")</f>
        <v>241.67662879610347</v>
      </c>
      <c r="H568" s="15" cm="1">
        <f t="array" ref="H568">_xlfn.IFS(Table13[[#This Row],[Column4]]="NEW",AVERAGEIFS(Table13[Column4],Table13[Year],Table13[[#This Row],[Year]]),ISNUMBER(Table13[[#This Row],[Column4]]),Table13[[#This Row],[Column4]],Table13[[#This Row],[Column4]]="",H567*(1+Table13[[#This Row],[Ávöxtun]]))</f>
        <v>241.67662879610347</v>
      </c>
      <c r="I568" cm="1">
        <f t="array" ref="I568">_xlfn.IFS(Table13[[#This Row],[Column4]]="NEW",_xlfn.XLOOKUP(Table13[[#This Row],[Year]],$N$2:$N$27,$P$2:$P$27),ISNUMBER(Table13[[#This Row],[Column4]]),Table13[[#This Row],[Column4]],Table13[[#This Row],[Column4]]="",I567*(1+Table13[[#This Row],[Ávöxtun]]))</f>
        <v>241.67662879610347</v>
      </c>
      <c r="L568" s="33">
        <v>241.67662879610347</v>
      </c>
      <c r="M568" s="33">
        <v>241.67662879610347</v>
      </c>
    </row>
    <row r="569" spans="1:13">
      <c r="A569" t="s">
        <v>114</v>
      </c>
      <c r="B569">
        <v>2012</v>
      </c>
      <c r="C569" s="16">
        <v>5.9000000000000004E-2</v>
      </c>
      <c r="D569" s="1">
        <v>18234471</v>
      </c>
      <c r="E569" s="29">
        <f>Table13[[#This Row],[Ávöxtun]]*Table13[[#This Row],[Eignir]]/SUMIFS(Table13[Eignir],Table13[Year],Table13[[#This Row],[Year]])</f>
        <v>5.9939375248547967E-4</v>
      </c>
      <c r="F569" s="23">
        <f>IF(B569=1997, 100, IF(COUNTIF(A$1:A568,A569)=0, "NEW", F568*(1+Table13[[#This Row],[Ávöxtun]])))</f>
        <v>255.93554989507356</v>
      </c>
      <c r="G569" s="18" cm="1">
        <f t="array" ref="G569">IFERROR(_xlfn.IFS(ISNUMBER(Table13[[#This Row],[Column3]]),Table13[[#This Row],[Column3]],Table13[[#This Row],[Column3]]="NEW",Table13[[#This Row],[Column3]]),"")</f>
        <v>255.93554989507356</v>
      </c>
      <c r="H569" s="15" cm="1">
        <f t="array" ref="H569">_xlfn.IFS(Table13[[#This Row],[Column4]]="NEW",AVERAGEIFS(Table13[Column4],Table13[Year],Table13[[#This Row],[Year]]),ISNUMBER(Table13[[#This Row],[Column4]]),Table13[[#This Row],[Column4]],Table13[[#This Row],[Column4]]="",H568*(1+Table13[[#This Row],[Ávöxtun]]))</f>
        <v>255.93554989507356</v>
      </c>
      <c r="I569" cm="1">
        <f t="array" ref="I569">_xlfn.IFS(Table13[[#This Row],[Column4]]="NEW",_xlfn.XLOOKUP(Table13[[#This Row],[Year]],$N$2:$N$27,$P$2:$P$27),ISNUMBER(Table13[[#This Row],[Column4]]),Table13[[#This Row],[Column4]],Table13[[#This Row],[Column4]]="",I568*(1+Table13[[#This Row],[Ávöxtun]]))</f>
        <v>255.93554989507356</v>
      </c>
      <c r="L569" s="33">
        <v>255.93554989507356</v>
      </c>
      <c r="M569" s="33">
        <v>255.93554989507356</v>
      </c>
    </row>
    <row r="570" spans="1:13">
      <c r="A570" t="s">
        <v>114</v>
      </c>
      <c r="B570">
        <v>2013</v>
      </c>
      <c r="C570" s="16">
        <v>8.3000000000000004E-2</v>
      </c>
      <c r="D570" s="1">
        <v>19591955</v>
      </c>
      <c r="E570" s="29">
        <f>Table13[[#This Row],[Ávöxtun]]*Table13[[#This Row],[Eignir]]/SUMIFS(Table13[Eignir],Table13[Year],Table13[[#This Row],[Year]])</f>
        <v>8.2381127346878703E-4</v>
      </c>
      <c r="F570" s="23">
        <f>IF(B570=1997, 100, IF(COUNTIF(A$1:A569,A570)=0, "NEW", F569*(1+Table13[[#This Row],[Ávöxtun]])))</f>
        <v>277.17820053636467</v>
      </c>
      <c r="G570" s="18" cm="1">
        <f t="array" ref="G570">IFERROR(_xlfn.IFS(ISNUMBER(Table13[[#This Row],[Column3]]),Table13[[#This Row],[Column3]],Table13[[#This Row],[Column3]]="NEW",Table13[[#This Row],[Column3]]),"")</f>
        <v>277.17820053636467</v>
      </c>
      <c r="H570" s="15" cm="1">
        <f t="array" ref="H570">_xlfn.IFS(Table13[[#This Row],[Column4]]="NEW",AVERAGEIFS(Table13[Column4],Table13[Year],Table13[[#This Row],[Year]]),ISNUMBER(Table13[[#This Row],[Column4]]),Table13[[#This Row],[Column4]],Table13[[#This Row],[Column4]]="",H569*(1+Table13[[#This Row],[Ávöxtun]]))</f>
        <v>277.17820053636467</v>
      </c>
      <c r="I570" cm="1">
        <f t="array" ref="I570">_xlfn.IFS(Table13[[#This Row],[Column4]]="NEW",_xlfn.XLOOKUP(Table13[[#This Row],[Year]],$N$2:$N$27,$P$2:$P$27),ISNUMBER(Table13[[#This Row],[Column4]]),Table13[[#This Row],[Column4]],Table13[[#This Row],[Column4]]="",I569*(1+Table13[[#This Row],[Ávöxtun]]))</f>
        <v>277.17820053636467</v>
      </c>
      <c r="L570" s="33">
        <v>277.17820053636467</v>
      </c>
      <c r="M570" s="33">
        <v>277.17820053636467</v>
      </c>
    </row>
    <row r="571" spans="1:13">
      <c r="A571" t="s">
        <v>114</v>
      </c>
      <c r="B571">
        <v>2014</v>
      </c>
      <c r="C571" s="16">
        <v>5.4000000000000006E-2</v>
      </c>
      <c r="D571" s="1">
        <v>19894069</v>
      </c>
      <c r="E571" s="29">
        <f>Table13[[#This Row],[Ávöxtun]]*Table13[[#This Row],[Eignir]]/SUMIFS(Table13[Eignir],Table13[Year],Table13[[#This Row],[Year]])</f>
        <v>4.990838001807308E-4</v>
      </c>
      <c r="F571" s="23">
        <f>IF(B571=1997, 100, IF(COUNTIF(A$1:A570,A571)=0, "NEW", F570*(1+Table13[[#This Row],[Ávöxtun]])))</f>
        <v>292.1458233653284</v>
      </c>
      <c r="G571" s="18" cm="1">
        <f t="array" ref="G571">IFERROR(_xlfn.IFS(ISNUMBER(Table13[[#This Row],[Column3]]),Table13[[#This Row],[Column3]],Table13[[#This Row],[Column3]]="NEW",Table13[[#This Row],[Column3]]),"")</f>
        <v>292.1458233653284</v>
      </c>
      <c r="H571" s="15" cm="1">
        <f t="array" ref="H571">_xlfn.IFS(Table13[[#This Row],[Column4]]="NEW",AVERAGEIFS(Table13[Column4],Table13[Year],Table13[[#This Row],[Year]]),ISNUMBER(Table13[[#This Row],[Column4]]),Table13[[#This Row],[Column4]],Table13[[#This Row],[Column4]]="",H570*(1+Table13[[#This Row],[Ávöxtun]]))</f>
        <v>292.1458233653284</v>
      </c>
      <c r="I571" cm="1">
        <f t="array" ref="I571">_xlfn.IFS(Table13[[#This Row],[Column4]]="NEW",_xlfn.XLOOKUP(Table13[[#This Row],[Year]],$N$2:$N$27,$P$2:$P$27),ISNUMBER(Table13[[#This Row],[Column4]]),Table13[[#This Row],[Column4]],Table13[[#This Row],[Column4]]="",I570*(1+Table13[[#This Row],[Ávöxtun]]))</f>
        <v>292.1458233653284</v>
      </c>
      <c r="L571" s="33">
        <v>292.1458233653284</v>
      </c>
      <c r="M571" s="33">
        <v>292.1458233653284</v>
      </c>
    </row>
    <row r="572" spans="1:13">
      <c r="A572" t="s">
        <v>114</v>
      </c>
      <c r="B572">
        <v>2015</v>
      </c>
      <c r="C572" s="16">
        <v>9.9000000000000005E-2</v>
      </c>
      <c r="D572" s="1">
        <v>21260118</v>
      </c>
      <c r="E572" s="29">
        <f>Table13[[#This Row],[Ávöxtun]]*Table13[[#This Row],[Eignir]]/SUMIFS(Table13[Eignir],Table13[Year],Table13[[#This Row],[Year]])</f>
        <v>8.8147428714026972E-4</v>
      </c>
      <c r="F572" s="23">
        <f>IF(B572=1997, 100, IF(COUNTIF(A$1:A571,A572)=0, "NEW", F571*(1+Table13[[#This Row],[Ávöxtun]])))</f>
        <v>321.06825987849589</v>
      </c>
      <c r="G572" s="18" cm="1">
        <f t="array" ref="G572">IFERROR(_xlfn.IFS(ISNUMBER(Table13[[#This Row],[Column3]]),Table13[[#This Row],[Column3]],Table13[[#This Row],[Column3]]="NEW",Table13[[#This Row],[Column3]]),"")</f>
        <v>321.06825987849589</v>
      </c>
      <c r="H572" s="15" cm="1">
        <f t="array" ref="H572">_xlfn.IFS(Table13[[#This Row],[Column4]]="NEW",AVERAGEIFS(Table13[Column4],Table13[Year],Table13[[#This Row],[Year]]),ISNUMBER(Table13[[#This Row],[Column4]]),Table13[[#This Row],[Column4]],Table13[[#This Row],[Column4]]="",H571*(1+Table13[[#This Row],[Ávöxtun]]))</f>
        <v>321.06825987849589</v>
      </c>
      <c r="I572" cm="1">
        <f t="array" ref="I572">_xlfn.IFS(Table13[[#This Row],[Column4]]="NEW",_xlfn.XLOOKUP(Table13[[#This Row],[Year]],$N$2:$N$27,$P$2:$P$27),ISNUMBER(Table13[[#This Row],[Column4]]),Table13[[#This Row],[Column4]],Table13[[#This Row],[Column4]]="",I571*(1+Table13[[#This Row],[Ávöxtun]]))</f>
        <v>321.06825987849589</v>
      </c>
      <c r="L572" s="33">
        <v>321.06825987849589</v>
      </c>
      <c r="M572" s="33">
        <v>321.06825987849589</v>
      </c>
    </row>
    <row r="573" spans="1:13">
      <c r="A573" t="s">
        <v>114</v>
      </c>
      <c r="B573">
        <v>2016</v>
      </c>
      <c r="C573" s="16">
        <v>4.8999999999999998E-3</v>
      </c>
      <c r="D573" s="1">
        <v>22254498</v>
      </c>
      <c r="E573" s="29">
        <f>Table13[[#This Row],[Ávöxtun]]*Table13[[#This Row],[Eignir]]/SUMIFS(Table13[Eignir],Table13[Year],Table13[[#This Row],[Year]])</f>
        <v>4.1813323798089694E-5</v>
      </c>
      <c r="F573" s="23">
        <f>IF(B573=1997, 100, IF(COUNTIF(A$1:A572,A573)=0, "NEW", F572*(1+Table13[[#This Row],[Ávöxtun]])))</f>
        <v>322.64149435190052</v>
      </c>
      <c r="G573" s="18" cm="1">
        <f t="array" ref="G573">IFERROR(_xlfn.IFS(ISNUMBER(Table13[[#This Row],[Column3]]),Table13[[#This Row],[Column3]],Table13[[#This Row],[Column3]]="NEW",Table13[[#This Row],[Column3]]),"")</f>
        <v>322.64149435190052</v>
      </c>
      <c r="H573" s="15" cm="1">
        <f t="array" ref="H573">_xlfn.IFS(Table13[[#This Row],[Column4]]="NEW",AVERAGEIFS(Table13[Column4],Table13[Year],Table13[[#This Row],[Year]]),ISNUMBER(Table13[[#This Row],[Column4]]),Table13[[#This Row],[Column4]],Table13[[#This Row],[Column4]]="",H572*(1+Table13[[#This Row],[Ávöxtun]]))</f>
        <v>322.64149435190052</v>
      </c>
      <c r="I573" cm="1">
        <f t="array" ref="I573">_xlfn.IFS(Table13[[#This Row],[Column4]]="NEW",_xlfn.XLOOKUP(Table13[[#This Row],[Year]],$N$2:$N$27,$P$2:$P$27),ISNUMBER(Table13[[#This Row],[Column4]]),Table13[[#This Row],[Column4]],Table13[[#This Row],[Column4]]="",I572*(1+Table13[[#This Row],[Ávöxtun]]))</f>
        <v>322.64149435190052</v>
      </c>
      <c r="L573" s="33">
        <v>322.64149435190052</v>
      </c>
      <c r="M573" s="33">
        <v>322.64149435190052</v>
      </c>
    </row>
    <row r="574" spans="1:13">
      <c r="A574" t="s">
        <v>114</v>
      </c>
      <c r="B574">
        <v>2017</v>
      </c>
      <c r="C574" s="16">
        <v>7.2000000000000008E-2</v>
      </c>
      <c r="D574" s="1">
        <v>22978501</v>
      </c>
      <c r="E574" s="29">
        <f>Table13[[#This Row],[Ávöxtun]]*Table13[[#This Row],[Eignir]]/SUMIFS(Table13[Eignir],Table13[Year],Table13[[#This Row],[Year]])</f>
        <v>5.6929919596582852E-4</v>
      </c>
      <c r="F574" s="23">
        <f>IF(B574=1997, 100, IF(COUNTIF(A$1:A573,A574)=0, "NEW", F573*(1+Table13[[#This Row],[Ávöxtun]])))</f>
        <v>345.87168194523736</v>
      </c>
      <c r="G574" s="18" cm="1">
        <f t="array" ref="G574">IFERROR(_xlfn.IFS(ISNUMBER(Table13[[#This Row],[Column3]]),Table13[[#This Row],[Column3]],Table13[[#This Row],[Column3]]="NEW",Table13[[#This Row],[Column3]]),"")</f>
        <v>345.87168194523736</v>
      </c>
      <c r="H574" s="15" cm="1">
        <f t="array" ref="H574">_xlfn.IFS(Table13[[#This Row],[Column4]]="NEW",AVERAGEIFS(Table13[Column4],Table13[Year],Table13[[#This Row],[Year]]),ISNUMBER(Table13[[#This Row],[Column4]]),Table13[[#This Row],[Column4]],Table13[[#This Row],[Column4]]="",H573*(1+Table13[[#This Row],[Ávöxtun]]))</f>
        <v>345.87168194523736</v>
      </c>
      <c r="I574" cm="1">
        <f t="array" ref="I574">_xlfn.IFS(Table13[[#This Row],[Column4]]="NEW",_xlfn.XLOOKUP(Table13[[#This Row],[Year]],$N$2:$N$27,$P$2:$P$27),ISNUMBER(Table13[[#This Row],[Column4]]),Table13[[#This Row],[Column4]],Table13[[#This Row],[Column4]]="",I573*(1+Table13[[#This Row],[Ávöxtun]]))</f>
        <v>345.87168194523736</v>
      </c>
      <c r="L574" s="33">
        <v>345.87168194523736</v>
      </c>
      <c r="M574" s="33">
        <v>345.87168194523736</v>
      </c>
    </row>
    <row r="575" spans="1:13">
      <c r="A575" t="s">
        <v>114</v>
      </c>
      <c r="B575">
        <v>2018</v>
      </c>
      <c r="C575" s="16">
        <v>5.7000000000000002E-2</v>
      </c>
      <c r="D575" s="1">
        <v>23788914</v>
      </c>
      <c r="E575" s="29">
        <f>Table13[[#This Row],[Ávöxtun]]*Table13[[#This Row],[Eignir]]/SUMIFS(Table13[Eignir],Table13[Year],Table13[[#This Row],[Year]])</f>
        <v>4.3475563299899772E-4</v>
      </c>
      <c r="F575" s="23">
        <f>IF(B575=1997, 100, IF(COUNTIF(A$1:A574,A575)=0, "NEW", F574*(1+Table13[[#This Row],[Ávöxtun]])))</f>
        <v>365.58636781611585</v>
      </c>
      <c r="G575" s="18" cm="1">
        <f t="array" ref="G575">IFERROR(_xlfn.IFS(ISNUMBER(Table13[[#This Row],[Column3]]),Table13[[#This Row],[Column3]],Table13[[#This Row],[Column3]]="NEW",Table13[[#This Row],[Column3]]),"")</f>
        <v>365.58636781611585</v>
      </c>
      <c r="H575" s="15" cm="1">
        <f t="array" ref="H575">_xlfn.IFS(Table13[[#This Row],[Column4]]="NEW",AVERAGEIFS(Table13[Column4],Table13[Year],Table13[[#This Row],[Year]]),ISNUMBER(Table13[[#This Row],[Column4]]),Table13[[#This Row],[Column4]],Table13[[#This Row],[Column4]]="",H574*(1+Table13[[#This Row],[Ávöxtun]]))</f>
        <v>365.58636781611585</v>
      </c>
      <c r="I575" cm="1">
        <f t="array" ref="I575">_xlfn.IFS(Table13[[#This Row],[Column4]]="NEW",_xlfn.XLOOKUP(Table13[[#This Row],[Year]],$N$2:$N$27,$P$2:$P$27),ISNUMBER(Table13[[#This Row],[Column4]]),Table13[[#This Row],[Column4]],Table13[[#This Row],[Column4]]="",I574*(1+Table13[[#This Row],[Ávöxtun]]))</f>
        <v>365.58636781611585</v>
      </c>
      <c r="L575" s="33">
        <v>365.58636781611585</v>
      </c>
      <c r="M575" s="33">
        <v>365.58636781611585</v>
      </c>
    </row>
    <row r="576" spans="1:13">
      <c r="A576" t="s">
        <v>114</v>
      </c>
      <c r="B576">
        <v>2019</v>
      </c>
      <c r="C576" s="16">
        <v>8.43E-2</v>
      </c>
      <c r="D576" s="1">
        <v>25135579</v>
      </c>
      <c r="E576" s="29">
        <f>Table13[[#This Row],[Ávöxtun]]*Table13[[#This Row],[Eignir]]/SUMIFS(Table13[Eignir],Table13[Year],Table13[[#This Row],[Year]])</f>
        <v>5.9247117456690728E-4</v>
      </c>
      <c r="F576" s="23">
        <f>IF(B576=1997, 100, IF(COUNTIF(A$1:A575,A576)=0, "NEW", F575*(1+Table13[[#This Row],[Ávöxtun]])))</f>
        <v>396.40529862301446</v>
      </c>
      <c r="G576" s="18" cm="1">
        <f t="array" ref="G576">IFERROR(_xlfn.IFS(ISNUMBER(Table13[[#This Row],[Column3]]),Table13[[#This Row],[Column3]],Table13[[#This Row],[Column3]]="NEW",Table13[[#This Row],[Column3]]),"")</f>
        <v>396.40529862301446</v>
      </c>
      <c r="H576" s="15" cm="1">
        <f t="array" ref="H576">_xlfn.IFS(Table13[[#This Row],[Column4]]="NEW",AVERAGEIFS(Table13[Column4],Table13[Year],Table13[[#This Row],[Year]]),ISNUMBER(Table13[[#This Row],[Column4]]),Table13[[#This Row],[Column4]],Table13[[#This Row],[Column4]]="",H575*(1+Table13[[#This Row],[Ávöxtun]]))</f>
        <v>396.40529862301446</v>
      </c>
      <c r="I576" cm="1">
        <f t="array" ref="I576">_xlfn.IFS(Table13[[#This Row],[Column4]]="NEW",_xlfn.XLOOKUP(Table13[[#This Row],[Year]],$N$2:$N$27,$P$2:$P$27),ISNUMBER(Table13[[#This Row],[Column4]]),Table13[[#This Row],[Column4]],Table13[[#This Row],[Column4]]="",I575*(1+Table13[[#This Row],[Ávöxtun]]))</f>
        <v>396.40529862301446</v>
      </c>
      <c r="L576" s="33">
        <v>396.40529862301446</v>
      </c>
      <c r="M576" s="33">
        <v>396.40529862301446</v>
      </c>
    </row>
    <row r="577" spans="1:13">
      <c r="A577" t="s">
        <v>114</v>
      </c>
      <c r="B577">
        <v>2020</v>
      </c>
      <c r="C577" s="16">
        <v>5.67E-2</v>
      </c>
      <c r="D577" s="1">
        <v>26074050</v>
      </c>
      <c r="E577" s="29">
        <f>Table13[[#This Row],[Ávöxtun]]*Table13[[#This Row],[Eignir]]/SUMIFS(Table13[Eignir],Table13[Year],Table13[[#This Row],[Year]])</f>
        <v>3.5674364279252415E-4</v>
      </c>
      <c r="F577" s="23">
        <f>IF(B577=1997, 100, IF(COUNTIF(A$1:A576,A577)=0, "NEW", F576*(1+Table13[[#This Row],[Ávöxtun]])))</f>
        <v>418.88147905493935</v>
      </c>
      <c r="G577" s="18" cm="1">
        <f t="array" ref="G577">IFERROR(_xlfn.IFS(ISNUMBER(Table13[[#This Row],[Column3]]),Table13[[#This Row],[Column3]],Table13[[#This Row],[Column3]]="NEW",Table13[[#This Row],[Column3]]),"")</f>
        <v>418.88147905493935</v>
      </c>
      <c r="H577" s="15" cm="1">
        <f t="array" ref="H577">_xlfn.IFS(Table13[[#This Row],[Column4]]="NEW",AVERAGEIFS(Table13[Column4],Table13[Year],Table13[[#This Row],[Year]]),ISNUMBER(Table13[[#This Row],[Column4]]),Table13[[#This Row],[Column4]],Table13[[#This Row],[Column4]]="",H576*(1+Table13[[#This Row],[Ávöxtun]]))</f>
        <v>418.88147905493935</v>
      </c>
      <c r="I577" cm="1">
        <f t="array" ref="I577">_xlfn.IFS(Table13[[#This Row],[Column4]]="NEW",_xlfn.XLOOKUP(Table13[[#This Row],[Year]],$N$2:$N$27,$P$2:$P$27),ISNUMBER(Table13[[#This Row],[Column4]]),Table13[[#This Row],[Column4]],Table13[[#This Row],[Column4]]="",I576*(1+Table13[[#This Row],[Ávöxtun]]))</f>
        <v>418.88147905493935</v>
      </c>
      <c r="L577" s="33">
        <v>418.88147905493935</v>
      </c>
      <c r="M577" s="33">
        <v>418.88147905493935</v>
      </c>
    </row>
    <row r="578" spans="1:13">
      <c r="A578" t="s">
        <v>114</v>
      </c>
      <c r="B578">
        <v>2021</v>
      </c>
      <c r="C578" s="16">
        <v>8.2500000000000004E-2</v>
      </c>
      <c r="D578" s="1">
        <v>27981992</v>
      </c>
      <c r="E578" s="29">
        <f>Table13[[#This Row],[Ávöxtun]]*Table13[[#This Row],[Eignir]]/SUMIFS(Table13[Eignir],Table13[Year],Table13[[#This Row],[Year]])</f>
        <v>4.746323004958359E-4</v>
      </c>
      <c r="F578" s="23">
        <f>IF(B578=1997, 100, IF(COUNTIF(A$1:A577,A578)=0, "NEW", F577*(1+Table13[[#This Row],[Ávöxtun]])))</f>
        <v>453.43920107697187</v>
      </c>
      <c r="G578" s="18" cm="1">
        <f t="array" ref="G578">IFERROR(_xlfn.IFS(ISNUMBER(Table13[[#This Row],[Column3]]),Table13[[#This Row],[Column3]],Table13[[#This Row],[Column3]]="NEW",Table13[[#This Row],[Column3]]),"")</f>
        <v>453.43920107697187</v>
      </c>
      <c r="H578" s="15" cm="1">
        <f t="array" ref="H578">_xlfn.IFS(Table13[[#This Row],[Column4]]="NEW",AVERAGEIFS(Table13[Column4],Table13[Year],Table13[[#This Row],[Year]]),ISNUMBER(Table13[[#This Row],[Column4]]),Table13[[#This Row],[Column4]],Table13[[#This Row],[Column4]]="",H577*(1+Table13[[#This Row],[Ávöxtun]]))</f>
        <v>453.43920107697187</v>
      </c>
      <c r="I578" cm="1">
        <f t="array" ref="I578">_xlfn.IFS(Table13[[#This Row],[Column4]]="NEW",_xlfn.XLOOKUP(Table13[[#This Row],[Year]],$N$2:$N$27,$P$2:$P$27),ISNUMBER(Table13[[#This Row],[Column4]]),Table13[[#This Row],[Column4]],Table13[[#This Row],[Column4]]="",I577*(1+Table13[[#This Row],[Ávöxtun]]))</f>
        <v>453.43920107697187</v>
      </c>
      <c r="L578" s="33">
        <v>453.43920107697187</v>
      </c>
      <c r="M578" s="33">
        <v>453.43920107697187</v>
      </c>
    </row>
    <row r="579" spans="1:13">
      <c r="A579" t="s">
        <v>115</v>
      </c>
      <c r="B579">
        <v>1997</v>
      </c>
      <c r="C579" s="16">
        <v>0.09</v>
      </c>
      <c r="D579" s="1">
        <v>975253.13</v>
      </c>
      <c r="E579" s="29">
        <f>Table13[[#This Row],[Ávöxtun]]*Table13[[#This Row],[Eignir]]/SUMIFS(Table13[Eignir],Table13[Year],Table13[[#This Row],[Year]])</f>
        <v>3.0759074445865943E-4</v>
      </c>
      <c r="F579" s="23">
        <f>IF(B579=1997, 100, IF(COUNTIF(A$1:A578,A579)=0, "NEW", F578*(1+Table13[[#This Row],[Ávöxtun]])))</f>
        <v>100</v>
      </c>
      <c r="G579" s="18" cm="1">
        <f t="array" ref="G579">IFERROR(_xlfn.IFS(ISNUMBER(Table13[[#This Row],[Column3]]),Table13[[#This Row],[Column3]],Table13[[#This Row],[Column3]]="NEW",Table13[[#This Row],[Column3]]),"")</f>
        <v>100</v>
      </c>
      <c r="H579" s="15" cm="1">
        <f t="array" ref="H579">_xlfn.IFS(Table13[[#This Row],[Column4]]="NEW",AVERAGEIFS(Table13[Column4],Table13[Year],Table13[[#This Row],[Year]]),ISNUMBER(Table13[[#This Row],[Column4]]),Table13[[#This Row],[Column4]],Table13[[#This Row],[Column4]]="",H578*(1+Table13[[#This Row],[Ávöxtun]]))</f>
        <v>100</v>
      </c>
      <c r="I579" cm="1">
        <f t="array" ref="I579">_xlfn.IFS(Table13[[#This Row],[Column4]]="NEW",_xlfn.XLOOKUP(Table13[[#This Row],[Year]],$N$2:$N$27,$P$2:$P$27),ISNUMBER(Table13[[#This Row],[Column4]]),Table13[[#This Row],[Column4]],Table13[[#This Row],[Column4]]="",I578*(1+Table13[[#This Row],[Ávöxtun]]))</f>
        <v>100</v>
      </c>
      <c r="L579" s="33">
        <v>100</v>
      </c>
      <c r="M579" s="33">
        <v>100</v>
      </c>
    </row>
    <row r="580" spans="1:13">
      <c r="A580" t="s">
        <v>115</v>
      </c>
      <c r="B580">
        <v>1998</v>
      </c>
      <c r="C580" s="16">
        <v>0.08</v>
      </c>
      <c r="D580" s="1">
        <v>1083974.23</v>
      </c>
      <c r="E580" s="29">
        <f>Table13[[#This Row],[Ávöxtun]]*Table13[[#This Row],[Eignir]]/SUMIFS(Table13[Eignir],Table13[Year],Table13[[#This Row],[Year]])</f>
        <v>2.6238532349013606E-4</v>
      </c>
      <c r="F580" s="23">
        <f>IF(B580=1997, 100, IF(COUNTIF(A$1:A579,A580)=0, "NEW", F579*(1+Table13[[#This Row],[Ávöxtun]])))</f>
        <v>108</v>
      </c>
      <c r="G580" s="18" cm="1">
        <f t="array" ref="G580">IFERROR(_xlfn.IFS(ISNUMBER(Table13[[#This Row],[Column3]]),Table13[[#This Row],[Column3]],Table13[[#This Row],[Column3]]="NEW",Table13[[#This Row],[Column3]]),"")</f>
        <v>108</v>
      </c>
      <c r="H580" s="15" cm="1">
        <f t="array" ref="H580">_xlfn.IFS(Table13[[#This Row],[Column4]]="NEW",AVERAGEIFS(Table13[Column4],Table13[Year],Table13[[#This Row],[Year]]),ISNUMBER(Table13[[#This Row],[Column4]]),Table13[[#This Row],[Column4]],Table13[[#This Row],[Column4]]="",H579*(1+Table13[[#This Row],[Ávöxtun]]))</f>
        <v>108</v>
      </c>
      <c r="I580" cm="1">
        <f t="array" ref="I580">_xlfn.IFS(Table13[[#This Row],[Column4]]="NEW",_xlfn.XLOOKUP(Table13[[#This Row],[Year]],$N$2:$N$27,$P$2:$P$27),ISNUMBER(Table13[[#This Row],[Column4]]),Table13[[#This Row],[Column4]],Table13[[#This Row],[Column4]]="",I579*(1+Table13[[#This Row],[Ávöxtun]]))</f>
        <v>108</v>
      </c>
      <c r="L580" s="33">
        <v>108</v>
      </c>
      <c r="M580" s="33">
        <v>108</v>
      </c>
    </row>
    <row r="581" spans="1:13">
      <c r="A581" t="s">
        <v>115</v>
      </c>
      <c r="B581">
        <v>1999</v>
      </c>
      <c r="C581" s="16">
        <v>0.08</v>
      </c>
      <c r="D581" s="1">
        <v>1288151.7</v>
      </c>
      <c r="E581" s="29">
        <f>Table13[[#This Row],[Ávöxtun]]*Table13[[#This Row],[Eignir]]/SUMIFS(Table13[Eignir],Table13[Year],Table13[[#This Row],[Year]])</f>
        <v>2.3213913137495762E-4</v>
      </c>
      <c r="F581" s="23">
        <f>IF(B581=1997, 100, IF(COUNTIF(A$1:A580,A581)=0, "NEW", F580*(1+Table13[[#This Row],[Ávöxtun]])))</f>
        <v>116.64000000000001</v>
      </c>
      <c r="G581" s="18" cm="1">
        <f t="array" ref="G581">IFERROR(_xlfn.IFS(ISNUMBER(Table13[[#This Row],[Column3]]),Table13[[#This Row],[Column3]],Table13[[#This Row],[Column3]]="NEW",Table13[[#This Row],[Column3]]),"")</f>
        <v>116.64000000000001</v>
      </c>
      <c r="H581" s="15" cm="1">
        <f t="array" ref="H581">_xlfn.IFS(Table13[[#This Row],[Column4]]="NEW",AVERAGEIFS(Table13[Column4],Table13[Year],Table13[[#This Row],[Year]]),ISNUMBER(Table13[[#This Row],[Column4]]),Table13[[#This Row],[Column4]],Table13[[#This Row],[Column4]]="",H580*(1+Table13[[#This Row],[Ávöxtun]]))</f>
        <v>116.64000000000001</v>
      </c>
      <c r="I581" cm="1">
        <f t="array" ref="I581">_xlfn.IFS(Table13[[#This Row],[Column4]]="NEW",_xlfn.XLOOKUP(Table13[[#This Row],[Year]],$N$2:$N$27,$P$2:$P$27),ISNUMBER(Table13[[#This Row],[Column4]]),Table13[[#This Row],[Column4]],Table13[[#This Row],[Column4]]="",I580*(1+Table13[[#This Row],[Ávöxtun]]))</f>
        <v>116.64000000000001</v>
      </c>
      <c r="L581" s="33">
        <v>116.64000000000001</v>
      </c>
      <c r="M581" s="33">
        <v>116.64000000000001</v>
      </c>
    </row>
    <row r="582" spans="1:13">
      <c r="A582" t="s">
        <v>115</v>
      </c>
      <c r="B582">
        <v>2000</v>
      </c>
      <c r="C582" s="16">
        <v>0.02</v>
      </c>
      <c r="D582" s="1">
        <v>1378605.76</v>
      </c>
      <c r="E582" s="29">
        <f>Table13[[#This Row],[Ávöxtun]]*Table13[[#This Row],[Eignir]]/SUMIFS(Table13[Eignir],Table13[Year],Table13[[#This Row],[Year]])</f>
        <v>4.4152004376022101E-5</v>
      </c>
      <c r="F582" s="23">
        <f>IF(B582=1997, 100, IF(COUNTIF(A$1:A581,A582)=0, "NEW", F581*(1+Table13[[#This Row],[Ávöxtun]])))</f>
        <v>118.97280000000002</v>
      </c>
      <c r="G582" s="18" cm="1">
        <f t="array" ref="G582">IFERROR(_xlfn.IFS(ISNUMBER(Table13[[#This Row],[Column3]]),Table13[[#This Row],[Column3]],Table13[[#This Row],[Column3]]="NEW",Table13[[#This Row],[Column3]]),"")</f>
        <v>118.97280000000002</v>
      </c>
      <c r="H582" s="15" cm="1">
        <f t="array" ref="H582">_xlfn.IFS(Table13[[#This Row],[Column4]]="NEW",AVERAGEIFS(Table13[Column4],Table13[Year],Table13[[#This Row],[Year]]),ISNUMBER(Table13[[#This Row],[Column4]]),Table13[[#This Row],[Column4]],Table13[[#This Row],[Column4]]="",H581*(1+Table13[[#This Row],[Ávöxtun]]))</f>
        <v>118.97280000000002</v>
      </c>
      <c r="I582" cm="1">
        <f t="array" ref="I582">_xlfn.IFS(Table13[[#This Row],[Column4]]="NEW",_xlfn.XLOOKUP(Table13[[#This Row],[Year]],$N$2:$N$27,$P$2:$P$27),ISNUMBER(Table13[[#This Row],[Column4]]),Table13[[#This Row],[Column4]],Table13[[#This Row],[Column4]]="",I581*(1+Table13[[#This Row],[Ávöxtun]]))</f>
        <v>118.97280000000002</v>
      </c>
      <c r="L582" s="33">
        <v>118.97280000000002</v>
      </c>
      <c r="M582" s="33">
        <v>118.97280000000002</v>
      </c>
    </row>
    <row r="583" spans="1:13">
      <c r="A583" t="s">
        <v>115</v>
      </c>
      <c r="B583">
        <v>2001</v>
      </c>
      <c r="C583" s="16">
        <v>0.01</v>
      </c>
      <c r="D583" s="1">
        <v>1489801</v>
      </c>
      <c r="E583" s="29">
        <f>Table13[[#This Row],[Ávöxtun]]*Table13[[#This Row],[Eignir]]/SUMIFS(Table13[Eignir],Table13[Year],Table13[[#This Row],[Year]])</f>
        <v>1.5501958593009037E-5</v>
      </c>
      <c r="F583" s="23">
        <f>IF(B583=1997, 100, IF(COUNTIF(A$1:A582,A583)=0, "NEW", F582*(1+Table13[[#This Row],[Ávöxtun]])))</f>
        <v>120.16252800000002</v>
      </c>
      <c r="G583" s="18" cm="1">
        <f t="array" ref="G583">IFERROR(_xlfn.IFS(ISNUMBER(Table13[[#This Row],[Column3]]),Table13[[#This Row],[Column3]],Table13[[#This Row],[Column3]]="NEW",Table13[[#This Row],[Column3]]),"")</f>
        <v>120.16252800000002</v>
      </c>
      <c r="H583" s="15" cm="1">
        <f t="array" ref="H583">_xlfn.IFS(Table13[[#This Row],[Column4]]="NEW",AVERAGEIFS(Table13[Column4],Table13[Year],Table13[[#This Row],[Year]]),ISNUMBER(Table13[[#This Row],[Column4]]),Table13[[#This Row],[Column4]],Table13[[#This Row],[Column4]]="",H582*(1+Table13[[#This Row],[Ávöxtun]]))</f>
        <v>120.16252800000002</v>
      </c>
      <c r="I583" cm="1">
        <f t="array" ref="I583">_xlfn.IFS(Table13[[#This Row],[Column4]]="NEW",_xlfn.XLOOKUP(Table13[[#This Row],[Year]],$N$2:$N$27,$P$2:$P$27),ISNUMBER(Table13[[#This Row],[Column4]]),Table13[[#This Row],[Column4]],Table13[[#This Row],[Column4]]="",I582*(1+Table13[[#This Row],[Ávöxtun]]))</f>
        <v>120.16252800000002</v>
      </c>
      <c r="L583" s="33">
        <v>120.16252800000002</v>
      </c>
      <c r="M583" s="33">
        <v>120.16252800000002</v>
      </c>
    </row>
    <row r="584" spans="1:13">
      <c r="A584" t="s">
        <v>115</v>
      </c>
      <c r="B584">
        <v>2002</v>
      </c>
      <c r="C584" s="16">
        <v>-0.08</v>
      </c>
      <c r="D584" s="1">
        <v>1410548.76</v>
      </c>
      <c r="E584" s="29">
        <f>Table13[[#This Row],[Ávöxtun]]*Table13[[#This Row],[Eignir]]/SUMIFS(Table13[Eignir],Table13[Year],Table13[[#This Row],[Year]])</f>
        <v>-2.1176145600985109E-4</v>
      </c>
      <c r="F584" s="23">
        <f>IF(B584=1997, 100, IF(COUNTIF(A$1:A583,A584)=0, "NEW", F583*(1+Table13[[#This Row],[Ávöxtun]])))</f>
        <v>110.54952576000002</v>
      </c>
      <c r="G584" s="18" cm="1">
        <f t="array" ref="G584">IFERROR(_xlfn.IFS(ISNUMBER(Table13[[#This Row],[Column3]]),Table13[[#This Row],[Column3]],Table13[[#This Row],[Column3]]="NEW",Table13[[#This Row],[Column3]]),"")</f>
        <v>110.54952576000002</v>
      </c>
      <c r="H584" s="15" cm="1">
        <f t="array" ref="H584">_xlfn.IFS(Table13[[#This Row],[Column4]]="NEW",AVERAGEIFS(Table13[Column4],Table13[Year],Table13[[#This Row],[Year]]),ISNUMBER(Table13[[#This Row],[Column4]]),Table13[[#This Row],[Column4]],Table13[[#This Row],[Column4]]="",H583*(1+Table13[[#This Row],[Ávöxtun]]))</f>
        <v>110.54952576000002</v>
      </c>
      <c r="I584" cm="1">
        <f t="array" ref="I584">_xlfn.IFS(Table13[[#This Row],[Column4]]="NEW",_xlfn.XLOOKUP(Table13[[#This Row],[Year]],$N$2:$N$27,$P$2:$P$27),ISNUMBER(Table13[[#This Row],[Column4]]),Table13[[#This Row],[Column4]],Table13[[#This Row],[Column4]]="",I583*(1+Table13[[#This Row],[Ávöxtun]]))</f>
        <v>110.54952576000002</v>
      </c>
      <c r="L584" s="33">
        <v>110.54952576000002</v>
      </c>
      <c r="M584" s="33">
        <v>110.54952576000002</v>
      </c>
    </row>
    <row r="585" spans="1:13">
      <c r="A585" t="s">
        <v>115</v>
      </c>
      <c r="B585">
        <v>2003</v>
      </c>
      <c r="C585" s="16">
        <v>0.11</v>
      </c>
      <c r="D585" s="1">
        <v>1605874</v>
      </c>
      <c r="E585" s="29">
        <f>Table13[[#This Row],[Ávöxtun]]*Table13[[#This Row],[Eignir]]/SUMIFS(Table13[Eignir],Table13[Year],Table13[[#This Row],[Year]])</f>
        <v>2.7696527503776541E-4</v>
      </c>
      <c r="F585" s="23">
        <f>IF(B585=1997, 100, IF(COUNTIF(A$1:A584,A585)=0, "NEW", F584*(1+Table13[[#This Row],[Ávöxtun]])))</f>
        <v>122.70997359360004</v>
      </c>
      <c r="G585" s="18" cm="1">
        <f t="array" ref="G585">IFERROR(_xlfn.IFS(ISNUMBER(Table13[[#This Row],[Column3]]),Table13[[#This Row],[Column3]],Table13[[#This Row],[Column3]]="NEW",Table13[[#This Row],[Column3]]),"")</f>
        <v>122.70997359360004</v>
      </c>
      <c r="H585" s="15" cm="1">
        <f t="array" ref="H585">_xlfn.IFS(Table13[[#This Row],[Column4]]="NEW",AVERAGEIFS(Table13[Column4],Table13[Year],Table13[[#This Row],[Year]]),ISNUMBER(Table13[[#This Row],[Column4]]),Table13[[#This Row],[Column4]],Table13[[#This Row],[Column4]]="",H584*(1+Table13[[#This Row],[Ávöxtun]]))</f>
        <v>122.70997359360004</v>
      </c>
      <c r="I585" cm="1">
        <f t="array" ref="I585">_xlfn.IFS(Table13[[#This Row],[Column4]]="NEW",_xlfn.XLOOKUP(Table13[[#This Row],[Year]],$N$2:$N$27,$P$2:$P$27),ISNUMBER(Table13[[#This Row],[Column4]]),Table13[[#This Row],[Column4]],Table13[[#This Row],[Column4]]="",I584*(1+Table13[[#This Row],[Ávöxtun]]))</f>
        <v>122.70997359360004</v>
      </c>
      <c r="L585" s="33">
        <v>122.70997359360004</v>
      </c>
      <c r="M585" s="33">
        <v>122.70997359360004</v>
      </c>
    </row>
    <row r="586" spans="1:13">
      <c r="A586" t="s">
        <v>115</v>
      </c>
      <c r="B586">
        <v>2004</v>
      </c>
      <c r="C586" s="16">
        <v>0.05</v>
      </c>
      <c r="D586" s="1">
        <v>1751356.54</v>
      </c>
      <c r="E586" s="29">
        <f>Table13[[#This Row],[Ávöxtun]]*Table13[[#This Row],[Eignir]]/SUMIFS(Table13[Eignir],Table13[Year],Table13[[#This Row],[Year]])</f>
        <v>1.1527657881008336E-4</v>
      </c>
      <c r="F586" s="23">
        <f>IF(B586=1997, 100, IF(COUNTIF(A$1:A585,A586)=0, "NEW", F585*(1+Table13[[#This Row],[Ávöxtun]])))</f>
        <v>128.84547227328005</v>
      </c>
      <c r="G586" s="18" cm="1">
        <f t="array" ref="G586">IFERROR(_xlfn.IFS(ISNUMBER(Table13[[#This Row],[Column3]]),Table13[[#This Row],[Column3]],Table13[[#This Row],[Column3]]="NEW",Table13[[#This Row],[Column3]]),"")</f>
        <v>128.84547227328005</v>
      </c>
      <c r="H586" s="15" cm="1">
        <f t="array" ref="H586">_xlfn.IFS(Table13[[#This Row],[Column4]]="NEW",AVERAGEIFS(Table13[Column4],Table13[Year],Table13[[#This Row],[Year]]),ISNUMBER(Table13[[#This Row],[Column4]]),Table13[[#This Row],[Column4]],Table13[[#This Row],[Column4]]="",H585*(1+Table13[[#This Row],[Ávöxtun]]))</f>
        <v>128.84547227328005</v>
      </c>
      <c r="I586" cm="1">
        <f t="array" ref="I586">_xlfn.IFS(Table13[[#This Row],[Column4]]="NEW",_xlfn.XLOOKUP(Table13[[#This Row],[Year]],$N$2:$N$27,$P$2:$P$27),ISNUMBER(Table13[[#This Row],[Column4]]),Table13[[#This Row],[Column4]],Table13[[#This Row],[Column4]]="",I585*(1+Table13[[#This Row],[Ávöxtun]]))</f>
        <v>128.84547227328005</v>
      </c>
      <c r="L586" s="33">
        <v>128.84547227328005</v>
      </c>
      <c r="M586" s="33">
        <v>128.84547227328005</v>
      </c>
    </row>
    <row r="587" spans="1:13">
      <c r="A587" t="s">
        <v>115</v>
      </c>
      <c r="B587">
        <v>2005</v>
      </c>
      <c r="C587" s="16">
        <v>0.15</v>
      </c>
      <c r="D587" s="1">
        <v>2080882</v>
      </c>
      <c r="E587" s="29">
        <f>Table13[[#This Row],[Ávöxtun]]*Table13[[#This Row],[Eignir]]/SUMIFS(Table13[Eignir],Table13[Year],Table13[[#This Row],[Year]])</f>
        <v>3.3440026834789018E-4</v>
      </c>
      <c r="F587" s="23">
        <f>IF(B587=1997, 100, IF(COUNTIF(A$1:A586,A587)=0, "NEW", F586*(1+Table13[[#This Row],[Ávöxtun]])))</f>
        <v>148.17229311427204</v>
      </c>
      <c r="G587" s="18" cm="1">
        <f t="array" ref="G587">IFERROR(_xlfn.IFS(ISNUMBER(Table13[[#This Row],[Column3]]),Table13[[#This Row],[Column3]],Table13[[#This Row],[Column3]]="NEW",Table13[[#This Row],[Column3]]),"")</f>
        <v>148.17229311427204</v>
      </c>
      <c r="H587" s="15" cm="1">
        <f t="array" ref="H587">_xlfn.IFS(Table13[[#This Row],[Column4]]="NEW",AVERAGEIFS(Table13[Column4],Table13[Year],Table13[[#This Row],[Year]]),ISNUMBER(Table13[[#This Row],[Column4]]),Table13[[#This Row],[Column4]],Table13[[#This Row],[Column4]]="",H586*(1+Table13[[#This Row],[Ávöxtun]]))</f>
        <v>148.17229311427204</v>
      </c>
      <c r="I587" cm="1">
        <f t="array" ref="I587">_xlfn.IFS(Table13[[#This Row],[Column4]]="NEW",_xlfn.XLOOKUP(Table13[[#This Row],[Year]],$N$2:$N$27,$P$2:$P$27),ISNUMBER(Table13[[#This Row],[Column4]]),Table13[[#This Row],[Column4]],Table13[[#This Row],[Column4]]="",I586*(1+Table13[[#This Row],[Ávöxtun]]))</f>
        <v>148.17229311427204</v>
      </c>
      <c r="L587" s="33">
        <v>148.17229311427204</v>
      </c>
      <c r="M587" s="33">
        <v>148.17229311427204</v>
      </c>
    </row>
    <row r="588" spans="1:13">
      <c r="A588" t="s">
        <v>115</v>
      </c>
      <c r="B588">
        <v>2006</v>
      </c>
      <c r="C588" s="16">
        <v>8.6500000000000007E-2</v>
      </c>
      <c r="D588" s="1">
        <v>2432593</v>
      </c>
      <c r="E588" s="29">
        <f>Table13[[#This Row],[Ávöxtun]]*Table13[[#This Row],[Eignir]]/SUMIFS(Table13[Eignir],Table13[Year],Table13[[#This Row],[Year]])</f>
        <v>1.8496575567134252E-4</v>
      </c>
      <c r="F588" s="23">
        <f>IF(B588=1997, 100, IF(COUNTIF(A$1:A587,A588)=0, "NEW", F587*(1+Table13[[#This Row],[Ávöxtun]])))</f>
        <v>160.98919646865656</v>
      </c>
      <c r="G588" s="18" cm="1">
        <f t="array" ref="G588">IFERROR(_xlfn.IFS(ISNUMBER(Table13[[#This Row],[Column3]]),Table13[[#This Row],[Column3]],Table13[[#This Row],[Column3]]="NEW",Table13[[#This Row],[Column3]]),"")</f>
        <v>160.98919646865656</v>
      </c>
      <c r="H588" s="15" cm="1">
        <f t="array" ref="H588">_xlfn.IFS(Table13[[#This Row],[Column4]]="NEW",AVERAGEIFS(Table13[Column4],Table13[Year],Table13[[#This Row],[Year]]),ISNUMBER(Table13[[#This Row],[Column4]]),Table13[[#This Row],[Column4]],Table13[[#This Row],[Column4]]="",H587*(1+Table13[[#This Row],[Ávöxtun]]))</f>
        <v>160.98919646865656</v>
      </c>
      <c r="I588" cm="1">
        <f t="array" ref="I588">_xlfn.IFS(Table13[[#This Row],[Column4]]="NEW",_xlfn.XLOOKUP(Table13[[#This Row],[Year]],$N$2:$N$27,$P$2:$P$27),ISNUMBER(Table13[[#This Row],[Column4]]),Table13[[#This Row],[Column4]],Table13[[#This Row],[Column4]]="",I587*(1+Table13[[#This Row],[Ávöxtun]]))</f>
        <v>160.98919646865656</v>
      </c>
      <c r="L588" s="33">
        <v>160.98919646865656</v>
      </c>
      <c r="M588" s="33">
        <v>160.98919646865656</v>
      </c>
    </row>
    <row r="589" spans="1:13">
      <c r="A589" t="s">
        <v>115</v>
      </c>
      <c r="B589">
        <v>2007</v>
      </c>
      <c r="C589" s="16">
        <v>-4.3E-3</v>
      </c>
      <c r="D589" s="1">
        <v>2526379</v>
      </c>
      <c r="E589" s="29">
        <f>Table13[[#This Row],[Ávöxtun]]*Table13[[#This Row],[Eignir]]/SUMIFS(Table13[Eignir],Table13[Year],Table13[[#This Row],[Year]])</f>
        <v>-8.46417428895355E-6</v>
      </c>
      <c r="F589" s="23">
        <f>IF(B589=1997, 100, IF(COUNTIF(A$1:A588,A589)=0, "NEW", F588*(1+Table13[[#This Row],[Ávöxtun]])))</f>
        <v>160.29694292384133</v>
      </c>
      <c r="G589" s="18" cm="1">
        <f t="array" ref="G589">IFERROR(_xlfn.IFS(ISNUMBER(Table13[[#This Row],[Column3]]),Table13[[#This Row],[Column3]],Table13[[#This Row],[Column3]]="NEW",Table13[[#This Row],[Column3]]),"")</f>
        <v>160.29694292384133</v>
      </c>
      <c r="H589" s="15" cm="1">
        <f t="array" ref="H589">_xlfn.IFS(Table13[[#This Row],[Column4]]="NEW",AVERAGEIFS(Table13[Column4],Table13[Year],Table13[[#This Row],[Year]]),ISNUMBER(Table13[[#This Row],[Column4]]),Table13[[#This Row],[Column4]],Table13[[#This Row],[Column4]]="",H588*(1+Table13[[#This Row],[Ávöxtun]]))</f>
        <v>160.29694292384133</v>
      </c>
      <c r="I589" cm="1">
        <f t="array" ref="I589">_xlfn.IFS(Table13[[#This Row],[Column4]]="NEW",_xlfn.XLOOKUP(Table13[[#This Row],[Year]],$N$2:$N$27,$P$2:$P$27),ISNUMBER(Table13[[#This Row],[Column4]]),Table13[[#This Row],[Column4]],Table13[[#This Row],[Column4]]="",I588*(1+Table13[[#This Row],[Ávöxtun]]))</f>
        <v>160.29694292384133</v>
      </c>
      <c r="L589" s="33">
        <v>160.29694292384133</v>
      </c>
      <c r="M589" s="33">
        <v>160.29694292384133</v>
      </c>
    </row>
    <row r="590" spans="1:13">
      <c r="A590" t="s">
        <v>115</v>
      </c>
      <c r="B590">
        <v>2008</v>
      </c>
      <c r="C590" s="16">
        <v>-0.15720000000000001</v>
      </c>
      <c r="D590" s="1">
        <v>2463773</v>
      </c>
      <c r="E590" s="29">
        <f>Table13[[#This Row],[Ávöxtun]]*Table13[[#This Row],[Eignir]]/SUMIFS(Table13[Eignir],Table13[Year],Table13[[#This Row],[Year]])</f>
        <v>-3.1259602155266623E-4</v>
      </c>
      <c r="F590" s="23">
        <f>IF(B590=1997, 100, IF(COUNTIF(A$1:A589,A590)=0, "NEW", F589*(1+Table13[[#This Row],[Ávöxtun]])))</f>
        <v>135.09826349621346</v>
      </c>
      <c r="G590" s="18" cm="1">
        <f t="array" ref="G590">IFERROR(_xlfn.IFS(ISNUMBER(Table13[[#This Row],[Column3]]),Table13[[#This Row],[Column3]],Table13[[#This Row],[Column3]]="NEW",Table13[[#This Row],[Column3]]),"")</f>
        <v>135.09826349621346</v>
      </c>
      <c r="H590" s="15" cm="1">
        <f t="array" ref="H590">_xlfn.IFS(Table13[[#This Row],[Column4]]="NEW",AVERAGEIFS(Table13[Column4],Table13[Year],Table13[[#This Row],[Year]]),ISNUMBER(Table13[[#This Row],[Column4]]),Table13[[#This Row],[Column4]],Table13[[#This Row],[Column4]]="",H589*(1+Table13[[#This Row],[Ávöxtun]]))</f>
        <v>135.09826349621346</v>
      </c>
      <c r="I590" cm="1">
        <f t="array" ref="I590">_xlfn.IFS(Table13[[#This Row],[Column4]]="NEW",_xlfn.XLOOKUP(Table13[[#This Row],[Year]],$N$2:$N$27,$P$2:$P$27),ISNUMBER(Table13[[#This Row],[Column4]]),Table13[[#This Row],[Column4]],Table13[[#This Row],[Column4]]="",I589*(1+Table13[[#This Row],[Ávöxtun]]))</f>
        <v>135.09826349621346</v>
      </c>
      <c r="L590" s="33">
        <v>135.09826349621346</v>
      </c>
      <c r="M590" s="33">
        <v>135.09826349621346</v>
      </c>
    </row>
    <row r="591" spans="1:13">
      <c r="A591" t="s">
        <v>115</v>
      </c>
      <c r="B591">
        <v>2009</v>
      </c>
      <c r="C591" s="16">
        <v>6.8099999999999994E-2</v>
      </c>
      <c r="D591" s="1">
        <v>2836191</v>
      </c>
      <c r="E591" s="29">
        <f>Table13[[#This Row],[Ávöxtun]]*Table13[[#This Row],[Eignir]]/SUMIFS(Table13[Eignir],Table13[Year],Table13[[#This Row],[Year]])</f>
        <v>1.4066131833587647E-4</v>
      </c>
      <c r="F591" s="23">
        <f>IF(B591=1997, 100, IF(COUNTIF(A$1:A590,A591)=0, "NEW", F590*(1+Table13[[#This Row],[Ávöxtun]])))</f>
        <v>144.2984552403056</v>
      </c>
      <c r="G591" s="18" cm="1">
        <f t="array" ref="G591">IFERROR(_xlfn.IFS(ISNUMBER(Table13[[#This Row],[Column3]]),Table13[[#This Row],[Column3]],Table13[[#This Row],[Column3]]="NEW",Table13[[#This Row],[Column3]]),"")</f>
        <v>144.2984552403056</v>
      </c>
      <c r="H591" s="15" cm="1">
        <f t="array" ref="H591">_xlfn.IFS(Table13[[#This Row],[Column4]]="NEW",AVERAGEIFS(Table13[Column4],Table13[Year],Table13[[#This Row],[Year]]),ISNUMBER(Table13[[#This Row],[Column4]]),Table13[[#This Row],[Column4]],Table13[[#This Row],[Column4]]="",H590*(1+Table13[[#This Row],[Ávöxtun]]))</f>
        <v>144.2984552403056</v>
      </c>
      <c r="I591" cm="1">
        <f t="array" ref="I591">_xlfn.IFS(Table13[[#This Row],[Column4]]="NEW",_xlfn.XLOOKUP(Table13[[#This Row],[Year]],$N$2:$N$27,$P$2:$P$27),ISNUMBER(Table13[[#This Row],[Column4]]),Table13[[#This Row],[Column4]],Table13[[#This Row],[Column4]]="",I590*(1+Table13[[#This Row],[Ávöxtun]]))</f>
        <v>144.2984552403056</v>
      </c>
      <c r="L591" s="33">
        <v>144.2984552403056</v>
      </c>
      <c r="M591" s="33">
        <v>144.2984552403056</v>
      </c>
    </row>
    <row r="592" spans="1:13">
      <c r="A592" t="s">
        <v>115</v>
      </c>
      <c r="B592">
        <v>2010</v>
      </c>
      <c r="C592" s="16">
        <v>4.7E-2</v>
      </c>
      <c r="D592" s="1">
        <v>2978896</v>
      </c>
      <c r="E592" s="29">
        <f>Table13[[#This Row],[Ávöxtun]]*Table13[[#This Row],[Eignir]]/SUMIFS(Table13[Eignir],Table13[Year],Table13[[#This Row],[Year]])</f>
        <v>9.5585086841536634E-5</v>
      </c>
      <c r="F592" s="23">
        <f>IF(B592=1997, 100, IF(COUNTIF(A$1:A591,A592)=0, "NEW", F591*(1+Table13[[#This Row],[Ávöxtun]])))</f>
        <v>151.08048263659995</v>
      </c>
      <c r="G592" s="18" cm="1">
        <f t="array" ref="G592">IFERROR(_xlfn.IFS(ISNUMBER(Table13[[#This Row],[Column3]]),Table13[[#This Row],[Column3]],Table13[[#This Row],[Column3]]="NEW",Table13[[#This Row],[Column3]]),"")</f>
        <v>151.08048263659995</v>
      </c>
      <c r="H592" s="15" cm="1">
        <f t="array" ref="H592">_xlfn.IFS(Table13[[#This Row],[Column4]]="NEW",AVERAGEIFS(Table13[Column4],Table13[Year],Table13[[#This Row],[Year]]),ISNUMBER(Table13[[#This Row],[Column4]]),Table13[[#This Row],[Column4]],Table13[[#This Row],[Column4]]="",H591*(1+Table13[[#This Row],[Ávöxtun]]))</f>
        <v>151.08048263659995</v>
      </c>
      <c r="I592" cm="1">
        <f t="array" ref="I592">_xlfn.IFS(Table13[[#This Row],[Column4]]="NEW",_xlfn.XLOOKUP(Table13[[#This Row],[Year]],$N$2:$N$27,$P$2:$P$27),ISNUMBER(Table13[[#This Row],[Column4]]),Table13[[#This Row],[Column4]],Table13[[#This Row],[Column4]]="",I591*(1+Table13[[#This Row],[Ávöxtun]]))</f>
        <v>151.08048263659995</v>
      </c>
      <c r="L592" s="33">
        <v>151.08048263659995</v>
      </c>
      <c r="M592" s="33">
        <v>151.08048263659995</v>
      </c>
    </row>
    <row r="593" spans="1:13">
      <c r="A593" t="s">
        <v>115</v>
      </c>
      <c r="B593">
        <v>2011</v>
      </c>
      <c r="C593" s="16">
        <v>-1E-3</v>
      </c>
      <c r="D593" s="1">
        <v>3116577</v>
      </c>
      <c r="E593" s="29">
        <f>Table13[[#This Row],[Ávöxtun]]*Table13[[#This Row],[Eignir]]/SUMIFS(Table13[Eignir],Table13[Year],Table13[[#This Row],[Year]])</f>
        <v>-1.9627302794104651E-6</v>
      </c>
      <c r="F593" s="23">
        <f>IF(B593=1997, 100, IF(COUNTIF(A$1:A592,A593)=0, "NEW", F592*(1+Table13[[#This Row],[Ávöxtun]])))</f>
        <v>150.92940215396337</v>
      </c>
      <c r="G593" s="18" cm="1">
        <f t="array" ref="G593">IFERROR(_xlfn.IFS(ISNUMBER(Table13[[#This Row],[Column3]]),Table13[[#This Row],[Column3]],Table13[[#This Row],[Column3]]="NEW",Table13[[#This Row],[Column3]]),"")</f>
        <v>150.92940215396337</v>
      </c>
      <c r="H593" s="15" cm="1">
        <f t="array" ref="H593">_xlfn.IFS(Table13[[#This Row],[Column4]]="NEW",AVERAGEIFS(Table13[Column4],Table13[Year],Table13[[#This Row],[Year]]),ISNUMBER(Table13[[#This Row],[Column4]]),Table13[[#This Row],[Column4]],Table13[[#This Row],[Column4]]="",H592*(1+Table13[[#This Row],[Ávöxtun]]))</f>
        <v>150.92940215396337</v>
      </c>
      <c r="I593" cm="1">
        <f t="array" ref="I593">_xlfn.IFS(Table13[[#This Row],[Column4]]="NEW",_xlfn.XLOOKUP(Table13[[#This Row],[Year]],$N$2:$N$27,$P$2:$P$27),ISNUMBER(Table13[[#This Row],[Column4]]),Table13[[#This Row],[Column4]],Table13[[#This Row],[Column4]]="",I592*(1+Table13[[#This Row],[Ávöxtun]]))</f>
        <v>150.92940215396337</v>
      </c>
      <c r="L593" s="33">
        <v>150.92940215396337</v>
      </c>
      <c r="M593" s="33">
        <v>150.92940215396337</v>
      </c>
    </row>
    <row r="594" spans="1:13">
      <c r="A594" t="s">
        <v>115</v>
      </c>
      <c r="B594">
        <v>2012</v>
      </c>
      <c r="C594" s="16">
        <v>6.4000000000000001E-2</v>
      </c>
      <c r="D594" s="1">
        <v>3444445</v>
      </c>
      <c r="E594" s="29">
        <f>Table13[[#This Row],[Ávöxtun]]*Table13[[#This Row],[Eignir]]/SUMIFS(Table13[Eignir],Table13[Year],Table13[[#This Row],[Year]])</f>
        <v>1.2281919886967805E-4</v>
      </c>
      <c r="F594" s="23">
        <f>IF(B594=1997, 100, IF(COUNTIF(A$1:A593,A594)=0, "NEW", F593*(1+Table13[[#This Row],[Ávöxtun]])))</f>
        <v>160.58888389181703</v>
      </c>
      <c r="G594" s="18" cm="1">
        <f t="array" ref="G594">IFERROR(_xlfn.IFS(ISNUMBER(Table13[[#This Row],[Column3]]),Table13[[#This Row],[Column3]],Table13[[#This Row],[Column3]]="NEW",Table13[[#This Row],[Column3]]),"")</f>
        <v>160.58888389181703</v>
      </c>
      <c r="H594" s="15" cm="1">
        <f t="array" ref="H594">_xlfn.IFS(Table13[[#This Row],[Column4]]="NEW",AVERAGEIFS(Table13[Column4],Table13[Year],Table13[[#This Row],[Year]]),ISNUMBER(Table13[[#This Row],[Column4]]),Table13[[#This Row],[Column4]],Table13[[#This Row],[Column4]]="",H593*(1+Table13[[#This Row],[Ávöxtun]]))</f>
        <v>160.58888389181703</v>
      </c>
      <c r="I594" cm="1">
        <f t="array" ref="I594">_xlfn.IFS(Table13[[#This Row],[Column4]]="NEW",_xlfn.XLOOKUP(Table13[[#This Row],[Year]],$N$2:$N$27,$P$2:$P$27),ISNUMBER(Table13[[#This Row],[Column4]]),Table13[[#This Row],[Column4]],Table13[[#This Row],[Column4]]="",I593*(1+Table13[[#This Row],[Ávöxtun]]))</f>
        <v>160.58888389181703</v>
      </c>
      <c r="L594" s="33">
        <v>160.58888389181703</v>
      </c>
      <c r="M594" s="33">
        <v>160.58888389181703</v>
      </c>
    </row>
    <row r="595" spans="1:13">
      <c r="A595" t="s">
        <v>115</v>
      </c>
      <c r="B595">
        <v>2013</v>
      </c>
      <c r="C595" s="16">
        <v>6.5000000000000002E-2</v>
      </c>
      <c r="D595" s="1">
        <v>3765002</v>
      </c>
      <c r="E595" s="29">
        <f>Table13[[#This Row],[Ávöxtun]]*Table13[[#This Row],[Eignir]]/SUMIFS(Table13[Eignir],Table13[Year],Table13[[#This Row],[Year]])</f>
        <v>1.2397965733440167E-4</v>
      </c>
      <c r="F595" s="23">
        <f>IF(B595=1997, 100, IF(COUNTIF(A$1:A594,A595)=0, "NEW", F594*(1+Table13[[#This Row],[Ávöxtun]])))</f>
        <v>171.02716134478513</v>
      </c>
      <c r="G595" s="18" cm="1">
        <f t="array" ref="G595">IFERROR(_xlfn.IFS(ISNUMBER(Table13[[#This Row],[Column3]]),Table13[[#This Row],[Column3]],Table13[[#This Row],[Column3]]="NEW",Table13[[#This Row],[Column3]]),"")</f>
        <v>171.02716134478513</v>
      </c>
      <c r="H595" s="15" cm="1">
        <f t="array" ref="H595">_xlfn.IFS(Table13[[#This Row],[Column4]]="NEW",AVERAGEIFS(Table13[Column4],Table13[Year],Table13[[#This Row],[Year]]),ISNUMBER(Table13[[#This Row],[Column4]]),Table13[[#This Row],[Column4]],Table13[[#This Row],[Column4]]="",H594*(1+Table13[[#This Row],[Ávöxtun]]))</f>
        <v>171.02716134478513</v>
      </c>
      <c r="I595" cm="1">
        <f t="array" ref="I595">_xlfn.IFS(Table13[[#This Row],[Column4]]="NEW",_xlfn.XLOOKUP(Table13[[#This Row],[Year]],$N$2:$N$27,$P$2:$P$27),ISNUMBER(Table13[[#This Row],[Column4]]),Table13[[#This Row],[Column4]],Table13[[#This Row],[Column4]]="",I594*(1+Table13[[#This Row],[Ávöxtun]]))</f>
        <v>171.02716134478513</v>
      </c>
      <c r="L595" s="33">
        <v>171.02716134478513</v>
      </c>
      <c r="M595" s="33">
        <v>171.02716134478513</v>
      </c>
    </row>
    <row r="596" spans="1:13">
      <c r="A596" t="s">
        <v>115</v>
      </c>
      <c r="B596">
        <v>2014</v>
      </c>
      <c r="C596" s="16">
        <v>4.2999999999999997E-2</v>
      </c>
      <c r="D596" s="1">
        <v>3930260</v>
      </c>
      <c r="E596" s="29">
        <f>Table13[[#This Row],[Ávöxtun]]*Table13[[#This Row],[Eignir]]/SUMIFS(Table13[Eignir],Table13[Year],Table13[[#This Row],[Year]])</f>
        <v>7.8513769838590172E-5</v>
      </c>
      <c r="F596" s="23">
        <f>IF(B596=1997, 100, IF(COUNTIF(A$1:A595,A596)=0, "NEW", F595*(1+Table13[[#This Row],[Ávöxtun]])))</f>
        <v>178.38132928261086</v>
      </c>
      <c r="G596" s="18" cm="1">
        <f t="array" ref="G596">IFERROR(_xlfn.IFS(ISNUMBER(Table13[[#This Row],[Column3]]),Table13[[#This Row],[Column3]],Table13[[#This Row],[Column3]]="NEW",Table13[[#This Row],[Column3]]),"")</f>
        <v>178.38132928261086</v>
      </c>
      <c r="H596" s="15" cm="1">
        <f t="array" ref="H596">_xlfn.IFS(Table13[[#This Row],[Column4]]="NEW",AVERAGEIFS(Table13[Column4],Table13[Year],Table13[[#This Row],[Year]]),ISNUMBER(Table13[[#This Row],[Column4]]),Table13[[#This Row],[Column4]],Table13[[#This Row],[Column4]]="",H595*(1+Table13[[#This Row],[Ávöxtun]]))</f>
        <v>178.38132928261086</v>
      </c>
      <c r="I596" cm="1">
        <f t="array" ref="I596">_xlfn.IFS(Table13[[#This Row],[Column4]]="NEW",_xlfn.XLOOKUP(Table13[[#This Row],[Year]],$N$2:$N$27,$P$2:$P$27),ISNUMBER(Table13[[#This Row],[Column4]]),Table13[[#This Row],[Column4]],Table13[[#This Row],[Column4]]="",I595*(1+Table13[[#This Row],[Ávöxtun]]))</f>
        <v>178.38132928261086</v>
      </c>
      <c r="L596" s="33">
        <v>178.38132928261086</v>
      </c>
      <c r="M596" s="33">
        <v>178.38132928261086</v>
      </c>
    </row>
    <row r="597" spans="1:13">
      <c r="A597" t="s">
        <v>115</v>
      </c>
      <c r="B597">
        <v>2015</v>
      </c>
      <c r="C597" s="16">
        <v>5.9000000000000004E-2</v>
      </c>
      <c r="D597" s="1">
        <v>4186603</v>
      </c>
      <c r="E597" s="29">
        <f>Table13[[#This Row],[Ávöxtun]]*Table13[[#This Row],[Eignir]]/SUMIFS(Table13[Eignir],Table13[Year],Table13[[#This Row],[Year]])</f>
        <v>1.0344811345916035E-4</v>
      </c>
      <c r="F597" s="23">
        <f>IF(B597=1997, 100, IF(COUNTIF(A$1:A596,A597)=0, "NEW", F596*(1+Table13[[#This Row],[Ávöxtun]])))</f>
        <v>188.90582771028488</v>
      </c>
      <c r="G597" s="18" cm="1">
        <f t="array" ref="G597">IFERROR(_xlfn.IFS(ISNUMBER(Table13[[#This Row],[Column3]]),Table13[[#This Row],[Column3]],Table13[[#This Row],[Column3]]="NEW",Table13[[#This Row],[Column3]]),"")</f>
        <v>188.90582771028488</v>
      </c>
      <c r="H597" s="15" cm="1">
        <f t="array" ref="H597">_xlfn.IFS(Table13[[#This Row],[Column4]]="NEW",AVERAGEIFS(Table13[Column4],Table13[Year],Table13[[#This Row],[Year]]),ISNUMBER(Table13[[#This Row],[Column4]]),Table13[[#This Row],[Column4]],Table13[[#This Row],[Column4]]="",H596*(1+Table13[[#This Row],[Ávöxtun]]))</f>
        <v>188.90582771028488</v>
      </c>
      <c r="I597" cm="1">
        <f t="array" ref="I597">_xlfn.IFS(Table13[[#This Row],[Column4]]="NEW",_xlfn.XLOOKUP(Table13[[#This Row],[Year]],$N$2:$N$27,$P$2:$P$27),ISNUMBER(Table13[[#This Row],[Column4]]),Table13[[#This Row],[Column4]],Table13[[#This Row],[Column4]]="",I596*(1+Table13[[#This Row],[Ávöxtun]]))</f>
        <v>188.90582771028488</v>
      </c>
      <c r="L597" s="33">
        <v>188.90582771028488</v>
      </c>
      <c r="M597" s="33">
        <v>188.90582771028488</v>
      </c>
    </row>
    <row r="598" spans="1:13">
      <c r="A598" t="s">
        <v>115</v>
      </c>
      <c r="B598">
        <v>2016</v>
      </c>
      <c r="C598" s="16">
        <v>1E-3</v>
      </c>
      <c r="D598" s="1">
        <v>4393064.0599999996</v>
      </c>
      <c r="E598" s="29">
        <f>Table13[[#This Row],[Ávöxtun]]*Table13[[#This Row],[Eignir]]/SUMIFS(Table13[Eignir],Table13[Year],Table13[[#This Row],[Year]])</f>
        <v>1.6844896447407704E-6</v>
      </c>
      <c r="F598" s="23">
        <f>IF(B598=1997, 100, IF(COUNTIF(A$1:A597,A598)=0, "NEW", F597*(1+Table13[[#This Row],[Ávöxtun]])))</f>
        <v>189.09473353799515</v>
      </c>
      <c r="G598" s="18" cm="1">
        <f t="array" ref="G598">IFERROR(_xlfn.IFS(ISNUMBER(Table13[[#This Row],[Column3]]),Table13[[#This Row],[Column3]],Table13[[#This Row],[Column3]]="NEW",Table13[[#This Row],[Column3]]),"")</f>
        <v>189.09473353799515</v>
      </c>
      <c r="H598" s="15" cm="1">
        <f t="array" ref="H598">_xlfn.IFS(Table13[[#This Row],[Column4]]="NEW",AVERAGEIFS(Table13[Column4],Table13[Year],Table13[[#This Row],[Year]]),ISNUMBER(Table13[[#This Row],[Column4]]),Table13[[#This Row],[Column4]],Table13[[#This Row],[Column4]]="",H597*(1+Table13[[#This Row],[Ávöxtun]]))</f>
        <v>189.09473353799515</v>
      </c>
      <c r="I598" cm="1">
        <f t="array" ref="I598">_xlfn.IFS(Table13[[#This Row],[Column4]]="NEW",_xlfn.XLOOKUP(Table13[[#This Row],[Year]],$N$2:$N$27,$P$2:$P$27),ISNUMBER(Table13[[#This Row],[Column4]]),Table13[[#This Row],[Column4]],Table13[[#This Row],[Column4]]="",I597*(1+Table13[[#This Row],[Ávöxtun]]))</f>
        <v>189.09473353799515</v>
      </c>
      <c r="L598" s="33">
        <v>189.09473353799515</v>
      </c>
      <c r="M598" s="33">
        <v>189.09473353799515</v>
      </c>
    </row>
    <row r="599" spans="1:13">
      <c r="A599" t="s">
        <v>115</v>
      </c>
      <c r="B599">
        <v>2017</v>
      </c>
      <c r="C599" s="16">
        <v>4.9000000000000002E-2</v>
      </c>
      <c r="D599" s="1">
        <v>4576944</v>
      </c>
      <c r="E599" s="29">
        <f>Table13[[#This Row],[Ávöxtun]]*Table13[[#This Row],[Eignir]]/SUMIFS(Table13[Eignir],Table13[Year],Table13[[#This Row],[Year]])</f>
        <v>7.7171698461779635E-5</v>
      </c>
      <c r="F599" s="23">
        <f>IF(B599=1997, 100, IF(COUNTIF(A$1:A598,A599)=0, "NEW", F598*(1+Table13[[#This Row],[Ávöxtun]])))</f>
        <v>198.3603754813569</v>
      </c>
      <c r="G599" s="18" cm="1">
        <f t="array" ref="G599">IFERROR(_xlfn.IFS(ISNUMBER(Table13[[#This Row],[Column3]]),Table13[[#This Row],[Column3]],Table13[[#This Row],[Column3]]="NEW",Table13[[#This Row],[Column3]]),"")</f>
        <v>198.3603754813569</v>
      </c>
      <c r="H599" s="15" cm="1">
        <f t="array" ref="H599">_xlfn.IFS(Table13[[#This Row],[Column4]]="NEW",AVERAGEIFS(Table13[Column4],Table13[Year],Table13[[#This Row],[Year]]),ISNUMBER(Table13[[#This Row],[Column4]]),Table13[[#This Row],[Column4]],Table13[[#This Row],[Column4]]="",H598*(1+Table13[[#This Row],[Ávöxtun]]))</f>
        <v>198.3603754813569</v>
      </c>
      <c r="I599" cm="1">
        <f t="array" ref="I599">_xlfn.IFS(Table13[[#This Row],[Column4]]="NEW",_xlfn.XLOOKUP(Table13[[#This Row],[Year]],$N$2:$N$27,$P$2:$P$27),ISNUMBER(Table13[[#This Row],[Column4]]),Table13[[#This Row],[Column4]],Table13[[#This Row],[Column4]]="",I598*(1+Table13[[#This Row],[Ávöxtun]]))</f>
        <v>198.3603754813569</v>
      </c>
      <c r="L599" s="33">
        <v>198.3603754813569</v>
      </c>
      <c r="M599" s="33">
        <v>198.3603754813569</v>
      </c>
    </row>
    <row r="600" spans="1:13">
      <c r="A600" t="s">
        <v>116</v>
      </c>
      <c r="B600">
        <v>1997</v>
      </c>
      <c r="C600" s="16">
        <v>0.04</v>
      </c>
      <c r="D600" s="1">
        <v>2451806.02</v>
      </c>
      <c r="E600" s="29">
        <f>Table13[[#This Row],[Ávöxtun]]*Table13[[#This Row],[Eignir]]/SUMIFS(Table13[Eignir],Table13[Year],Table13[[#This Row],[Year]])</f>
        <v>3.4368414643056616E-4</v>
      </c>
      <c r="F600" s="23">
        <f>IF(B600=1997, 100, IF(COUNTIF(A$1:A599,A600)=0, "NEW", F599*(1+Table13[[#This Row],[Ávöxtun]])))</f>
        <v>100</v>
      </c>
      <c r="G600" s="18" cm="1">
        <f t="array" ref="G600">IFERROR(_xlfn.IFS(ISNUMBER(Table13[[#This Row],[Column3]]),Table13[[#This Row],[Column3]],Table13[[#This Row],[Column3]]="NEW",Table13[[#This Row],[Column3]]),"")</f>
        <v>100</v>
      </c>
      <c r="H600" s="15" cm="1">
        <f t="array" ref="H600">_xlfn.IFS(Table13[[#This Row],[Column4]]="NEW",AVERAGEIFS(Table13[Column4],Table13[Year],Table13[[#This Row],[Year]]),ISNUMBER(Table13[[#This Row],[Column4]]),Table13[[#This Row],[Column4]],Table13[[#This Row],[Column4]]="",H599*(1+Table13[[#This Row],[Ávöxtun]]))</f>
        <v>100</v>
      </c>
      <c r="I600" cm="1">
        <f t="array" ref="I600">_xlfn.IFS(Table13[[#This Row],[Column4]]="NEW",_xlfn.XLOOKUP(Table13[[#This Row],[Year]],$N$2:$N$27,$P$2:$P$27),ISNUMBER(Table13[[#This Row],[Column4]]),Table13[[#This Row],[Column4]],Table13[[#This Row],[Column4]]="",I599*(1+Table13[[#This Row],[Ávöxtun]]))</f>
        <v>100</v>
      </c>
      <c r="L600" s="33">
        <v>100</v>
      </c>
      <c r="M600" s="33">
        <v>100</v>
      </c>
    </row>
    <row r="601" spans="1:13">
      <c r="A601" t="s">
        <v>116</v>
      </c>
      <c r="B601">
        <v>1998</v>
      </c>
      <c r="C601" s="16">
        <v>0.05</v>
      </c>
      <c r="D601" s="1">
        <v>2688130.09</v>
      </c>
      <c r="E601" s="29">
        <f>Table13[[#This Row],[Ávöxtun]]*Table13[[#This Row],[Eignir]]/SUMIFS(Table13[Eignir],Table13[Year],Table13[[#This Row],[Year]])</f>
        <v>4.0667818923161724E-4</v>
      </c>
      <c r="F601" s="23">
        <f>IF(B601=1997, 100, IF(COUNTIF(A$1:A600,A601)=0, "NEW", F600*(1+Table13[[#This Row],[Ávöxtun]])))</f>
        <v>105</v>
      </c>
      <c r="G601" s="18" cm="1">
        <f t="array" ref="G601">IFERROR(_xlfn.IFS(ISNUMBER(Table13[[#This Row],[Column3]]),Table13[[#This Row],[Column3]],Table13[[#This Row],[Column3]]="NEW",Table13[[#This Row],[Column3]]),"")</f>
        <v>105</v>
      </c>
      <c r="H601" s="15" cm="1">
        <f t="array" ref="H601">_xlfn.IFS(Table13[[#This Row],[Column4]]="NEW",AVERAGEIFS(Table13[Column4],Table13[Year],Table13[[#This Row],[Year]]),ISNUMBER(Table13[[#This Row],[Column4]]),Table13[[#This Row],[Column4]],Table13[[#This Row],[Column4]]="",H600*(1+Table13[[#This Row],[Ávöxtun]]))</f>
        <v>105</v>
      </c>
      <c r="I601" cm="1">
        <f t="array" ref="I601">_xlfn.IFS(Table13[[#This Row],[Column4]]="NEW",_xlfn.XLOOKUP(Table13[[#This Row],[Year]],$N$2:$N$27,$P$2:$P$27),ISNUMBER(Table13[[#This Row],[Column4]]),Table13[[#This Row],[Column4]],Table13[[#This Row],[Column4]]="",I600*(1+Table13[[#This Row],[Ávöxtun]]))</f>
        <v>105</v>
      </c>
      <c r="L601" s="33">
        <v>105</v>
      </c>
      <c r="M601" s="33">
        <v>105</v>
      </c>
    </row>
    <row r="602" spans="1:13">
      <c r="A602" t="s">
        <v>116</v>
      </c>
      <c r="B602">
        <v>1999</v>
      </c>
      <c r="C602" s="16">
        <v>0.04</v>
      </c>
      <c r="D602" s="1">
        <v>3050516.32</v>
      </c>
      <c r="E602" s="29">
        <f>Table13[[#This Row],[Ávöxtun]]*Table13[[#This Row],[Eignir]]/SUMIFS(Table13[Eignir],Table13[Year],Table13[[#This Row],[Year]])</f>
        <v>2.7486832830711332E-4</v>
      </c>
      <c r="F602" s="23">
        <f>IF(B602=1997, 100, IF(COUNTIF(A$1:A601,A602)=0, "NEW", F601*(1+Table13[[#This Row],[Ávöxtun]])))</f>
        <v>109.2</v>
      </c>
      <c r="G602" s="18" cm="1">
        <f t="array" ref="G602">IFERROR(_xlfn.IFS(ISNUMBER(Table13[[#This Row],[Column3]]),Table13[[#This Row],[Column3]],Table13[[#This Row],[Column3]]="NEW",Table13[[#This Row],[Column3]]),"")</f>
        <v>109.2</v>
      </c>
      <c r="H602" s="15" cm="1">
        <f t="array" ref="H602">_xlfn.IFS(Table13[[#This Row],[Column4]]="NEW",AVERAGEIFS(Table13[Column4],Table13[Year],Table13[[#This Row],[Year]]),ISNUMBER(Table13[[#This Row],[Column4]]),Table13[[#This Row],[Column4]],Table13[[#This Row],[Column4]]="",H601*(1+Table13[[#This Row],[Ávöxtun]]))</f>
        <v>109.2</v>
      </c>
      <c r="I602" cm="1">
        <f t="array" ref="I602">_xlfn.IFS(Table13[[#This Row],[Column4]]="NEW",_xlfn.XLOOKUP(Table13[[#This Row],[Year]],$N$2:$N$27,$P$2:$P$27),ISNUMBER(Table13[[#This Row],[Column4]]),Table13[[#This Row],[Column4]],Table13[[#This Row],[Column4]]="",I601*(1+Table13[[#This Row],[Ávöxtun]]))</f>
        <v>109.2</v>
      </c>
      <c r="L602" s="33">
        <v>109.2</v>
      </c>
      <c r="M602" s="33">
        <v>109.2</v>
      </c>
    </row>
    <row r="603" spans="1:13">
      <c r="A603" t="s">
        <v>116</v>
      </c>
      <c r="B603">
        <v>2000</v>
      </c>
      <c r="C603" s="16">
        <v>0</v>
      </c>
      <c r="D603" s="1">
        <v>3034334.64</v>
      </c>
      <c r="E603" s="29">
        <f>Table13[[#This Row],[Ávöxtun]]*Table13[[#This Row],[Eignir]]/SUMIFS(Table13[Eignir],Table13[Year],Table13[[#This Row],[Year]])</f>
        <v>0</v>
      </c>
      <c r="F603" s="23">
        <f>IF(B603=1997, 100, IF(COUNTIF(A$1:A602,A603)=0, "NEW", F602*(1+Table13[[#This Row],[Ávöxtun]])))</f>
        <v>109.2</v>
      </c>
      <c r="G603" s="18" cm="1">
        <f t="array" ref="G603">IFERROR(_xlfn.IFS(ISNUMBER(Table13[[#This Row],[Column3]]),Table13[[#This Row],[Column3]],Table13[[#This Row],[Column3]]="NEW",Table13[[#This Row],[Column3]]),"")</f>
        <v>109.2</v>
      </c>
      <c r="H603" s="15" cm="1">
        <f t="array" ref="H603">_xlfn.IFS(Table13[[#This Row],[Column4]]="NEW",AVERAGEIFS(Table13[Column4],Table13[Year],Table13[[#This Row],[Year]]),ISNUMBER(Table13[[#This Row],[Column4]]),Table13[[#This Row],[Column4]],Table13[[#This Row],[Column4]]="",H602*(1+Table13[[#This Row],[Ávöxtun]]))</f>
        <v>109.2</v>
      </c>
      <c r="I603" cm="1">
        <f t="array" ref="I603">_xlfn.IFS(Table13[[#This Row],[Column4]]="NEW",_xlfn.XLOOKUP(Table13[[#This Row],[Year]],$N$2:$N$27,$P$2:$P$27),ISNUMBER(Table13[[#This Row],[Column4]]),Table13[[#This Row],[Column4]],Table13[[#This Row],[Column4]]="",I602*(1+Table13[[#This Row],[Ávöxtun]]))</f>
        <v>109.2</v>
      </c>
      <c r="L603" s="33">
        <v>109.2</v>
      </c>
      <c r="M603" s="33">
        <v>109.2</v>
      </c>
    </row>
    <row r="604" spans="1:13">
      <c r="A604" t="s">
        <v>116</v>
      </c>
      <c r="B604">
        <v>2001</v>
      </c>
      <c r="C604" s="16">
        <v>0.01</v>
      </c>
      <c r="D604" s="1">
        <v>3277978.02</v>
      </c>
      <c r="E604" s="29">
        <f>Table13[[#This Row],[Ávöxtun]]*Table13[[#This Row],[Eignir]]/SUMIFS(Table13[Eignir],Table13[Year],Table13[[#This Row],[Year]])</f>
        <v>3.4108635673377691E-5</v>
      </c>
      <c r="F604" s="23">
        <f>IF(B604=1997, 100, IF(COUNTIF(A$1:A603,A604)=0, "NEW", F603*(1+Table13[[#This Row],[Ávöxtun]])))</f>
        <v>110.292</v>
      </c>
      <c r="G604" s="18" cm="1">
        <f t="array" ref="G604">IFERROR(_xlfn.IFS(ISNUMBER(Table13[[#This Row],[Column3]]),Table13[[#This Row],[Column3]],Table13[[#This Row],[Column3]]="NEW",Table13[[#This Row],[Column3]]),"")</f>
        <v>110.292</v>
      </c>
      <c r="H604" s="15" cm="1">
        <f t="array" ref="H604">_xlfn.IFS(Table13[[#This Row],[Column4]]="NEW",AVERAGEIFS(Table13[Column4],Table13[Year],Table13[[#This Row],[Year]]),ISNUMBER(Table13[[#This Row],[Column4]]),Table13[[#This Row],[Column4]],Table13[[#This Row],[Column4]]="",H603*(1+Table13[[#This Row],[Ávöxtun]]))</f>
        <v>110.292</v>
      </c>
      <c r="I604" cm="1">
        <f t="array" ref="I604">_xlfn.IFS(Table13[[#This Row],[Column4]]="NEW",_xlfn.XLOOKUP(Table13[[#This Row],[Year]],$N$2:$N$27,$P$2:$P$27),ISNUMBER(Table13[[#This Row],[Column4]]),Table13[[#This Row],[Column4]],Table13[[#This Row],[Column4]]="",I603*(1+Table13[[#This Row],[Ávöxtun]]))</f>
        <v>110.292</v>
      </c>
      <c r="L604" s="33">
        <v>110.292</v>
      </c>
      <c r="M604" s="33">
        <v>110.292</v>
      </c>
    </row>
    <row r="605" spans="1:13">
      <c r="A605" t="s">
        <v>116</v>
      </c>
      <c r="B605">
        <v>2002</v>
      </c>
      <c r="C605" s="16">
        <v>0.03</v>
      </c>
      <c r="D605" s="1">
        <v>3592096</v>
      </c>
      <c r="E605" s="29">
        <f>Table13[[#This Row],[Ávöxtun]]*Table13[[#This Row],[Eignir]]/SUMIFS(Table13[Eignir],Table13[Year],Table13[[#This Row],[Year]])</f>
        <v>2.0222647578498862E-4</v>
      </c>
      <c r="F605" s="23">
        <f>IF(B605=1997, 100, IF(COUNTIF(A$1:A604,A605)=0, "NEW", F604*(1+Table13[[#This Row],[Ávöxtun]])))</f>
        <v>113.60076000000001</v>
      </c>
      <c r="G605" s="18" cm="1">
        <f t="array" ref="G605">IFERROR(_xlfn.IFS(ISNUMBER(Table13[[#This Row],[Column3]]),Table13[[#This Row],[Column3]],Table13[[#This Row],[Column3]]="NEW",Table13[[#This Row],[Column3]]),"")</f>
        <v>113.60076000000001</v>
      </c>
      <c r="H605" s="15" cm="1">
        <f t="array" ref="H605">_xlfn.IFS(Table13[[#This Row],[Column4]]="NEW",AVERAGEIFS(Table13[Column4],Table13[Year],Table13[[#This Row],[Year]]),ISNUMBER(Table13[[#This Row],[Column4]]),Table13[[#This Row],[Column4]],Table13[[#This Row],[Column4]]="",H604*(1+Table13[[#This Row],[Ávöxtun]]))</f>
        <v>113.60076000000001</v>
      </c>
      <c r="I605" cm="1">
        <f t="array" ref="I605">_xlfn.IFS(Table13[[#This Row],[Column4]]="NEW",_xlfn.XLOOKUP(Table13[[#This Row],[Year]],$N$2:$N$27,$P$2:$P$27),ISNUMBER(Table13[[#This Row],[Column4]]),Table13[[#This Row],[Column4]],Table13[[#This Row],[Column4]]="",I604*(1+Table13[[#This Row],[Ávöxtun]]))</f>
        <v>113.60076000000001</v>
      </c>
      <c r="L605" s="33">
        <v>113.60076000000001</v>
      </c>
      <c r="M605" s="33">
        <v>113.60076000000001</v>
      </c>
    </row>
    <row r="606" spans="1:13">
      <c r="A606" t="s">
        <v>116</v>
      </c>
      <c r="B606">
        <v>2003</v>
      </c>
      <c r="C606" s="16">
        <v>0.11</v>
      </c>
      <c r="D606" s="1">
        <v>10117276</v>
      </c>
      <c r="E606" s="29">
        <f>Table13[[#This Row],[Ávöxtun]]*Table13[[#This Row],[Eignir]]/SUMIFS(Table13[Eignir],Table13[Year],Table13[[#This Row],[Year]])</f>
        <v>1.7449277651752151E-3</v>
      </c>
      <c r="F606" s="23">
        <f>IF(B606=1997, 100, IF(COUNTIF(A$1:A605,A606)=0, "NEW", F605*(1+Table13[[#This Row],[Ávöxtun]])))</f>
        <v>126.09684360000001</v>
      </c>
      <c r="G606" s="18" cm="1">
        <f t="array" ref="G606">IFERROR(_xlfn.IFS(ISNUMBER(Table13[[#This Row],[Column3]]),Table13[[#This Row],[Column3]],Table13[[#This Row],[Column3]]="NEW",Table13[[#This Row],[Column3]]),"")</f>
        <v>126.09684360000001</v>
      </c>
      <c r="H606" s="15" cm="1">
        <f t="array" ref="H606">_xlfn.IFS(Table13[[#This Row],[Column4]]="NEW",AVERAGEIFS(Table13[Column4],Table13[Year],Table13[[#This Row],[Year]]),ISNUMBER(Table13[[#This Row],[Column4]]),Table13[[#This Row],[Column4]],Table13[[#This Row],[Column4]]="",H605*(1+Table13[[#This Row],[Ávöxtun]]))</f>
        <v>126.09684360000001</v>
      </c>
      <c r="I606" cm="1">
        <f t="array" ref="I606">_xlfn.IFS(Table13[[#This Row],[Column4]]="NEW",_xlfn.XLOOKUP(Table13[[#This Row],[Year]],$N$2:$N$27,$P$2:$P$27),ISNUMBER(Table13[[#This Row],[Column4]]),Table13[[#This Row],[Column4]],Table13[[#This Row],[Column4]]="",I605*(1+Table13[[#This Row],[Ávöxtun]]))</f>
        <v>126.09684360000001</v>
      </c>
      <c r="L606" s="33">
        <v>126.09684360000001</v>
      </c>
      <c r="M606" s="33">
        <v>126.09684360000001</v>
      </c>
    </row>
    <row r="607" spans="1:13">
      <c r="A607" t="s">
        <v>116</v>
      </c>
      <c r="B607">
        <v>2004</v>
      </c>
      <c r="C607" s="16">
        <v>0.03</v>
      </c>
      <c r="D607" s="1">
        <v>11048612.449999999</v>
      </c>
      <c r="E607" s="29">
        <f>Table13[[#This Row],[Ávöxtun]]*Table13[[#This Row],[Eignir]]/SUMIFS(Table13[Eignir],Table13[Year],Table13[[#This Row],[Year]])</f>
        <v>4.3634047599507968E-4</v>
      </c>
      <c r="F607" s="23">
        <f>IF(B607=1997, 100, IF(COUNTIF(A$1:A606,A607)=0, "NEW", F606*(1+Table13[[#This Row],[Ávöxtun]])))</f>
        <v>129.87974890800001</v>
      </c>
      <c r="G607" s="18" cm="1">
        <f t="array" ref="G607">IFERROR(_xlfn.IFS(ISNUMBER(Table13[[#This Row],[Column3]]),Table13[[#This Row],[Column3]],Table13[[#This Row],[Column3]]="NEW",Table13[[#This Row],[Column3]]),"")</f>
        <v>129.87974890800001</v>
      </c>
      <c r="H607" s="15" cm="1">
        <f t="array" ref="H607">_xlfn.IFS(Table13[[#This Row],[Column4]]="NEW",AVERAGEIFS(Table13[Column4],Table13[Year],Table13[[#This Row],[Year]]),ISNUMBER(Table13[[#This Row],[Column4]]),Table13[[#This Row],[Column4]],Table13[[#This Row],[Column4]]="",H606*(1+Table13[[#This Row],[Ávöxtun]]))</f>
        <v>129.87974890800001</v>
      </c>
      <c r="I607" cm="1">
        <f t="array" ref="I607">_xlfn.IFS(Table13[[#This Row],[Column4]]="NEW",_xlfn.XLOOKUP(Table13[[#This Row],[Year]],$N$2:$N$27,$P$2:$P$27),ISNUMBER(Table13[[#This Row],[Column4]]),Table13[[#This Row],[Column4]],Table13[[#This Row],[Column4]]="",I606*(1+Table13[[#This Row],[Ávöxtun]]))</f>
        <v>129.87974890800001</v>
      </c>
      <c r="L607" s="33">
        <v>129.87974890800001</v>
      </c>
      <c r="M607" s="33">
        <v>129.87974890800001</v>
      </c>
    </row>
    <row r="608" spans="1:13">
      <c r="A608" t="s">
        <v>116</v>
      </c>
      <c r="B608">
        <v>2005</v>
      </c>
      <c r="C608" s="16">
        <v>0.03</v>
      </c>
      <c r="D608" s="1">
        <v>11576018</v>
      </c>
      <c r="E608" s="29">
        <f>Table13[[#This Row],[Ávöxtun]]*Table13[[#This Row],[Eignir]]/SUMIFS(Table13[Eignir],Table13[Year],Table13[[#This Row],[Year]])</f>
        <v>3.7205603446999945E-4</v>
      </c>
      <c r="F608" s="23">
        <f>IF(B608=1997, 100, IF(COUNTIF(A$1:A607,A608)=0, "NEW", F607*(1+Table13[[#This Row],[Ávöxtun]])))</f>
        <v>133.77614137524</v>
      </c>
      <c r="G608" s="18" cm="1">
        <f t="array" ref="G608">IFERROR(_xlfn.IFS(ISNUMBER(Table13[[#This Row],[Column3]]),Table13[[#This Row],[Column3]],Table13[[#This Row],[Column3]]="NEW",Table13[[#This Row],[Column3]]),"")</f>
        <v>133.77614137524</v>
      </c>
      <c r="H608" s="15" cm="1">
        <f t="array" ref="H608">_xlfn.IFS(Table13[[#This Row],[Column4]]="NEW",AVERAGEIFS(Table13[Column4],Table13[Year],Table13[[#This Row],[Year]]),ISNUMBER(Table13[[#This Row],[Column4]]),Table13[[#This Row],[Column4]],Table13[[#This Row],[Column4]]="",H607*(1+Table13[[#This Row],[Ávöxtun]]))</f>
        <v>133.77614137524</v>
      </c>
      <c r="I608" cm="1">
        <f t="array" ref="I608">_xlfn.IFS(Table13[[#This Row],[Column4]]="NEW",_xlfn.XLOOKUP(Table13[[#This Row],[Year]],$N$2:$N$27,$P$2:$P$27),ISNUMBER(Table13[[#This Row],[Column4]]),Table13[[#This Row],[Column4]],Table13[[#This Row],[Column4]]="",I607*(1+Table13[[#This Row],[Ávöxtun]]))</f>
        <v>133.77614137524</v>
      </c>
      <c r="L608" s="33">
        <v>133.77614137524</v>
      </c>
      <c r="M608" s="33">
        <v>133.77614137524</v>
      </c>
    </row>
    <row r="609" spans="1:13">
      <c r="A609" t="s">
        <v>116</v>
      </c>
      <c r="B609">
        <v>2006</v>
      </c>
      <c r="C609" s="16">
        <v>3.8100000000000002E-2</v>
      </c>
      <c r="D609" s="1">
        <v>13262544</v>
      </c>
      <c r="E609" s="29">
        <f>Table13[[#This Row],[Ávöxtun]]*Table13[[#This Row],[Eignir]]/SUMIFS(Table13[Eignir],Table13[Year],Table13[[#This Row],[Year]])</f>
        <v>4.4417855238325951E-4</v>
      </c>
      <c r="F609" s="23">
        <f>IF(B609=1997, 100, IF(COUNTIF(A$1:A608,A609)=0, "NEW", F608*(1+Table13[[#This Row],[Ávöxtun]])))</f>
        <v>138.87301236163665</v>
      </c>
      <c r="G609" s="18" cm="1">
        <f t="array" ref="G609">IFERROR(_xlfn.IFS(ISNUMBER(Table13[[#This Row],[Column3]]),Table13[[#This Row],[Column3]],Table13[[#This Row],[Column3]]="NEW",Table13[[#This Row],[Column3]]),"")</f>
        <v>138.87301236163665</v>
      </c>
      <c r="H609" s="15" cm="1">
        <f t="array" ref="H609">_xlfn.IFS(Table13[[#This Row],[Column4]]="NEW",AVERAGEIFS(Table13[Column4],Table13[Year],Table13[[#This Row],[Year]]),ISNUMBER(Table13[[#This Row],[Column4]]),Table13[[#This Row],[Column4]],Table13[[#This Row],[Column4]]="",H608*(1+Table13[[#This Row],[Ávöxtun]]))</f>
        <v>138.87301236163665</v>
      </c>
      <c r="I609" cm="1">
        <f t="array" ref="I609">_xlfn.IFS(Table13[[#This Row],[Column4]]="NEW",_xlfn.XLOOKUP(Table13[[#This Row],[Year]],$N$2:$N$27,$P$2:$P$27),ISNUMBER(Table13[[#This Row],[Column4]]),Table13[[#This Row],[Column4]],Table13[[#This Row],[Column4]]="",I608*(1+Table13[[#This Row],[Ávöxtun]]))</f>
        <v>138.87301236163665</v>
      </c>
      <c r="L609" s="33">
        <v>138.87301236163665</v>
      </c>
      <c r="M609" s="33">
        <v>138.87301236163665</v>
      </c>
    </row>
    <row r="610" spans="1:13">
      <c r="A610" t="s">
        <v>116</v>
      </c>
      <c r="B610">
        <v>2007</v>
      </c>
      <c r="C610" s="16">
        <v>8.4900000000000003E-2</v>
      </c>
      <c r="D610" s="1">
        <v>40330382</v>
      </c>
      <c r="E610" s="29">
        <f>Table13[[#This Row],[Ávöxtun]]*Table13[[#This Row],[Eignir]]/SUMIFS(Table13[Eignir],Table13[Year],Table13[[#This Row],[Year]])</f>
        <v>2.6678270090657991E-3</v>
      </c>
      <c r="F610" s="23">
        <f>IF(B610=1997, 100, IF(COUNTIF(A$1:A609,A610)=0, "NEW", F609*(1+Table13[[#This Row],[Ávöxtun]])))</f>
        <v>150.6633311111396</v>
      </c>
      <c r="G610" s="18" cm="1">
        <f t="array" ref="G610">IFERROR(_xlfn.IFS(ISNUMBER(Table13[[#This Row],[Column3]]),Table13[[#This Row],[Column3]],Table13[[#This Row],[Column3]]="NEW",Table13[[#This Row],[Column3]]),"")</f>
        <v>150.6633311111396</v>
      </c>
      <c r="H610" s="15" cm="1">
        <f t="array" ref="H610">_xlfn.IFS(Table13[[#This Row],[Column4]]="NEW",AVERAGEIFS(Table13[Column4],Table13[Year],Table13[[#This Row],[Year]]),ISNUMBER(Table13[[#This Row],[Column4]]),Table13[[#This Row],[Column4]],Table13[[#This Row],[Column4]]="",H609*(1+Table13[[#This Row],[Ávöxtun]]))</f>
        <v>150.6633311111396</v>
      </c>
      <c r="I610" cm="1">
        <f t="array" ref="I610">_xlfn.IFS(Table13[[#This Row],[Column4]]="NEW",_xlfn.XLOOKUP(Table13[[#This Row],[Year]],$N$2:$N$27,$P$2:$P$27),ISNUMBER(Table13[[#This Row],[Column4]]),Table13[[#This Row],[Column4]],Table13[[#This Row],[Column4]]="",I609*(1+Table13[[#This Row],[Ávöxtun]]))</f>
        <v>150.6633311111396</v>
      </c>
      <c r="L610" s="33">
        <v>150.6633311111396</v>
      </c>
      <c r="M610" s="33">
        <v>150.6633311111396</v>
      </c>
    </row>
    <row r="611" spans="1:13">
      <c r="A611" t="s">
        <v>116</v>
      </c>
      <c r="B611">
        <v>2008</v>
      </c>
      <c r="C611" s="16">
        <v>2.29E-2</v>
      </c>
      <c r="D611" s="1">
        <v>47366446</v>
      </c>
      <c r="E611" s="29">
        <f>Table13[[#This Row],[Ávöxtun]]*Table13[[#This Row],[Eignir]]/SUMIFS(Table13[Eignir],Table13[Year],Table13[[#This Row],[Year]])</f>
        <v>8.754603781442608E-4</v>
      </c>
      <c r="F611" s="23">
        <f>IF(B611=1997, 100, IF(COUNTIF(A$1:A610,A611)=0, "NEW", F610*(1+Table13[[#This Row],[Ávöxtun]])))</f>
        <v>154.11352139358468</v>
      </c>
      <c r="G611" s="18" cm="1">
        <f t="array" ref="G611">IFERROR(_xlfn.IFS(ISNUMBER(Table13[[#This Row],[Column3]]),Table13[[#This Row],[Column3]],Table13[[#This Row],[Column3]]="NEW",Table13[[#This Row],[Column3]]),"")</f>
        <v>154.11352139358468</v>
      </c>
      <c r="H611" s="15" cm="1">
        <f t="array" ref="H611">_xlfn.IFS(Table13[[#This Row],[Column4]]="NEW",AVERAGEIFS(Table13[Column4],Table13[Year],Table13[[#This Row],[Year]]),ISNUMBER(Table13[[#This Row],[Column4]]),Table13[[#This Row],[Column4]],Table13[[#This Row],[Column4]]="",H610*(1+Table13[[#This Row],[Ávöxtun]]))</f>
        <v>154.11352139358468</v>
      </c>
      <c r="I611" cm="1">
        <f t="array" ref="I611">_xlfn.IFS(Table13[[#This Row],[Column4]]="NEW",_xlfn.XLOOKUP(Table13[[#This Row],[Year]],$N$2:$N$27,$P$2:$P$27),ISNUMBER(Table13[[#This Row],[Column4]]),Table13[[#This Row],[Column4]],Table13[[#This Row],[Column4]]="",I610*(1+Table13[[#This Row],[Ávöxtun]]))</f>
        <v>154.11352139358468</v>
      </c>
      <c r="L611" s="33">
        <v>154.11352139358468</v>
      </c>
      <c r="M611" s="33">
        <v>154.11352139358468</v>
      </c>
    </row>
    <row r="612" spans="1:13">
      <c r="A612" t="s">
        <v>116</v>
      </c>
      <c r="B612">
        <v>2009</v>
      </c>
      <c r="C612" s="16">
        <v>3.5799999999999998E-2</v>
      </c>
      <c r="D612" s="1">
        <v>52548263</v>
      </c>
      <c r="E612" s="29">
        <f>Table13[[#This Row],[Ávöxtun]]*Table13[[#This Row],[Eignir]]/SUMIFS(Table13[Eignir],Table13[Year],Table13[[#This Row],[Year]])</f>
        <v>1.3700407615692878E-3</v>
      </c>
      <c r="F612" s="23">
        <f>IF(B612=1997, 100, IF(COUNTIF(A$1:A611,A612)=0, "NEW", F611*(1+Table13[[#This Row],[Ávöxtun]])))</f>
        <v>159.63078545947502</v>
      </c>
      <c r="G612" s="18" cm="1">
        <f t="array" ref="G612">IFERROR(_xlfn.IFS(ISNUMBER(Table13[[#This Row],[Column3]]),Table13[[#This Row],[Column3]],Table13[[#This Row],[Column3]]="NEW",Table13[[#This Row],[Column3]]),"")</f>
        <v>159.63078545947502</v>
      </c>
      <c r="H612" s="15" cm="1">
        <f t="array" ref="H612">_xlfn.IFS(Table13[[#This Row],[Column4]]="NEW",AVERAGEIFS(Table13[Column4],Table13[Year],Table13[[#This Row],[Year]]),ISNUMBER(Table13[[#This Row],[Column4]]),Table13[[#This Row],[Column4]],Table13[[#This Row],[Column4]]="",H611*(1+Table13[[#This Row],[Ávöxtun]]))</f>
        <v>159.63078545947502</v>
      </c>
      <c r="I612" cm="1">
        <f t="array" ref="I612">_xlfn.IFS(Table13[[#This Row],[Column4]]="NEW",_xlfn.XLOOKUP(Table13[[#This Row],[Year]],$N$2:$N$27,$P$2:$P$27),ISNUMBER(Table13[[#This Row],[Column4]]),Table13[[#This Row],[Column4]],Table13[[#This Row],[Column4]]="",I611*(1+Table13[[#This Row],[Ávöxtun]]))</f>
        <v>159.63078545947502</v>
      </c>
      <c r="L612" s="33">
        <v>159.63078545947502</v>
      </c>
      <c r="M612" s="33">
        <v>159.63078545947502</v>
      </c>
    </row>
    <row r="613" spans="1:13">
      <c r="A613" t="s">
        <v>116</v>
      </c>
      <c r="B613">
        <v>2010</v>
      </c>
      <c r="C613" s="16">
        <v>2.3900000000000001E-2</v>
      </c>
      <c r="D613" s="1">
        <v>54413020</v>
      </c>
      <c r="E613" s="29">
        <f>Table13[[#This Row],[Ávöxtun]]*Table13[[#This Row],[Eignir]]/SUMIFS(Table13[Eignir],Table13[Year],Table13[[#This Row],[Year]])</f>
        <v>8.8784605912009909E-4</v>
      </c>
      <c r="F613" s="23">
        <f>IF(B613=1997, 100, IF(COUNTIF(A$1:A612,A613)=0, "NEW", F612*(1+Table13[[#This Row],[Ávöxtun]])))</f>
        <v>163.44596123195649</v>
      </c>
      <c r="G613" s="18" cm="1">
        <f t="array" ref="G613">IFERROR(_xlfn.IFS(ISNUMBER(Table13[[#This Row],[Column3]]),Table13[[#This Row],[Column3]],Table13[[#This Row],[Column3]]="NEW",Table13[[#This Row],[Column3]]),"")</f>
        <v>163.44596123195649</v>
      </c>
      <c r="H613" s="15" cm="1">
        <f t="array" ref="H613">_xlfn.IFS(Table13[[#This Row],[Column4]]="NEW",AVERAGEIFS(Table13[Column4],Table13[Year],Table13[[#This Row],[Year]]),ISNUMBER(Table13[[#This Row],[Column4]]),Table13[[#This Row],[Column4]],Table13[[#This Row],[Column4]]="",H612*(1+Table13[[#This Row],[Ávöxtun]]))</f>
        <v>163.44596123195649</v>
      </c>
      <c r="I613" cm="1">
        <f t="array" ref="I613">_xlfn.IFS(Table13[[#This Row],[Column4]]="NEW",_xlfn.XLOOKUP(Table13[[#This Row],[Year]],$N$2:$N$27,$P$2:$P$27),ISNUMBER(Table13[[#This Row],[Column4]]),Table13[[#This Row],[Column4]],Table13[[#This Row],[Column4]]="",I612*(1+Table13[[#This Row],[Ávöxtun]]))</f>
        <v>163.44596123195649</v>
      </c>
      <c r="L613" s="33">
        <v>163.44596123195649</v>
      </c>
      <c r="M613" s="33">
        <v>163.44596123195649</v>
      </c>
    </row>
    <row r="614" spans="1:13">
      <c r="A614" t="s">
        <v>116</v>
      </c>
      <c r="B614">
        <v>2011</v>
      </c>
      <c r="C614" s="16">
        <v>3.2000000000000001E-2</v>
      </c>
      <c r="D614" s="1">
        <v>58321251</v>
      </c>
      <c r="E614" s="29">
        <f>Table13[[#This Row],[Ávöxtun]]*Table13[[#This Row],[Eignir]]/SUMIFS(Table13[Eignir],Table13[Year],Table13[[#This Row],[Year]])</f>
        <v>1.1753293208111117E-3</v>
      </c>
      <c r="F614" s="23">
        <f>IF(B614=1997, 100, IF(COUNTIF(A$1:A613,A614)=0, "NEW", F613*(1+Table13[[#This Row],[Ávöxtun]])))</f>
        <v>168.6762319913791</v>
      </c>
      <c r="G614" s="18" cm="1">
        <f t="array" ref="G614">IFERROR(_xlfn.IFS(ISNUMBER(Table13[[#This Row],[Column3]]),Table13[[#This Row],[Column3]],Table13[[#This Row],[Column3]]="NEW",Table13[[#This Row],[Column3]]),"")</f>
        <v>168.6762319913791</v>
      </c>
      <c r="H614" s="15" cm="1">
        <f t="array" ref="H614">_xlfn.IFS(Table13[[#This Row],[Column4]]="NEW",AVERAGEIFS(Table13[Column4],Table13[Year],Table13[[#This Row],[Year]]),ISNUMBER(Table13[[#This Row],[Column4]]),Table13[[#This Row],[Column4]],Table13[[#This Row],[Column4]]="",H613*(1+Table13[[#This Row],[Ávöxtun]]))</f>
        <v>168.6762319913791</v>
      </c>
      <c r="I614" cm="1">
        <f t="array" ref="I614">_xlfn.IFS(Table13[[#This Row],[Column4]]="NEW",_xlfn.XLOOKUP(Table13[[#This Row],[Year]],$N$2:$N$27,$P$2:$P$27),ISNUMBER(Table13[[#This Row],[Column4]]),Table13[[#This Row],[Column4]],Table13[[#This Row],[Column4]]="",I613*(1+Table13[[#This Row],[Ávöxtun]]))</f>
        <v>168.6762319913791</v>
      </c>
      <c r="L614" s="33">
        <v>168.6762319913791</v>
      </c>
      <c r="M614" s="33">
        <v>168.6762319913791</v>
      </c>
    </row>
    <row r="615" spans="1:13">
      <c r="A615" t="s">
        <v>116</v>
      </c>
      <c r="B615">
        <v>2012</v>
      </c>
      <c r="C615" s="16">
        <v>3.4000000000000002E-2</v>
      </c>
      <c r="D615" s="1">
        <v>62007525</v>
      </c>
      <c r="E615" s="29">
        <f>Table13[[#This Row],[Ávöxtun]]*Table13[[#This Row],[Eignir]]/SUMIFS(Table13[Eignir],Table13[Year],Table13[[#This Row],[Year]])</f>
        <v>1.1746009449150742E-3</v>
      </c>
      <c r="F615" s="23">
        <f>IF(B615=1997, 100, IF(COUNTIF(A$1:A614,A615)=0, "NEW", F614*(1+Table13[[#This Row],[Ávöxtun]])))</f>
        <v>174.41122387908598</v>
      </c>
      <c r="G615" s="18" cm="1">
        <f t="array" ref="G615">IFERROR(_xlfn.IFS(ISNUMBER(Table13[[#This Row],[Column3]]),Table13[[#This Row],[Column3]],Table13[[#This Row],[Column3]]="NEW",Table13[[#This Row],[Column3]]),"")</f>
        <v>174.41122387908598</v>
      </c>
      <c r="H615" s="15" cm="1">
        <f t="array" ref="H615">_xlfn.IFS(Table13[[#This Row],[Column4]]="NEW",AVERAGEIFS(Table13[Column4],Table13[Year],Table13[[#This Row],[Year]]),ISNUMBER(Table13[[#This Row],[Column4]]),Table13[[#This Row],[Column4]],Table13[[#This Row],[Column4]]="",H614*(1+Table13[[#This Row],[Ávöxtun]]))</f>
        <v>174.41122387908598</v>
      </c>
      <c r="I615" cm="1">
        <f t="array" ref="I615">_xlfn.IFS(Table13[[#This Row],[Column4]]="NEW",_xlfn.XLOOKUP(Table13[[#This Row],[Year]],$N$2:$N$27,$P$2:$P$27),ISNUMBER(Table13[[#This Row],[Column4]]),Table13[[#This Row],[Column4]],Table13[[#This Row],[Column4]]="",I614*(1+Table13[[#This Row],[Ávöxtun]]))</f>
        <v>174.41122387908598</v>
      </c>
      <c r="L615" s="33">
        <v>174.41122387908598</v>
      </c>
      <c r="M615" s="33">
        <v>174.41122387908598</v>
      </c>
    </row>
    <row r="616" spans="1:13">
      <c r="A616" t="s">
        <v>116</v>
      </c>
      <c r="B616">
        <v>2013</v>
      </c>
      <c r="C616" s="16">
        <v>4.2000000000000003E-2</v>
      </c>
      <c r="D616" s="1">
        <v>65939023</v>
      </c>
      <c r="E616" s="29">
        <f>Table13[[#This Row],[Ávöxtun]]*Table13[[#This Row],[Eignir]]/SUMIFS(Table13[Eignir],Table13[Year],Table13[[#This Row],[Year]])</f>
        <v>1.4030193548705836E-3</v>
      </c>
      <c r="F616" s="23">
        <f>IF(B616=1997, 100, IF(COUNTIF(A$1:A615,A616)=0, "NEW", F615*(1+Table13[[#This Row],[Ávöxtun]])))</f>
        <v>181.73649528200761</v>
      </c>
      <c r="G616" s="18" cm="1">
        <f t="array" ref="G616">IFERROR(_xlfn.IFS(ISNUMBER(Table13[[#This Row],[Column3]]),Table13[[#This Row],[Column3]],Table13[[#This Row],[Column3]]="NEW",Table13[[#This Row],[Column3]]),"")</f>
        <v>181.73649528200761</v>
      </c>
      <c r="H616" s="15" cm="1">
        <f t="array" ref="H616">_xlfn.IFS(Table13[[#This Row],[Column4]]="NEW",AVERAGEIFS(Table13[Column4],Table13[Year],Table13[[#This Row],[Year]]),ISNUMBER(Table13[[#This Row],[Column4]]),Table13[[#This Row],[Column4]],Table13[[#This Row],[Column4]]="",H615*(1+Table13[[#This Row],[Ávöxtun]]))</f>
        <v>181.73649528200761</v>
      </c>
      <c r="I616" cm="1">
        <f t="array" ref="I616">_xlfn.IFS(Table13[[#This Row],[Column4]]="NEW",_xlfn.XLOOKUP(Table13[[#This Row],[Year]],$N$2:$N$27,$P$2:$P$27),ISNUMBER(Table13[[#This Row],[Column4]]),Table13[[#This Row],[Column4]],Table13[[#This Row],[Column4]]="",I615*(1+Table13[[#This Row],[Ávöxtun]]))</f>
        <v>181.73649528200761</v>
      </c>
      <c r="L616" s="33">
        <v>181.73649528200761</v>
      </c>
      <c r="M616" s="33">
        <v>181.73649528200761</v>
      </c>
    </row>
    <row r="617" spans="1:13">
      <c r="A617" t="s">
        <v>116</v>
      </c>
      <c r="B617">
        <v>2014</v>
      </c>
      <c r="C617" s="16">
        <v>4.0999999999999995E-2</v>
      </c>
      <c r="D617" s="1">
        <v>68136259</v>
      </c>
      <c r="E617" s="29">
        <f>Table13[[#This Row],[Ávöxtun]]*Table13[[#This Row],[Eignir]]/SUMIFS(Table13[Eignir],Table13[Year],Table13[[#This Row],[Year]])</f>
        <v>1.2978312744818189E-3</v>
      </c>
      <c r="F617" s="23">
        <f>IF(B617=1997, 100, IF(COUNTIF(A$1:A616,A617)=0, "NEW", F616*(1+Table13[[#This Row],[Ávöxtun]])))</f>
        <v>189.18769158856992</v>
      </c>
      <c r="G617" s="18" cm="1">
        <f t="array" ref="G617">IFERROR(_xlfn.IFS(ISNUMBER(Table13[[#This Row],[Column3]]),Table13[[#This Row],[Column3]],Table13[[#This Row],[Column3]]="NEW",Table13[[#This Row],[Column3]]),"")</f>
        <v>189.18769158856992</v>
      </c>
      <c r="H617" s="15" cm="1">
        <f t="array" ref="H617">_xlfn.IFS(Table13[[#This Row],[Column4]]="NEW",AVERAGEIFS(Table13[Column4],Table13[Year],Table13[[#This Row],[Year]]),ISNUMBER(Table13[[#This Row],[Column4]]),Table13[[#This Row],[Column4]],Table13[[#This Row],[Column4]]="",H616*(1+Table13[[#This Row],[Ávöxtun]]))</f>
        <v>189.18769158856992</v>
      </c>
      <c r="I617" cm="1">
        <f t="array" ref="I617">_xlfn.IFS(Table13[[#This Row],[Column4]]="NEW",_xlfn.XLOOKUP(Table13[[#This Row],[Year]],$N$2:$N$27,$P$2:$P$27),ISNUMBER(Table13[[#This Row],[Column4]]),Table13[[#This Row],[Column4]],Table13[[#This Row],[Column4]]="",I616*(1+Table13[[#This Row],[Ávöxtun]]))</f>
        <v>189.18769158856992</v>
      </c>
      <c r="L617" s="33">
        <v>189.18769158856992</v>
      </c>
      <c r="M617" s="33">
        <v>189.18769158856992</v>
      </c>
    </row>
    <row r="618" spans="1:13">
      <c r="A618" t="s">
        <v>116</v>
      </c>
      <c r="B618">
        <v>2015</v>
      </c>
      <c r="C618" s="16">
        <v>6.3E-2</v>
      </c>
      <c r="D618" s="1">
        <v>72406762</v>
      </c>
      <c r="E618" s="29">
        <f>Table13[[#This Row],[Ávöxtun]]*Table13[[#This Row],[Eignir]]/SUMIFS(Table13[Eignir],Table13[Year],Table13[[#This Row],[Year]])</f>
        <v>1.9104182532442635E-3</v>
      </c>
      <c r="F618" s="23">
        <f>IF(B618=1997, 100, IF(COUNTIF(A$1:A617,A618)=0, "NEW", F617*(1+Table13[[#This Row],[Ávöxtun]])))</f>
        <v>201.10651615864981</v>
      </c>
      <c r="G618" s="18" cm="1">
        <f t="array" ref="G618">IFERROR(_xlfn.IFS(ISNUMBER(Table13[[#This Row],[Column3]]),Table13[[#This Row],[Column3]],Table13[[#This Row],[Column3]]="NEW",Table13[[#This Row],[Column3]]),"")</f>
        <v>201.10651615864981</v>
      </c>
      <c r="H618" s="15" cm="1">
        <f t="array" ref="H618">_xlfn.IFS(Table13[[#This Row],[Column4]]="NEW",AVERAGEIFS(Table13[Column4],Table13[Year],Table13[[#This Row],[Year]]),ISNUMBER(Table13[[#This Row],[Column4]]),Table13[[#This Row],[Column4]],Table13[[#This Row],[Column4]]="",H617*(1+Table13[[#This Row],[Ávöxtun]]))</f>
        <v>201.10651615864981</v>
      </c>
      <c r="I618" cm="1">
        <f t="array" ref="I618">_xlfn.IFS(Table13[[#This Row],[Column4]]="NEW",_xlfn.XLOOKUP(Table13[[#This Row],[Year]],$N$2:$N$27,$P$2:$P$27),ISNUMBER(Table13[[#This Row],[Column4]]),Table13[[#This Row],[Column4]],Table13[[#This Row],[Column4]]="",I617*(1+Table13[[#This Row],[Ávöxtun]]))</f>
        <v>201.10651615864981</v>
      </c>
      <c r="L618" s="33">
        <v>201.10651615864981</v>
      </c>
      <c r="M618" s="33">
        <v>201.10651615864981</v>
      </c>
    </row>
    <row r="619" spans="1:13">
      <c r="A619" t="s">
        <v>116</v>
      </c>
      <c r="B619">
        <v>2016</v>
      </c>
      <c r="C619" s="16">
        <v>1.3000000000000001E-2</v>
      </c>
      <c r="D619" s="1">
        <v>74356941.659999996</v>
      </c>
      <c r="E619" s="29">
        <f>Table13[[#This Row],[Ávöxtun]]*Table13[[#This Row],[Eignir]]/SUMIFS(Table13[Eignir],Table13[Year],Table13[[#This Row],[Year]])</f>
        <v>3.7065143027557553E-4</v>
      </c>
      <c r="F619" s="23">
        <f>IF(B619=1997, 100, IF(COUNTIF(A$1:A618,A619)=0, "NEW", F618*(1+Table13[[#This Row],[Ávöxtun]])))</f>
        <v>203.72090086871225</v>
      </c>
      <c r="G619" s="18" cm="1">
        <f t="array" ref="G619">IFERROR(_xlfn.IFS(ISNUMBER(Table13[[#This Row],[Column3]]),Table13[[#This Row],[Column3]],Table13[[#This Row],[Column3]]="NEW",Table13[[#This Row],[Column3]]),"")</f>
        <v>203.72090086871225</v>
      </c>
      <c r="H619" s="15" cm="1">
        <f t="array" ref="H619">_xlfn.IFS(Table13[[#This Row],[Column4]]="NEW",AVERAGEIFS(Table13[Column4],Table13[Year],Table13[[#This Row],[Year]]),ISNUMBER(Table13[[#This Row],[Column4]]),Table13[[#This Row],[Column4]],Table13[[#This Row],[Column4]]="",H618*(1+Table13[[#This Row],[Ávöxtun]]))</f>
        <v>203.72090086871225</v>
      </c>
      <c r="I619" cm="1">
        <f t="array" ref="I619">_xlfn.IFS(Table13[[#This Row],[Column4]]="NEW",_xlfn.XLOOKUP(Table13[[#This Row],[Year]],$N$2:$N$27,$P$2:$P$27),ISNUMBER(Table13[[#This Row],[Column4]]),Table13[[#This Row],[Column4]],Table13[[#This Row],[Column4]]="",I618*(1+Table13[[#This Row],[Ávöxtun]]))</f>
        <v>203.72090086871225</v>
      </c>
      <c r="L619" s="33">
        <v>203.72090086871225</v>
      </c>
      <c r="M619" s="33">
        <v>203.72090086871225</v>
      </c>
    </row>
    <row r="620" spans="1:13">
      <c r="A620" t="s">
        <v>116</v>
      </c>
      <c r="B620">
        <v>2017</v>
      </c>
      <c r="C620" s="16">
        <v>4.2999999999999997E-2</v>
      </c>
      <c r="D620" s="1">
        <v>77204479</v>
      </c>
      <c r="E620" s="29">
        <f>Table13[[#This Row],[Ávöxtun]]*Table13[[#This Row],[Eignir]]/SUMIFS(Table13[Eignir],Table13[Year],Table13[[#This Row],[Year]])</f>
        <v>1.1423451233378546E-3</v>
      </c>
      <c r="F620" s="23">
        <f>IF(B620=1997, 100, IF(COUNTIF(A$1:A619,A620)=0, "NEW", F619*(1+Table13[[#This Row],[Ávöxtun]])))</f>
        <v>212.48089960606686</v>
      </c>
      <c r="G620" s="18" cm="1">
        <f t="array" ref="G620">IFERROR(_xlfn.IFS(ISNUMBER(Table13[[#This Row],[Column3]]),Table13[[#This Row],[Column3]],Table13[[#This Row],[Column3]]="NEW",Table13[[#This Row],[Column3]]),"")</f>
        <v>212.48089960606686</v>
      </c>
      <c r="H620" s="15" cm="1">
        <f t="array" ref="H620">_xlfn.IFS(Table13[[#This Row],[Column4]]="NEW",AVERAGEIFS(Table13[Column4],Table13[Year],Table13[[#This Row],[Year]]),ISNUMBER(Table13[[#This Row],[Column4]]),Table13[[#This Row],[Column4]],Table13[[#This Row],[Column4]]="",H619*(1+Table13[[#This Row],[Ávöxtun]]))</f>
        <v>212.48089960606686</v>
      </c>
      <c r="I620" cm="1">
        <f t="array" ref="I620">_xlfn.IFS(Table13[[#This Row],[Column4]]="NEW",_xlfn.XLOOKUP(Table13[[#This Row],[Year]],$N$2:$N$27,$P$2:$P$27),ISNUMBER(Table13[[#This Row],[Column4]]),Table13[[#This Row],[Column4]],Table13[[#This Row],[Column4]]="",I619*(1+Table13[[#This Row],[Ávöxtun]]))</f>
        <v>212.48089960606686</v>
      </c>
      <c r="L620" s="33">
        <v>212.48089960606686</v>
      </c>
      <c r="M620" s="33">
        <v>212.48089960606686</v>
      </c>
    </row>
    <row r="621" spans="1:13">
      <c r="A621" t="s">
        <v>116</v>
      </c>
      <c r="B621">
        <v>2018</v>
      </c>
      <c r="C621" s="16">
        <v>2.4E-2</v>
      </c>
      <c r="D621" s="1">
        <v>79156591</v>
      </c>
      <c r="E621" s="29">
        <f>Table13[[#This Row],[Ávöxtun]]*Table13[[#This Row],[Eignir]]/SUMIFS(Table13[Eignir],Table13[Year],Table13[[#This Row],[Year]])</f>
        <v>6.0910767225878088E-4</v>
      </c>
      <c r="F621" s="23">
        <f>IF(B621=1997, 100, IF(COUNTIF(A$1:A620,A621)=0, "NEW", F620*(1+Table13[[#This Row],[Ávöxtun]])))</f>
        <v>217.58044119661247</v>
      </c>
      <c r="G621" s="18" cm="1">
        <f t="array" ref="G621">IFERROR(_xlfn.IFS(ISNUMBER(Table13[[#This Row],[Column3]]),Table13[[#This Row],[Column3]],Table13[[#This Row],[Column3]]="NEW",Table13[[#This Row],[Column3]]),"")</f>
        <v>217.58044119661247</v>
      </c>
      <c r="H621" s="15" cm="1">
        <f t="array" ref="H621">_xlfn.IFS(Table13[[#This Row],[Column4]]="NEW",AVERAGEIFS(Table13[Column4],Table13[Year],Table13[[#This Row],[Year]]),ISNUMBER(Table13[[#This Row],[Column4]]),Table13[[#This Row],[Column4]],Table13[[#This Row],[Column4]]="",H620*(1+Table13[[#This Row],[Ávöxtun]]))</f>
        <v>217.58044119661247</v>
      </c>
      <c r="I621" cm="1">
        <f t="array" ref="I621">_xlfn.IFS(Table13[[#This Row],[Column4]]="NEW",_xlfn.XLOOKUP(Table13[[#This Row],[Year]],$N$2:$N$27,$P$2:$P$27),ISNUMBER(Table13[[#This Row],[Column4]]),Table13[[#This Row],[Column4]],Table13[[#This Row],[Column4]]="",I620*(1+Table13[[#This Row],[Ávöxtun]]))</f>
        <v>217.58044119661247</v>
      </c>
      <c r="L621" s="33">
        <v>217.58044119661247</v>
      </c>
      <c r="M621" s="33">
        <v>217.58044119661247</v>
      </c>
    </row>
    <row r="622" spans="1:13">
      <c r="A622" t="s">
        <v>116</v>
      </c>
      <c r="B622">
        <v>2019</v>
      </c>
      <c r="C622" s="16">
        <v>5.5E-2</v>
      </c>
      <c r="D622" s="1">
        <v>83215451.079999998</v>
      </c>
      <c r="E622" s="29">
        <f>Table13[[#This Row],[Ávöxtun]]*Table13[[#This Row],[Eignir]]/SUMIFS(Table13[Eignir],Table13[Year],Table13[[#This Row],[Year]])</f>
        <v>1.279727251861678E-3</v>
      </c>
      <c r="F622" s="23">
        <f>IF(B622=1997, 100, IF(COUNTIF(A$1:A621,A622)=0, "NEW", F621*(1+Table13[[#This Row],[Ávöxtun]])))</f>
        <v>229.54736546242614</v>
      </c>
      <c r="G622" s="18" cm="1">
        <f t="array" ref="G622">IFERROR(_xlfn.IFS(ISNUMBER(Table13[[#This Row],[Column3]]),Table13[[#This Row],[Column3]],Table13[[#This Row],[Column3]]="NEW",Table13[[#This Row],[Column3]]),"")</f>
        <v>229.54736546242614</v>
      </c>
      <c r="H622" s="15" cm="1">
        <f t="array" ref="H622">_xlfn.IFS(Table13[[#This Row],[Column4]]="NEW",AVERAGEIFS(Table13[Column4],Table13[Year],Table13[[#This Row],[Year]]),ISNUMBER(Table13[[#This Row],[Column4]]),Table13[[#This Row],[Column4]],Table13[[#This Row],[Column4]]="",H621*(1+Table13[[#This Row],[Ávöxtun]]))</f>
        <v>229.54736546242614</v>
      </c>
      <c r="I622" cm="1">
        <f t="array" ref="I622">_xlfn.IFS(Table13[[#This Row],[Column4]]="NEW",_xlfn.XLOOKUP(Table13[[#This Row],[Year]],$N$2:$N$27,$P$2:$P$27),ISNUMBER(Table13[[#This Row],[Column4]]),Table13[[#This Row],[Column4]],Table13[[#This Row],[Column4]]="",I621*(1+Table13[[#This Row],[Ávöxtun]]))</f>
        <v>229.54736546242614</v>
      </c>
      <c r="L622" s="33">
        <v>229.54736546242614</v>
      </c>
      <c r="M622" s="33">
        <v>229.54736546242614</v>
      </c>
    </row>
    <row r="623" spans="1:13">
      <c r="A623" t="s">
        <v>116</v>
      </c>
      <c r="B623">
        <v>2020</v>
      </c>
      <c r="C623" s="16">
        <v>4.4000000000000004E-2</v>
      </c>
      <c r="D623" s="1">
        <v>87611246.790000007</v>
      </c>
      <c r="E623" s="29">
        <f>Table13[[#This Row],[Ávöxtun]]*Table13[[#This Row],[Eignir]]/SUMIFS(Table13[Eignir],Table13[Year],Table13[[#This Row],[Year]])</f>
        <v>9.3020191032320285E-4</v>
      </c>
      <c r="F623" s="23">
        <f>IF(B623=1997, 100, IF(COUNTIF(A$1:A622,A623)=0, "NEW", F622*(1+Table13[[#This Row],[Ávöxtun]])))</f>
        <v>239.6474495427729</v>
      </c>
      <c r="G623" s="18" cm="1">
        <f t="array" ref="G623">IFERROR(_xlfn.IFS(ISNUMBER(Table13[[#This Row],[Column3]]),Table13[[#This Row],[Column3]],Table13[[#This Row],[Column3]]="NEW",Table13[[#This Row],[Column3]]),"")</f>
        <v>239.6474495427729</v>
      </c>
      <c r="H623" s="15" cm="1">
        <f t="array" ref="H623">_xlfn.IFS(Table13[[#This Row],[Column4]]="NEW",AVERAGEIFS(Table13[Column4],Table13[Year],Table13[[#This Row],[Year]]),ISNUMBER(Table13[[#This Row],[Column4]]),Table13[[#This Row],[Column4]],Table13[[#This Row],[Column4]]="",H622*(1+Table13[[#This Row],[Ávöxtun]]))</f>
        <v>239.6474495427729</v>
      </c>
      <c r="I623" cm="1">
        <f t="array" ref="I623">_xlfn.IFS(Table13[[#This Row],[Column4]]="NEW",_xlfn.XLOOKUP(Table13[[#This Row],[Year]],$N$2:$N$27,$P$2:$P$27),ISNUMBER(Table13[[#This Row],[Column4]]),Table13[[#This Row],[Column4]],Table13[[#This Row],[Column4]]="",I622*(1+Table13[[#This Row],[Ávöxtun]]))</f>
        <v>239.6474495427729</v>
      </c>
      <c r="L623" s="33">
        <v>239.6474495427729</v>
      </c>
      <c r="M623" s="33">
        <v>239.6474495427729</v>
      </c>
    </row>
    <row r="624" spans="1:13">
      <c r="A624" t="s">
        <v>116</v>
      </c>
      <c r="B624">
        <v>2021</v>
      </c>
      <c r="C624" s="16">
        <v>5.2999999999999999E-2</v>
      </c>
      <c r="D624" s="1">
        <v>92769371.579999998</v>
      </c>
      <c r="E624" s="29">
        <f>Table13[[#This Row],[Ávöxtun]]*Table13[[#This Row],[Eignir]]/SUMIFS(Table13[Eignir],Table13[Year],Table13[[#This Row],[Year]])</f>
        <v>1.0108930201291823E-3</v>
      </c>
      <c r="F624" s="23">
        <f>IF(B624=1997, 100, IF(COUNTIF(A$1:A623,A624)=0, "NEW", F623*(1+Table13[[#This Row],[Ávöxtun]])))</f>
        <v>252.34876436853986</v>
      </c>
      <c r="G624" s="18" cm="1">
        <f t="array" ref="G624">IFERROR(_xlfn.IFS(ISNUMBER(Table13[[#This Row],[Column3]]),Table13[[#This Row],[Column3]],Table13[[#This Row],[Column3]]="NEW",Table13[[#This Row],[Column3]]),"")</f>
        <v>252.34876436853986</v>
      </c>
      <c r="H624" s="15" cm="1">
        <f t="array" ref="H624">_xlfn.IFS(Table13[[#This Row],[Column4]]="NEW",AVERAGEIFS(Table13[Column4],Table13[Year],Table13[[#This Row],[Year]]),ISNUMBER(Table13[[#This Row],[Column4]]),Table13[[#This Row],[Column4]],Table13[[#This Row],[Column4]]="",H623*(1+Table13[[#This Row],[Ávöxtun]]))</f>
        <v>252.34876436853986</v>
      </c>
      <c r="I624" cm="1">
        <f t="array" ref="I624">_xlfn.IFS(Table13[[#This Row],[Column4]]="NEW",_xlfn.XLOOKUP(Table13[[#This Row],[Year]],$N$2:$N$27,$P$2:$P$27),ISNUMBER(Table13[[#This Row],[Column4]]),Table13[[#This Row],[Column4]],Table13[[#This Row],[Column4]]="",I623*(1+Table13[[#This Row],[Ávöxtun]]))</f>
        <v>252.34876436853986</v>
      </c>
      <c r="L624" s="33">
        <v>252.34876436853986</v>
      </c>
      <c r="M624" s="33">
        <v>252.34876436853986</v>
      </c>
    </row>
    <row r="625" spans="1:13">
      <c r="A625" t="s">
        <v>117</v>
      </c>
      <c r="B625">
        <v>1997</v>
      </c>
      <c r="C625" s="16">
        <v>0.03</v>
      </c>
      <c r="D625" s="1">
        <v>34593465.469999999</v>
      </c>
      <c r="E625" s="29">
        <f>Table13[[#This Row],[Ávöxtun]]*Table13[[#This Row],[Eignir]]/SUMIFS(Table13[Eignir],Table13[Year],Table13[[#This Row],[Year]])</f>
        <v>3.6368779448135787E-3</v>
      </c>
      <c r="F625" s="23">
        <f>IF(B625=1997, 100, IF(COUNTIF(A$1:A624,A625)=0, "NEW", F624*(1+Table13[[#This Row],[Ávöxtun]])))</f>
        <v>100</v>
      </c>
      <c r="G625" s="18" cm="1">
        <f t="array" ref="G625">IFERROR(_xlfn.IFS(ISNUMBER(Table13[[#This Row],[Column3]]),Table13[[#This Row],[Column3]],Table13[[#This Row],[Column3]]="NEW",Table13[[#This Row],[Column3]]),"")</f>
        <v>100</v>
      </c>
      <c r="H625" s="15" cm="1">
        <f t="array" ref="H625">_xlfn.IFS(Table13[[#This Row],[Column4]]="NEW",AVERAGEIFS(Table13[Column4],Table13[Year],Table13[[#This Row],[Year]]),ISNUMBER(Table13[[#This Row],[Column4]]),Table13[[#This Row],[Column4]],Table13[[#This Row],[Column4]]="",H624*(1+Table13[[#This Row],[Ávöxtun]]))</f>
        <v>100</v>
      </c>
      <c r="I625" cm="1">
        <f t="array" ref="I625">_xlfn.IFS(Table13[[#This Row],[Column4]]="NEW",_xlfn.XLOOKUP(Table13[[#This Row],[Year]],$N$2:$N$27,$P$2:$P$27),ISNUMBER(Table13[[#This Row],[Column4]]),Table13[[#This Row],[Column4]],Table13[[#This Row],[Column4]]="",I624*(1+Table13[[#This Row],[Ávöxtun]]))</f>
        <v>100</v>
      </c>
      <c r="L625" s="33">
        <v>100</v>
      </c>
      <c r="M625" s="33">
        <v>100</v>
      </c>
    </row>
    <row r="626" spans="1:13">
      <c r="A626" t="s">
        <v>117</v>
      </c>
      <c r="B626">
        <v>1998</v>
      </c>
      <c r="C626" s="16">
        <v>0.06</v>
      </c>
      <c r="D626" s="1">
        <v>40131611.18</v>
      </c>
      <c r="E626" s="29">
        <f>Table13[[#This Row],[Ávöxtun]]*Table13[[#This Row],[Eignir]]/SUMIFS(Table13[Eignir],Table13[Year],Table13[[#This Row],[Year]])</f>
        <v>7.2856522947353604E-3</v>
      </c>
      <c r="F626" s="23">
        <f>IF(B626=1997, 100, IF(COUNTIF(A$1:A625,A626)=0, "NEW", F625*(1+Table13[[#This Row],[Ávöxtun]])))</f>
        <v>106</v>
      </c>
      <c r="G626" s="18" cm="1">
        <f t="array" ref="G626">IFERROR(_xlfn.IFS(ISNUMBER(Table13[[#This Row],[Column3]]),Table13[[#This Row],[Column3]],Table13[[#This Row],[Column3]]="NEW",Table13[[#This Row],[Column3]]),"")</f>
        <v>106</v>
      </c>
      <c r="H626" s="15" cm="1">
        <f t="array" ref="H626">_xlfn.IFS(Table13[[#This Row],[Column4]]="NEW",AVERAGEIFS(Table13[Column4],Table13[Year],Table13[[#This Row],[Year]]),ISNUMBER(Table13[[#This Row],[Column4]]),Table13[[#This Row],[Column4]],Table13[[#This Row],[Column4]]="",H625*(1+Table13[[#This Row],[Ávöxtun]]))</f>
        <v>106</v>
      </c>
      <c r="I626" cm="1">
        <f t="array" ref="I626">_xlfn.IFS(Table13[[#This Row],[Column4]]="NEW",_xlfn.XLOOKUP(Table13[[#This Row],[Year]],$N$2:$N$27,$P$2:$P$27),ISNUMBER(Table13[[#This Row],[Column4]]),Table13[[#This Row],[Column4]],Table13[[#This Row],[Column4]]="",I625*(1+Table13[[#This Row],[Ávöxtun]]))</f>
        <v>106</v>
      </c>
      <c r="L626" s="33">
        <v>106</v>
      </c>
      <c r="M626" s="33">
        <v>106</v>
      </c>
    </row>
    <row r="627" spans="1:13">
      <c r="A627" t="s">
        <v>117</v>
      </c>
      <c r="B627">
        <v>1999</v>
      </c>
      <c r="C627" s="16">
        <v>0.08</v>
      </c>
      <c r="D627" s="1">
        <v>61317018.310000002</v>
      </c>
      <c r="E627" s="29">
        <f>Table13[[#This Row],[Ávöxtun]]*Table13[[#This Row],[Eignir]]/SUMIFS(Table13[Eignir],Table13[Year],Table13[[#This Row],[Year]])</f>
        <v>1.1050002394116914E-2</v>
      </c>
      <c r="F627" s="23">
        <f>IF(B627=1997, 100, IF(COUNTIF(A$1:A626,A627)=0, "NEW", F626*(1+Table13[[#This Row],[Ávöxtun]])))</f>
        <v>114.48</v>
      </c>
      <c r="G627" s="18" cm="1">
        <f t="array" ref="G627">IFERROR(_xlfn.IFS(ISNUMBER(Table13[[#This Row],[Column3]]),Table13[[#This Row],[Column3]],Table13[[#This Row],[Column3]]="NEW",Table13[[#This Row],[Column3]]),"")</f>
        <v>114.48</v>
      </c>
      <c r="H627" s="15" cm="1">
        <f t="array" ref="H627">_xlfn.IFS(Table13[[#This Row],[Column4]]="NEW",AVERAGEIFS(Table13[Column4],Table13[Year],Table13[[#This Row],[Year]]),ISNUMBER(Table13[[#This Row],[Column4]]),Table13[[#This Row],[Column4]],Table13[[#This Row],[Column4]]="",H626*(1+Table13[[#This Row],[Ávöxtun]]))</f>
        <v>114.48</v>
      </c>
      <c r="I627" cm="1">
        <f t="array" ref="I627">_xlfn.IFS(Table13[[#This Row],[Column4]]="NEW",_xlfn.XLOOKUP(Table13[[#This Row],[Year]],$N$2:$N$27,$P$2:$P$27),ISNUMBER(Table13[[#This Row],[Column4]]),Table13[[#This Row],[Column4]],Table13[[#This Row],[Column4]]="",I626*(1+Table13[[#This Row],[Ávöxtun]]))</f>
        <v>114.48</v>
      </c>
      <c r="L627" s="33">
        <v>114.48</v>
      </c>
      <c r="M627" s="33">
        <v>114.48</v>
      </c>
    </row>
    <row r="628" spans="1:13">
      <c r="A628" t="s">
        <v>117</v>
      </c>
      <c r="B628">
        <v>2000</v>
      </c>
      <c r="C628" s="16">
        <v>7.0000000000000007E-2</v>
      </c>
      <c r="D628" s="1">
        <v>153122200</v>
      </c>
      <c r="E628" s="29">
        <f>Table13[[#This Row],[Ávöxtun]]*Table13[[#This Row],[Eignir]]/SUMIFS(Table13[Eignir],Table13[Year],Table13[[#This Row],[Year]])</f>
        <v>1.7163922306280995E-2</v>
      </c>
      <c r="F628" s="23">
        <f>IF(B628=1997, 100, IF(COUNTIF(A$1:A627,A628)=0, "NEW", F627*(1+Table13[[#This Row],[Ávöxtun]])))</f>
        <v>122.49360000000001</v>
      </c>
      <c r="G628" s="18" cm="1">
        <f t="array" ref="G628">IFERROR(_xlfn.IFS(ISNUMBER(Table13[[#This Row],[Column3]]),Table13[[#This Row],[Column3]],Table13[[#This Row],[Column3]]="NEW",Table13[[#This Row],[Column3]]),"")</f>
        <v>122.49360000000001</v>
      </c>
      <c r="H628" s="15" cm="1">
        <f t="array" ref="H628">_xlfn.IFS(Table13[[#This Row],[Column4]]="NEW",AVERAGEIFS(Table13[Column4],Table13[Year],Table13[[#This Row],[Year]]),ISNUMBER(Table13[[#This Row],[Column4]]),Table13[[#This Row],[Column4]],Table13[[#This Row],[Column4]]="",H627*(1+Table13[[#This Row],[Ávöxtun]]))</f>
        <v>122.49360000000001</v>
      </c>
      <c r="I628" cm="1">
        <f t="array" ref="I628">_xlfn.IFS(Table13[[#This Row],[Column4]]="NEW",_xlfn.XLOOKUP(Table13[[#This Row],[Year]],$N$2:$N$27,$P$2:$P$27),ISNUMBER(Table13[[#This Row],[Column4]]),Table13[[#This Row],[Column4]],Table13[[#This Row],[Column4]]="",I627*(1+Table13[[#This Row],[Ávöxtun]]))</f>
        <v>122.49360000000001</v>
      </c>
      <c r="L628" s="33">
        <v>122.49360000000001</v>
      </c>
      <c r="M628" s="33">
        <v>122.49360000000001</v>
      </c>
    </row>
    <row r="629" spans="1:13">
      <c r="A629" t="s">
        <v>117</v>
      </c>
      <c r="B629">
        <v>2001</v>
      </c>
      <c r="C629" s="16">
        <v>0.01</v>
      </c>
      <c r="D629" s="1">
        <v>201429374</v>
      </c>
      <c r="E629" s="29">
        <f>Table13[[#This Row],[Ávöxtun]]*Table13[[#This Row],[Eignir]]/SUMIFS(Table13[Eignir],Table13[Year],Table13[[#This Row],[Year]])</f>
        <v>2.0959509459073603E-3</v>
      </c>
      <c r="F629" s="23">
        <f>IF(B629=1997, 100, IF(COUNTIF(A$1:A628,A629)=0, "NEW", F628*(1+Table13[[#This Row],[Ávöxtun]])))</f>
        <v>123.71853600000001</v>
      </c>
      <c r="G629" s="18" cm="1">
        <f t="array" ref="G629">IFERROR(_xlfn.IFS(ISNUMBER(Table13[[#This Row],[Column3]]),Table13[[#This Row],[Column3]],Table13[[#This Row],[Column3]]="NEW",Table13[[#This Row],[Column3]]),"")</f>
        <v>123.71853600000001</v>
      </c>
      <c r="H629" s="15" cm="1">
        <f t="array" ref="H629">_xlfn.IFS(Table13[[#This Row],[Column4]]="NEW",AVERAGEIFS(Table13[Column4],Table13[Year],Table13[[#This Row],[Year]]),ISNUMBER(Table13[[#This Row],[Column4]]),Table13[[#This Row],[Column4]],Table13[[#This Row],[Column4]]="",H628*(1+Table13[[#This Row],[Ávöxtun]]))</f>
        <v>123.71853600000001</v>
      </c>
      <c r="I629" cm="1">
        <f t="array" ref="I629">_xlfn.IFS(Table13[[#This Row],[Column4]]="NEW",_xlfn.XLOOKUP(Table13[[#This Row],[Year]],$N$2:$N$27,$P$2:$P$27),ISNUMBER(Table13[[#This Row],[Column4]]),Table13[[#This Row],[Column4]],Table13[[#This Row],[Column4]]="",I628*(1+Table13[[#This Row],[Ávöxtun]]))</f>
        <v>123.71853600000001</v>
      </c>
      <c r="L629" s="33">
        <v>123.71853600000001</v>
      </c>
      <c r="M629" s="33">
        <v>123.71853600000001</v>
      </c>
    </row>
    <row r="630" spans="1:13">
      <c r="A630" t="s">
        <v>117</v>
      </c>
      <c r="B630">
        <v>2002</v>
      </c>
      <c r="C630" s="16">
        <v>0.09</v>
      </c>
      <c r="D630" s="1">
        <v>115026886</v>
      </c>
      <c r="E630" s="29">
        <f>Table13[[#This Row],[Ávöxtun]]*Table13[[#This Row],[Eignir]]/SUMIFS(Table13[Eignir],Table13[Year],Table13[[#This Row],[Year]])</f>
        <v>1.9427221691431674E-2</v>
      </c>
      <c r="F630" s="23">
        <f>IF(B630=1997, 100, IF(COUNTIF(A$1:A629,A630)=0, "NEW", F629*(1+Table13[[#This Row],[Ávöxtun]])))</f>
        <v>134.85320424000003</v>
      </c>
      <c r="G630" s="18" cm="1">
        <f t="array" ref="G630">IFERROR(_xlfn.IFS(ISNUMBER(Table13[[#This Row],[Column3]]),Table13[[#This Row],[Column3]],Table13[[#This Row],[Column3]]="NEW",Table13[[#This Row],[Column3]]),"")</f>
        <v>134.85320424000003</v>
      </c>
      <c r="H630" s="15" cm="1">
        <f t="array" ref="H630">_xlfn.IFS(Table13[[#This Row],[Column4]]="NEW",AVERAGEIFS(Table13[Column4],Table13[Year],Table13[[#This Row],[Year]]),ISNUMBER(Table13[[#This Row],[Column4]]),Table13[[#This Row],[Column4]],Table13[[#This Row],[Column4]]="",H629*(1+Table13[[#This Row],[Ávöxtun]]))</f>
        <v>134.85320424000003</v>
      </c>
      <c r="I630" cm="1">
        <f t="array" ref="I630">_xlfn.IFS(Table13[[#This Row],[Column4]]="NEW",_xlfn.XLOOKUP(Table13[[#This Row],[Year]],$N$2:$N$27,$P$2:$P$27),ISNUMBER(Table13[[#This Row],[Column4]]),Table13[[#This Row],[Column4]],Table13[[#This Row],[Column4]]="",I629*(1+Table13[[#This Row],[Ávöxtun]]))</f>
        <v>134.85320424000003</v>
      </c>
      <c r="L630" s="33">
        <v>134.85320424000003</v>
      </c>
      <c r="M630" s="33">
        <v>134.85320424000003</v>
      </c>
    </row>
    <row r="631" spans="1:13">
      <c r="A631" t="s">
        <v>117</v>
      </c>
      <c r="B631">
        <v>2003</v>
      </c>
      <c r="C631" s="16">
        <v>0.26</v>
      </c>
      <c r="D631" s="1">
        <v>144417052</v>
      </c>
      <c r="E631" s="29">
        <f>Table13[[#This Row],[Ávöxtun]]*Table13[[#This Row],[Eignir]]/SUMIFS(Table13[Eignir],Table13[Year],Table13[[#This Row],[Year]])</f>
        <v>5.8872569856913096E-2</v>
      </c>
      <c r="F631" s="23">
        <f>IF(B631=1997, 100, IF(COUNTIF(A$1:A630,A631)=0, "NEW", F630*(1+Table13[[#This Row],[Ávöxtun]])))</f>
        <v>169.91503734240004</v>
      </c>
      <c r="G631" s="18" cm="1">
        <f t="array" ref="G631">IFERROR(_xlfn.IFS(ISNUMBER(Table13[[#This Row],[Column3]]),Table13[[#This Row],[Column3]],Table13[[#This Row],[Column3]]="NEW",Table13[[#This Row],[Column3]]),"")</f>
        <v>169.91503734240004</v>
      </c>
      <c r="H631" s="15" cm="1">
        <f t="array" ref="H631">_xlfn.IFS(Table13[[#This Row],[Column4]]="NEW",AVERAGEIFS(Table13[Column4],Table13[Year],Table13[[#This Row],[Year]]),ISNUMBER(Table13[[#This Row],[Column4]]),Table13[[#This Row],[Column4]],Table13[[#This Row],[Column4]]="",H630*(1+Table13[[#This Row],[Ávöxtun]]))</f>
        <v>169.91503734240004</v>
      </c>
      <c r="I631" cm="1">
        <f t="array" ref="I631">_xlfn.IFS(Table13[[#This Row],[Column4]]="NEW",_xlfn.XLOOKUP(Table13[[#This Row],[Year]],$N$2:$N$27,$P$2:$P$27),ISNUMBER(Table13[[#This Row],[Column4]]),Table13[[#This Row],[Column4]],Table13[[#This Row],[Column4]]="",I630*(1+Table13[[#This Row],[Ávöxtun]]))</f>
        <v>169.91503734240004</v>
      </c>
      <c r="L631" s="33">
        <v>169.91503734240004</v>
      </c>
      <c r="M631" s="33">
        <v>169.91503734240004</v>
      </c>
    </row>
    <row r="632" spans="1:13">
      <c r="A632" t="s">
        <v>117</v>
      </c>
      <c r="B632">
        <v>2004</v>
      </c>
      <c r="C632" s="16">
        <v>0.19</v>
      </c>
      <c r="D632" s="1">
        <v>177173461</v>
      </c>
      <c r="E632" s="29">
        <f>Table13[[#This Row],[Ávöxtun]]*Table13[[#This Row],[Eignir]]/SUMIFS(Table13[Eignir],Table13[Year],Table13[[#This Row],[Year]])</f>
        <v>4.4314798214692808E-2</v>
      </c>
      <c r="F632" s="23">
        <f>IF(B632=1997, 100, IF(COUNTIF(A$1:A631,A632)=0, "NEW", F631*(1+Table13[[#This Row],[Ávöxtun]])))</f>
        <v>202.19889443745603</v>
      </c>
      <c r="G632" s="18" cm="1">
        <f t="array" ref="G632">IFERROR(_xlfn.IFS(ISNUMBER(Table13[[#This Row],[Column3]]),Table13[[#This Row],[Column3]],Table13[[#This Row],[Column3]]="NEW",Table13[[#This Row],[Column3]]),"")</f>
        <v>202.19889443745603</v>
      </c>
      <c r="H632" s="15" cm="1">
        <f t="array" ref="H632">_xlfn.IFS(Table13[[#This Row],[Column4]]="NEW",AVERAGEIFS(Table13[Column4],Table13[Year],Table13[[#This Row],[Year]]),ISNUMBER(Table13[[#This Row],[Column4]]),Table13[[#This Row],[Column4]],Table13[[#This Row],[Column4]]="",H631*(1+Table13[[#This Row],[Ávöxtun]]))</f>
        <v>202.19889443745603</v>
      </c>
      <c r="I632" cm="1">
        <f t="array" ref="I632">_xlfn.IFS(Table13[[#This Row],[Column4]]="NEW",_xlfn.XLOOKUP(Table13[[#This Row],[Year]],$N$2:$N$27,$P$2:$P$27),ISNUMBER(Table13[[#This Row],[Column4]]),Table13[[#This Row],[Column4]],Table13[[#This Row],[Column4]]="",I631*(1+Table13[[#This Row],[Ávöxtun]]))</f>
        <v>202.19889443745603</v>
      </c>
      <c r="L632" s="33">
        <v>202.19889443745603</v>
      </c>
      <c r="M632" s="33">
        <v>202.19889443745603</v>
      </c>
    </row>
    <row r="633" spans="1:13">
      <c r="A633" t="s">
        <v>117</v>
      </c>
      <c r="B633">
        <v>2005</v>
      </c>
      <c r="C633" s="16">
        <v>0.28000000000000003</v>
      </c>
      <c r="D633" s="1">
        <v>224095981</v>
      </c>
      <c r="E633" s="29">
        <f>Table13[[#This Row],[Ávöxtun]]*Table13[[#This Row],[Eignir]]/SUMIFS(Table13[Eignir],Table13[Year],Table13[[#This Row],[Year]])</f>
        <v>6.7223327194857574E-2</v>
      </c>
      <c r="F633" s="23">
        <f>IF(B633=1997, 100, IF(COUNTIF(A$1:A632,A633)=0, "NEW", F632*(1+Table13[[#This Row],[Ávöxtun]])))</f>
        <v>258.81458487994371</v>
      </c>
      <c r="G633" s="18" cm="1">
        <f t="array" ref="G633">IFERROR(_xlfn.IFS(ISNUMBER(Table13[[#This Row],[Column3]]),Table13[[#This Row],[Column3]],Table13[[#This Row],[Column3]]="NEW",Table13[[#This Row],[Column3]]),"")</f>
        <v>258.81458487994371</v>
      </c>
      <c r="H633" s="15" cm="1">
        <f t="array" ref="H633">_xlfn.IFS(Table13[[#This Row],[Column4]]="NEW",AVERAGEIFS(Table13[Column4],Table13[Year],Table13[[#This Row],[Year]]),ISNUMBER(Table13[[#This Row],[Column4]]),Table13[[#This Row],[Column4]],Table13[[#This Row],[Column4]]="",H632*(1+Table13[[#This Row],[Ávöxtun]]))</f>
        <v>258.81458487994371</v>
      </c>
      <c r="I633" cm="1">
        <f t="array" ref="I633">_xlfn.IFS(Table13[[#This Row],[Column4]]="NEW",_xlfn.XLOOKUP(Table13[[#This Row],[Year]],$N$2:$N$27,$P$2:$P$27),ISNUMBER(Table13[[#This Row],[Column4]]),Table13[[#This Row],[Column4]],Table13[[#This Row],[Column4]]="",I632*(1+Table13[[#This Row],[Ávöxtun]]))</f>
        <v>258.81458487994371</v>
      </c>
      <c r="L633" s="33">
        <v>258.81458487994371</v>
      </c>
      <c r="M633" s="33">
        <v>258.81458487994371</v>
      </c>
    </row>
    <row r="634" spans="1:13">
      <c r="A634" t="s">
        <v>117</v>
      </c>
      <c r="B634">
        <v>2006</v>
      </c>
      <c r="C634" s="16">
        <v>0.21829999999999999</v>
      </c>
      <c r="D634" s="1">
        <v>278741335</v>
      </c>
      <c r="E634" s="29">
        <f>Table13[[#This Row],[Ávöxtun]]*Table13[[#This Row],[Eignir]]/SUMIFS(Table13[Eignir],Table13[Year],Table13[[#This Row],[Year]])</f>
        <v>5.3488557074761744E-2</v>
      </c>
      <c r="F634" s="23">
        <f>IF(B634=1997, 100, IF(COUNTIF(A$1:A633,A634)=0, "NEW", F633*(1+Table13[[#This Row],[Ávöxtun]])))</f>
        <v>315.31380875923543</v>
      </c>
      <c r="G634" s="18" cm="1">
        <f t="array" ref="G634">IFERROR(_xlfn.IFS(ISNUMBER(Table13[[#This Row],[Column3]]),Table13[[#This Row],[Column3]],Table13[[#This Row],[Column3]]="NEW",Table13[[#This Row],[Column3]]),"")</f>
        <v>315.31380875923543</v>
      </c>
      <c r="H634" s="15" cm="1">
        <f t="array" ref="H634">_xlfn.IFS(Table13[[#This Row],[Column4]]="NEW",AVERAGEIFS(Table13[Column4],Table13[Year],Table13[[#This Row],[Year]]),ISNUMBER(Table13[[#This Row],[Column4]]),Table13[[#This Row],[Column4]],Table13[[#This Row],[Column4]]="",H633*(1+Table13[[#This Row],[Ávöxtun]]))</f>
        <v>315.31380875923543</v>
      </c>
      <c r="I634" cm="1">
        <f t="array" ref="I634">_xlfn.IFS(Table13[[#This Row],[Column4]]="NEW",_xlfn.XLOOKUP(Table13[[#This Row],[Year]],$N$2:$N$27,$P$2:$P$27),ISNUMBER(Table13[[#This Row],[Column4]]),Table13[[#This Row],[Column4]],Table13[[#This Row],[Column4]]="",I633*(1+Table13[[#This Row],[Ávöxtun]]))</f>
        <v>315.31380875923543</v>
      </c>
      <c r="L634" s="33">
        <v>315.31380875923543</v>
      </c>
      <c r="M634" s="33">
        <v>315.31380875923543</v>
      </c>
    </row>
    <row r="635" spans="1:13">
      <c r="A635" t="s">
        <v>117</v>
      </c>
      <c r="B635">
        <v>2007</v>
      </c>
      <c r="C635" s="16">
        <v>-1.9099999999999999E-2</v>
      </c>
      <c r="D635" s="1">
        <v>311273522</v>
      </c>
      <c r="E635" s="29">
        <f>Table13[[#This Row],[Ávöxtun]]*Table13[[#This Row],[Eignir]]/SUMIFS(Table13[Eignir],Table13[Year],Table13[[#This Row],[Year]])</f>
        <v>-4.6322627583550669E-3</v>
      </c>
      <c r="F635" s="23">
        <f>IF(B635=1997, 100, IF(COUNTIF(A$1:A634,A635)=0, "NEW", F634*(1+Table13[[#This Row],[Ávöxtun]])))</f>
        <v>309.29131501193405</v>
      </c>
      <c r="G635" s="18" cm="1">
        <f t="array" ref="G635">IFERROR(_xlfn.IFS(ISNUMBER(Table13[[#This Row],[Column3]]),Table13[[#This Row],[Column3]],Table13[[#This Row],[Column3]]="NEW",Table13[[#This Row],[Column3]]),"")</f>
        <v>309.29131501193405</v>
      </c>
      <c r="H635" s="15" cm="1">
        <f t="array" ref="H635">_xlfn.IFS(Table13[[#This Row],[Column4]]="NEW",AVERAGEIFS(Table13[Column4],Table13[Year],Table13[[#This Row],[Year]]),ISNUMBER(Table13[[#This Row],[Column4]]),Table13[[#This Row],[Column4]],Table13[[#This Row],[Column4]]="",H634*(1+Table13[[#This Row],[Ávöxtun]]))</f>
        <v>309.29131501193405</v>
      </c>
      <c r="I635" cm="1">
        <f t="array" ref="I635">_xlfn.IFS(Table13[[#This Row],[Column4]]="NEW",_xlfn.XLOOKUP(Table13[[#This Row],[Year]],$N$2:$N$27,$P$2:$P$27),ISNUMBER(Table13[[#This Row],[Column4]]),Table13[[#This Row],[Column4]],Table13[[#This Row],[Column4]]="",I634*(1+Table13[[#This Row],[Ávöxtun]]))</f>
        <v>309.29131501193405</v>
      </c>
      <c r="L635" s="33">
        <v>309.29131501193405</v>
      </c>
      <c r="M635" s="33">
        <v>309.29131501193405</v>
      </c>
    </row>
    <row r="636" spans="1:13">
      <c r="A636" t="s">
        <v>117</v>
      </c>
      <c r="B636">
        <v>2008</v>
      </c>
      <c r="C636" s="16">
        <v>-0.50170000000000003</v>
      </c>
      <c r="D636" s="1">
        <v>297620141</v>
      </c>
      <c r="E636" s="29">
        <f>Table13[[#This Row],[Ávöxtun]]*Table13[[#This Row],[Eignir]]/SUMIFS(Table13[Eignir],Table13[Year],Table13[[#This Row],[Year]])</f>
        <v>-0.12051375881101248</v>
      </c>
      <c r="F636" s="23">
        <f>IF(B636=1997, 100, IF(COUNTIF(A$1:A635,A636)=0, "NEW", F635*(1+Table13[[#This Row],[Ávöxtun]])))</f>
        <v>154.11986227044673</v>
      </c>
      <c r="G636" s="18" cm="1">
        <f t="array" ref="G636">IFERROR(_xlfn.IFS(ISNUMBER(Table13[[#This Row],[Column3]]),Table13[[#This Row],[Column3]],Table13[[#This Row],[Column3]]="NEW",Table13[[#This Row],[Column3]]),"")</f>
        <v>154.11986227044673</v>
      </c>
      <c r="H636" s="15" cm="1">
        <f t="array" ref="H636">_xlfn.IFS(Table13[[#This Row],[Column4]]="NEW",AVERAGEIFS(Table13[Column4],Table13[Year],Table13[[#This Row],[Year]]),ISNUMBER(Table13[[#This Row],[Column4]]),Table13[[#This Row],[Column4]],Table13[[#This Row],[Column4]]="",H635*(1+Table13[[#This Row],[Ávöxtun]]))</f>
        <v>154.11986227044673</v>
      </c>
      <c r="I636" cm="1">
        <f t="array" ref="I636">_xlfn.IFS(Table13[[#This Row],[Column4]]="NEW",_xlfn.XLOOKUP(Table13[[#This Row],[Year]],$N$2:$N$27,$P$2:$P$27),ISNUMBER(Table13[[#This Row],[Column4]]),Table13[[#This Row],[Column4]],Table13[[#This Row],[Column4]]="",I635*(1+Table13[[#This Row],[Ávöxtun]]))</f>
        <v>154.11986227044673</v>
      </c>
      <c r="L636" s="33">
        <v>154.11986227044673</v>
      </c>
      <c r="M636" s="33">
        <v>154.11986227044673</v>
      </c>
    </row>
    <row r="637" spans="1:13">
      <c r="A637" t="s">
        <v>117</v>
      </c>
      <c r="B637">
        <v>2009</v>
      </c>
      <c r="C637" s="16">
        <v>5.4800000000000008E-2</v>
      </c>
      <c r="D637" s="1">
        <v>339272113</v>
      </c>
      <c r="E637" s="29">
        <f>Table13[[#This Row],[Ávöxtun]]*Table13[[#This Row],[Eignir]]/SUMIFS(Table13[Eignir],Table13[Year],Table13[[#This Row],[Year]])</f>
        <v>1.3540067178852025E-2</v>
      </c>
      <c r="F637" s="23">
        <f>IF(B637=1997, 100, IF(COUNTIF(A$1:A636,A637)=0, "NEW", F636*(1+Table13[[#This Row],[Ávöxtun]])))</f>
        <v>162.56563072286721</v>
      </c>
      <c r="G637" s="18" cm="1">
        <f t="array" ref="G637">IFERROR(_xlfn.IFS(ISNUMBER(Table13[[#This Row],[Column3]]),Table13[[#This Row],[Column3]],Table13[[#This Row],[Column3]]="NEW",Table13[[#This Row],[Column3]]),"")</f>
        <v>162.56563072286721</v>
      </c>
      <c r="H637" s="15" cm="1">
        <f t="array" ref="H637">_xlfn.IFS(Table13[[#This Row],[Column4]]="NEW",AVERAGEIFS(Table13[Column4],Table13[Year],Table13[[#This Row],[Year]]),ISNUMBER(Table13[[#This Row],[Column4]]),Table13[[#This Row],[Column4]],Table13[[#This Row],[Column4]]="",H636*(1+Table13[[#This Row],[Ávöxtun]]))</f>
        <v>162.56563072286721</v>
      </c>
      <c r="I637" cm="1">
        <f t="array" ref="I637">_xlfn.IFS(Table13[[#This Row],[Column4]]="NEW",_xlfn.XLOOKUP(Table13[[#This Row],[Year]],$N$2:$N$27,$P$2:$P$27),ISNUMBER(Table13[[#This Row],[Column4]]),Table13[[#This Row],[Column4]],Table13[[#This Row],[Column4]]="",I636*(1+Table13[[#This Row],[Ávöxtun]]))</f>
        <v>162.56563072286721</v>
      </c>
      <c r="L637" s="33">
        <v>162.56563072286721</v>
      </c>
      <c r="M637" s="33">
        <v>162.56563072286721</v>
      </c>
    </row>
    <row r="638" spans="1:13">
      <c r="A638" t="s">
        <v>117</v>
      </c>
      <c r="B638">
        <v>2010</v>
      </c>
      <c r="C638" s="16">
        <v>4.1500000000000002E-2</v>
      </c>
      <c r="D638" s="1">
        <v>360678659</v>
      </c>
      <c r="E638" s="29">
        <f>Table13[[#This Row],[Ávöxtun]]*Table13[[#This Row],[Eignir]]/SUMIFS(Table13[Eignir],Table13[Year],Table13[[#This Row],[Year]])</f>
        <v>1.0218931379560101E-2</v>
      </c>
      <c r="F638" s="23">
        <f>IF(B638=1997, 100, IF(COUNTIF(A$1:A637,A638)=0, "NEW", F637*(1+Table13[[#This Row],[Ávöxtun]])))</f>
        <v>169.31210439786622</v>
      </c>
      <c r="G638" s="18" cm="1">
        <f t="array" ref="G638">IFERROR(_xlfn.IFS(ISNUMBER(Table13[[#This Row],[Column3]]),Table13[[#This Row],[Column3]],Table13[[#This Row],[Column3]]="NEW",Table13[[#This Row],[Column3]]),"")</f>
        <v>169.31210439786622</v>
      </c>
      <c r="H638" s="15" cm="1">
        <f t="array" ref="H638">_xlfn.IFS(Table13[[#This Row],[Column4]]="NEW",AVERAGEIFS(Table13[Column4],Table13[Year],Table13[[#This Row],[Year]]),ISNUMBER(Table13[[#This Row],[Column4]]),Table13[[#This Row],[Column4]],Table13[[#This Row],[Column4]]="",H637*(1+Table13[[#This Row],[Ávöxtun]]))</f>
        <v>169.31210439786622</v>
      </c>
      <c r="I638" cm="1">
        <f t="array" ref="I638">_xlfn.IFS(Table13[[#This Row],[Column4]]="NEW",_xlfn.XLOOKUP(Table13[[#This Row],[Year]],$N$2:$N$27,$P$2:$P$27),ISNUMBER(Table13[[#This Row],[Column4]]),Table13[[#This Row],[Column4]],Table13[[#This Row],[Column4]]="",I637*(1+Table13[[#This Row],[Ávöxtun]]))</f>
        <v>169.31210439786622</v>
      </c>
      <c r="L638" s="33">
        <v>169.31210439786622</v>
      </c>
      <c r="M638" s="33">
        <v>169.31210439786622</v>
      </c>
    </row>
    <row r="639" spans="1:13">
      <c r="A639" t="s">
        <v>117</v>
      </c>
      <c r="B639">
        <v>2011</v>
      </c>
      <c r="C639" s="16">
        <v>3.4000000000000002E-2</v>
      </c>
      <c r="D639" s="1">
        <v>387538863</v>
      </c>
      <c r="E639" s="29">
        <f>Table13[[#This Row],[Ávöxtun]]*Table13[[#This Row],[Eignir]]/SUMIFS(Table13[Eignir],Table13[Year],Table13[[#This Row],[Year]])</f>
        <v>8.2980670361058727E-3</v>
      </c>
      <c r="F639" s="23">
        <f>IF(B639=1997, 100, IF(COUNTIF(A$1:A638,A639)=0, "NEW", F638*(1+Table13[[#This Row],[Ávöxtun]])))</f>
        <v>175.06871594739368</v>
      </c>
      <c r="G639" s="18" cm="1">
        <f t="array" ref="G639">IFERROR(_xlfn.IFS(ISNUMBER(Table13[[#This Row],[Column3]]),Table13[[#This Row],[Column3]],Table13[[#This Row],[Column3]]="NEW",Table13[[#This Row],[Column3]]),"")</f>
        <v>175.06871594739368</v>
      </c>
      <c r="H639" s="15" cm="1">
        <f t="array" ref="H639">_xlfn.IFS(Table13[[#This Row],[Column4]]="NEW",AVERAGEIFS(Table13[Column4],Table13[Year],Table13[[#This Row],[Year]]),ISNUMBER(Table13[[#This Row],[Column4]]),Table13[[#This Row],[Column4]],Table13[[#This Row],[Column4]]="",H638*(1+Table13[[#This Row],[Ávöxtun]]))</f>
        <v>175.06871594739368</v>
      </c>
      <c r="I639" cm="1">
        <f t="array" ref="I639">_xlfn.IFS(Table13[[#This Row],[Column4]]="NEW",_xlfn.XLOOKUP(Table13[[#This Row],[Year]],$N$2:$N$27,$P$2:$P$27),ISNUMBER(Table13[[#This Row],[Column4]]),Table13[[#This Row],[Column4]],Table13[[#This Row],[Column4]]="",I638*(1+Table13[[#This Row],[Ávöxtun]]))</f>
        <v>175.06871594739368</v>
      </c>
      <c r="L639" s="33">
        <v>175.06871594739368</v>
      </c>
      <c r="M639" s="33">
        <v>175.06871594739368</v>
      </c>
    </row>
    <row r="640" spans="1:13">
      <c r="A640" t="s">
        <v>117</v>
      </c>
      <c r="B640">
        <v>2012</v>
      </c>
      <c r="C640" s="16">
        <v>0.185</v>
      </c>
      <c r="D640" s="1">
        <v>441374167</v>
      </c>
      <c r="E640" s="29">
        <f>Table13[[#This Row],[Ávöxtun]]*Table13[[#This Row],[Eignir]]/SUMIFS(Table13[Eignir],Table13[Year],Table13[[#This Row],[Year]])</f>
        <v>4.5493114613945541E-2</v>
      </c>
      <c r="F640" s="23">
        <f>IF(B640=1997, 100, IF(COUNTIF(A$1:A639,A640)=0, "NEW", F639*(1+Table13[[#This Row],[Ávöxtun]])))</f>
        <v>207.45642839766151</v>
      </c>
      <c r="G640" s="18" cm="1">
        <f t="array" ref="G640">IFERROR(_xlfn.IFS(ISNUMBER(Table13[[#This Row],[Column3]]),Table13[[#This Row],[Column3]],Table13[[#This Row],[Column3]]="NEW",Table13[[#This Row],[Column3]]),"")</f>
        <v>207.45642839766151</v>
      </c>
      <c r="H640" s="15" cm="1">
        <f t="array" ref="H640">_xlfn.IFS(Table13[[#This Row],[Column4]]="NEW",AVERAGEIFS(Table13[Column4],Table13[Year],Table13[[#This Row],[Year]]),ISNUMBER(Table13[[#This Row],[Column4]]),Table13[[#This Row],[Column4]],Table13[[#This Row],[Column4]]="",H639*(1+Table13[[#This Row],[Ávöxtun]]))</f>
        <v>207.45642839766151</v>
      </c>
      <c r="I640" cm="1">
        <f t="array" ref="I640">_xlfn.IFS(Table13[[#This Row],[Column4]]="NEW",_xlfn.XLOOKUP(Table13[[#This Row],[Year]],$N$2:$N$27,$P$2:$P$27),ISNUMBER(Table13[[#This Row],[Column4]]),Table13[[#This Row],[Column4]],Table13[[#This Row],[Column4]]="",I639*(1+Table13[[#This Row],[Ávöxtun]]))</f>
        <v>207.45642839766151</v>
      </c>
      <c r="L640" s="33">
        <v>207.45642839766151</v>
      </c>
      <c r="M640" s="33">
        <v>207.45642839766151</v>
      </c>
    </row>
    <row r="641" spans="1:13">
      <c r="A641" t="s">
        <v>117</v>
      </c>
      <c r="B641">
        <v>2013</v>
      </c>
      <c r="C641" s="16">
        <v>0.13200000000000001</v>
      </c>
      <c r="D641" s="1">
        <v>480015786</v>
      </c>
      <c r="E641" s="29">
        <f>Table13[[#This Row],[Ávöxtun]]*Table13[[#This Row],[Eignir]]/SUMIFS(Table13[Eignir],Table13[Year],Table13[[#This Row],[Year]])</f>
        <v>3.2099725236908121E-2</v>
      </c>
      <c r="F641" s="23">
        <f>IF(B641=1997, 100, IF(COUNTIF(A$1:A640,A641)=0, "NEW", F640*(1+Table13[[#This Row],[Ávöxtun]])))</f>
        <v>234.84067694615285</v>
      </c>
      <c r="G641" s="18" cm="1">
        <f t="array" ref="G641">IFERROR(_xlfn.IFS(ISNUMBER(Table13[[#This Row],[Column3]]),Table13[[#This Row],[Column3]],Table13[[#This Row],[Column3]]="NEW",Table13[[#This Row],[Column3]]),"")</f>
        <v>234.84067694615285</v>
      </c>
      <c r="H641" s="15" cm="1">
        <f t="array" ref="H641">_xlfn.IFS(Table13[[#This Row],[Column4]]="NEW",AVERAGEIFS(Table13[Column4],Table13[Year],Table13[[#This Row],[Year]]),ISNUMBER(Table13[[#This Row],[Column4]]),Table13[[#This Row],[Column4]],Table13[[#This Row],[Column4]]="",H640*(1+Table13[[#This Row],[Ávöxtun]]))</f>
        <v>234.84067694615285</v>
      </c>
      <c r="I641" cm="1">
        <f t="array" ref="I641">_xlfn.IFS(Table13[[#This Row],[Column4]]="NEW",_xlfn.XLOOKUP(Table13[[#This Row],[Year]],$N$2:$N$27,$P$2:$P$27),ISNUMBER(Table13[[#This Row],[Column4]]),Table13[[#This Row],[Column4]],Table13[[#This Row],[Column4]]="",I640*(1+Table13[[#This Row],[Ávöxtun]]))</f>
        <v>234.84067694615285</v>
      </c>
      <c r="L641" s="33">
        <v>234.84067694615285</v>
      </c>
      <c r="M641" s="33">
        <v>234.84067694615285</v>
      </c>
    </row>
    <row r="642" spans="1:13">
      <c r="A642" t="s">
        <v>117</v>
      </c>
      <c r="B642">
        <v>2014</v>
      </c>
      <c r="C642" s="16">
        <v>0.184</v>
      </c>
      <c r="D642" s="1">
        <v>525399497</v>
      </c>
      <c r="E642" s="29">
        <f>Table13[[#This Row],[Ávöxtun]]*Table13[[#This Row],[Eignir]]/SUMIFS(Table13[Eignir],Table13[Year],Table13[[#This Row],[Year]])</f>
        <v>4.491212140211983E-2</v>
      </c>
      <c r="F642" s="23">
        <f>IF(B642=1997, 100, IF(COUNTIF(A$1:A641,A642)=0, "NEW", F641*(1+Table13[[#This Row],[Ávöxtun]])))</f>
        <v>278.05136150424494</v>
      </c>
      <c r="G642" s="18" cm="1">
        <f t="array" ref="G642">IFERROR(_xlfn.IFS(ISNUMBER(Table13[[#This Row],[Column3]]),Table13[[#This Row],[Column3]],Table13[[#This Row],[Column3]]="NEW",Table13[[#This Row],[Column3]]),"")</f>
        <v>278.05136150424494</v>
      </c>
      <c r="H642" s="15" cm="1">
        <f t="array" ref="H642">_xlfn.IFS(Table13[[#This Row],[Column4]]="NEW",AVERAGEIFS(Table13[Column4],Table13[Year],Table13[[#This Row],[Year]]),ISNUMBER(Table13[[#This Row],[Column4]]),Table13[[#This Row],[Column4]],Table13[[#This Row],[Column4]]="",H641*(1+Table13[[#This Row],[Ávöxtun]]))</f>
        <v>278.05136150424494</v>
      </c>
      <c r="I642" cm="1">
        <f t="array" ref="I642">_xlfn.IFS(Table13[[#This Row],[Column4]]="NEW",_xlfn.XLOOKUP(Table13[[#This Row],[Year]],$N$2:$N$27,$P$2:$P$27),ISNUMBER(Table13[[#This Row],[Column4]]),Table13[[#This Row],[Column4]],Table13[[#This Row],[Column4]]="",I641*(1+Table13[[#This Row],[Ávöxtun]]))</f>
        <v>278.05136150424494</v>
      </c>
      <c r="L642" s="33">
        <v>278.05136150424494</v>
      </c>
      <c r="M642" s="33">
        <v>278.05136150424494</v>
      </c>
    </row>
    <row r="643" spans="1:13">
      <c r="A643" t="s">
        <v>117</v>
      </c>
      <c r="B643">
        <v>2015</v>
      </c>
      <c r="C643" s="16">
        <v>0.126</v>
      </c>
      <c r="D643" s="1">
        <v>571490103</v>
      </c>
      <c r="E643" s="29">
        <f>Table13[[#This Row],[Ávöxtun]]*Table13[[#This Row],[Eignir]]/SUMIFS(Table13[Eignir],Table13[Year],Table13[[#This Row],[Year]])</f>
        <v>3.0156993467533991E-2</v>
      </c>
      <c r="F643" s="23">
        <f>IF(B643=1997, 100, IF(COUNTIF(A$1:A642,A643)=0, "NEW", F642*(1+Table13[[#This Row],[Ávöxtun]])))</f>
        <v>313.08583305377977</v>
      </c>
      <c r="G643" s="18" cm="1">
        <f t="array" ref="G643">IFERROR(_xlfn.IFS(ISNUMBER(Table13[[#This Row],[Column3]]),Table13[[#This Row],[Column3]],Table13[[#This Row],[Column3]]="NEW",Table13[[#This Row],[Column3]]),"")</f>
        <v>313.08583305377977</v>
      </c>
      <c r="H643" s="15" cm="1">
        <f t="array" ref="H643">_xlfn.IFS(Table13[[#This Row],[Column4]]="NEW",AVERAGEIFS(Table13[Column4],Table13[Year],Table13[[#This Row],[Year]]),ISNUMBER(Table13[[#This Row],[Column4]]),Table13[[#This Row],[Column4]],Table13[[#This Row],[Column4]]="",H642*(1+Table13[[#This Row],[Ávöxtun]]))</f>
        <v>313.08583305377977</v>
      </c>
      <c r="I643" cm="1">
        <f t="array" ref="I643">_xlfn.IFS(Table13[[#This Row],[Column4]]="NEW",_xlfn.XLOOKUP(Table13[[#This Row],[Year]],$N$2:$N$27,$P$2:$P$27),ISNUMBER(Table13[[#This Row],[Column4]]),Table13[[#This Row],[Column4]],Table13[[#This Row],[Column4]]="",I642*(1+Table13[[#This Row],[Ávöxtun]]))</f>
        <v>313.08583305377977</v>
      </c>
      <c r="L643" s="33">
        <v>313.08583305377977</v>
      </c>
      <c r="M643" s="33">
        <v>313.08583305377977</v>
      </c>
    </row>
    <row r="644" spans="1:13">
      <c r="A644" t="s">
        <v>117</v>
      </c>
      <c r="B644">
        <v>2016</v>
      </c>
      <c r="C644" s="16">
        <v>5.6999999999999993E-3</v>
      </c>
      <c r="D644" s="1">
        <v>708597735.10000002</v>
      </c>
      <c r="E644" s="29">
        <f>Table13[[#This Row],[Ávöxtun]]*Table13[[#This Row],[Eignir]]/SUMIFS(Table13[Eignir],Table13[Year],Table13[[#This Row],[Year]])</f>
        <v>1.5487289794398006E-3</v>
      </c>
      <c r="F644" s="23">
        <f>IF(B644=1997, 100, IF(COUNTIF(A$1:A643,A644)=0, "NEW", F643*(1+Table13[[#This Row],[Ávöxtun]])))</f>
        <v>314.87042230218634</v>
      </c>
      <c r="G644" s="18" cm="1">
        <f t="array" ref="G644">IFERROR(_xlfn.IFS(ISNUMBER(Table13[[#This Row],[Column3]]),Table13[[#This Row],[Column3]],Table13[[#This Row],[Column3]]="NEW",Table13[[#This Row],[Column3]]),"")</f>
        <v>314.87042230218634</v>
      </c>
      <c r="H644" s="15" cm="1">
        <f t="array" ref="H644">_xlfn.IFS(Table13[[#This Row],[Column4]]="NEW",AVERAGEIFS(Table13[Column4],Table13[Year],Table13[[#This Row],[Year]]),ISNUMBER(Table13[[#This Row],[Column4]]),Table13[[#This Row],[Column4]],Table13[[#This Row],[Column4]]="",H643*(1+Table13[[#This Row],[Ávöxtun]]))</f>
        <v>314.87042230218634</v>
      </c>
      <c r="I644" cm="1">
        <f t="array" ref="I644">_xlfn.IFS(Table13[[#This Row],[Column4]]="NEW",_xlfn.XLOOKUP(Table13[[#This Row],[Year]],$N$2:$N$27,$P$2:$P$27),ISNUMBER(Table13[[#This Row],[Column4]]),Table13[[#This Row],[Column4]],Table13[[#This Row],[Column4]]="",I643*(1+Table13[[#This Row],[Ávöxtun]]))</f>
        <v>314.87042230218634</v>
      </c>
      <c r="L644" s="33">
        <v>314.87042230218634</v>
      </c>
      <c r="M644" s="33">
        <v>314.87042230218634</v>
      </c>
    </row>
    <row r="645" spans="1:13">
      <c r="A645" t="s">
        <v>117</v>
      </c>
      <c r="B645">
        <v>2017</v>
      </c>
      <c r="C645" s="16">
        <v>0.11800000000000001</v>
      </c>
      <c r="D645" s="1">
        <v>785956647</v>
      </c>
      <c r="E645" s="29">
        <f>Table13[[#This Row],[Ávöxtun]]*Table13[[#This Row],[Eignir]]/SUMIFS(Table13[Eignir],Table13[Year],Table13[[#This Row],[Year]])</f>
        <v>3.1912951957504404E-2</v>
      </c>
      <c r="F645" s="23">
        <f>IF(B645=1997, 100, IF(COUNTIF(A$1:A644,A645)=0, "NEW", F644*(1+Table13[[#This Row],[Ávöxtun]])))</f>
        <v>352.02513213384435</v>
      </c>
      <c r="G645" s="18" cm="1">
        <f t="array" ref="G645">IFERROR(_xlfn.IFS(ISNUMBER(Table13[[#This Row],[Column3]]),Table13[[#This Row],[Column3]],Table13[[#This Row],[Column3]]="NEW",Table13[[#This Row],[Column3]]),"")</f>
        <v>352.02513213384435</v>
      </c>
      <c r="H645" s="15" cm="1">
        <f t="array" ref="H645">_xlfn.IFS(Table13[[#This Row],[Column4]]="NEW",AVERAGEIFS(Table13[Column4],Table13[Year],Table13[[#This Row],[Year]]),ISNUMBER(Table13[[#This Row],[Column4]]),Table13[[#This Row],[Column4]],Table13[[#This Row],[Column4]]="",H644*(1+Table13[[#This Row],[Ávöxtun]]))</f>
        <v>352.02513213384435</v>
      </c>
      <c r="I645" cm="1">
        <f t="array" ref="I645">_xlfn.IFS(Table13[[#This Row],[Column4]]="NEW",_xlfn.XLOOKUP(Table13[[#This Row],[Year]],$N$2:$N$27,$P$2:$P$27),ISNUMBER(Table13[[#This Row],[Column4]]),Table13[[#This Row],[Column4]],Table13[[#This Row],[Column4]]="",I644*(1+Table13[[#This Row],[Ávöxtun]]))</f>
        <v>352.02513213384435</v>
      </c>
      <c r="L645" s="33">
        <v>352.02513213384435</v>
      </c>
      <c r="M645" s="33">
        <v>352.02513213384435</v>
      </c>
    </row>
    <row r="646" spans="1:13">
      <c r="A646" t="s">
        <v>117</v>
      </c>
      <c r="B646">
        <v>2018</v>
      </c>
      <c r="C646" s="16">
        <v>4.7E-2</v>
      </c>
      <c r="D646" s="1">
        <v>858037157</v>
      </c>
      <c r="E646" s="29">
        <f>Table13[[#This Row],[Ávöxtun]]*Table13[[#This Row],[Eignir]]/SUMIFS(Table13[Eignir],Table13[Year],Table13[[#This Row],[Year]])</f>
        <v>1.2930034954572496E-2</v>
      </c>
      <c r="F646" s="23">
        <f>IF(B646=1997, 100, IF(COUNTIF(A$1:A645,A646)=0, "NEW", F645*(1+Table13[[#This Row],[Ávöxtun]])))</f>
        <v>368.570313344135</v>
      </c>
      <c r="G646" s="18" cm="1">
        <f t="array" ref="G646">IFERROR(_xlfn.IFS(ISNUMBER(Table13[[#This Row],[Column3]]),Table13[[#This Row],[Column3]],Table13[[#This Row],[Column3]]="NEW",Table13[[#This Row],[Column3]]),"")</f>
        <v>368.570313344135</v>
      </c>
      <c r="H646" s="15" cm="1">
        <f t="array" ref="H646">_xlfn.IFS(Table13[[#This Row],[Column4]]="NEW",AVERAGEIFS(Table13[Column4],Table13[Year],Table13[[#This Row],[Year]]),ISNUMBER(Table13[[#This Row],[Column4]]),Table13[[#This Row],[Column4]],Table13[[#This Row],[Column4]]="",H645*(1+Table13[[#This Row],[Ávöxtun]]))</f>
        <v>368.570313344135</v>
      </c>
      <c r="I646" cm="1">
        <f t="array" ref="I646">_xlfn.IFS(Table13[[#This Row],[Column4]]="NEW",_xlfn.XLOOKUP(Table13[[#This Row],[Year]],$N$2:$N$27,$P$2:$P$27),ISNUMBER(Table13[[#This Row],[Column4]]),Table13[[#This Row],[Column4]],Table13[[#This Row],[Column4]]="",I645*(1+Table13[[#This Row],[Ávöxtun]]))</f>
        <v>368.570313344135</v>
      </c>
      <c r="L646" s="33">
        <v>368.570313344135</v>
      </c>
      <c r="M646" s="33">
        <v>368.570313344135</v>
      </c>
    </row>
    <row r="647" spans="1:13">
      <c r="A647" t="s">
        <v>117</v>
      </c>
      <c r="B647">
        <v>2019</v>
      </c>
      <c r="C647" s="16">
        <v>0.27800000000000002</v>
      </c>
      <c r="D647" s="1">
        <v>961852911.32799995</v>
      </c>
      <c r="E647" s="29">
        <f>Table13[[#This Row],[Ávöxtun]]*Table13[[#This Row],[Eignir]]/SUMIFS(Table13[Eignir],Table13[Year],Table13[[#This Row],[Year]])</f>
        <v>7.4766012147893426E-2</v>
      </c>
      <c r="F647" s="23">
        <f>IF(B647=1997, 100, IF(COUNTIF(A$1:A646,A647)=0, "NEW", F646*(1+Table13[[#This Row],[Ávöxtun]])))</f>
        <v>471.03286045380452</v>
      </c>
      <c r="G647" s="18" cm="1">
        <f t="array" ref="G647">IFERROR(_xlfn.IFS(ISNUMBER(Table13[[#This Row],[Column3]]),Table13[[#This Row],[Column3]],Table13[[#This Row],[Column3]]="NEW",Table13[[#This Row],[Column3]]),"")</f>
        <v>471.03286045380452</v>
      </c>
      <c r="H647" s="15" cm="1">
        <f t="array" ref="H647">_xlfn.IFS(Table13[[#This Row],[Column4]]="NEW",AVERAGEIFS(Table13[Column4],Table13[Year],Table13[[#This Row],[Year]]),ISNUMBER(Table13[[#This Row],[Column4]]),Table13[[#This Row],[Column4]],Table13[[#This Row],[Column4]]="",H646*(1+Table13[[#This Row],[Ávöxtun]]))</f>
        <v>471.03286045380452</v>
      </c>
      <c r="I647" cm="1">
        <f t="array" ref="I647">_xlfn.IFS(Table13[[#This Row],[Column4]]="NEW",_xlfn.XLOOKUP(Table13[[#This Row],[Year]],$N$2:$N$27,$P$2:$P$27),ISNUMBER(Table13[[#This Row],[Column4]]),Table13[[#This Row],[Column4]],Table13[[#This Row],[Column4]]="",I646*(1+Table13[[#This Row],[Ávöxtun]]))</f>
        <v>471.03286045380452</v>
      </c>
      <c r="L647" s="33">
        <v>471.03286045380452</v>
      </c>
      <c r="M647" s="33">
        <v>471.03286045380452</v>
      </c>
    </row>
    <row r="648" spans="1:13">
      <c r="A648" t="s">
        <v>117</v>
      </c>
      <c r="B648">
        <v>2020</v>
      </c>
      <c r="C648" s="16">
        <v>0.22600000000000001</v>
      </c>
      <c r="D648" s="1">
        <v>1148398781.342</v>
      </c>
      <c r="E648" s="29">
        <f>Table13[[#This Row],[Ávöxtun]]*Table13[[#This Row],[Eignir]]/SUMIFS(Table13[Eignir],Table13[Year],Table13[[#This Row],[Year]])</f>
        <v>6.2627611941337827E-2</v>
      </c>
      <c r="F648" s="23">
        <f>IF(B648=1997, 100, IF(COUNTIF(A$1:A647,A648)=0, "NEW", F647*(1+Table13[[#This Row],[Ávöxtun]])))</f>
        <v>577.48628691636429</v>
      </c>
      <c r="G648" s="18" cm="1">
        <f t="array" ref="G648">IFERROR(_xlfn.IFS(ISNUMBER(Table13[[#This Row],[Column3]]),Table13[[#This Row],[Column3]],Table13[[#This Row],[Column3]]="NEW",Table13[[#This Row],[Column3]]),"")</f>
        <v>577.48628691636429</v>
      </c>
      <c r="H648" s="15" cm="1">
        <f t="array" ref="H648">_xlfn.IFS(Table13[[#This Row],[Column4]]="NEW",AVERAGEIFS(Table13[Column4],Table13[Year],Table13[[#This Row],[Year]]),ISNUMBER(Table13[[#This Row],[Column4]]),Table13[[#This Row],[Column4]],Table13[[#This Row],[Column4]]="",H647*(1+Table13[[#This Row],[Ávöxtun]]))</f>
        <v>577.48628691636429</v>
      </c>
      <c r="I648" cm="1">
        <f t="array" ref="I648">_xlfn.IFS(Table13[[#This Row],[Column4]]="NEW",_xlfn.XLOOKUP(Table13[[#This Row],[Year]],$N$2:$N$27,$P$2:$P$27),ISNUMBER(Table13[[#This Row],[Column4]]),Table13[[#This Row],[Column4]],Table13[[#This Row],[Column4]]="",I647*(1+Table13[[#This Row],[Ávöxtun]]))</f>
        <v>577.48628691636429</v>
      </c>
      <c r="L648" s="33">
        <v>577.48628691636429</v>
      </c>
      <c r="M648" s="33">
        <v>577.48628691636429</v>
      </c>
    </row>
    <row r="649" spans="1:13">
      <c r="A649" t="s">
        <v>117</v>
      </c>
      <c r="B649">
        <v>2021</v>
      </c>
      <c r="C649" s="16">
        <v>0.19700000000000001</v>
      </c>
      <c r="D649" s="1">
        <v>1324570318.677</v>
      </c>
      <c r="E649" s="29">
        <f>Table13[[#This Row],[Ávöxtun]]*Table13[[#This Row],[Eignir]]/SUMIFS(Table13[Eignir],Table13[Year],Table13[[#This Row],[Year]])</f>
        <v>5.3649534588495078E-2</v>
      </c>
      <c r="F649" s="23">
        <f>IF(B649=1997, 100, IF(COUNTIF(A$1:A648,A649)=0, "NEW", F648*(1+Table13[[#This Row],[Ávöxtun]])))</f>
        <v>691.25108543888814</v>
      </c>
      <c r="G649" s="18" cm="1">
        <f t="array" ref="G649">IFERROR(_xlfn.IFS(ISNUMBER(Table13[[#This Row],[Column3]]),Table13[[#This Row],[Column3]],Table13[[#This Row],[Column3]]="NEW",Table13[[#This Row],[Column3]]),"")</f>
        <v>691.25108543888814</v>
      </c>
      <c r="H649" s="15" cm="1">
        <f t="array" ref="H649">_xlfn.IFS(Table13[[#This Row],[Column4]]="NEW",AVERAGEIFS(Table13[Column4],Table13[Year],Table13[[#This Row],[Year]]),ISNUMBER(Table13[[#This Row],[Column4]]),Table13[[#This Row],[Column4]],Table13[[#This Row],[Column4]]="",H648*(1+Table13[[#This Row],[Ávöxtun]]))</f>
        <v>691.25108543888814</v>
      </c>
      <c r="I649" cm="1">
        <f t="array" ref="I649">_xlfn.IFS(Table13[[#This Row],[Column4]]="NEW",_xlfn.XLOOKUP(Table13[[#This Row],[Year]],$N$2:$N$27,$P$2:$P$27),ISNUMBER(Table13[[#This Row],[Column4]]),Table13[[#This Row],[Column4]],Table13[[#This Row],[Column4]]="",I648*(1+Table13[[#This Row],[Ávöxtun]]))</f>
        <v>691.25108543888814</v>
      </c>
      <c r="L649" s="33">
        <v>691.25108543888814</v>
      </c>
      <c r="M649" s="33">
        <v>691.25108543888814</v>
      </c>
    </row>
    <row r="650" spans="1:13">
      <c r="A650" t="s">
        <v>118</v>
      </c>
      <c r="B650">
        <v>1998</v>
      </c>
      <c r="C650" s="16">
        <v>0</v>
      </c>
      <c r="D650" s="1">
        <v>58353.58</v>
      </c>
      <c r="E650" s="29">
        <f>Table13[[#This Row],[Ávöxtun]]*Table13[[#This Row],[Eignir]]/SUMIFS(Table13[Eignir],Table13[Year],Table13[[#This Row],[Year]])</f>
        <v>0</v>
      </c>
      <c r="F650" s="23" t="str">
        <f>IF(B650=1997, 100, IF(COUNTIF(A$1:A649,A650)=0, "NEW", F649*(1+Table13[[#This Row],[Ávöxtun]])))</f>
        <v>NEW</v>
      </c>
      <c r="G650" s="18" t="str" cm="1">
        <f t="array" ref="G650">IFERROR(_xlfn.IFS(ISNUMBER(Table13[[#This Row],[Column3]]),Table13[[#This Row],[Column3]],Table13[[#This Row],[Column3]]="NEW",Table13[[#This Row],[Column3]]),"")</f>
        <v>NEW</v>
      </c>
      <c r="H650" s="15" cm="1">
        <f t="array" ref="H650">_xlfn.IFS(Table13[[#This Row],[Column4]]="NEW",AVERAGEIFS(Table13[Column4],Table13[Year],Table13[[#This Row],[Year]]),ISNUMBER(Table13[[#This Row],[Column4]]),Table13[[#This Row],[Column4]],Table13[[#This Row],[Column4]]="",H649*(1+Table13[[#This Row],[Ávöxtun]]))</f>
        <v>106.73469387755102</v>
      </c>
      <c r="I650" cm="1">
        <f t="array" ref="I650">_xlfn.IFS(Table13[[#This Row],[Column4]]="NEW",_xlfn.XLOOKUP(Table13[[#This Row],[Year]],$N$2:$N$27,$P$2:$P$27),ISNUMBER(Table13[[#This Row],[Column4]]),Table13[[#This Row],[Column4]],Table13[[#This Row],[Column4]]="",I649*(1+Table13[[#This Row],[Ávöxtun]]))</f>
        <v>106.95001927823813</v>
      </c>
      <c r="L650" s="33">
        <v>106.70588235294117</v>
      </c>
      <c r="M650" s="33">
        <v>115.36660895196104</v>
      </c>
    </row>
    <row r="651" spans="1:13">
      <c r="A651" t="s">
        <v>118</v>
      </c>
      <c r="B651">
        <v>1999</v>
      </c>
      <c r="C651" s="16">
        <v>0</v>
      </c>
      <c r="D651" s="1">
        <v>578141.65</v>
      </c>
      <c r="E651" s="29">
        <f>Table13[[#This Row],[Ávöxtun]]*Table13[[#This Row],[Eignir]]/SUMIFS(Table13[Eignir],Table13[Year],Table13[[#This Row],[Year]])</f>
        <v>0</v>
      </c>
      <c r="F651" s="23" t="e">
        <f>IF(B651=1997, 100, IF(COUNTIF(A$1:A650,A651)=0, "NEW", F650*(1+Table13[[#This Row],[Ávöxtun]])))</f>
        <v>#VALUE!</v>
      </c>
      <c r="G651" s="18" t="str" cm="1">
        <f t="array" ref="G651">IFERROR(_xlfn.IFS(ISNUMBER(Table13[[#This Row],[Column3]]),Table13[[#This Row],[Column3]],Table13[[#This Row],[Column3]]="NEW",Table13[[#This Row],[Column3]]),"")</f>
        <v/>
      </c>
      <c r="H651" s="15" cm="1">
        <f t="array" ref="H651">_xlfn.IFS(Table13[[#This Row],[Column4]]="NEW",AVERAGEIFS(Table13[Column4],Table13[Year],Table13[[#This Row],[Year]]),ISNUMBER(Table13[[#This Row],[Column4]]),Table13[[#This Row],[Column4]],Table13[[#This Row],[Column4]]="",H650*(1+Table13[[#This Row],[Ávöxtun]]))</f>
        <v>106.73469387755102</v>
      </c>
      <c r="I651" cm="1">
        <f t="array" ref="I651">_xlfn.IFS(Table13[[#This Row],[Column4]]="NEW",_xlfn.XLOOKUP(Table13[[#This Row],[Year]],$N$2:$N$27,$P$2:$P$27),ISNUMBER(Table13[[#This Row],[Column4]]),Table13[[#This Row],[Column4]],Table13[[#This Row],[Column4]]="",I650*(1+Table13[[#This Row],[Ávöxtun]]))</f>
        <v>106.95001927823813</v>
      </c>
      <c r="L651" s="33">
        <v>106.70588235294117</v>
      </c>
      <c r="M651" s="33">
        <v>115.36660895196104</v>
      </c>
    </row>
    <row r="652" spans="1:13">
      <c r="A652" t="s">
        <v>118</v>
      </c>
      <c r="B652">
        <v>2000</v>
      </c>
      <c r="C652" s="16">
        <v>-0.28999999999999998</v>
      </c>
      <c r="D652" s="1">
        <v>2993088.46</v>
      </c>
      <c r="E652" s="29">
        <f>Table13[[#This Row],[Ávöxtun]]*Table13[[#This Row],[Eignir]]/SUMIFS(Table13[Eignir],Table13[Year],Table13[[#This Row],[Year]])</f>
        <v>-1.389945878627584E-3</v>
      </c>
      <c r="F652" s="23" t="e">
        <f>IF(B652=1997, 100, IF(COUNTIF(A$1:A651,A652)=0, "NEW", F651*(1+Table13[[#This Row],[Ávöxtun]])))</f>
        <v>#VALUE!</v>
      </c>
      <c r="G652" s="18" t="str" cm="1">
        <f t="array" ref="G652">IFERROR(_xlfn.IFS(ISNUMBER(Table13[[#This Row],[Column3]]),Table13[[#This Row],[Column3]],Table13[[#This Row],[Column3]]="NEW",Table13[[#This Row],[Column3]]),"")</f>
        <v/>
      </c>
      <c r="H652" s="15" cm="1">
        <f t="array" ref="H652">_xlfn.IFS(Table13[[#This Row],[Column4]]="NEW",AVERAGEIFS(Table13[Column4],Table13[Year],Table13[[#This Row],[Year]]),ISNUMBER(Table13[[#This Row],[Column4]]),Table13[[#This Row],[Column4]],Table13[[#This Row],[Column4]]="",H651*(1+Table13[[#This Row],[Ávöxtun]]))</f>
        <v>75.781632653061223</v>
      </c>
      <c r="I652" cm="1">
        <f t="array" ref="I652">_xlfn.IFS(Table13[[#This Row],[Column4]]="NEW",_xlfn.XLOOKUP(Table13[[#This Row],[Year]],$N$2:$N$27,$P$2:$P$27),ISNUMBER(Table13[[#This Row],[Column4]]),Table13[[#This Row],[Column4]],Table13[[#This Row],[Column4]]="",I651*(1+Table13[[#This Row],[Ávöxtun]]))</f>
        <v>75.934513687549071</v>
      </c>
      <c r="L652" s="33">
        <v>75.761176470588225</v>
      </c>
      <c r="M652" s="33">
        <v>81.910292355892338</v>
      </c>
    </row>
    <row r="653" spans="1:13">
      <c r="A653" t="s">
        <v>118</v>
      </c>
      <c r="B653">
        <v>2001</v>
      </c>
      <c r="C653" s="16">
        <v>-0.12</v>
      </c>
      <c r="D653" s="1">
        <v>6073269.6200000001</v>
      </c>
      <c r="E653" s="29">
        <f>Table13[[#This Row],[Ávöxtun]]*Table13[[#This Row],[Eignir]]/SUMIFS(Table13[Eignir],Table13[Year],Table13[[#This Row],[Year]])</f>
        <v>-7.5833677791935748E-4</v>
      </c>
      <c r="F653" s="23" t="e">
        <f>IF(B653=1997, 100, IF(COUNTIF(A$1:A652,A653)=0, "NEW", F652*(1+Table13[[#This Row],[Ávöxtun]])))</f>
        <v>#VALUE!</v>
      </c>
      <c r="G653" s="18" t="str" cm="1">
        <f t="array" ref="G653">IFERROR(_xlfn.IFS(ISNUMBER(Table13[[#This Row],[Column3]]),Table13[[#This Row],[Column3]],Table13[[#This Row],[Column3]]="NEW",Table13[[#This Row],[Column3]]),"")</f>
        <v/>
      </c>
      <c r="H653" s="15" cm="1">
        <f t="array" ref="H653">_xlfn.IFS(Table13[[#This Row],[Column4]]="NEW",AVERAGEIFS(Table13[Column4],Table13[Year],Table13[[#This Row],[Year]]),ISNUMBER(Table13[[#This Row],[Column4]]),Table13[[#This Row],[Column4]],Table13[[#This Row],[Column4]]="",H652*(1+Table13[[#This Row],[Ávöxtun]]))</f>
        <v>66.687836734693875</v>
      </c>
      <c r="I653" cm="1">
        <f t="array" ref="I653">_xlfn.IFS(Table13[[#This Row],[Column4]]="NEW",_xlfn.XLOOKUP(Table13[[#This Row],[Year]],$N$2:$N$27,$P$2:$P$27),ISNUMBER(Table13[[#This Row],[Column4]]),Table13[[#This Row],[Column4]],Table13[[#This Row],[Column4]]="",I652*(1+Table13[[#This Row],[Ávöxtun]]))</f>
        <v>66.822372045043181</v>
      </c>
      <c r="L653" s="33">
        <v>66.669835294117632</v>
      </c>
      <c r="M653" s="33">
        <v>72.081057273185252</v>
      </c>
    </row>
    <row r="654" spans="1:13">
      <c r="A654" t="s">
        <v>118</v>
      </c>
      <c r="B654">
        <v>2002</v>
      </c>
      <c r="C654" s="16">
        <v>-0.05</v>
      </c>
      <c r="D654" s="1">
        <v>4642432</v>
      </c>
      <c r="E654" s="29">
        <f>Table13[[#This Row],[Ávöxtun]]*Table13[[#This Row],[Eignir]]/SUMIFS(Table13[Eignir],Table13[Year],Table13[[#This Row],[Year]])</f>
        <v>-4.3559649780678484E-4</v>
      </c>
      <c r="F654" s="23" t="e">
        <f>IF(B654=1997, 100, IF(COUNTIF(A$1:A653,A654)=0, "NEW", F653*(1+Table13[[#This Row],[Ávöxtun]])))</f>
        <v>#VALUE!</v>
      </c>
      <c r="G654" s="18" t="str" cm="1">
        <f t="array" ref="G654">IFERROR(_xlfn.IFS(ISNUMBER(Table13[[#This Row],[Column3]]),Table13[[#This Row],[Column3]],Table13[[#This Row],[Column3]]="NEW",Table13[[#This Row],[Column3]]),"")</f>
        <v/>
      </c>
      <c r="H654" s="15" cm="1">
        <f t="array" ref="H654">_xlfn.IFS(Table13[[#This Row],[Column4]]="NEW",AVERAGEIFS(Table13[Column4],Table13[Year],Table13[[#This Row],[Year]]),ISNUMBER(Table13[[#This Row],[Column4]]),Table13[[#This Row],[Column4]],Table13[[#This Row],[Column4]]="",H653*(1+Table13[[#This Row],[Ávöxtun]]))</f>
        <v>63.353444897959179</v>
      </c>
      <c r="I654" cm="1">
        <f t="array" ref="I654">_xlfn.IFS(Table13[[#This Row],[Column4]]="NEW",_xlfn.XLOOKUP(Table13[[#This Row],[Year]],$N$2:$N$27,$P$2:$P$27),ISNUMBER(Table13[[#This Row],[Column4]]),Table13[[#This Row],[Column4]],Table13[[#This Row],[Column4]]="",I653*(1+Table13[[#This Row],[Ávöxtun]]))</f>
        <v>63.481253442791022</v>
      </c>
      <c r="L654" s="33">
        <v>63.336343529411749</v>
      </c>
      <c r="M654" s="33">
        <v>68.477004409525989</v>
      </c>
    </row>
    <row r="655" spans="1:13">
      <c r="A655" t="s">
        <v>118</v>
      </c>
      <c r="B655">
        <v>2003</v>
      </c>
      <c r="C655" s="16">
        <v>0.19</v>
      </c>
      <c r="D655" s="1">
        <v>7354351</v>
      </c>
      <c r="E655" s="29">
        <f>Table13[[#This Row],[Ávöxtun]]*Table13[[#This Row],[Eignir]]/SUMIFS(Table13[Eignir],Table13[Year],Table13[[#This Row],[Year]])</f>
        <v>2.1908826935785881E-3</v>
      </c>
      <c r="F655" s="23" t="e">
        <f>IF(B655=1997, 100, IF(COUNTIF(A$1:A654,A655)=0, "NEW", F654*(1+Table13[[#This Row],[Ávöxtun]])))</f>
        <v>#VALUE!</v>
      </c>
      <c r="G655" s="18" t="str" cm="1">
        <f t="array" ref="G655">IFERROR(_xlfn.IFS(ISNUMBER(Table13[[#This Row],[Column3]]),Table13[[#This Row],[Column3]],Table13[[#This Row],[Column3]]="NEW",Table13[[#This Row],[Column3]]),"")</f>
        <v/>
      </c>
      <c r="H655" s="15" cm="1">
        <f t="array" ref="H655">_xlfn.IFS(Table13[[#This Row],[Column4]]="NEW",AVERAGEIFS(Table13[Column4],Table13[Year],Table13[[#This Row],[Year]]),ISNUMBER(Table13[[#This Row],[Column4]]),Table13[[#This Row],[Column4]],Table13[[#This Row],[Column4]]="",H654*(1+Table13[[#This Row],[Ávöxtun]]))</f>
        <v>75.39059942857142</v>
      </c>
      <c r="I655" cm="1">
        <f t="array" ref="I655">_xlfn.IFS(Table13[[#This Row],[Column4]]="NEW",_xlfn.XLOOKUP(Table13[[#This Row],[Year]],$N$2:$N$27,$P$2:$P$27),ISNUMBER(Table13[[#This Row],[Column4]]),Table13[[#This Row],[Column4]],Table13[[#This Row],[Column4]]="",I654*(1+Table13[[#This Row],[Ávöxtun]]))</f>
        <v>75.542691596921316</v>
      </c>
      <c r="L655" s="33">
        <v>75.370248799999985</v>
      </c>
      <c r="M655" s="33">
        <v>81.48763524733593</v>
      </c>
    </row>
    <row r="656" spans="1:13">
      <c r="A656" t="s">
        <v>118</v>
      </c>
      <c r="B656">
        <v>2004</v>
      </c>
      <c r="C656" s="16">
        <v>0.1</v>
      </c>
      <c r="D656" s="1">
        <v>12011566.029999999</v>
      </c>
      <c r="E656" s="29">
        <f>Table13[[#This Row],[Ávöxtun]]*Table13[[#This Row],[Eignir]]/SUMIFS(Table13[Eignir],Table13[Year],Table13[[#This Row],[Year]])</f>
        <v>1.581233982304728E-3</v>
      </c>
      <c r="F656" s="23" t="e">
        <f>IF(B656=1997, 100, IF(COUNTIF(A$1:A655,A656)=0, "NEW", F655*(1+Table13[[#This Row],[Ávöxtun]])))</f>
        <v>#VALUE!</v>
      </c>
      <c r="G656" s="18" t="str" cm="1">
        <f t="array" ref="G656">IFERROR(_xlfn.IFS(ISNUMBER(Table13[[#This Row],[Column3]]),Table13[[#This Row],[Column3]],Table13[[#This Row],[Column3]]="NEW",Table13[[#This Row],[Column3]]),"")</f>
        <v/>
      </c>
      <c r="H656" s="15" cm="1">
        <f t="array" ref="H656">_xlfn.IFS(Table13[[#This Row],[Column4]]="NEW",AVERAGEIFS(Table13[Column4],Table13[Year],Table13[[#This Row],[Year]]),ISNUMBER(Table13[[#This Row],[Column4]]),Table13[[#This Row],[Column4]],Table13[[#This Row],[Column4]]="",H655*(1+Table13[[#This Row],[Ávöxtun]]))</f>
        <v>82.929659371428571</v>
      </c>
      <c r="I656" cm="1">
        <f t="array" ref="I656">_xlfn.IFS(Table13[[#This Row],[Column4]]="NEW",_xlfn.XLOOKUP(Table13[[#This Row],[Year]],$N$2:$N$27,$P$2:$P$27),ISNUMBER(Table13[[#This Row],[Column4]]),Table13[[#This Row],[Column4]],Table13[[#This Row],[Column4]]="",I655*(1+Table13[[#This Row],[Ávöxtun]]))</f>
        <v>83.096960756613456</v>
      </c>
      <c r="L656" s="33">
        <v>82.907273679999989</v>
      </c>
      <c r="M656" s="33">
        <v>89.636398772069526</v>
      </c>
    </row>
    <row r="657" spans="1:13">
      <c r="A657" t="s">
        <v>118</v>
      </c>
      <c r="B657">
        <v>2005</v>
      </c>
      <c r="C657" s="16">
        <v>0.14000000000000001</v>
      </c>
      <c r="D657" s="1">
        <v>16163013</v>
      </c>
      <c r="E657" s="29">
        <f>Table13[[#This Row],[Ávöxtun]]*Table13[[#This Row],[Eignir]]/SUMIFS(Table13[Eignir],Table13[Year],Table13[[#This Row],[Year]])</f>
        <v>2.4242547914184514E-3</v>
      </c>
      <c r="F657" s="23" t="e">
        <f>IF(B657=1997, 100, IF(COUNTIF(A$1:A656,A657)=0, "NEW", F656*(1+Table13[[#This Row],[Ávöxtun]])))</f>
        <v>#VALUE!</v>
      </c>
      <c r="G657" s="18" t="str" cm="1">
        <f t="array" ref="G657">IFERROR(_xlfn.IFS(ISNUMBER(Table13[[#This Row],[Column3]]),Table13[[#This Row],[Column3]],Table13[[#This Row],[Column3]]="NEW",Table13[[#This Row],[Column3]]),"")</f>
        <v/>
      </c>
      <c r="H657" s="15" cm="1">
        <f t="array" ref="H657">_xlfn.IFS(Table13[[#This Row],[Column4]]="NEW",AVERAGEIFS(Table13[Column4],Table13[Year],Table13[[#This Row],[Year]]),ISNUMBER(Table13[[#This Row],[Column4]]),Table13[[#This Row],[Column4]],Table13[[#This Row],[Column4]]="",H656*(1+Table13[[#This Row],[Ávöxtun]]))</f>
        <v>94.539811683428582</v>
      </c>
      <c r="I657" cm="1">
        <f t="array" ref="I657">_xlfn.IFS(Table13[[#This Row],[Column4]]="NEW",_xlfn.XLOOKUP(Table13[[#This Row],[Year]],$N$2:$N$27,$P$2:$P$27),ISNUMBER(Table13[[#This Row],[Column4]]),Table13[[#This Row],[Column4]],Table13[[#This Row],[Column4]]="",I656*(1+Table13[[#This Row],[Ávöxtun]]))</f>
        <v>94.730535262539348</v>
      </c>
      <c r="L657" s="33">
        <v>94.514291995199997</v>
      </c>
      <c r="M657" s="33">
        <v>102.18549460015927</v>
      </c>
    </row>
    <row r="658" spans="1:13">
      <c r="A658" t="s">
        <v>118</v>
      </c>
      <c r="B658">
        <v>2006</v>
      </c>
      <c r="C658" s="16">
        <v>0.15859999999999999</v>
      </c>
      <c r="D658" s="1">
        <v>22146893</v>
      </c>
      <c r="E658" s="29">
        <f>Table13[[#This Row],[Ávöxtun]]*Table13[[#This Row],[Eignir]]/SUMIFS(Table13[Eignir],Table13[Year],Table13[[#This Row],[Year]])</f>
        <v>3.0876051834849878E-3</v>
      </c>
      <c r="F658" s="23" t="e">
        <f>IF(B658=1997, 100, IF(COUNTIF(A$1:A657,A658)=0, "NEW", F657*(1+Table13[[#This Row],[Ávöxtun]])))</f>
        <v>#VALUE!</v>
      </c>
      <c r="G658" s="18" t="str" cm="1">
        <f t="array" ref="G658">IFERROR(_xlfn.IFS(ISNUMBER(Table13[[#This Row],[Column3]]),Table13[[#This Row],[Column3]],Table13[[#This Row],[Column3]]="NEW",Table13[[#This Row],[Column3]]),"")</f>
        <v/>
      </c>
      <c r="H658" s="15" cm="1">
        <f t="array" ref="H658">_xlfn.IFS(Table13[[#This Row],[Column4]]="NEW",AVERAGEIFS(Table13[Column4],Table13[Year],Table13[[#This Row],[Year]]),ISNUMBER(Table13[[#This Row],[Column4]]),Table13[[#This Row],[Column4]],Table13[[#This Row],[Column4]]="",H657*(1+Table13[[#This Row],[Ávöxtun]]))</f>
        <v>109.53382581642036</v>
      </c>
      <c r="I658" cm="1">
        <f t="array" ref="I658">_xlfn.IFS(Table13[[#This Row],[Column4]]="NEW",_xlfn.XLOOKUP(Table13[[#This Row],[Year]],$N$2:$N$27,$P$2:$P$27),ISNUMBER(Table13[[#This Row],[Column4]]),Table13[[#This Row],[Column4]],Table13[[#This Row],[Column4]]="",I657*(1+Table13[[#This Row],[Ávöxtun]]))</f>
        <v>109.75479815517809</v>
      </c>
      <c r="L658" s="33">
        <v>109.50425870563872</v>
      </c>
      <c r="M658" s="33">
        <v>118.39211404374454</v>
      </c>
    </row>
    <row r="659" spans="1:13">
      <c r="A659" t="s">
        <v>118</v>
      </c>
      <c r="B659">
        <v>2007</v>
      </c>
      <c r="C659" s="16">
        <v>1.95E-2</v>
      </c>
      <c r="D659" s="1">
        <v>27587433</v>
      </c>
      <c r="E659" s="29">
        <f>Table13[[#This Row],[Ávöxtun]]*Table13[[#This Row],[Eignir]]/SUMIFS(Table13[Eignir],Table13[Year],Table13[[#This Row],[Year]])</f>
        <v>4.1914427829253223E-4</v>
      </c>
      <c r="F659" s="23" t="e">
        <f>IF(B659=1997, 100, IF(COUNTIF(A$1:A658,A659)=0, "NEW", F658*(1+Table13[[#This Row],[Ávöxtun]])))</f>
        <v>#VALUE!</v>
      </c>
      <c r="G659" s="18" t="str" cm="1">
        <f t="array" ref="G659">IFERROR(_xlfn.IFS(ISNUMBER(Table13[[#This Row],[Column3]]),Table13[[#This Row],[Column3]],Table13[[#This Row],[Column3]]="NEW",Table13[[#This Row],[Column3]]),"")</f>
        <v/>
      </c>
      <c r="H659" s="15" cm="1">
        <f t="array" ref="H659">_xlfn.IFS(Table13[[#This Row],[Column4]]="NEW",AVERAGEIFS(Table13[Column4],Table13[Year],Table13[[#This Row],[Year]]),ISNUMBER(Table13[[#This Row],[Column4]]),Table13[[#This Row],[Column4]],Table13[[#This Row],[Column4]]="",H658*(1+Table13[[#This Row],[Ávöxtun]]))</f>
        <v>111.66973541984056</v>
      </c>
      <c r="I659" cm="1">
        <f t="array" ref="I659">_xlfn.IFS(Table13[[#This Row],[Column4]]="NEW",_xlfn.XLOOKUP(Table13[[#This Row],[Year]],$N$2:$N$27,$P$2:$P$27),ISNUMBER(Table13[[#This Row],[Column4]]),Table13[[#This Row],[Column4]],Table13[[#This Row],[Column4]]="",I658*(1+Table13[[#This Row],[Ávöxtun]]))</f>
        <v>111.89501671920408</v>
      </c>
      <c r="L659" s="33">
        <v>111.63959175039868</v>
      </c>
      <c r="M659" s="33">
        <v>120.70076026759757</v>
      </c>
    </row>
    <row r="660" spans="1:13">
      <c r="A660" t="s">
        <v>118</v>
      </c>
      <c r="B660">
        <v>2008</v>
      </c>
      <c r="C660" s="16">
        <v>-0.2389</v>
      </c>
      <c r="D660" s="1">
        <v>32677126</v>
      </c>
      <c r="E660" s="29">
        <f>Table13[[#This Row],[Ávöxtun]]*Table13[[#This Row],[Eignir]]/SUMIFS(Table13[Eignir],Table13[Year],Table13[[#This Row],[Year]])</f>
        <v>-6.3007205125289924E-3</v>
      </c>
      <c r="F660" s="23" t="e">
        <f>IF(B660=1997, 100, IF(COUNTIF(A$1:A659,A660)=0, "NEW", F659*(1+Table13[[#This Row],[Ávöxtun]])))</f>
        <v>#VALUE!</v>
      </c>
      <c r="G660" s="18" t="str" cm="1">
        <f t="array" ref="G660">IFERROR(_xlfn.IFS(ISNUMBER(Table13[[#This Row],[Column3]]),Table13[[#This Row],[Column3]],Table13[[#This Row],[Column3]]="NEW",Table13[[#This Row],[Column3]]),"")</f>
        <v/>
      </c>
      <c r="H660" s="15" cm="1">
        <f t="array" ref="H660">_xlfn.IFS(Table13[[#This Row],[Column4]]="NEW",AVERAGEIFS(Table13[Column4],Table13[Year],Table13[[#This Row],[Year]]),ISNUMBER(Table13[[#This Row],[Column4]]),Table13[[#This Row],[Column4]],Table13[[#This Row],[Column4]]="",H659*(1+Table13[[#This Row],[Ávöxtun]]))</f>
        <v>84.991835628040647</v>
      </c>
      <c r="I660" cm="1">
        <f t="array" ref="I660">_xlfn.IFS(Table13[[#This Row],[Column4]]="NEW",_xlfn.XLOOKUP(Table13[[#This Row],[Year]],$N$2:$N$27,$P$2:$P$27),ISNUMBER(Table13[[#This Row],[Column4]]),Table13[[#This Row],[Column4]],Table13[[#This Row],[Column4]]="",I659*(1+Table13[[#This Row],[Ávöxtun]]))</f>
        <v>85.163297224986223</v>
      </c>
      <c r="L660" s="33">
        <v>84.968893281228432</v>
      </c>
      <c r="M660" s="33">
        <v>91.865348639668511</v>
      </c>
    </row>
    <row r="661" spans="1:13">
      <c r="A661" t="s">
        <v>118</v>
      </c>
      <c r="B661">
        <v>2009</v>
      </c>
      <c r="C661" s="16">
        <v>2.5099999999999997E-2</v>
      </c>
      <c r="D661" s="1">
        <v>41028939</v>
      </c>
      <c r="E661" s="29">
        <f>Table13[[#This Row],[Ávöxtun]]*Table13[[#This Row],[Eignir]]/SUMIFS(Table13[Eignir],Table13[Year],Table13[[#This Row],[Year]])</f>
        <v>7.4999109155309484E-4</v>
      </c>
      <c r="F661" s="23" t="e">
        <f>IF(B661=1997, 100, IF(COUNTIF(A$1:A660,A661)=0, "NEW", F660*(1+Table13[[#This Row],[Ávöxtun]])))</f>
        <v>#VALUE!</v>
      </c>
      <c r="G661" s="18" t="str" cm="1">
        <f t="array" ref="G661">IFERROR(_xlfn.IFS(ISNUMBER(Table13[[#This Row],[Column3]]),Table13[[#This Row],[Column3]],Table13[[#This Row],[Column3]]="NEW",Table13[[#This Row],[Column3]]),"")</f>
        <v/>
      </c>
      <c r="H661" s="15" cm="1">
        <f t="array" ref="H661">_xlfn.IFS(Table13[[#This Row],[Column4]]="NEW",AVERAGEIFS(Table13[Column4],Table13[Year],Table13[[#This Row],[Year]]),ISNUMBER(Table13[[#This Row],[Column4]]),Table13[[#This Row],[Column4]],Table13[[#This Row],[Column4]]="",H660*(1+Table13[[#This Row],[Ávöxtun]]))</f>
        <v>87.12513070230446</v>
      </c>
      <c r="I661" cm="1">
        <f t="array" ref="I661">_xlfn.IFS(Table13[[#This Row],[Column4]]="NEW",_xlfn.XLOOKUP(Table13[[#This Row],[Year]],$N$2:$N$27,$P$2:$P$27),ISNUMBER(Table13[[#This Row],[Column4]]),Table13[[#This Row],[Column4]],Table13[[#This Row],[Column4]]="",I660*(1+Table13[[#This Row],[Ávöxtun]]))</f>
        <v>87.300895985333369</v>
      </c>
      <c r="L661" s="33">
        <v>87.101612502587258</v>
      </c>
      <c r="M661" s="33">
        <v>94.171168890524186</v>
      </c>
    </row>
    <row r="662" spans="1:13">
      <c r="A662" t="s">
        <v>118</v>
      </c>
      <c r="B662">
        <v>2010</v>
      </c>
      <c r="C662" s="16">
        <v>2.4300000000000002E-2</v>
      </c>
      <c r="D662" s="1">
        <v>47690511</v>
      </c>
      <c r="E662" s="29">
        <f>Table13[[#This Row],[Ávöxtun]]*Table13[[#This Row],[Eignir]]/SUMIFS(Table13[Eignir],Table13[Year],Table13[[#This Row],[Year]])</f>
        <v>7.9117979779264416E-4</v>
      </c>
      <c r="F662" s="23" t="e">
        <f>IF(B662=1997, 100, IF(COUNTIF(A$1:A661,A662)=0, "NEW", F661*(1+Table13[[#This Row],[Ávöxtun]])))</f>
        <v>#VALUE!</v>
      </c>
      <c r="G662" s="18" t="str" cm="1">
        <f t="array" ref="G662">IFERROR(_xlfn.IFS(ISNUMBER(Table13[[#This Row],[Column3]]),Table13[[#This Row],[Column3]],Table13[[#This Row],[Column3]]="NEW",Table13[[#This Row],[Column3]]),"")</f>
        <v/>
      </c>
      <c r="H662" s="15" cm="1">
        <f t="array" ref="H662">_xlfn.IFS(Table13[[#This Row],[Column4]]="NEW",AVERAGEIFS(Table13[Column4],Table13[Year],Table13[[#This Row],[Year]]),ISNUMBER(Table13[[#This Row],[Column4]]),Table13[[#This Row],[Column4]],Table13[[#This Row],[Column4]]="",H661*(1+Table13[[#This Row],[Ávöxtun]]))</f>
        <v>89.242271378370461</v>
      </c>
      <c r="I662" cm="1">
        <f t="array" ref="I662">_xlfn.IFS(Table13[[#This Row],[Column4]]="NEW",_xlfn.XLOOKUP(Table13[[#This Row],[Year]],$N$2:$N$27,$P$2:$P$27),ISNUMBER(Table13[[#This Row],[Column4]]),Table13[[#This Row],[Column4]],Table13[[#This Row],[Column4]]="",I661*(1+Table13[[#This Row],[Ávöxtun]]))</f>
        <v>89.422307757776963</v>
      </c>
      <c r="L662" s="33">
        <v>89.218181686400129</v>
      </c>
      <c r="M662" s="33">
        <v>96.459528294563924</v>
      </c>
    </row>
    <row r="663" spans="1:13">
      <c r="A663" t="s">
        <v>118</v>
      </c>
      <c r="B663">
        <v>2011</v>
      </c>
      <c r="C663" s="16">
        <v>7.2000000000000008E-2</v>
      </c>
      <c r="D663" s="1">
        <v>57425655</v>
      </c>
      <c r="E663" s="29">
        <f>Table13[[#This Row],[Ávöxtun]]*Table13[[#This Row],[Eignir]]/SUMIFS(Table13[Eignir],Table13[Year],Table13[[#This Row],[Year]])</f>
        <v>2.6038814942196155E-3</v>
      </c>
      <c r="F663" s="23" t="e">
        <f>IF(B663=1997, 100, IF(COUNTIF(A$1:A662,A663)=0, "NEW", F662*(1+Table13[[#This Row],[Ávöxtun]])))</f>
        <v>#VALUE!</v>
      </c>
      <c r="G663" s="18" t="str" cm="1">
        <f t="array" ref="G663">IFERROR(_xlfn.IFS(ISNUMBER(Table13[[#This Row],[Column3]]),Table13[[#This Row],[Column3]],Table13[[#This Row],[Column3]]="NEW",Table13[[#This Row],[Column3]]),"")</f>
        <v/>
      </c>
      <c r="H663" s="15" cm="1">
        <f t="array" ref="H663">_xlfn.IFS(Table13[[#This Row],[Column4]]="NEW",AVERAGEIFS(Table13[Column4],Table13[Year],Table13[[#This Row],[Year]]),ISNUMBER(Table13[[#This Row],[Column4]]),Table13[[#This Row],[Column4]],Table13[[#This Row],[Column4]]="",H662*(1+Table13[[#This Row],[Ávöxtun]]))</f>
        <v>95.667714917613139</v>
      </c>
      <c r="I663" cm="1">
        <f t="array" ref="I663">_xlfn.IFS(Table13[[#This Row],[Column4]]="NEW",_xlfn.XLOOKUP(Table13[[#This Row],[Year]],$N$2:$N$27,$P$2:$P$27),ISNUMBER(Table13[[#This Row],[Column4]]),Table13[[#This Row],[Column4]],Table13[[#This Row],[Column4]]="",I662*(1+Table13[[#This Row],[Ávöxtun]]))</f>
        <v>95.860713916336906</v>
      </c>
      <c r="L663" s="33">
        <v>95.641890767820939</v>
      </c>
      <c r="M663" s="33">
        <v>103.40461433177254</v>
      </c>
    </row>
    <row r="664" spans="1:13">
      <c r="A664" t="s">
        <v>118</v>
      </c>
      <c r="B664">
        <v>2012</v>
      </c>
      <c r="C664" s="16">
        <v>8.199999999999999E-2</v>
      </c>
      <c r="D664" s="1">
        <v>68503666</v>
      </c>
      <c r="E664" s="29">
        <f>Table13[[#This Row],[Ávöxtun]]*Table13[[#This Row],[Eignir]]/SUMIFS(Table13[Eignir],Table13[Year],Table13[[#This Row],[Year]])</f>
        <v>3.1296422617431482E-3</v>
      </c>
      <c r="F664" s="23" t="e">
        <f>IF(B664=1997, 100, IF(COUNTIF(A$1:A663,A664)=0, "NEW", F663*(1+Table13[[#This Row],[Ávöxtun]])))</f>
        <v>#VALUE!</v>
      </c>
      <c r="G664" s="18" t="str" cm="1">
        <f t="array" ref="G664">IFERROR(_xlfn.IFS(ISNUMBER(Table13[[#This Row],[Column3]]),Table13[[#This Row],[Column3]],Table13[[#This Row],[Column3]]="NEW",Table13[[#This Row],[Column3]]),"")</f>
        <v/>
      </c>
      <c r="H664" s="15" cm="1">
        <f t="array" ref="H664">_xlfn.IFS(Table13[[#This Row],[Column4]]="NEW",AVERAGEIFS(Table13[Column4],Table13[Year],Table13[[#This Row],[Year]]),ISNUMBER(Table13[[#This Row],[Column4]]),Table13[[#This Row],[Column4]],Table13[[#This Row],[Column4]]="",H663*(1+Table13[[#This Row],[Ávöxtun]]))</f>
        <v>103.51246754085743</v>
      </c>
      <c r="I664" cm="1">
        <f t="array" ref="I664">_xlfn.IFS(Table13[[#This Row],[Column4]]="NEW",_xlfn.XLOOKUP(Table13[[#This Row],[Year]],$N$2:$N$27,$P$2:$P$27),ISNUMBER(Table13[[#This Row],[Column4]]),Table13[[#This Row],[Column4]],Table13[[#This Row],[Column4]]="",I663*(1+Table13[[#This Row],[Ávöxtun]]))</f>
        <v>103.72129245747654</v>
      </c>
      <c r="L664" s="33">
        <v>103.48452581078226</v>
      </c>
      <c r="M664" s="33">
        <v>111.88379270697789</v>
      </c>
    </row>
    <row r="665" spans="1:13">
      <c r="A665" t="s">
        <v>118</v>
      </c>
      <c r="B665">
        <v>2013</v>
      </c>
      <c r="C665" s="16">
        <v>0.11</v>
      </c>
      <c r="D665" s="1">
        <v>85374276</v>
      </c>
      <c r="E665" s="29">
        <f>Table13[[#This Row],[Ávöxtun]]*Table13[[#This Row],[Eignir]]/SUMIFS(Table13[Eignir],Table13[Year],Table13[[#This Row],[Year]])</f>
        <v>4.757640064188706E-3</v>
      </c>
      <c r="F665" s="23" t="e">
        <f>IF(B665=1997, 100, IF(COUNTIF(A$1:A664,A665)=0, "NEW", F664*(1+Table13[[#This Row],[Ávöxtun]])))</f>
        <v>#VALUE!</v>
      </c>
      <c r="G665" s="18" t="str" cm="1">
        <f t="array" ref="G665">IFERROR(_xlfn.IFS(ISNUMBER(Table13[[#This Row],[Column3]]),Table13[[#This Row],[Column3]],Table13[[#This Row],[Column3]]="NEW",Table13[[#This Row],[Column3]]),"")</f>
        <v/>
      </c>
      <c r="H665" s="15" cm="1">
        <f t="array" ref="H665">_xlfn.IFS(Table13[[#This Row],[Column4]]="NEW",AVERAGEIFS(Table13[Column4],Table13[Year],Table13[[#This Row],[Year]]),ISNUMBER(Table13[[#This Row],[Column4]]),Table13[[#This Row],[Column4]],Table13[[#This Row],[Column4]]="",H664*(1+Table13[[#This Row],[Ávöxtun]]))</f>
        <v>114.89883897035176</v>
      </c>
      <c r="I665" cm="1">
        <f t="array" ref="I665">_xlfn.IFS(Table13[[#This Row],[Column4]]="NEW",_xlfn.XLOOKUP(Table13[[#This Row],[Year]],$N$2:$N$27,$P$2:$P$27),ISNUMBER(Table13[[#This Row],[Column4]]),Table13[[#This Row],[Column4]],Table13[[#This Row],[Column4]]="",I664*(1+Table13[[#This Row],[Ávöxtun]]))</f>
        <v>115.13063462779897</v>
      </c>
      <c r="L665" s="33">
        <v>114.86782364996832</v>
      </c>
      <c r="M665" s="33">
        <v>124.19100990474547</v>
      </c>
    </row>
    <row r="666" spans="1:13">
      <c r="A666" t="s">
        <v>118</v>
      </c>
      <c r="B666">
        <v>2014</v>
      </c>
      <c r="C666" s="16">
        <v>0.14599999999999999</v>
      </c>
      <c r="D666" s="1">
        <v>97109569</v>
      </c>
      <c r="E666" s="29">
        <f>Table13[[#This Row],[Ávöxtun]]*Table13[[#This Row],[Eignir]]/SUMIFS(Table13[Eignir],Table13[Year],Table13[[#This Row],[Year]])</f>
        <v>6.5867469034254136E-3</v>
      </c>
      <c r="F666" s="23" t="e">
        <f>IF(B666=1997, 100, IF(COUNTIF(A$1:A665,A666)=0, "NEW", F665*(1+Table13[[#This Row],[Ávöxtun]])))</f>
        <v>#VALUE!</v>
      </c>
      <c r="G666" s="18" t="str" cm="1">
        <f t="array" ref="G666">IFERROR(_xlfn.IFS(ISNUMBER(Table13[[#This Row],[Column3]]),Table13[[#This Row],[Column3]],Table13[[#This Row],[Column3]]="NEW",Table13[[#This Row],[Column3]]),"")</f>
        <v/>
      </c>
      <c r="H666" s="15" cm="1">
        <f t="array" ref="H666">_xlfn.IFS(Table13[[#This Row],[Column4]]="NEW",AVERAGEIFS(Table13[Column4],Table13[Year],Table13[[#This Row],[Year]]),ISNUMBER(Table13[[#This Row],[Column4]]),Table13[[#This Row],[Column4]],Table13[[#This Row],[Column4]]="",H665*(1+Table13[[#This Row],[Ávöxtun]]))</f>
        <v>131.67406946002311</v>
      </c>
      <c r="I666" cm="1">
        <f t="array" ref="I666">_xlfn.IFS(Table13[[#This Row],[Column4]]="NEW",_xlfn.XLOOKUP(Table13[[#This Row],[Year]],$N$2:$N$27,$P$2:$P$27),ISNUMBER(Table13[[#This Row],[Column4]]),Table13[[#This Row],[Column4]],Table13[[#This Row],[Column4]]="",I665*(1+Table13[[#This Row],[Ávöxtun]]))</f>
        <v>131.93970728345761</v>
      </c>
      <c r="L666" s="33">
        <v>131.63852590286368</v>
      </c>
      <c r="M666" s="33">
        <v>142.3228973508383</v>
      </c>
    </row>
    <row r="667" spans="1:13">
      <c r="A667" t="s">
        <v>118</v>
      </c>
      <c r="B667">
        <v>2015</v>
      </c>
      <c r="C667" s="16">
        <v>0.25</v>
      </c>
      <c r="D667" s="1">
        <v>114600024</v>
      </c>
      <c r="E667" s="29">
        <f>Table13[[#This Row],[Ávöxtun]]*Table13[[#This Row],[Eignir]]/SUMIFS(Table13[Eignir],Table13[Year],Table13[[#This Row],[Year]])</f>
        <v>1.1998680809423127E-2</v>
      </c>
      <c r="F667" s="23" t="e">
        <f>IF(B667=1997, 100, IF(COUNTIF(A$1:A666,A667)=0, "NEW", F666*(1+Table13[[#This Row],[Ávöxtun]])))</f>
        <v>#VALUE!</v>
      </c>
      <c r="G667" s="18" t="str" cm="1">
        <f t="array" ref="G667">IFERROR(_xlfn.IFS(ISNUMBER(Table13[[#This Row],[Column3]]),Table13[[#This Row],[Column3]],Table13[[#This Row],[Column3]]="NEW",Table13[[#This Row],[Column3]]),"")</f>
        <v/>
      </c>
      <c r="H667" s="15" cm="1">
        <f t="array" ref="H667">_xlfn.IFS(Table13[[#This Row],[Column4]]="NEW",AVERAGEIFS(Table13[Column4],Table13[Year],Table13[[#This Row],[Year]]),ISNUMBER(Table13[[#This Row],[Column4]]),Table13[[#This Row],[Column4]],Table13[[#This Row],[Column4]]="",H666*(1+Table13[[#This Row],[Ávöxtun]]))</f>
        <v>164.59258682502889</v>
      </c>
      <c r="I667" cm="1">
        <f t="array" ref="I667">_xlfn.IFS(Table13[[#This Row],[Column4]]="NEW",_xlfn.XLOOKUP(Table13[[#This Row],[Year]],$N$2:$N$27,$P$2:$P$27),ISNUMBER(Table13[[#This Row],[Column4]]),Table13[[#This Row],[Column4]],Table13[[#This Row],[Column4]]="",I666*(1+Table13[[#This Row],[Ávöxtun]]))</f>
        <v>164.92463410432202</v>
      </c>
      <c r="L667" s="33">
        <v>164.54815737857959</v>
      </c>
      <c r="M667" s="33">
        <v>177.90362168854787</v>
      </c>
    </row>
    <row r="668" spans="1:13">
      <c r="A668" t="s">
        <v>118</v>
      </c>
      <c r="B668">
        <v>2016</v>
      </c>
      <c r="C668" s="16">
        <v>-1.9E-2</v>
      </c>
      <c r="D668" s="1">
        <v>128617380.75</v>
      </c>
      <c r="E668" s="29">
        <f>Table13[[#This Row],[Ávöxtun]]*Table13[[#This Row],[Eignir]]/SUMIFS(Table13[Eignir],Table13[Year],Table13[[#This Row],[Year]])</f>
        <v>-9.3703124241126181E-4</v>
      </c>
      <c r="F668" s="23" t="e">
        <f>IF(B668=1997, 100, IF(COUNTIF(A$1:A667,A668)=0, "NEW", F667*(1+Table13[[#This Row],[Ávöxtun]])))</f>
        <v>#VALUE!</v>
      </c>
      <c r="G668" s="18" t="str" cm="1">
        <f t="array" ref="G668">IFERROR(_xlfn.IFS(ISNUMBER(Table13[[#This Row],[Column3]]),Table13[[#This Row],[Column3]],Table13[[#This Row],[Column3]]="NEW",Table13[[#This Row],[Column3]]),"")</f>
        <v/>
      </c>
      <c r="H668" s="15" cm="1">
        <f t="array" ref="H668">_xlfn.IFS(Table13[[#This Row],[Column4]]="NEW",AVERAGEIFS(Table13[Column4],Table13[Year],Table13[[#This Row],[Year]]),ISNUMBER(Table13[[#This Row],[Column4]]),Table13[[#This Row],[Column4]],Table13[[#This Row],[Column4]]="",H667*(1+Table13[[#This Row],[Ávöxtun]]))</f>
        <v>161.46532767535334</v>
      </c>
      <c r="I668" cm="1">
        <f t="array" ref="I668">_xlfn.IFS(Table13[[#This Row],[Column4]]="NEW",_xlfn.XLOOKUP(Table13[[#This Row],[Year]],$N$2:$N$27,$P$2:$P$27),ISNUMBER(Table13[[#This Row],[Column4]]),Table13[[#This Row],[Column4]],Table13[[#This Row],[Column4]]="",I667*(1+Table13[[#This Row],[Ávöxtun]]))</f>
        <v>161.7910660563399</v>
      </c>
      <c r="L668" s="33">
        <v>161.42174238838658</v>
      </c>
      <c r="M668" s="33">
        <v>174.52345287646546</v>
      </c>
    </row>
    <row r="669" spans="1:13">
      <c r="A669" t="s">
        <v>119</v>
      </c>
      <c r="B669">
        <v>1997</v>
      </c>
      <c r="C669" s="16">
        <v>0.06</v>
      </c>
      <c r="D669" s="1">
        <v>428707.49</v>
      </c>
      <c r="E669" s="29">
        <f>Table13[[#This Row],[Ávöxtun]]*Table13[[#This Row],[Eignir]]/SUMIFS(Table13[Eignir],Table13[Year],Table13[[#This Row],[Year]])</f>
        <v>9.0141695489254353E-5</v>
      </c>
      <c r="F669" s="23">
        <f>IF(B669=1997, 100, IF(COUNTIF(A$1:A668,A669)=0, "NEW", F668*(1+Table13[[#This Row],[Ávöxtun]])))</f>
        <v>100</v>
      </c>
      <c r="G669" s="18" cm="1">
        <f t="array" ref="G669">IFERROR(_xlfn.IFS(ISNUMBER(Table13[[#This Row],[Column3]]),Table13[[#This Row],[Column3]],Table13[[#This Row],[Column3]]="NEW",Table13[[#This Row],[Column3]]),"")</f>
        <v>100</v>
      </c>
      <c r="H669" s="15" cm="1">
        <f t="array" ref="H669">_xlfn.IFS(Table13[[#This Row],[Column4]]="NEW",AVERAGEIFS(Table13[Column4],Table13[Year],Table13[[#This Row],[Year]]),ISNUMBER(Table13[[#This Row],[Column4]]),Table13[[#This Row],[Column4]],Table13[[#This Row],[Column4]]="",H668*(1+Table13[[#This Row],[Ávöxtun]]))</f>
        <v>100</v>
      </c>
      <c r="I669" cm="1">
        <f t="array" ref="I669">_xlfn.IFS(Table13[[#This Row],[Column4]]="NEW",_xlfn.XLOOKUP(Table13[[#This Row],[Year]],$N$2:$N$27,$P$2:$P$27),ISNUMBER(Table13[[#This Row],[Column4]]),Table13[[#This Row],[Column4]],Table13[[#This Row],[Column4]]="",I668*(1+Table13[[#This Row],[Ávöxtun]]))</f>
        <v>100</v>
      </c>
      <c r="L669" s="33">
        <v>100</v>
      </c>
      <c r="M669" s="33">
        <v>100</v>
      </c>
    </row>
    <row r="670" spans="1:13">
      <c r="A670" t="s">
        <v>119</v>
      </c>
      <c r="B670">
        <v>1998</v>
      </c>
      <c r="C670" s="16">
        <v>7.0000000000000007E-2</v>
      </c>
      <c r="D670" s="1">
        <v>433461.99</v>
      </c>
      <c r="E670" s="29">
        <f>Table13[[#This Row],[Ávöxtun]]*Table13[[#This Row],[Eignir]]/SUMIFS(Table13[Eignir],Table13[Year],Table13[[#This Row],[Year]])</f>
        <v>9.1807815771113499E-5</v>
      </c>
      <c r="F670" s="23">
        <f>IF(B670=1997, 100, IF(COUNTIF(A$1:A669,A670)=0, "NEW", F669*(1+Table13[[#This Row],[Ávöxtun]])))</f>
        <v>107</v>
      </c>
      <c r="G670" s="18" cm="1">
        <f t="array" ref="G670">IFERROR(_xlfn.IFS(ISNUMBER(Table13[[#This Row],[Column3]]),Table13[[#This Row],[Column3]],Table13[[#This Row],[Column3]]="NEW",Table13[[#This Row],[Column3]]),"")</f>
        <v>107</v>
      </c>
      <c r="H670" s="15" cm="1">
        <f t="array" ref="H670">_xlfn.IFS(Table13[[#This Row],[Column4]]="NEW",AVERAGEIFS(Table13[Column4],Table13[Year],Table13[[#This Row],[Year]]),ISNUMBER(Table13[[#This Row],[Column4]]),Table13[[#This Row],[Column4]],Table13[[#This Row],[Column4]]="",H669*(1+Table13[[#This Row],[Ávöxtun]]))</f>
        <v>107</v>
      </c>
      <c r="I670" cm="1">
        <f t="array" ref="I670">_xlfn.IFS(Table13[[#This Row],[Column4]]="NEW",_xlfn.XLOOKUP(Table13[[#This Row],[Year]],$N$2:$N$27,$P$2:$P$27),ISNUMBER(Table13[[#This Row],[Column4]]),Table13[[#This Row],[Column4]],Table13[[#This Row],[Column4]]="",I669*(1+Table13[[#This Row],[Ávöxtun]]))</f>
        <v>107</v>
      </c>
      <c r="L670" s="33">
        <v>107</v>
      </c>
      <c r="M670" s="33">
        <v>107</v>
      </c>
    </row>
    <row r="671" spans="1:13">
      <c r="A671" t="s">
        <v>119</v>
      </c>
      <c r="B671">
        <v>1999</v>
      </c>
      <c r="C671" s="16">
        <v>0.06</v>
      </c>
      <c r="D671" s="1">
        <v>461300.28</v>
      </c>
      <c r="E671" s="29">
        <f>Table13[[#This Row],[Ávöxtun]]*Table13[[#This Row],[Eignir]]/SUMIFS(Table13[Eignir],Table13[Year],Table13[[#This Row],[Year]])</f>
        <v>6.2348545382246952E-5</v>
      </c>
      <c r="F671" s="23">
        <f>IF(B671=1997, 100, IF(COUNTIF(A$1:A670,A671)=0, "NEW", F670*(1+Table13[[#This Row],[Ávöxtun]])))</f>
        <v>113.42</v>
      </c>
      <c r="G671" s="18" cm="1">
        <f t="array" ref="G671">IFERROR(_xlfn.IFS(ISNUMBER(Table13[[#This Row],[Column3]]),Table13[[#This Row],[Column3]],Table13[[#This Row],[Column3]]="NEW",Table13[[#This Row],[Column3]]),"")</f>
        <v>113.42</v>
      </c>
      <c r="H671" s="15" cm="1">
        <f t="array" ref="H671">_xlfn.IFS(Table13[[#This Row],[Column4]]="NEW",AVERAGEIFS(Table13[Column4],Table13[Year],Table13[[#This Row],[Year]]),ISNUMBER(Table13[[#This Row],[Column4]]),Table13[[#This Row],[Column4]],Table13[[#This Row],[Column4]]="",H670*(1+Table13[[#This Row],[Ávöxtun]]))</f>
        <v>113.42</v>
      </c>
      <c r="I671" cm="1">
        <f t="array" ref="I671">_xlfn.IFS(Table13[[#This Row],[Column4]]="NEW",_xlfn.XLOOKUP(Table13[[#This Row],[Year]],$N$2:$N$27,$P$2:$P$27),ISNUMBER(Table13[[#This Row],[Column4]]),Table13[[#This Row],[Column4]],Table13[[#This Row],[Column4]]="",I670*(1+Table13[[#This Row],[Ávöxtun]]))</f>
        <v>113.42</v>
      </c>
      <c r="L671" s="33">
        <v>113.42</v>
      </c>
      <c r="M671" s="33">
        <v>113.42</v>
      </c>
    </row>
    <row r="672" spans="1:13">
      <c r="A672" t="s">
        <v>119</v>
      </c>
      <c r="B672">
        <v>2000</v>
      </c>
      <c r="C672" s="16">
        <v>0</v>
      </c>
      <c r="D672" s="1">
        <v>463041.65</v>
      </c>
      <c r="E672" s="29">
        <f>Table13[[#This Row],[Ávöxtun]]*Table13[[#This Row],[Eignir]]/SUMIFS(Table13[Eignir],Table13[Year],Table13[[#This Row],[Year]])</f>
        <v>0</v>
      </c>
      <c r="F672" s="23">
        <f>IF(B672=1997, 100, IF(COUNTIF(A$1:A671,A672)=0, "NEW", F671*(1+Table13[[#This Row],[Ávöxtun]])))</f>
        <v>113.42</v>
      </c>
      <c r="G672" s="18" cm="1">
        <f t="array" ref="G672">IFERROR(_xlfn.IFS(ISNUMBER(Table13[[#This Row],[Column3]]),Table13[[#This Row],[Column3]],Table13[[#This Row],[Column3]]="NEW",Table13[[#This Row],[Column3]]),"")</f>
        <v>113.42</v>
      </c>
      <c r="H672" s="15" cm="1">
        <f t="array" ref="H672">_xlfn.IFS(Table13[[#This Row],[Column4]]="NEW",AVERAGEIFS(Table13[Column4],Table13[Year],Table13[[#This Row],[Year]]),ISNUMBER(Table13[[#This Row],[Column4]]),Table13[[#This Row],[Column4]],Table13[[#This Row],[Column4]]="",H671*(1+Table13[[#This Row],[Ávöxtun]]))</f>
        <v>113.42</v>
      </c>
      <c r="I672" cm="1">
        <f t="array" ref="I672">_xlfn.IFS(Table13[[#This Row],[Column4]]="NEW",_xlfn.XLOOKUP(Table13[[#This Row],[Year]],$N$2:$N$27,$P$2:$P$27),ISNUMBER(Table13[[#This Row],[Column4]]),Table13[[#This Row],[Column4]],Table13[[#This Row],[Column4]]="",I671*(1+Table13[[#This Row],[Ávöxtun]]))</f>
        <v>113.42</v>
      </c>
      <c r="L672" s="33">
        <v>113.42</v>
      </c>
      <c r="M672" s="33">
        <v>113.42</v>
      </c>
    </row>
    <row r="673" spans="1:13">
      <c r="A673" t="s">
        <v>119</v>
      </c>
      <c r="B673">
        <v>2001</v>
      </c>
      <c r="C673" s="16">
        <v>0.02</v>
      </c>
      <c r="D673" s="1">
        <v>468899</v>
      </c>
      <c r="E673" s="29">
        <f>Table13[[#This Row],[Ávöxtun]]*Table13[[#This Row],[Eignir]]/SUMIFS(Table13[Eignir],Table13[Year],Table13[[#This Row],[Year]])</f>
        <v>9.7581527765162528E-6</v>
      </c>
      <c r="F673" s="23">
        <f>IF(B673=1997, 100, IF(COUNTIF(A$1:A672,A673)=0, "NEW", F672*(1+Table13[[#This Row],[Ávöxtun]])))</f>
        <v>115.6884</v>
      </c>
      <c r="G673" s="18" cm="1">
        <f t="array" ref="G673">IFERROR(_xlfn.IFS(ISNUMBER(Table13[[#This Row],[Column3]]),Table13[[#This Row],[Column3]],Table13[[#This Row],[Column3]]="NEW",Table13[[#This Row],[Column3]]),"")</f>
        <v>115.6884</v>
      </c>
      <c r="H673" s="15" cm="1">
        <f t="array" ref="H673">_xlfn.IFS(Table13[[#This Row],[Column4]]="NEW",AVERAGEIFS(Table13[Column4],Table13[Year],Table13[[#This Row],[Year]]),ISNUMBER(Table13[[#This Row],[Column4]]),Table13[[#This Row],[Column4]],Table13[[#This Row],[Column4]]="",H672*(1+Table13[[#This Row],[Ávöxtun]]))</f>
        <v>115.6884</v>
      </c>
      <c r="I673" cm="1">
        <f t="array" ref="I673">_xlfn.IFS(Table13[[#This Row],[Column4]]="NEW",_xlfn.XLOOKUP(Table13[[#This Row],[Year]],$N$2:$N$27,$P$2:$P$27),ISNUMBER(Table13[[#This Row],[Column4]]),Table13[[#This Row],[Column4]],Table13[[#This Row],[Column4]]="",I672*(1+Table13[[#This Row],[Ávöxtun]]))</f>
        <v>115.6884</v>
      </c>
      <c r="L673" s="33">
        <v>115.6884</v>
      </c>
      <c r="M673" s="33">
        <v>115.6884</v>
      </c>
    </row>
    <row r="674" spans="1:13">
      <c r="A674" t="s">
        <v>119</v>
      </c>
      <c r="B674">
        <v>2002</v>
      </c>
      <c r="C674" s="16">
        <v>7.0000000000000007E-2</v>
      </c>
      <c r="D674" s="1">
        <v>478231</v>
      </c>
      <c r="E674" s="29">
        <f>Table13[[#This Row],[Ávöxtun]]*Table13[[#This Row],[Eignir]]/SUMIFS(Table13[Eignir],Table13[Year],Table13[[#This Row],[Year]])</f>
        <v>6.2820962857332356E-5</v>
      </c>
      <c r="F674" s="23">
        <f>IF(B674=1997, 100, IF(COUNTIF(A$1:A673,A674)=0, "NEW", F673*(1+Table13[[#This Row],[Ávöxtun]])))</f>
        <v>123.78658800000001</v>
      </c>
      <c r="G674" s="18" cm="1">
        <f t="array" ref="G674">IFERROR(_xlfn.IFS(ISNUMBER(Table13[[#This Row],[Column3]]),Table13[[#This Row],[Column3]],Table13[[#This Row],[Column3]]="NEW",Table13[[#This Row],[Column3]]),"")</f>
        <v>123.78658800000001</v>
      </c>
      <c r="H674" s="15" cm="1">
        <f t="array" ref="H674">_xlfn.IFS(Table13[[#This Row],[Column4]]="NEW",AVERAGEIFS(Table13[Column4],Table13[Year],Table13[[#This Row],[Year]]),ISNUMBER(Table13[[#This Row],[Column4]]),Table13[[#This Row],[Column4]],Table13[[#This Row],[Column4]]="",H673*(1+Table13[[#This Row],[Ávöxtun]]))</f>
        <v>123.78658800000001</v>
      </c>
      <c r="I674" cm="1">
        <f t="array" ref="I674">_xlfn.IFS(Table13[[#This Row],[Column4]]="NEW",_xlfn.XLOOKUP(Table13[[#This Row],[Year]],$N$2:$N$27,$P$2:$P$27),ISNUMBER(Table13[[#This Row],[Column4]]),Table13[[#This Row],[Column4]],Table13[[#This Row],[Column4]]="",I673*(1+Table13[[#This Row],[Ávöxtun]]))</f>
        <v>123.78658800000001</v>
      </c>
      <c r="L674" s="33">
        <v>123.78658800000001</v>
      </c>
      <c r="M674" s="33">
        <v>123.78658800000001</v>
      </c>
    </row>
    <row r="675" spans="1:13">
      <c r="A675" t="s">
        <v>119</v>
      </c>
      <c r="B675">
        <v>2003</v>
      </c>
      <c r="C675" s="16">
        <v>0.09</v>
      </c>
      <c r="D675" s="1">
        <v>495586</v>
      </c>
      <c r="E675" s="29">
        <f>Table13[[#This Row],[Ávöxtun]]*Table13[[#This Row],[Eignir]]/SUMIFS(Table13[Eignir],Table13[Year],Table13[[#This Row],[Year]])</f>
        <v>6.9933088555107633E-5</v>
      </c>
      <c r="F675" s="23">
        <f>IF(B675=1997, 100, IF(COUNTIF(A$1:A674,A675)=0, "NEW", F674*(1+Table13[[#This Row],[Ávöxtun]])))</f>
        <v>134.92738092000002</v>
      </c>
      <c r="G675" s="18" cm="1">
        <f t="array" ref="G675">IFERROR(_xlfn.IFS(ISNUMBER(Table13[[#This Row],[Column3]]),Table13[[#This Row],[Column3]],Table13[[#This Row],[Column3]]="NEW",Table13[[#This Row],[Column3]]),"")</f>
        <v>134.92738092000002</v>
      </c>
      <c r="H675" s="15" cm="1">
        <f t="array" ref="H675">_xlfn.IFS(Table13[[#This Row],[Column4]]="NEW",AVERAGEIFS(Table13[Column4],Table13[Year],Table13[[#This Row],[Year]]),ISNUMBER(Table13[[#This Row],[Column4]]),Table13[[#This Row],[Column4]],Table13[[#This Row],[Column4]]="",H674*(1+Table13[[#This Row],[Ávöxtun]]))</f>
        <v>134.92738092000002</v>
      </c>
      <c r="I675" cm="1">
        <f t="array" ref="I675">_xlfn.IFS(Table13[[#This Row],[Column4]]="NEW",_xlfn.XLOOKUP(Table13[[#This Row],[Year]],$N$2:$N$27,$P$2:$P$27),ISNUMBER(Table13[[#This Row],[Column4]]),Table13[[#This Row],[Column4]],Table13[[#This Row],[Column4]]="",I674*(1+Table13[[#This Row],[Ávöxtun]]))</f>
        <v>134.92738092000002</v>
      </c>
      <c r="L675" s="33">
        <v>134.92738092000002</v>
      </c>
      <c r="M675" s="33">
        <v>134.92738092000002</v>
      </c>
    </row>
    <row r="676" spans="1:13">
      <c r="A676" t="s">
        <v>119</v>
      </c>
      <c r="B676">
        <v>2004</v>
      </c>
      <c r="C676" s="16">
        <v>7.0000000000000007E-2</v>
      </c>
      <c r="D676" s="1">
        <v>513782</v>
      </c>
      <c r="E676" s="29">
        <f>Table13[[#This Row],[Ávöxtun]]*Table13[[#This Row],[Eignir]]/SUMIFS(Table13[Eignir],Table13[Year],Table13[[#This Row],[Year]])</f>
        <v>4.7344924808904505E-5</v>
      </c>
      <c r="F676" s="23">
        <f>IF(B676=1997, 100, IF(COUNTIF(A$1:A675,A676)=0, "NEW", F675*(1+Table13[[#This Row],[Ávöxtun]])))</f>
        <v>144.37229758440003</v>
      </c>
      <c r="G676" s="18" cm="1">
        <f t="array" ref="G676">IFERROR(_xlfn.IFS(ISNUMBER(Table13[[#This Row],[Column3]]),Table13[[#This Row],[Column3]],Table13[[#This Row],[Column3]]="NEW",Table13[[#This Row],[Column3]]),"")</f>
        <v>144.37229758440003</v>
      </c>
      <c r="H676" s="15" cm="1">
        <f t="array" ref="H676">_xlfn.IFS(Table13[[#This Row],[Column4]]="NEW",AVERAGEIFS(Table13[Column4],Table13[Year],Table13[[#This Row],[Year]]),ISNUMBER(Table13[[#This Row],[Column4]]),Table13[[#This Row],[Column4]],Table13[[#This Row],[Column4]]="",H675*(1+Table13[[#This Row],[Ávöxtun]]))</f>
        <v>144.37229758440003</v>
      </c>
      <c r="I676" cm="1">
        <f t="array" ref="I676">_xlfn.IFS(Table13[[#This Row],[Column4]]="NEW",_xlfn.XLOOKUP(Table13[[#This Row],[Year]],$N$2:$N$27,$P$2:$P$27),ISNUMBER(Table13[[#This Row],[Column4]]),Table13[[#This Row],[Column4]],Table13[[#This Row],[Column4]]="",I675*(1+Table13[[#This Row],[Ávöxtun]]))</f>
        <v>144.37229758440003</v>
      </c>
      <c r="L676" s="33">
        <v>144.37229758440003</v>
      </c>
      <c r="M676" s="33">
        <v>144.37229758440003</v>
      </c>
    </row>
    <row r="677" spans="1:13">
      <c r="A677" t="s">
        <v>119</v>
      </c>
      <c r="B677">
        <v>2005</v>
      </c>
      <c r="C677" s="16">
        <v>0.05</v>
      </c>
      <c r="D677" s="1">
        <v>523379</v>
      </c>
      <c r="E677" s="29">
        <f>Table13[[#This Row],[Ávöxtun]]*Table13[[#This Row],[Eignir]]/SUMIFS(Table13[Eignir],Table13[Year],Table13[[#This Row],[Year]])</f>
        <v>2.8035880626204088E-5</v>
      </c>
      <c r="F677" s="23">
        <f>IF(B677=1997, 100, IF(COUNTIF(A$1:A676,A677)=0, "NEW", F676*(1+Table13[[#This Row],[Ávöxtun]])))</f>
        <v>151.59091246362004</v>
      </c>
      <c r="G677" s="18" cm="1">
        <f t="array" ref="G677">IFERROR(_xlfn.IFS(ISNUMBER(Table13[[#This Row],[Column3]]),Table13[[#This Row],[Column3]],Table13[[#This Row],[Column3]]="NEW",Table13[[#This Row],[Column3]]),"")</f>
        <v>151.59091246362004</v>
      </c>
      <c r="H677" s="15" cm="1">
        <f t="array" ref="H677">_xlfn.IFS(Table13[[#This Row],[Column4]]="NEW",AVERAGEIFS(Table13[Column4],Table13[Year],Table13[[#This Row],[Year]]),ISNUMBER(Table13[[#This Row],[Column4]]),Table13[[#This Row],[Column4]],Table13[[#This Row],[Column4]]="",H676*(1+Table13[[#This Row],[Ávöxtun]]))</f>
        <v>151.59091246362004</v>
      </c>
      <c r="I677" cm="1">
        <f t="array" ref="I677">_xlfn.IFS(Table13[[#This Row],[Column4]]="NEW",_xlfn.XLOOKUP(Table13[[#This Row],[Year]],$N$2:$N$27,$P$2:$P$27),ISNUMBER(Table13[[#This Row],[Column4]]),Table13[[#This Row],[Column4]],Table13[[#This Row],[Column4]]="",I676*(1+Table13[[#This Row],[Ávöxtun]]))</f>
        <v>151.59091246362004</v>
      </c>
      <c r="L677" s="33">
        <v>151.59091246362004</v>
      </c>
      <c r="M677" s="33">
        <v>151.59091246362004</v>
      </c>
    </row>
    <row r="678" spans="1:13">
      <c r="A678" t="s">
        <v>119</v>
      </c>
      <c r="B678">
        <v>2006</v>
      </c>
      <c r="C678" s="16">
        <v>5.0700000000000002E-2</v>
      </c>
      <c r="D678" s="1">
        <v>547160</v>
      </c>
      <c r="E678" s="29">
        <f>Table13[[#This Row],[Ávöxtun]]*Table13[[#This Row],[Eignir]]/SUMIFS(Table13[Eignir],Table13[Year],Table13[[#This Row],[Year]])</f>
        <v>2.4385298220205662E-5</v>
      </c>
      <c r="F678" s="23">
        <f>IF(B678=1997, 100, IF(COUNTIF(A$1:A677,A678)=0, "NEW", F677*(1+Table13[[#This Row],[Ávöxtun]])))</f>
        <v>159.27657172552557</v>
      </c>
      <c r="G678" s="18" cm="1">
        <f t="array" ref="G678">IFERROR(_xlfn.IFS(ISNUMBER(Table13[[#This Row],[Column3]]),Table13[[#This Row],[Column3]],Table13[[#This Row],[Column3]]="NEW",Table13[[#This Row],[Column3]]),"")</f>
        <v>159.27657172552557</v>
      </c>
      <c r="H678" s="15" cm="1">
        <f t="array" ref="H678">_xlfn.IFS(Table13[[#This Row],[Column4]]="NEW",AVERAGEIFS(Table13[Column4],Table13[Year],Table13[[#This Row],[Year]]),ISNUMBER(Table13[[#This Row],[Column4]]),Table13[[#This Row],[Column4]],Table13[[#This Row],[Column4]]="",H677*(1+Table13[[#This Row],[Ávöxtun]]))</f>
        <v>159.27657172552557</v>
      </c>
      <c r="I678" cm="1">
        <f t="array" ref="I678">_xlfn.IFS(Table13[[#This Row],[Column4]]="NEW",_xlfn.XLOOKUP(Table13[[#This Row],[Year]],$N$2:$N$27,$P$2:$P$27),ISNUMBER(Table13[[#This Row],[Column4]]),Table13[[#This Row],[Column4]],Table13[[#This Row],[Column4]]="",I677*(1+Table13[[#This Row],[Ávöxtun]]))</f>
        <v>159.27657172552557</v>
      </c>
      <c r="L678" s="33">
        <v>159.27657172552557</v>
      </c>
      <c r="M678" s="33">
        <v>159.27657172552557</v>
      </c>
    </row>
    <row r="679" spans="1:13">
      <c r="A679" t="s">
        <v>100</v>
      </c>
      <c r="B679">
        <v>1997</v>
      </c>
      <c r="C679" s="16">
        <v>7.0000000000000007E-2</v>
      </c>
      <c r="D679" s="1">
        <v>7241571.3600000003</v>
      </c>
      <c r="E679" s="29">
        <f>Table13[[#This Row],[Ávöxtun]]*Table13[[#This Row],[Eignir]]/SUMIFS(Table13[Eignir],Table13[Year],Table13[[#This Row],[Year]])</f>
        <v>1.7764142798849397E-3</v>
      </c>
      <c r="F679" s="23">
        <f>IF(B679=1997, 100, IF(COUNTIF(A$1:A678,A679)=0, "NEW", F678*(1+Table13[[#This Row],[Ávöxtun]])))</f>
        <v>100</v>
      </c>
      <c r="G679" s="18" cm="1">
        <f t="array" ref="G679">IFERROR(_xlfn.IFS(ISNUMBER(Table13[[#This Row],[Column3]]),Table13[[#This Row],[Column3]],Table13[[#This Row],[Column3]]="NEW",Table13[[#This Row],[Column3]]),"")</f>
        <v>100</v>
      </c>
      <c r="H679" s="15" cm="1">
        <f t="array" ref="H679">_xlfn.IFS(Table13[[#This Row],[Column4]]="NEW",AVERAGEIFS(Table13[Column4],Table13[Year],Table13[[#This Row],[Year]]),ISNUMBER(Table13[[#This Row],[Column4]]),Table13[[#This Row],[Column4]],Table13[[#This Row],[Column4]]="",H678*(1+Table13[[#This Row],[Ávöxtun]]))</f>
        <v>100</v>
      </c>
      <c r="I679" cm="1">
        <f t="array" ref="I679">_xlfn.IFS(Table13[[#This Row],[Column4]]="NEW",_xlfn.XLOOKUP(Table13[[#This Row],[Year]],$N$2:$N$27,$P$2:$P$27),ISNUMBER(Table13[[#This Row],[Column4]]),Table13[[#This Row],[Column4]],Table13[[#This Row],[Column4]]="",I678*(1+Table13[[#This Row],[Ávöxtun]]))</f>
        <v>100</v>
      </c>
      <c r="L679" s="33">
        <v>100</v>
      </c>
      <c r="M679" s="33">
        <v>100</v>
      </c>
    </row>
    <row r="680" spans="1:13">
      <c r="A680" t="s">
        <v>100</v>
      </c>
      <c r="B680">
        <v>1998</v>
      </c>
      <c r="C680" s="16">
        <v>0.09</v>
      </c>
      <c r="D680" s="1">
        <v>8227564.0199999996</v>
      </c>
      <c r="E680" s="29">
        <f>Table13[[#This Row],[Ávöxtun]]*Table13[[#This Row],[Eignir]]/SUMIFS(Table13[Eignir],Table13[Year],Table13[[#This Row],[Year]])</f>
        <v>2.240497039112214E-3</v>
      </c>
      <c r="F680" s="23">
        <f>IF(B680=1997, 100, IF(COUNTIF(A$1:A679,A680)=0, "NEW", F679*(1+Table13[[#This Row],[Ávöxtun]])))</f>
        <v>109.00000000000001</v>
      </c>
      <c r="G680" s="18" cm="1">
        <f t="array" ref="G680">IFERROR(_xlfn.IFS(ISNUMBER(Table13[[#This Row],[Column3]]),Table13[[#This Row],[Column3]],Table13[[#This Row],[Column3]]="NEW",Table13[[#This Row],[Column3]]),"")</f>
        <v>109.00000000000001</v>
      </c>
      <c r="H680" s="15" cm="1">
        <f t="array" ref="H680">_xlfn.IFS(Table13[[#This Row],[Column4]]="NEW",AVERAGEIFS(Table13[Column4],Table13[Year],Table13[[#This Row],[Year]]),ISNUMBER(Table13[[#This Row],[Column4]]),Table13[[#This Row],[Column4]],Table13[[#This Row],[Column4]]="",H679*(1+Table13[[#This Row],[Ávöxtun]]))</f>
        <v>109.00000000000001</v>
      </c>
      <c r="I680" cm="1">
        <f t="array" ref="I680">_xlfn.IFS(Table13[[#This Row],[Column4]]="NEW",_xlfn.XLOOKUP(Table13[[#This Row],[Year]],$N$2:$N$27,$P$2:$P$27),ISNUMBER(Table13[[#This Row],[Column4]]),Table13[[#This Row],[Column4]],Table13[[#This Row],[Column4]]="",I679*(1+Table13[[#This Row],[Ávöxtun]]))</f>
        <v>109.00000000000001</v>
      </c>
      <c r="L680" s="33">
        <v>109.00000000000001</v>
      </c>
      <c r="M680" s="33">
        <v>109.00000000000001</v>
      </c>
    </row>
    <row r="681" spans="1:13">
      <c r="A681" t="s">
        <v>100</v>
      </c>
      <c r="B681">
        <v>1999</v>
      </c>
      <c r="C681" s="16">
        <v>0.09</v>
      </c>
      <c r="D681" s="1">
        <v>9712070.5</v>
      </c>
      <c r="E681" s="29">
        <f>Table13[[#This Row],[Ávöxtun]]*Table13[[#This Row],[Eignir]]/SUMIFS(Table13[Eignir],Table13[Year],Table13[[#This Row],[Year]])</f>
        <v>1.9689998941410736E-3</v>
      </c>
      <c r="F681" s="23">
        <f>IF(B681=1997, 100, IF(COUNTIF(A$1:A680,A681)=0, "NEW", F680*(1+Table13[[#This Row],[Ávöxtun]])))</f>
        <v>118.81000000000003</v>
      </c>
      <c r="G681" s="18" cm="1">
        <f t="array" ref="G681">IFERROR(_xlfn.IFS(ISNUMBER(Table13[[#This Row],[Column3]]),Table13[[#This Row],[Column3]],Table13[[#This Row],[Column3]]="NEW",Table13[[#This Row],[Column3]]),"")</f>
        <v>118.81000000000003</v>
      </c>
      <c r="H681" s="15" cm="1">
        <f t="array" ref="H681">_xlfn.IFS(Table13[[#This Row],[Column4]]="NEW",AVERAGEIFS(Table13[Column4],Table13[Year],Table13[[#This Row],[Year]]),ISNUMBER(Table13[[#This Row],[Column4]]),Table13[[#This Row],[Column4]],Table13[[#This Row],[Column4]]="",H680*(1+Table13[[#This Row],[Ávöxtun]]))</f>
        <v>118.81000000000003</v>
      </c>
      <c r="I681" cm="1">
        <f t="array" ref="I681">_xlfn.IFS(Table13[[#This Row],[Column4]]="NEW",_xlfn.XLOOKUP(Table13[[#This Row],[Year]],$N$2:$N$27,$P$2:$P$27),ISNUMBER(Table13[[#This Row],[Column4]]),Table13[[#This Row],[Column4]],Table13[[#This Row],[Column4]]="",I680*(1+Table13[[#This Row],[Ávöxtun]]))</f>
        <v>118.81000000000003</v>
      </c>
      <c r="L681" s="33">
        <v>118.81000000000003</v>
      </c>
      <c r="M681" s="33">
        <v>118.81000000000003</v>
      </c>
    </row>
    <row r="682" spans="1:13">
      <c r="A682" t="s">
        <v>100</v>
      </c>
      <c r="B682">
        <v>2000</v>
      </c>
      <c r="C682" s="16">
        <v>-0.04</v>
      </c>
      <c r="D682" s="1">
        <v>11032896.970000001</v>
      </c>
      <c r="E682" s="29">
        <f>Table13[[#This Row],[Ávöxtun]]*Table13[[#This Row],[Eignir]]/SUMIFS(Table13[Eignir],Table13[Year],Table13[[#This Row],[Year]])</f>
        <v>-7.0669154218482456E-4</v>
      </c>
      <c r="F682" s="23">
        <f>IF(B682=1997, 100, IF(COUNTIF(A$1:A681,A682)=0, "NEW", F681*(1+Table13[[#This Row],[Ávöxtun]])))</f>
        <v>114.05760000000002</v>
      </c>
      <c r="G682" s="18" cm="1">
        <f t="array" ref="G682">IFERROR(_xlfn.IFS(ISNUMBER(Table13[[#This Row],[Column3]]),Table13[[#This Row],[Column3]],Table13[[#This Row],[Column3]]="NEW",Table13[[#This Row],[Column3]]),"")</f>
        <v>114.05760000000002</v>
      </c>
      <c r="H682" s="15" cm="1">
        <f t="array" ref="H682">_xlfn.IFS(Table13[[#This Row],[Column4]]="NEW",AVERAGEIFS(Table13[Column4],Table13[Year],Table13[[#This Row],[Year]]),ISNUMBER(Table13[[#This Row],[Column4]]),Table13[[#This Row],[Column4]],Table13[[#This Row],[Column4]]="",H681*(1+Table13[[#This Row],[Ávöxtun]]))</f>
        <v>114.05760000000002</v>
      </c>
      <c r="I682" cm="1">
        <f t="array" ref="I682">_xlfn.IFS(Table13[[#This Row],[Column4]]="NEW",_xlfn.XLOOKUP(Table13[[#This Row],[Year]],$N$2:$N$27,$P$2:$P$27),ISNUMBER(Table13[[#This Row],[Column4]]),Table13[[#This Row],[Column4]],Table13[[#This Row],[Column4]]="",I681*(1+Table13[[#This Row],[Ávöxtun]]))</f>
        <v>114.05760000000002</v>
      </c>
      <c r="L682" s="33">
        <v>114.05760000000002</v>
      </c>
      <c r="M682" s="33">
        <v>114.05760000000002</v>
      </c>
    </row>
    <row r="683" spans="1:13">
      <c r="A683" t="s">
        <v>100</v>
      </c>
      <c r="B683">
        <v>2001</v>
      </c>
      <c r="C683" s="16">
        <v>-0.05</v>
      </c>
      <c r="D683" s="1">
        <v>11755402</v>
      </c>
      <c r="E683" s="29">
        <f>Table13[[#This Row],[Ávöxtun]]*Table13[[#This Row],[Eignir]]/SUMIFS(Table13[Eignir],Table13[Year],Table13[[#This Row],[Year]])</f>
        <v>-6.115976397122019E-4</v>
      </c>
      <c r="F683" s="23">
        <f>IF(B683=1997, 100, IF(COUNTIF(A$1:A682,A683)=0, "NEW", F682*(1+Table13[[#This Row],[Ávöxtun]])))</f>
        <v>108.35472000000001</v>
      </c>
      <c r="G683" s="18" cm="1">
        <f t="array" ref="G683">IFERROR(_xlfn.IFS(ISNUMBER(Table13[[#This Row],[Column3]]),Table13[[#This Row],[Column3]],Table13[[#This Row],[Column3]]="NEW",Table13[[#This Row],[Column3]]),"")</f>
        <v>108.35472000000001</v>
      </c>
      <c r="H683" s="15" cm="1">
        <f t="array" ref="H683">_xlfn.IFS(Table13[[#This Row],[Column4]]="NEW",AVERAGEIFS(Table13[Column4],Table13[Year],Table13[[#This Row],[Year]]),ISNUMBER(Table13[[#This Row],[Column4]]),Table13[[#This Row],[Column4]],Table13[[#This Row],[Column4]]="",H682*(1+Table13[[#This Row],[Ávöxtun]]))</f>
        <v>108.35472000000001</v>
      </c>
      <c r="I683" cm="1">
        <f t="array" ref="I683">_xlfn.IFS(Table13[[#This Row],[Column4]]="NEW",_xlfn.XLOOKUP(Table13[[#This Row],[Year]],$N$2:$N$27,$P$2:$P$27),ISNUMBER(Table13[[#This Row],[Column4]]),Table13[[#This Row],[Column4]],Table13[[#This Row],[Column4]]="",I682*(1+Table13[[#This Row],[Ávöxtun]]))</f>
        <v>108.35472000000001</v>
      </c>
      <c r="L683" s="33">
        <v>108.35472000000001</v>
      </c>
      <c r="M683" s="33">
        <v>108.35472000000001</v>
      </c>
    </row>
    <row r="684" spans="1:13">
      <c r="A684" t="s">
        <v>100</v>
      </c>
      <c r="B684">
        <v>2002</v>
      </c>
      <c r="C684" s="16">
        <v>-0.04</v>
      </c>
      <c r="D684" s="1">
        <v>11781559</v>
      </c>
      <c r="E684" s="29">
        <f>Table13[[#This Row],[Ávöxtun]]*Table13[[#This Row],[Eignir]]/SUMIFS(Table13[Eignir],Table13[Year],Table13[[#This Row],[Year]])</f>
        <v>-8.8436506367421317E-4</v>
      </c>
      <c r="F684" s="23">
        <f>IF(B684=1997, 100, IF(COUNTIF(A$1:A683,A684)=0, "NEW", F683*(1+Table13[[#This Row],[Ávöxtun]])))</f>
        <v>104.02053120000001</v>
      </c>
      <c r="G684" s="18" cm="1">
        <f t="array" ref="G684">IFERROR(_xlfn.IFS(ISNUMBER(Table13[[#This Row],[Column3]]),Table13[[#This Row],[Column3]],Table13[[#This Row],[Column3]]="NEW",Table13[[#This Row],[Column3]]),"")</f>
        <v>104.02053120000001</v>
      </c>
      <c r="H684" s="15" cm="1">
        <f t="array" ref="H684">_xlfn.IFS(Table13[[#This Row],[Column4]]="NEW",AVERAGEIFS(Table13[Column4],Table13[Year],Table13[[#This Row],[Year]]),ISNUMBER(Table13[[#This Row],[Column4]]),Table13[[#This Row],[Column4]],Table13[[#This Row],[Column4]]="",H683*(1+Table13[[#This Row],[Ávöxtun]]))</f>
        <v>104.02053120000001</v>
      </c>
      <c r="I684" cm="1">
        <f t="array" ref="I684">_xlfn.IFS(Table13[[#This Row],[Column4]]="NEW",_xlfn.XLOOKUP(Table13[[#This Row],[Year]],$N$2:$N$27,$P$2:$P$27),ISNUMBER(Table13[[#This Row],[Column4]]),Table13[[#This Row],[Column4]],Table13[[#This Row],[Column4]]="",I683*(1+Table13[[#This Row],[Ávöxtun]]))</f>
        <v>104.02053120000001</v>
      </c>
      <c r="L684" s="33">
        <v>104.02053120000001</v>
      </c>
      <c r="M684" s="33">
        <v>104.02053120000001</v>
      </c>
    </row>
    <row r="685" spans="1:13">
      <c r="A685" t="s">
        <v>100</v>
      </c>
      <c r="B685">
        <v>2003</v>
      </c>
      <c r="C685" s="16">
        <v>0.1</v>
      </c>
      <c r="D685" s="1">
        <v>13729431</v>
      </c>
      <c r="E685" s="29">
        <f>Table13[[#This Row],[Ávöxtun]]*Table13[[#This Row],[Eignir]]/SUMIFS(Table13[Eignir],Table13[Year],Table13[[#This Row],[Year]])</f>
        <v>2.1526514154382444E-3</v>
      </c>
      <c r="F685" s="23">
        <f>IF(B685=1997, 100, IF(COUNTIF(A$1:A684,A685)=0, "NEW", F684*(1+Table13[[#This Row],[Ávöxtun]])))</f>
        <v>114.42258432000001</v>
      </c>
      <c r="G685" s="18" cm="1">
        <f t="array" ref="G685">IFERROR(_xlfn.IFS(ISNUMBER(Table13[[#This Row],[Column3]]),Table13[[#This Row],[Column3]],Table13[[#This Row],[Column3]]="NEW",Table13[[#This Row],[Column3]]),"")</f>
        <v>114.42258432000001</v>
      </c>
      <c r="H685" s="15" cm="1">
        <f t="array" ref="H685">_xlfn.IFS(Table13[[#This Row],[Column4]]="NEW",AVERAGEIFS(Table13[Column4],Table13[Year],Table13[[#This Row],[Year]]),ISNUMBER(Table13[[#This Row],[Column4]]),Table13[[#This Row],[Column4]],Table13[[#This Row],[Column4]]="",H684*(1+Table13[[#This Row],[Ávöxtun]]))</f>
        <v>114.42258432000001</v>
      </c>
      <c r="I685" cm="1">
        <f t="array" ref="I685">_xlfn.IFS(Table13[[#This Row],[Column4]]="NEW",_xlfn.XLOOKUP(Table13[[#This Row],[Year]],$N$2:$N$27,$P$2:$P$27),ISNUMBER(Table13[[#This Row],[Column4]]),Table13[[#This Row],[Column4]],Table13[[#This Row],[Column4]]="",I684*(1+Table13[[#This Row],[Ávöxtun]]))</f>
        <v>114.42258432000001</v>
      </c>
      <c r="L685" s="33">
        <v>114.42258432000001</v>
      </c>
      <c r="M685" s="33">
        <v>114.42258432000001</v>
      </c>
    </row>
    <row r="686" spans="1:13">
      <c r="A686" t="s">
        <v>100</v>
      </c>
      <c r="B686">
        <v>2004</v>
      </c>
      <c r="C686" s="16">
        <v>0.06</v>
      </c>
      <c r="D686" s="1">
        <v>15438869</v>
      </c>
      <c r="E686" s="29">
        <f>Table13[[#This Row],[Ávöxtun]]*Table13[[#This Row],[Eignir]]/SUMIFS(Table13[Eignir],Table13[Year],Table13[[#This Row],[Year]])</f>
        <v>1.2194478680054852E-3</v>
      </c>
      <c r="F686" s="23">
        <f>IF(B686=1997, 100, IF(COUNTIF(A$1:A685,A686)=0, "NEW", F685*(1+Table13[[#This Row],[Ávöxtun]])))</f>
        <v>121.28793937920003</v>
      </c>
      <c r="G686" s="18" cm="1">
        <f t="array" ref="G686">IFERROR(_xlfn.IFS(ISNUMBER(Table13[[#This Row],[Column3]]),Table13[[#This Row],[Column3]],Table13[[#This Row],[Column3]]="NEW",Table13[[#This Row],[Column3]]),"")</f>
        <v>121.28793937920003</v>
      </c>
      <c r="H686" s="15" cm="1">
        <f t="array" ref="H686">_xlfn.IFS(Table13[[#This Row],[Column4]]="NEW",AVERAGEIFS(Table13[Column4],Table13[Year],Table13[[#This Row],[Year]]),ISNUMBER(Table13[[#This Row],[Column4]]),Table13[[#This Row],[Column4]],Table13[[#This Row],[Column4]]="",H685*(1+Table13[[#This Row],[Ávöxtun]]))</f>
        <v>121.28793937920003</v>
      </c>
      <c r="I686" cm="1">
        <f t="array" ref="I686">_xlfn.IFS(Table13[[#This Row],[Column4]]="NEW",_xlfn.XLOOKUP(Table13[[#This Row],[Year]],$N$2:$N$27,$P$2:$P$27),ISNUMBER(Table13[[#This Row],[Column4]]),Table13[[#This Row],[Column4]],Table13[[#This Row],[Column4]]="",I685*(1+Table13[[#This Row],[Ávöxtun]]))</f>
        <v>121.28793937920003</v>
      </c>
      <c r="L686" s="33">
        <v>121.28793937920003</v>
      </c>
      <c r="M686" s="33">
        <v>121.28793937920003</v>
      </c>
    </row>
    <row r="687" spans="1:13">
      <c r="A687" t="s">
        <v>101</v>
      </c>
      <c r="B687">
        <v>1999</v>
      </c>
      <c r="C687" s="16">
        <v>0.12</v>
      </c>
      <c r="D687" s="1">
        <v>1083169.8700000001</v>
      </c>
      <c r="E687" s="29">
        <f>Table13[[#This Row],[Ávöxtun]]*Table13[[#This Row],[Eignir]]/SUMIFS(Table13[Eignir],Table13[Year],Table13[[#This Row],[Year]])</f>
        <v>2.9279872015849429E-4</v>
      </c>
      <c r="F687" s="23" t="str">
        <f>IF(B687=1997, 100, IF(COUNTIF(A$1:A686,A687)=0, "NEW", F686*(1+Table13[[#This Row],[Ávöxtun]])))</f>
        <v>NEW</v>
      </c>
      <c r="G687" s="18" t="str" cm="1">
        <f t="array" ref="G687">IFERROR(_xlfn.IFS(ISNUMBER(Table13[[#This Row],[Column3]]),Table13[[#This Row],[Column3]],Table13[[#This Row],[Column3]]="NEW",Table13[[#This Row],[Column3]]),"")</f>
        <v>NEW</v>
      </c>
      <c r="H687" s="15" cm="1">
        <f t="array" ref="H687">_xlfn.IFS(Table13[[#This Row],[Column4]]="NEW",AVERAGEIFS(Table13[Column4],Table13[Year],Table13[[#This Row],[Year]]),ISNUMBER(Table13[[#This Row],[Column4]]),Table13[[#This Row],[Column4]],Table13[[#This Row],[Column4]]="",H686*(1+Table13[[#This Row],[Ávöxtun]]))</f>
        <v>117.24765957446809</v>
      </c>
      <c r="I687" cm="1">
        <f t="array" ref="I687">_xlfn.IFS(Table13[[#This Row],[Column4]]="NEW",_xlfn.XLOOKUP(Table13[[#This Row],[Year]],$N$2:$N$27,$P$2:$P$27),ISNUMBER(Table13[[#This Row],[Column4]]),Table13[[#This Row],[Column4]],Table13[[#This Row],[Column4]]="",I686*(1+Table13[[#This Row],[Ávöxtun]]))</f>
        <v>119.85237726478729</v>
      </c>
      <c r="L687" s="33">
        <v>117.05306122448981</v>
      </c>
      <c r="M687" s="33">
        <v>129.26988390123572</v>
      </c>
    </row>
    <row r="688" spans="1:13">
      <c r="A688" t="s">
        <v>101</v>
      </c>
      <c r="B688">
        <v>2000</v>
      </c>
      <c r="C688" s="16">
        <v>-0.09</v>
      </c>
      <c r="D688" s="1">
        <v>1068173.6499999999</v>
      </c>
      <c r="E688" s="29">
        <f>Table13[[#This Row],[Ávöxtun]]*Table13[[#This Row],[Eignir]]/SUMIFS(Table13[Eignir],Table13[Year],Table13[[#This Row],[Year]])</f>
        <v>-1.5394468866224796E-4</v>
      </c>
      <c r="F688" s="23" t="e">
        <f>IF(B688=1997, 100, IF(COUNTIF(A$1:A687,A688)=0, "NEW", F687*(1+Table13[[#This Row],[Ávöxtun]])))</f>
        <v>#VALUE!</v>
      </c>
      <c r="G688" s="18" t="str" cm="1">
        <f t="array" ref="G688">IFERROR(_xlfn.IFS(ISNUMBER(Table13[[#This Row],[Column3]]),Table13[[#This Row],[Column3]],Table13[[#This Row],[Column3]]="NEW",Table13[[#This Row],[Column3]]),"")</f>
        <v/>
      </c>
      <c r="H688" s="15" cm="1">
        <f t="array" ref="H688">_xlfn.IFS(Table13[[#This Row],[Column4]]="NEW",AVERAGEIFS(Table13[Column4],Table13[Year],Table13[[#This Row],[Year]]),ISNUMBER(Table13[[#This Row],[Column4]]),Table13[[#This Row],[Column4]],Table13[[#This Row],[Column4]]="",H687*(1+Table13[[#This Row],[Ávöxtun]]))</f>
        <v>106.69537021276597</v>
      </c>
      <c r="I688" cm="1">
        <f t="array" ref="I688">_xlfn.IFS(Table13[[#This Row],[Column4]]="NEW",_xlfn.XLOOKUP(Table13[[#This Row],[Year]],$N$2:$N$27,$P$2:$P$27),ISNUMBER(Table13[[#This Row],[Column4]]),Table13[[#This Row],[Column4]],Table13[[#This Row],[Column4]]="",I687*(1+Table13[[#This Row],[Ávöxtun]]))</f>
        <v>109.06566331095644</v>
      </c>
      <c r="L688" s="33">
        <v>106.51828571428572</v>
      </c>
      <c r="M688" s="33">
        <v>117.63559435012451</v>
      </c>
    </row>
    <row r="689" spans="1:13">
      <c r="A689" t="s">
        <v>101</v>
      </c>
      <c r="B689">
        <v>2001</v>
      </c>
      <c r="C689" s="16">
        <v>-0.05</v>
      </c>
      <c r="D689" s="1">
        <v>1244818</v>
      </c>
      <c r="E689" s="29">
        <f>Table13[[#This Row],[Ávöxtun]]*Table13[[#This Row],[Eignir]]/SUMIFS(Table13[Eignir],Table13[Year],Table13[[#This Row],[Year]])</f>
        <v>-6.4764076181423981E-5</v>
      </c>
      <c r="F689" s="23" t="e">
        <f>IF(B689=1997, 100, IF(COUNTIF(A$1:A688,A689)=0, "NEW", F688*(1+Table13[[#This Row],[Ávöxtun]])))</f>
        <v>#VALUE!</v>
      </c>
      <c r="G689" s="18" t="str" cm="1">
        <f t="array" ref="G689">IFERROR(_xlfn.IFS(ISNUMBER(Table13[[#This Row],[Column3]]),Table13[[#This Row],[Column3]],Table13[[#This Row],[Column3]]="NEW",Table13[[#This Row],[Column3]]),"")</f>
        <v/>
      </c>
      <c r="H689" s="15" cm="1">
        <f t="array" ref="H689">_xlfn.IFS(Table13[[#This Row],[Column4]]="NEW",AVERAGEIFS(Table13[Column4],Table13[Year],Table13[[#This Row],[Year]]),ISNUMBER(Table13[[#This Row],[Column4]]),Table13[[#This Row],[Column4]],Table13[[#This Row],[Column4]]="",H688*(1+Table13[[#This Row],[Ávöxtun]]))</f>
        <v>101.36060170212767</v>
      </c>
      <c r="I689" cm="1">
        <f t="array" ref="I689">_xlfn.IFS(Table13[[#This Row],[Column4]]="NEW",_xlfn.XLOOKUP(Table13[[#This Row],[Year]],$N$2:$N$27,$P$2:$P$27),ISNUMBER(Table13[[#This Row],[Column4]]),Table13[[#This Row],[Column4]],Table13[[#This Row],[Column4]]="",I688*(1+Table13[[#This Row],[Ávöxtun]]))</f>
        <v>103.61238014540861</v>
      </c>
      <c r="L689" s="33">
        <v>101.19237142857143</v>
      </c>
      <c r="M689" s="33">
        <v>111.75381463261827</v>
      </c>
    </row>
    <row r="690" spans="1:13">
      <c r="A690" t="s">
        <v>101</v>
      </c>
      <c r="B690">
        <v>2002</v>
      </c>
      <c r="C690" s="16">
        <v>0.01</v>
      </c>
      <c r="D690" s="1">
        <v>84637</v>
      </c>
      <c r="E690" s="29">
        <f>Table13[[#This Row],[Ávöxtun]]*Table13[[#This Row],[Eignir]]/SUMIFS(Table13[Eignir],Table13[Year],Table13[[#This Row],[Year]])</f>
        <v>1.5882873797558197E-6</v>
      </c>
      <c r="F690" s="23" t="e">
        <f>IF(B690=1997, 100, IF(COUNTIF(A$1:A689,A690)=0, "NEW", F689*(1+Table13[[#This Row],[Ávöxtun]])))</f>
        <v>#VALUE!</v>
      </c>
      <c r="G690" s="18" t="str" cm="1">
        <f t="array" ref="G690">IFERROR(_xlfn.IFS(ISNUMBER(Table13[[#This Row],[Column3]]),Table13[[#This Row],[Column3]],Table13[[#This Row],[Column3]]="NEW",Table13[[#This Row],[Column3]]),"")</f>
        <v/>
      </c>
      <c r="H690" s="15" cm="1">
        <f t="array" ref="H690">_xlfn.IFS(Table13[[#This Row],[Column4]]="NEW",AVERAGEIFS(Table13[Column4],Table13[Year],Table13[[#This Row],[Year]]),ISNUMBER(Table13[[#This Row],[Column4]]),Table13[[#This Row],[Column4]],Table13[[#This Row],[Column4]]="",H689*(1+Table13[[#This Row],[Ávöxtun]]))</f>
        <v>102.37420771914894</v>
      </c>
      <c r="I690" cm="1">
        <f t="array" ref="I690">_xlfn.IFS(Table13[[#This Row],[Column4]]="NEW",_xlfn.XLOOKUP(Table13[[#This Row],[Year]],$N$2:$N$27,$P$2:$P$27),ISNUMBER(Table13[[#This Row],[Column4]]),Table13[[#This Row],[Column4]],Table13[[#This Row],[Column4]]="",I689*(1+Table13[[#This Row],[Ávöxtun]]))</f>
        <v>104.64850394686269</v>
      </c>
      <c r="L690" s="33">
        <v>102.20429514285715</v>
      </c>
      <c r="M690" s="33">
        <v>112.87135277894446</v>
      </c>
    </row>
    <row r="691" spans="1:13">
      <c r="A691" t="s">
        <v>101</v>
      </c>
      <c r="B691">
        <v>2003</v>
      </c>
      <c r="C691" s="16">
        <v>0.13</v>
      </c>
      <c r="D691" s="1">
        <v>132481</v>
      </c>
      <c r="E691" s="29">
        <f>Table13[[#This Row],[Ávöxtun]]*Table13[[#This Row],[Eignir]]/SUMIFS(Table13[Eignir],Table13[Year],Table13[[#This Row],[Year]])</f>
        <v>2.7003379515092521E-5</v>
      </c>
      <c r="F691" s="23" t="e">
        <f>IF(B691=1997, 100, IF(COUNTIF(A$1:A690,A691)=0, "NEW", F690*(1+Table13[[#This Row],[Ávöxtun]])))</f>
        <v>#VALUE!</v>
      </c>
      <c r="G691" s="18" t="str" cm="1">
        <f t="array" ref="G691">IFERROR(_xlfn.IFS(ISNUMBER(Table13[[#This Row],[Column3]]),Table13[[#This Row],[Column3]],Table13[[#This Row],[Column3]]="NEW",Table13[[#This Row],[Column3]]),"")</f>
        <v/>
      </c>
      <c r="H691" s="15" cm="1">
        <f t="array" ref="H691">_xlfn.IFS(Table13[[#This Row],[Column4]]="NEW",AVERAGEIFS(Table13[Column4],Table13[Year],Table13[[#This Row],[Year]]),ISNUMBER(Table13[[#This Row],[Column4]]),Table13[[#This Row],[Column4]],Table13[[#This Row],[Column4]]="",H690*(1+Table13[[#This Row],[Ávöxtun]]))</f>
        <v>115.6828547226383</v>
      </c>
      <c r="I691" cm="1">
        <f t="array" ref="I691">_xlfn.IFS(Table13[[#This Row],[Column4]]="NEW",_xlfn.XLOOKUP(Table13[[#This Row],[Year]],$N$2:$N$27,$P$2:$P$27),ISNUMBER(Table13[[#This Row],[Column4]]),Table13[[#This Row],[Column4]],Table13[[#This Row],[Column4]]="",I690*(1+Table13[[#This Row],[Ávöxtun]]))</f>
        <v>118.25280945995483</v>
      </c>
      <c r="L691" s="33">
        <v>115.49085351142857</v>
      </c>
      <c r="M691" s="33">
        <v>127.54462864020722</v>
      </c>
    </row>
    <row r="692" spans="1:13">
      <c r="A692" t="s">
        <v>101</v>
      </c>
      <c r="B692">
        <v>2004</v>
      </c>
      <c r="C692" s="16">
        <v>0.08</v>
      </c>
      <c r="D692" s="1">
        <v>186713</v>
      </c>
      <c r="E692" s="29">
        <f>Table13[[#This Row],[Ávöxtun]]*Table13[[#This Row],[Eignir]]/SUMIFS(Table13[Eignir],Table13[Year],Table13[[#This Row],[Year]])</f>
        <v>1.9663510306694804E-5</v>
      </c>
      <c r="F692" s="23" t="e">
        <f>IF(B692=1997, 100, IF(COUNTIF(A$1:A691,A692)=0, "NEW", F691*(1+Table13[[#This Row],[Ávöxtun]])))</f>
        <v>#VALUE!</v>
      </c>
      <c r="G692" s="18" t="str" cm="1">
        <f t="array" ref="G692">IFERROR(_xlfn.IFS(ISNUMBER(Table13[[#This Row],[Column3]]),Table13[[#This Row],[Column3]],Table13[[#This Row],[Column3]]="NEW",Table13[[#This Row],[Column3]]),"")</f>
        <v/>
      </c>
      <c r="H692" s="15" cm="1">
        <f t="array" ref="H692">_xlfn.IFS(Table13[[#This Row],[Column4]]="NEW",AVERAGEIFS(Table13[Column4],Table13[Year],Table13[[#This Row],[Year]]),ISNUMBER(Table13[[#This Row],[Column4]]),Table13[[#This Row],[Column4]],Table13[[#This Row],[Column4]]="",H691*(1+Table13[[#This Row],[Ávöxtun]]))</f>
        <v>124.93748310044937</v>
      </c>
      <c r="I692" cm="1">
        <f t="array" ref="I692">_xlfn.IFS(Table13[[#This Row],[Column4]]="NEW",_xlfn.XLOOKUP(Table13[[#This Row],[Year]],$N$2:$N$27,$P$2:$P$27),ISNUMBER(Table13[[#This Row],[Column4]]),Table13[[#This Row],[Column4]],Table13[[#This Row],[Column4]]="",I691*(1+Table13[[#This Row],[Ávöxtun]]))</f>
        <v>127.71303421675123</v>
      </c>
      <c r="L692" s="33">
        <v>124.73012179234286</v>
      </c>
      <c r="M692" s="33">
        <v>137.74819893142381</v>
      </c>
    </row>
    <row r="693" spans="1:13">
      <c r="A693" t="s">
        <v>101</v>
      </c>
      <c r="B693">
        <v>2005</v>
      </c>
      <c r="C693" s="16">
        <v>7.0000000000000007E-2</v>
      </c>
      <c r="D693" s="1">
        <v>246645</v>
      </c>
      <c r="E693" s="29">
        <f>Table13[[#This Row],[Ávöxtun]]*Table13[[#This Row],[Eignir]]/SUMIFS(Table13[Eignir],Table13[Year],Table13[[#This Row],[Year]])</f>
        <v>1.8496870695748493E-5</v>
      </c>
      <c r="F693" s="23" t="e">
        <f>IF(B693=1997, 100, IF(COUNTIF(A$1:A692,A693)=0, "NEW", F692*(1+Table13[[#This Row],[Ávöxtun]])))</f>
        <v>#VALUE!</v>
      </c>
      <c r="G693" s="18" t="str" cm="1">
        <f t="array" ref="G693">IFERROR(_xlfn.IFS(ISNUMBER(Table13[[#This Row],[Column3]]),Table13[[#This Row],[Column3]],Table13[[#This Row],[Column3]]="NEW",Table13[[#This Row],[Column3]]),"")</f>
        <v/>
      </c>
      <c r="H693" s="15" cm="1">
        <f t="array" ref="H693">_xlfn.IFS(Table13[[#This Row],[Column4]]="NEW",AVERAGEIFS(Table13[Column4],Table13[Year],Table13[[#This Row],[Year]]),ISNUMBER(Table13[[#This Row],[Column4]]),Table13[[#This Row],[Column4]],Table13[[#This Row],[Column4]]="",H692*(1+Table13[[#This Row],[Ávöxtun]]))</f>
        <v>133.68310691748084</v>
      </c>
      <c r="I693" cm="1">
        <f t="array" ref="I693">_xlfn.IFS(Table13[[#This Row],[Column4]]="NEW",_xlfn.XLOOKUP(Table13[[#This Row],[Year]],$N$2:$N$27,$P$2:$P$27),ISNUMBER(Table13[[#This Row],[Column4]]),Table13[[#This Row],[Column4]],Table13[[#This Row],[Column4]]="",I692*(1+Table13[[#This Row],[Ávöxtun]]))</f>
        <v>136.65294661192382</v>
      </c>
      <c r="L693" s="33">
        <v>133.46123031780687</v>
      </c>
      <c r="M693" s="33">
        <v>147.39057285662349</v>
      </c>
    </row>
    <row r="694" spans="1:13">
      <c r="A694" t="s">
        <v>101</v>
      </c>
      <c r="B694">
        <v>2006</v>
      </c>
      <c r="C694" s="16">
        <v>7.6399999999999996E-2</v>
      </c>
      <c r="D694" s="1">
        <v>323153</v>
      </c>
      <c r="E694" s="29">
        <f>Table13[[#This Row],[Ávöxtun]]*Table13[[#This Row],[Eignir]]/SUMIFS(Table13[Eignir],Table13[Year],Table13[[#This Row],[Year]])</f>
        <v>2.1702377904151972E-5</v>
      </c>
      <c r="F694" s="23" t="e">
        <f>IF(B694=1997, 100, IF(COUNTIF(A$1:A693,A694)=0, "NEW", F693*(1+Table13[[#This Row],[Ávöxtun]])))</f>
        <v>#VALUE!</v>
      </c>
      <c r="G694" s="18" t="str" cm="1">
        <f t="array" ref="G694">IFERROR(_xlfn.IFS(ISNUMBER(Table13[[#This Row],[Column3]]),Table13[[#This Row],[Column3]],Table13[[#This Row],[Column3]]="NEW",Table13[[#This Row],[Column3]]),"")</f>
        <v/>
      </c>
      <c r="H694" s="15" cm="1">
        <f t="array" ref="H694">_xlfn.IFS(Table13[[#This Row],[Column4]]="NEW",AVERAGEIFS(Table13[Column4],Table13[Year],Table13[[#This Row],[Year]]),ISNUMBER(Table13[[#This Row],[Column4]]),Table13[[#This Row],[Column4]],Table13[[#This Row],[Column4]]="",H693*(1+Table13[[#This Row],[Ávöxtun]]))</f>
        <v>143.89649628597638</v>
      </c>
      <c r="I694" cm="1">
        <f t="array" ref="I694">_xlfn.IFS(Table13[[#This Row],[Column4]]="NEW",_xlfn.XLOOKUP(Table13[[#This Row],[Year]],$N$2:$N$27,$P$2:$P$27),ISNUMBER(Table13[[#This Row],[Column4]]),Table13[[#This Row],[Column4]],Table13[[#This Row],[Column4]]="",I693*(1+Table13[[#This Row],[Ávöxtun]]))</f>
        <v>147.09323173307482</v>
      </c>
      <c r="L694" s="33">
        <v>143.65766831408732</v>
      </c>
      <c r="M694" s="33">
        <v>158.65121262286954</v>
      </c>
    </row>
    <row r="695" spans="1:13">
      <c r="A695" t="s">
        <v>101</v>
      </c>
      <c r="B695">
        <v>2007</v>
      </c>
      <c r="C695" s="16">
        <v>5.3E-3</v>
      </c>
      <c r="D695" s="1">
        <v>306414</v>
      </c>
      <c r="E695" s="29">
        <f>Table13[[#This Row],[Ávöxtun]]*Table13[[#This Row],[Eignir]]/SUMIFS(Table13[Eignir],Table13[Year],Table13[[#This Row],[Year]])</f>
        <v>1.2653250706864417E-6</v>
      </c>
      <c r="F695" s="23" t="e">
        <f>IF(B695=1997, 100, IF(COUNTIF(A$1:A694,A695)=0, "NEW", F694*(1+Table13[[#This Row],[Ávöxtun]])))</f>
        <v>#VALUE!</v>
      </c>
      <c r="G695" s="18" t="str" cm="1">
        <f t="array" ref="G695">IFERROR(_xlfn.IFS(ISNUMBER(Table13[[#This Row],[Column3]]),Table13[[#This Row],[Column3]],Table13[[#This Row],[Column3]]="NEW",Table13[[#This Row],[Column3]]),"")</f>
        <v/>
      </c>
      <c r="H695" s="15" cm="1">
        <f t="array" ref="H695">_xlfn.IFS(Table13[[#This Row],[Column4]]="NEW",AVERAGEIFS(Table13[Column4],Table13[Year],Table13[[#This Row],[Year]]),ISNUMBER(Table13[[#This Row],[Column4]]),Table13[[#This Row],[Column4]],Table13[[#This Row],[Column4]]="",H694*(1+Table13[[#This Row],[Ávöxtun]]))</f>
        <v>144.65914771629207</v>
      </c>
      <c r="I695" cm="1">
        <f t="array" ref="I695">_xlfn.IFS(Table13[[#This Row],[Column4]]="NEW",_xlfn.XLOOKUP(Table13[[#This Row],[Year]],$N$2:$N$27,$P$2:$P$27),ISNUMBER(Table13[[#This Row],[Column4]]),Table13[[#This Row],[Column4]],Table13[[#This Row],[Column4]]="",I694*(1+Table13[[#This Row],[Ávöxtun]]))</f>
        <v>147.87282586126011</v>
      </c>
      <c r="L695" s="33">
        <v>144.419053956152</v>
      </c>
      <c r="M695" s="33">
        <v>159.49206404977076</v>
      </c>
    </row>
    <row r="696" spans="1:13">
      <c r="A696" t="s">
        <v>101</v>
      </c>
      <c r="B696">
        <v>2008</v>
      </c>
      <c r="C696" s="16">
        <v>-0.26700000000000002</v>
      </c>
      <c r="D696" s="1">
        <v>295679</v>
      </c>
      <c r="E696" s="29">
        <f>Table13[[#This Row],[Ávöxtun]]*Table13[[#This Row],[Eignir]]/SUMIFS(Table13[Eignir],Table13[Year],Table13[[#This Row],[Year]])</f>
        <v>-6.3717973541093864E-5</v>
      </c>
      <c r="F696" s="23" t="e">
        <f>IF(B696=1997, 100, IF(COUNTIF(A$1:A695,A696)=0, "NEW", F695*(1+Table13[[#This Row],[Ávöxtun]])))</f>
        <v>#VALUE!</v>
      </c>
      <c r="G696" s="18" t="str" cm="1">
        <f t="array" ref="G696">IFERROR(_xlfn.IFS(ISNUMBER(Table13[[#This Row],[Column3]]),Table13[[#This Row],[Column3]],Table13[[#This Row],[Column3]]="NEW",Table13[[#This Row],[Column3]]),"")</f>
        <v/>
      </c>
      <c r="H696" s="15" cm="1">
        <f t="array" ref="H696">_xlfn.IFS(Table13[[#This Row],[Column4]]="NEW",AVERAGEIFS(Table13[Column4],Table13[Year],Table13[[#This Row],[Year]]),ISNUMBER(Table13[[#This Row],[Column4]]),Table13[[#This Row],[Column4]],Table13[[#This Row],[Column4]]="",H695*(1+Table13[[#This Row],[Ávöxtun]]))</f>
        <v>106.03515527604209</v>
      </c>
      <c r="I696" cm="1">
        <f t="array" ref="I696">_xlfn.IFS(Table13[[#This Row],[Column4]]="NEW",_xlfn.XLOOKUP(Table13[[#This Row],[Year]],$N$2:$N$27,$P$2:$P$27),ISNUMBER(Table13[[#This Row],[Column4]]),Table13[[#This Row],[Column4]],Table13[[#This Row],[Column4]]="",I695*(1+Table13[[#This Row],[Ávöxtun]]))</f>
        <v>108.39078135630366</v>
      </c>
      <c r="L696" s="33">
        <v>105.85916654985941</v>
      </c>
      <c r="M696" s="33">
        <v>116.90768294848196</v>
      </c>
    </row>
    <row r="697" spans="1:13">
      <c r="A697" t="s">
        <v>101</v>
      </c>
      <c r="B697">
        <v>2009</v>
      </c>
      <c r="C697" s="16">
        <v>4.7500000000000001E-2</v>
      </c>
      <c r="D697" s="1">
        <v>379542</v>
      </c>
      <c r="E697" s="29">
        <f>Table13[[#This Row],[Ávöxtun]]*Table13[[#This Row],[Eignir]]/SUMIFS(Table13[Eignir],Table13[Year],Table13[[#This Row],[Year]])</f>
        <v>1.3129420215544672E-5</v>
      </c>
      <c r="F697" s="23" t="e">
        <f>IF(B697=1997, 100, IF(COUNTIF(A$1:A696,A697)=0, "NEW", F696*(1+Table13[[#This Row],[Ávöxtun]])))</f>
        <v>#VALUE!</v>
      </c>
      <c r="G697" s="18" t="str" cm="1">
        <f t="array" ref="G697">IFERROR(_xlfn.IFS(ISNUMBER(Table13[[#This Row],[Column3]]),Table13[[#This Row],[Column3]],Table13[[#This Row],[Column3]]="NEW",Table13[[#This Row],[Column3]]),"")</f>
        <v/>
      </c>
      <c r="H697" s="15" cm="1">
        <f t="array" ref="H697">_xlfn.IFS(Table13[[#This Row],[Column4]]="NEW",AVERAGEIFS(Table13[Column4],Table13[Year],Table13[[#This Row],[Year]]),ISNUMBER(Table13[[#This Row],[Column4]]),Table13[[#This Row],[Column4]],Table13[[#This Row],[Column4]]="",H696*(1+Table13[[#This Row],[Ávöxtun]]))</f>
        <v>111.0718251516541</v>
      </c>
      <c r="I697" cm="1">
        <f t="array" ref="I697">_xlfn.IFS(Table13[[#This Row],[Column4]]="NEW",_xlfn.XLOOKUP(Table13[[#This Row],[Year]],$N$2:$N$27,$P$2:$P$27),ISNUMBER(Table13[[#This Row],[Column4]]),Table13[[#This Row],[Column4]],Table13[[#This Row],[Column4]]="",I696*(1+Table13[[#This Row],[Ávöxtun]]))</f>
        <v>113.5393434707281</v>
      </c>
      <c r="L697" s="33">
        <v>110.88747696097774</v>
      </c>
      <c r="M697" s="33">
        <v>122.46079788853487</v>
      </c>
    </row>
    <row r="698" spans="1:13">
      <c r="A698" t="s">
        <v>101</v>
      </c>
      <c r="B698">
        <v>2010</v>
      </c>
      <c r="C698" s="16">
        <v>3.44E-2</v>
      </c>
      <c r="D698" s="1">
        <v>443571</v>
      </c>
      <c r="E698" s="29">
        <f>Table13[[#This Row],[Ávöxtun]]*Table13[[#This Row],[Eignir]]/SUMIFS(Table13[Eignir],Table13[Year],Table13[[#This Row],[Year]])</f>
        <v>1.0417380500819275E-5</v>
      </c>
      <c r="F698" s="23" t="e">
        <f>IF(B698=1997, 100, IF(COUNTIF(A$1:A697,A698)=0, "NEW", F697*(1+Table13[[#This Row],[Ávöxtun]])))</f>
        <v>#VALUE!</v>
      </c>
      <c r="G698" s="18" t="str" cm="1">
        <f t="array" ref="G698">IFERROR(_xlfn.IFS(ISNUMBER(Table13[[#This Row],[Column3]]),Table13[[#This Row],[Column3]],Table13[[#This Row],[Column3]]="NEW",Table13[[#This Row],[Column3]]),"")</f>
        <v/>
      </c>
      <c r="H698" s="15" cm="1">
        <f t="array" ref="H698">_xlfn.IFS(Table13[[#This Row],[Column4]]="NEW",AVERAGEIFS(Table13[Column4],Table13[Year],Table13[[#This Row],[Year]]),ISNUMBER(Table13[[#This Row],[Column4]]),Table13[[#This Row],[Column4]],Table13[[#This Row],[Column4]]="",H697*(1+Table13[[#This Row],[Ávöxtun]]))</f>
        <v>114.89269593687099</v>
      </c>
      <c r="I698" cm="1">
        <f t="array" ref="I698">_xlfn.IFS(Table13[[#This Row],[Column4]]="NEW",_xlfn.XLOOKUP(Table13[[#This Row],[Year]],$N$2:$N$27,$P$2:$P$27),ISNUMBER(Table13[[#This Row],[Column4]]),Table13[[#This Row],[Column4]],Table13[[#This Row],[Column4]]="",I697*(1+Table13[[#This Row],[Ávöxtun]]))</f>
        <v>117.44509688612115</v>
      </c>
      <c r="L698" s="33">
        <v>114.70200616843537</v>
      </c>
      <c r="M698" s="33">
        <v>126.67344933590047</v>
      </c>
    </row>
    <row r="699" spans="1:13">
      <c r="A699" t="s">
        <v>101</v>
      </c>
      <c r="B699">
        <v>2011</v>
      </c>
      <c r="C699" s="16">
        <v>2.2000000000000002E-2</v>
      </c>
      <c r="D699" s="1">
        <v>529702</v>
      </c>
      <c r="E699" s="29">
        <f>Table13[[#This Row],[Ávöxtun]]*Table13[[#This Row],[Eignir]]/SUMIFS(Table13[Eignir],Table13[Year],Table13[[#This Row],[Year]])</f>
        <v>7.3390028220750554E-6</v>
      </c>
      <c r="F699" s="23" t="e">
        <f>IF(B699=1997, 100, IF(COUNTIF(A$1:A698,A699)=0, "NEW", F698*(1+Table13[[#This Row],[Ávöxtun]])))</f>
        <v>#VALUE!</v>
      </c>
      <c r="G699" s="18" t="str" cm="1">
        <f t="array" ref="G699">IFERROR(_xlfn.IFS(ISNUMBER(Table13[[#This Row],[Column3]]),Table13[[#This Row],[Column3]],Table13[[#This Row],[Column3]]="NEW",Table13[[#This Row],[Column3]]),"")</f>
        <v/>
      </c>
      <c r="H699" s="15" cm="1">
        <f t="array" ref="H699">_xlfn.IFS(Table13[[#This Row],[Column4]]="NEW",AVERAGEIFS(Table13[Column4],Table13[Year],Table13[[#This Row],[Year]]),ISNUMBER(Table13[[#This Row],[Column4]]),Table13[[#This Row],[Column4]],Table13[[#This Row],[Column4]]="",H698*(1+Table13[[#This Row],[Ávöxtun]]))</f>
        <v>117.42033524748216</v>
      </c>
      <c r="I699" cm="1">
        <f t="array" ref="I699">_xlfn.IFS(Table13[[#This Row],[Column4]]="NEW",_xlfn.XLOOKUP(Table13[[#This Row],[Year]],$N$2:$N$27,$P$2:$P$27),ISNUMBER(Table13[[#This Row],[Column4]]),Table13[[#This Row],[Column4]],Table13[[#This Row],[Column4]]="",I698*(1+Table13[[#This Row],[Ávöxtun]]))</f>
        <v>120.02888901761581</v>
      </c>
      <c r="L699" s="33">
        <v>117.22545030414095</v>
      </c>
      <c r="M699" s="33">
        <v>129.46026522129029</v>
      </c>
    </row>
    <row r="700" spans="1:13">
      <c r="A700" t="s">
        <v>101</v>
      </c>
      <c r="B700">
        <v>2012</v>
      </c>
      <c r="C700" s="16">
        <v>0.04</v>
      </c>
      <c r="D700" s="1">
        <v>632948</v>
      </c>
      <c r="E700" s="29">
        <f>Table13[[#This Row],[Ávöxtun]]*Table13[[#This Row],[Eignir]]/SUMIFS(Table13[Eignir],Table13[Year],Table13[[#This Row],[Year]])</f>
        <v>1.4105713381648748E-5</v>
      </c>
      <c r="F700" s="23" t="e">
        <f>IF(B700=1997, 100, IF(COUNTIF(A$1:A699,A700)=0, "NEW", F699*(1+Table13[[#This Row],[Ávöxtun]])))</f>
        <v>#VALUE!</v>
      </c>
      <c r="G700" s="18" t="str" cm="1">
        <f t="array" ref="G700">IFERROR(_xlfn.IFS(ISNUMBER(Table13[[#This Row],[Column3]]),Table13[[#This Row],[Column3]],Table13[[#This Row],[Column3]]="NEW",Table13[[#This Row],[Column3]]),"")</f>
        <v/>
      </c>
      <c r="H700" s="15" cm="1">
        <f t="array" ref="H700">_xlfn.IFS(Table13[[#This Row],[Column4]]="NEW",AVERAGEIFS(Table13[Column4],Table13[Year],Table13[[#This Row],[Year]]),ISNUMBER(Table13[[#This Row],[Column4]]),Table13[[#This Row],[Column4]],Table13[[#This Row],[Column4]]="",H699*(1+Table13[[#This Row],[Ávöxtun]]))</f>
        <v>122.11714865738145</v>
      </c>
      <c r="I700" cm="1">
        <f t="array" ref="I700">_xlfn.IFS(Table13[[#This Row],[Column4]]="NEW",_xlfn.XLOOKUP(Table13[[#This Row],[Year]],$N$2:$N$27,$P$2:$P$27),ISNUMBER(Table13[[#This Row],[Column4]]),Table13[[#This Row],[Column4]],Table13[[#This Row],[Column4]]="",I699*(1+Table13[[#This Row],[Ávöxtun]]))</f>
        <v>124.83004457832045</v>
      </c>
      <c r="L700" s="33">
        <v>121.9144683163066</v>
      </c>
      <c r="M700" s="33">
        <v>134.63867583014189</v>
      </c>
    </row>
    <row r="701" spans="1:13">
      <c r="A701" t="s">
        <v>101</v>
      </c>
      <c r="B701">
        <v>2013</v>
      </c>
      <c r="C701" s="16">
        <v>6.2000000000000006E-2</v>
      </c>
      <c r="D701" s="1">
        <v>729256</v>
      </c>
      <c r="E701" s="29">
        <f>Table13[[#This Row],[Ávöxtun]]*Table13[[#This Row],[Eignir]]/SUMIFS(Table13[Eignir],Table13[Year],Table13[[#This Row],[Year]])</f>
        <v>2.2905699783759431E-5</v>
      </c>
      <c r="F701" s="23" t="e">
        <f>IF(B701=1997, 100, IF(COUNTIF(A$1:A700,A701)=0, "NEW", F700*(1+Table13[[#This Row],[Ávöxtun]])))</f>
        <v>#VALUE!</v>
      </c>
      <c r="G701" s="18" t="str" cm="1">
        <f t="array" ref="G701">IFERROR(_xlfn.IFS(ISNUMBER(Table13[[#This Row],[Column3]]),Table13[[#This Row],[Column3]],Table13[[#This Row],[Column3]]="NEW",Table13[[#This Row],[Column3]]),"")</f>
        <v/>
      </c>
      <c r="H701" s="15" cm="1">
        <f t="array" ref="H701">_xlfn.IFS(Table13[[#This Row],[Column4]]="NEW",AVERAGEIFS(Table13[Column4],Table13[Year],Table13[[#This Row],[Year]]),ISNUMBER(Table13[[#This Row],[Column4]]),Table13[[#This Row],[Column4]],Table13[[#This Row],[Column4]]="",H700*(1+Table13[[#This Row],[Ávöxtun]]))</f>
        <v>129.68841187413909</v>
      </c>
      <c r="I701" cm="1">
        <f t="array" ref="I701">_xlfn.IFS(Table13[[#This Row],[Column4]]="NEW",_xlfn.XLOOKUP(Table13[[#This Row],[Year]],$N$2:$N$27,$P$2:$P$27),ISNUMBER(Table13[[#This Row],[Column4]]),Table13[[#This Row],[Column4]],Table13[[#This Row],[Column4]]="",I700*(1+Table13[[#This Row],[Ávöxtun]]))</f>
        <v>132.56950734217634</v>
      </c>
      <c r="L701" s="33">
        <v>129.4731653519176</v>
      </c>
      <c r="M701" s="33">
        <v>142.98627373161071</v>
      </c>
    </row>
    <row r="702" spans="1:13">
      <c r="A702" t="s">
        <v>101</v>
      </c>
      <c r="B702">
        <v>2014</v>
      </c>
      <c r="C702" s="16">
        <v>4.8000000000000001E-2</v>
      </c>
      <c r="D702" s="1">
        <v>822012</v>
      </c>
      <c r="E702" s="29">
        <f>Table13[[#This Row],[Ávöxtun]]*Table13[[#This Row],[Eignir]]/SUMIFS(Table13[Eignir],Table13[Year],Table13[[#This Row],[Year]])</f>
        <v>1.8330549684226117E-5</v>
      </c>
      <c r="F702" s="23" t="e">
        <f>IF(B702=1997, 100, IF(COUNTIF(A$1:A701,A702)=0, "NEW", F701*(1+Table13[[#This Row],[Ávöxtun]])))</f>
        <v>#VALUE!</v>
      </c>
      <c r="G702" s="18" t="str" cm="1">
        <f t="array" ref="G702">IFERROR(_xlfn.IFS(ISNUMBER(Table13[[#This Row],[Column3]]),Table13[[#This Row],[Column3]],Table13[[#This Row],[Column3]]="NEW",Table13[[#This Row],[Column3]]),"")</f>
        <v/>
      </c>
      <c r="H702" s="15" cm="1">
        <f t="array" ref="H702">_xlfn.IFS(Table13[[#This Row],[Column4]]="NEW",AVERAGEIFS(Table13[Column4],Table13[Year],Table13[[#This Row],[Year]]),ISNUMBER(Table13[[#This Row],[Column4]]),Table13[[#This Row],[Column4]],Table13[[#This Row],[Column4]]="",H701*(1+Table13[[#This Row],[Ávöxtun]]))</f>
        <v>135.91345564409778</v>
      </c>
      <c r="I702" cm="1">
        <f t="array" ref="I702">_xlfn.IFS(Table13[[#This Row],[Column4]]="NEW",_xlfn.XLOOKUP(Table13[[#This Row],[Year]],$N$2:$N$27,$P$2:$P$27),ISNUMBER(Table13[[#This Row],[Column4]]),Table13[[#This Row],[Column4]],Table13[[#This Row],[Column4]]="",I701*(1+Table13[[#This Row],[Ávöxtun]]))</f>
        <v>138.93284369460082</v>
      </c>
      <c r="L702" s="33">
        <v>135.68787728880966</v>
      </c>
      <c r="M702" s="33">
        <v>149.84961487072803</v>
      </c>
    </row>
    <row r="703" spans="1:13">
      <c r="A703" t="s">
        <v>101</v>
      </c>
      <c r="B703">
        <v>2015</v>
      </c>
      <c r="C703" s="16">
        <v>0.109</v>
      </c>
      <c r="D703" s="1">
        <v>982532</v>
      </c>
      <c r="E703" s="29">
        <f>Table13[[#This Row],[Ávöxtun]]*Table13[[#This Row],[Eignir]]/SUMIFS(Table13[Eignir],Table13[Year],Table13[[#This Row],[Year]])</f>
        <v>4.48520176917872E-5</v>
      </c>
      <c r="F703" s="23" t="e">
        <f>IF(B703=1997, 100, IF(COUNTIF(A$1:A702,A703)=0, "NEW", F702*(1+Table13[[#This Row],[Ávöxtun]])))</f>
        <v>#VALUE!</v>
      </c>
      <c r="G703" s="18" t="str" cm="1">
        <f t="array" ref="G703">IFERROR(_xlfn.IFS(ISNUMBER(Table13[[#This Row],[Column3]]),Table13[[#This Row],[Column3]],Table13[[#This Row],[Column3]]="NEW",Table13[[#This Row],[Column3]]),"")</f>
        <v/>
      </c>
      <c r="H703" s="15" cm="1">
        <f t="array" ref="H703">_xlfn.IFS(Table13[[#This Row],[Column4]]="NEW",AVERAGEIFS(Table13[Column4],Table13[Year],Table13[[#This Row],[Year]]),ISNUMBER(Table13[[#This Row],[Column4]]),Table13[[#This Row],[Column4]],Table13[[#This Row],[Column4]]="",H702*(1+Table13[[#This Row],[Ávöxtun]]))</f>
        <v>150.72802230930444</v>
      </c>
      <c r="I703" cm="1">
        <f t="array" ref="I703">_xlfn.IFS(Table13[[#This Row],[Column4]]="NEW",_xlfn.XLOOKUP(Table13[[#This Row],[Year]],$N$2:$N$27,$P$2:$P$27),ISNUMBER(Table13[[#This Row],[Column4]]),Table13[[#This Row],[Column4]],Table13[[#This Row],[Column4]]="",I702*(1+Table13[[#This Row],[Ávöxtun]]))</f>
        <v>154.07652365731229</v>
      </c>
      <c r="L703" s="33">
        <v>150.47785591328991</v>
      </c>
      <c r="M703" s="33">
        <v>166.1832228916374</v>
      </c>
    </row>
    <row r="704" spans="1:13">
      <c r="A704" t="s">
        <v>101</v>
      </c>
      <c r="B704">
        <v>2016</v>
      </c>
      <c r="C704" s="16">
        <v>1.38E-2</v>
      </c>
      <c r="D704" s="1">
        <v>1122960.21</v>
      </c>
      <c r="E704" s="29">
        <f>Table13[[#This Row],[Ávöxtun]]*Table13[[#This Row],[Eignir]]/SUMIFS(Table13[Eignir],Table13[Year],Table13[[#This Row],[Year]])</f>
        <v>5.9421589367337175E-6</v>
      </c>
      <c r="F704" s="23" t="e">
        <f>IF(B704=1997, 100, IF(COUNTIF(A$1:A703,A704)=0, "NEW", F703*(1+Table13[[#This Row],[Ávöxtun]])))</f>
        <v>#VALUE!</v>
      </c>
      <c r="G704" s="18" t="str" cm="1">
        <f t="array" ref="G704">IFERROR(_xlfn.IFS(ISNUMBER(Table13[[#This Row],[Column3]]),Table13[[#This Row],[Column3]],Table13[[#This Row],[Column3]]="NEW",Table13[[#This Row],[Column3]]),"")</f>
        <v/>
      </c>
      <c r="H704" s="15" cm="1">
        <f t="array" ref="H704">_xlfn.IFS(Table13[[#This Row],[Column4]]="NEW",AVERAGEIFS(Table13[Column4],Table13[Year],Table13[[#This Row],[Year]]),ISNUMBER(Table13[[#This Row],[Column4]]),Table13[[#This Row],[Column4]],Table13[[#This Row],[Column4]]="",H703*(1+Table13[[#This Row],[Ávöxtun]]))</f>
        <v>152.80806901717284</v>
      </c>
      <c r="I704" cm="1">
        <f t="array" ref="I704">_xlfn.IFS(Table13[[#This Row],[Column4]]="NEW",_xlfn.XLOOKUP(Table13[[#This Row],[Year]],$N$2:$N$27,$P$2:$P$27),ISNUMBER(Table13[[#This Row],[Column4]]),Table13[[#This Row],[Column4]],Table13[[#This Row],[Column4]]="",I703*(1+Table13[[#This Row],[Ávöxtun]]))</f>
        <v>156.20277968378321</v>
      </c>
      <c r="L704" s="33">
        <v>152.55445032489331</v>
      </c>
      <c r="M704" s="33">
        <v>168.47655136754202</v>
      </c>
    </row>
    <row r="705" spans="1:13">
      <c r="A705" t="s">
        <v>101</v>
      </c>
      <c r="B705">
        <v>2017</v>
      </c>
      <c r="C705" s="16">
        <v>5.2000000000000005E-2</v>
      </c>
      <c r="D705" s="1">
        <v>1274111</v>
      </c>
      <c r="E705" s="29">
        <f>Table13[[#This Row],[Ávöxtun]]*Table13[[#This Row],[Eignir]]/SUMIFS(Table13[Eignir],Table13[Year],Table13[[#This Row],[Year]])</f>
        <v>2.2798012567210423E-5</v>
      </c>
      <c r="F705" s="23" t="e">
        <f>IF(B705=1997, 100, IF(COUNTIF(A$1:A704,A705)=0, "NEW", F704*(1+Table13[[#This Row],[Ávöxtun]])))</f>
        <v>#VALUE!</v>
      </c>
      <c r="G705" s="18" t="str" cm="1">
        <f t="array" ref="G705">IFERROR(_xlfn.IFS(ISNUMBER(Table13[[#This Row],[Column3]]),Table13[[#This Row],[Column3]],Table13[[#This Row],[Column3]]="NEW",Table13[[#This Row],[Column3]]),"")</f>
        <v/>
      </c>
      <c r="H705" s="15" cm="1">
        <f t="array" ref="H705">_xlfn.IFS(Table13[[#This Row],[Column4]]="NEW",AVERAGEIFS(Table13[Column4],Table13[Year],Table13[[#This Row],[Year]]),ISNUMBER(Table13[[#This Row],[Column4]]),Table13[[#This Row],[Column4]],Table13[[#This Row],[Column4]]="",H704*(1+Table13[[#This Row],[Ávöxtun]]))</f>
        <v>160.75408860606584</v>
      </c>
      <c r="I705" cm="1">
        <f t="array" ref="I705">_xlfn.IFS(Table13[[#This Row],[Column4]]="NEW",_xlfn.XLOOKUP(Table13[[#This Row],[Year]],$N$2:$N$27,$P$2:$P$27),ISNUMBER(Table13[[#This Row],[Column4]]),Table13[[#This Row],[Column4]],Table13[[#This Row],[Column4]]="",I704*(1+Table13[[#This Row],[Ávöxtun]]))</f>
        <v>164.32532422733993</v>
      </c>
      <c r="L705" s="33">
        <v>160.48728174178777</v>
      </c>
      <c r="M705" s="33">
        <v>177.23733203865422</v>
      </c>
    </row>
    <row r="706" spans="1:13">
      <c r="A706" t="s">
        <v>101</v>
      </c>
      <c r="B706">
        <v>2018</v>
      </c>
      <c r="C706" s="16">
        <v>1.2E-2</v>
      </c>
      <c r="D706" s="1">
        <v>1402953</v>
      </c>
      <c r="E706" s="29">
        <f>Table13[[#This Row],[Ávöxtun]]*Table13[[#This Row],[Eignir]]/SUMIFS(Table13[Eignir],Table13[Year],Table13[[#This Row],[Year]])</f>
        <v>5.3978413251681929E-6</v>
      </c>
      <c r="F706" s="23" t="e">
        <f>IF(B706=1997, 100, IF(COUNTIF(A$1:A705,A706)=0, "NEW", F705*(1+Table13[[#This Row],[Ávöxtun]])))</f>
        <v>#VALUE!</v>
      </c>
      <c r="G706" s="18" t="str" cm="1">
        <f t="array" ref="G706">IFERROR(_xlfn.IFS(ISNUMBER(Table13[[#This Row],[Column3]]),Table13[[#This Row],[Column3]],Table13[[#This Row],[Column3]]="NEW",Table13[[#This Row],[Column3]]),"")</f>
        <v/>
      </c>
      <c r="H706" s="15" cm="1">
        <f t="array" ref="H706">_xlfn.IFS(Table13[[#This Row],[Column4]]="NEW",AVERAGEIFS(Table13[Column4],Table13[Year],Table13[[#This Row],[Year]]),ISNUMBER(Table13[[#This Row],[Column4]]),Table13[[#This Row],[Column4]],Table13[[#This Row],[Column4]]="",H705*(1+Table13[[#This Row],[Ávöxtun]]))</f>
        <v>162.68313766933863</v>
      </c>
      <c r="I706" cm="1">
        <f t="array" ref="I706">_xlfn.IFS(Table13[[#This Row],[Column4]]="NEW",_xlfn.XLOOKUP(Table13[[#This Row],[Year]],$N$2:$N$27,$P$2:$P$27),ISNUMBER(Table13[[#This Row],[Column4]]),Table13[[#This Row],[Column4]],Table13[[#This Row],[Column4]]="",I705*(1+Table13[[#This Row],[Ávöxtun]]))</f>
        <v>166.29722811806801</v>
      </c>
      <c r="L706" s="33">
        <v>162.41312912268921</v>
      </c>
      <c r="M706" s="33">
        <v>179.36418002311808</v>
      </c>
    </row>
    <row r="707" spans="1:13">
      <c r="A707" t="s">
        <v>101</v>
      </c>
      <c r="B707">
        <v>2019</v>
      </c>
      <c r="C707" s="16">
        <v>9.7200000000000009E-2</v>
      </c>
      <c r="D707" s="1">
        <v>1645723.11</v>
      </c>
      <c r="E707" s="29">
        <f>Table13[[#This Row],[Ávöxtun]]*Table13[[#This Row],[Eignir]]/SUMIFS(Table13[Eignir],Table13[Year],Table13[[#This Row],[Year]])</f>
        <v>4.4727414054976897E-5</v>
      </c>
      <c r="F707" s="23" t="e">
        <f>IF(B707=1997, 100, IF(COUNTIF(A$1:A706,A707)=0, "NEW", F706*(1+Table13[[#This Row],[Ávöxtun]])))</f>
        <v>#VALUE!</v>
      </c>
      <c r="G707" s="18" t="str" cm="1">
        <f t="array" ref="G707">IFERROR(_xlfn.IFS(ISNUMBER(Table13[[#This Row],[Column3]]),Table13[[#This Row],[Column3]],Table13[[#This Row],[Column3]]="NEW",Table13[[#This Row],[Column3]]),"")</f>
        <v/>
      </c>
      <c r="H707" s="15" cm="1">
        <f t="array" ref="H707">_xlfn.IFS(Table13[[#This Row],[Column4]]="NEW",AVERAGEIFS(Table13[Column4],Table13[Year],Table13[[#This Row],[Year]]),ISNUMBER(Table13[[#This Row],[Column4]]),Table13[[#This Row],[Column4]],Table13[[#This Row],[Column4]]="",H706*(1+Table13[[#This Row],[Ávöxtun]]))</f>
        <v>178.49593865079834</v>
      </c>
      <c r="I707" cm="1">
        <f t="array" ref="I707">_xlfn.IFS(Table13[[#This Row],[Column4]]="NEW",_xlfn.XLOOKUP(Table13[[#This Row],[Year]],$N$2:$N$27,$P$2:$P$27),ISNUMBER(Table13[[#This Row],[Column4]]),Table13[[#This Row],[Column4]],Table13[[#This Row],[Column4]]="",I706*(1+Table13[[#This Row],[Ávöxtun]]))</f>
        <v>182.46131869114421</v>
      </c>
      <c r="L707" s="33">
        <v>178.19968527341459</v>
      </c>
      <c r="M707" s="33">
        <v>196.79837832136516</v>
      </c>
    </row>
    <row r="708" spans="1:13">
      <c r="A708" t="s">
        <v>101</v>
      </c>
      <c r="B708">
        <v>2020</v>
      </c>
      <c r="C708" s="16">
        <v>8.0299999999999996E-2</v>
      </c>
      <c r="D708" s="1">
        <v>1922226.04</v>
      </c>
      <c r="E708" s="29">
        <f>Table13[[#This Row],[Ávöxtun]]*Table13[[#This Row],[Eignir]]/SUMIFS(Table13[Eignir],Table13[Year],Table13[[#This Row],[Year]])</f>
        <v>3.7246433306098069E-5</v>
      </c>
      <c r="F708" s="23" t="e">
        <f>IF(B708=1997, 100, IF(COUNTIF(A$1:A707,A708)=0, "NEW", F707*(1+Table13[[#This Row],[Ávöxtun]])))</f>
        <v>#VALUE!</v>
      </c>
      <c r="G708" s="18" t="str" cm="1">
        <f t="array" ref="G708">IFERROR(_xlfn.IFS(ISNUMBER(Table13[[#This Row],[Column3]]),Table13[[#This Row],[Column3]],Table13[[#This Row],[Column3]]="NEW",Table13[[#This Row],[Column3]]),"")</f>
        <v/>
      </c>
      <c r="H708" s="15" cm="1">
        <f t="array" ref="H708">_xlfn.IFS(Table13[[#This Row],[Column4]]="NEW",AVERAGEIFS(Table13[Column4],Table13[Year],Table13[[#This Row],[Year]]),ISNUMBER(Table13[[#This Row],[Column4]]),Table13[[#This Row],[Column4]],Table13[[#This Row],[Column4]]="",H707*(1+Table13[[#This Row],[Ávöxtun]]))</f>
        <v>192.82916252445744</v>
      </c>
      <c r="I708" cm="1">
        <f t="array" ref="I708">_xlfn.IFS(Table13[[#This Row],[Column4]]="NEW",_xlfn.XLOOKUP(Table13[[#This Row],[Year]],$N$2:$N$27,$P$2:$P$27),ISNUMBER(Table13[[#This Row],[Column4]]),Table13[[#This Row],[Column4]],Table13[[#This Row],[Column4]]="",I707*(1+Table13[[#This Row],[Ávöxtun]]))</f>
        <v>197.11296258204311</v>
      </c>
      <c r="L708" s="33">
        <v>192.50912000086979</v>
      </c>
      <c r="M708" s="33">
        <v>212.6012881005708</v>
      </c>
    </row>
    <row r="709" spans="1:13">
      <c r="A709" t="s">
        <v>101</v>
      </c>
      <c r="B709">
        <v>2021</v>
      </c>
      <c r="C709" s="16">
        <v>6.2699999999999992E-2</v>
      </c>
      <c r="D709" s="1">
        <v>2241434.46</v>
      </c>
      <c r="E709" s="29">
        <f>Table13[[#This Row],[Ávöxtun]]*Table13[[#This Row],[Eignir]]/SUMIFS(Table13[Eignir],Table13[Year],Table13[[#This Row],[Year]])</f>
        <v>2.8894707266085109E-5</v>
      </c>
      <c r="F709" s="23" t="e">
        <f>IF(B709=1997, 100, IF(COUNTIF(A$1:A708,A709)=0, "NEW", F708*(1+Table13[[#This Row],[Ávöxtun]])))</f>
        <v>#VALUE!</v>
      </c>
      <c r="G709" s="18" t="str" cm="1">
        <f t="array" ref="G709">IFERROR(_xlfn.IFS(ISNUMBER(Table13[[#This Row],[Column3]]),Table13[[#This Row],[Column3]],Table13[[#This Row],[Column3]]="NEW",Table13[[#This Row],[Column3]]),"")</f>
        <v/>
      </c>
      <c r="H709" s="15" cm="1">
        <f t="array" ref="H709">_xlfn.IFS(Table13[[#This Row],[Column4]]="NEW",AVERAGEIFS(Table13[Column4],Table13[Year],Table13[[#This Row],[Year]]),ISNUMBER(Table13[[#This Row],[Column4]]),Table13[[#This Row],[Column4]],Table13[[#This Row],[Column4]]="",H708*(1+Table13[[#This Row],[Ávöxtun]]))</f>
        <v>204.91955101474093</v>
      </c>
      <c r="I709" cm="1">
        <f t="array" ref="I709">_xlfn.IFS(Table13[[#This Row],[Column4]]="NEW",_xlfn.XLOOKUP(Table13[[#This Row],[Year]],$N$2:$N$27,$P$2:$P$27),ISNUMBER(Table13[[#This Row],[Column4]]),Table13[[#This Row],[Column4]],Table13[[#This Row],[Column4]]="",I708*(1+Table13[[#This Row],[Ávöxtun]]))</f>
        <v>209.47194533593722</v>
      </c>
      <c r="L709" s="33">
        <v>204.57944182492432</v>
      </c>
      <c r="M709" s="33">
        <v>225.93138886447659</v>
      </c>
    </row>
    <row r="710" spans="1:13">
      <c r="A710" t="s">
        <v>120</v>
      </c>
      <c r="B710">
        <v>1997</v>
      </c>
      <c r="C710" s="16">
        <v>0.05</v>
      </c>
      <c r="D710" s="1">
        <v>750043.87</v>
      </c>
      <c r="E710" s="29">
        <f>Table13[[#This Row],[Ávöxtun]]*Table13[[#This Row],[Eignir]]/SUMIFS(Table13[Eignir],Table13[Year],Table13[[#This Row],[Year]])</f>
        <v>1.3142260498162723E-4</v>
      </c>
      <c r="F710" s="23">
        <f>IF(B710=1997, 100, IF(COUNTIF(A$1:A709,A710)=0, "NEW", F709*(1+Table13[[#This Row],[Ávöxtun]])))</f>
        <v>100</v>
      </c>
      <c r="G710" s="18" cm="1">
        <f t="array" ref="G710">IFERROR(_xlfn.IFS(ISNUMBER(Table13[[#This Row],[Column3]]),Table13[[#This Row],[Column3]],Table13[[#This Row],[Column3]]="NEW",Table13[[#This Row],[Column3]]),"")</f>
        <v>100</v>
      </c>
      <c r="H710" s="15" cm="1">
        <f t="array" ref="H710">_xlfn.IFS(Table13[[#This Row],[Column4]]="NEW",AVERAGEIFS(Table13[Column4],Table13[Year],Table13[[#This Row],[Year]]),ISNUMBER(Table13[[#This Row],[Column4]]),Table13[[#This Row],[Column4]],Table13[[#This Row],[Column4]]="",H709*(1+Table13[[#This Row],[Ávöxtun]]))</f>
        <v>100</v>
      </c>
      <c r="I710" cm="1">
        <f t="array" ref="I710">_xlfn.IFS(Table13[[#This Row],[Column4]]="NEW",_xlfn.XLOOKUP(Table13[[#This Row],[Year]],$N$2:$N$27,$P$2:$P$27),ISNUMBER(Table13[[#This Row],[Column4]]),Table13[[#This Row],[Column4]],Table13[[#This Row],[Column4]]="",I709*(1+Table13[[#This Row],[Ávöxtun]]))</f>
        <v>100</v>
      </c>
      <c r="L710" s="33">
        <v>100</v>
      </c>
      <c r="M710" s="33">
        <v>100</v>
      </c>
    </row>
    <row r="711" spans="1:13">
      <c r="A711" t="s">
        <v>120</v>
      </c>
      <c r="B711">
        <v>1998</v>
      </c>
      <c r="C711" s="16">
        <v>0.05</v>
      </c>
      <c r="D711" s="1">
        <v>825193.66</v>
      </c>
      <c r="E711" s="29">
        <f>Table13[[#This Row],[Ávöxtun]]*Table13[[#This Row],[Eignir]]/SUMIFS(Table13[Eignir],Table13[Year],Table13[[#This Row],[Year]])</f>
        <v>1.2484078232025253E-4</v>
      </c>
      <c r="F711" s="23">
        <f>IF(B711=1997, 100, IF(COUNTIF(A$1:A710,A711)=0, "NEW", F710*(1+Table13[[#This Row],[Ávöxtun]])))</f>
        <v>105</v>
      </c>
      <c r="G711" s="18" cm="1">
        <f t="array" ref="G711">IFERROR(_xlfn.IFS(ISNUMBER(Table13[[#This Row],[Column3]]),Table13[[#This Row],[Column3]],Table13[[#This Row],[Column3]]="NEW",Table13[[#This Row],[Column3]]),"")</f>
        <v>105</v>
      </c>
      <c r="H711" s="15" cm="1">
        <f t="array" ref="H711">_xlfn.IFS(Table13[[#This Row],[Column4]]="NEW",AVERAGEIFS(Table13[Column4],Table13[Year],Table13[[#This Row],[Year]]),ISNUMBER(Table13[[#This Row],[Column4]]),Table13[[#This Row],[Column4]],Table13[[#This Row],[Column4]]="",H710*(1+Table13[[#This Row],[Ávöxtun]]))</f>
        <v>105</v>
      </c>
      <c r="I711" cm="1">
        <f t="array" ref="I711">_xlfn.IFS(Table13[[#This Row],[Column4]]="NEW",_xlfn.XLOOKUP(Table13[[#This Row],[Year]],$N$2:$N$27,$P$2:$P$27),ISNUMBER(Table13[[#This Row],[Column4]]),Table13[[#This Row],[Column4]],Table13[[#This Row],[Column4]]="",I710*(1+Table13[[#This Row],[Ávöxtun]]))</f>
        <v>105</v>
      </c>
      <c r="L711" s="33">
        <v>105</v>
      </c>
      <c r="M711" s="33">
        <v>105</v>
      </c>
    </row>
    <row r="712" spans="1:13">
      <c r="A712" t="s">
        <v>120</v>
      </c>
      <c r="B712">
        <v>1999</v>
      </c>
      <c r="C712" s="16">
        <v>0.05</v>
      </c>
      <c r="D712" s="1">
        <v>963234.35</v>
      </c>
      <c r="E712" s="29">
        <f>Table13[[#This Row],[Ávöxtun]]*Table13[[#This Row],[Eignir]]/SUMIFS(Table13[Eignir],Table13[Year],Table13[[#This Row],[Year]])</f>
        <v>1.0849090275990101E-4</v>
      </c>
      <c r="F712" s="23">
        <f>IF(B712=1997, 100, IF(COUNTIF(A$1:A711,A712)=0, "NEW", F711*(1+Table13[[#This Row],[Ávöxtun]])))</f>
        <v>110.25</v>
      </c>
      <c r="G712" s="18" cm="1">
        <f t="array" ref="G712">IFERROR(_xlfn.IFS(ISNUMBER(Table13[[#This Row],[Column3]]),Table13[[#This Row],[Column3]],Table13[[#This Row],[Column3]]="NEW",Table13[[#This Row],[Column3]]),"")</f>
        <v>110.25</v>
      </c>
      <c r="H712" s="15" cm="1">
        <f t="array" ref="H712">_xlfn.IFS(Table13[[#This Row],[Column4]]="NEW",AVERAGEIFS(Table13[Column4],Table13[Year],Table13[[#This Row],[Year]]),ISNUMBER(Table13[[#This Row],[Column4]]),Table13[[#This Row],[Column4]],Table13[[#This Row],[Column4]]="",H711*(1+Table13[[#This Row],[Ávöxtun]]))</f>
        <v>110.25</v>
      </c>
      <c r="I712" cm="1">
        <f t="array" ref="I712">_xlfn.IFS(Table13[[#This Row],[Column4]]="NEW",_xlfn.XLOOKUP(Table13[[#This Row],[Year]],$N$2:$N$27,$P$2:$P$27),ISNUMBER(Table13[[#This Row],[Column4]]),Table13[[#This Row],[Column4]],Table13[[#This Row],[Column4]]="",I711*(1+Table13[[#This Row],[Ávöxtun]]))</f>
        <v>110.25</v>
      </c>
      <c r="L712" s="33">
        <v>110.25</v>
      </c>
      <c r="M712" s="33">
        <v>110.25</v>
      </c>
    </row>
    <row r="713" spans="1:13">
      <c r="A713" t="s">
        <v>121</v>
      </c>
      <c r="B713">
        <v>1997</v>
      </c>
      <c r="C713" s="16">
        <v>0.06</v>
      </c>
      <c r="D713" s="1">
        <v>3442571.01</v>
      </c>
      <c r="E713" s="29">
        <f>Table13[[#This Row],[Ávöxtun]]*Table13[[#This Row],[Eignir]]/SUMIFS(Table13[Eignir],Table13[Year],Table13[[#This Row],[Year]])</f>
        <v>7.2384829964961613E-4</v>
      </c>
      <c r="F713" s="23">
        <f>IF(B713=1997, 100, IF(COUNTIF(A$1:A712,A713)=0, "NEW", F712*(1+Table13[[#This Row],[Ávöxtun]])))</f>
        <v>100</v>
      </c>
      <c r="G713" s="18" cm="1">
        <f t="array" ref="G713">IFERROR(_xlfn.IFS(ISNUMBER(Table13[[#This Row],[Column3]]),Table13[[#This Row],[Column3]],Table13[[#This Row],[Column3]]="NEW",Table13[[#This Row],[Column3]]),"")</f>
        <v>100</v>
      </c>
      <c r="H713" s="15" cm="1">
        <f t="array" ref="H713">_xlfn.IFS(Table13[[#This Row],[Column4]]="NEW",AVERAGEIFS(Table13[Column4],Table13[Year],Table13[[#This Row],[Year]]),ISNUMBER(Table13[[#This Row],[Column4]]),Table13[[#This Row],[Column4]],Table13[[#This Row],[Column4]]="",H712*(1+Table13[[#This Row],[Ávöxtun]]))</f>
        <v>100</v>
      </c>
      <c r="I713" cm="1">
        <f t="array" ref="I713">_xlfn.IFS(Table13[[#This Row],[Column4]]="NEW",_xlfn.XLOOKUP(Table13[[#This Row],[Year]],$N$2:$N$27,$P$2:$P$27),ISNUMBER(Table13[[#This Row],[Column4]]),Table13[[#This Row],[Column4]],Table13[[#This Row],[Column4]]="",I712*(1+Table13[[#This Row],[Ávöxtun]]))</f>
        <v>100</v>
      </c>
      <c r="L713" s="33">
        <v>100</v>
      </c>
      <c r="M713" s="33">
        <v>100</v>
      </c>
    </row>
    <row r="714" spans="1:13">
      <c r="A714" t="s">
        <v>122</v>
      </c>
      <c r="B714">
        <v>1997</v>
      </c>
      <c r="C714" s="16">
        <v>7.0000000000000007E-2</v>
      </c>
      <c r="D714" s="1">
        <v>6095064.8600000003</v>
      </c>
      <c r="E714" s="29">
        <f>Table13[[#This Row],[Ávöxtun]]*Table13[[#This Row],[Eignir]]/SUMIFS(Table13[Eignir],Table13[Year],Table13[[#This Row],[Year]])</f>
        <v>1.4951672386929154E-3</v>
      </c>
      <c r="F714" s="23">
        <f>IF(B714=1997, 100, IF(COUNTIF(A$1:A713,A714)=0, "NEW", F713*(1+Table13[[#This Row],[Ávöxtun]])))</f>
        <v>100</v>
      </c>
      <c r="G714" s="18" cm="1">
        <f t="array" ref="G714">IFERROR(_xlfn.IFS(ISNUMBER(Table13[[#This Row],[Column3]]),Table13[[#This Row],[Column3]],Table13[[#This Row],[Column3]]="NEW",Table13[[#This Row],[Column3]]),"")</f>
        <v>100</v>
      </c>
      <c r="H714" s="15" cm="1">
        <f t="array" ref="H714">_xlfn.IFS(Table13[[#This Row],[Column4]]="NEW",AVERAGEIFS(Table13[Column4],Table13[Year],Table13[[#This Row],[Year]]),ISNUMBER(Table13[[#This Row],[Column4]]),Table13[[#This Row],[Column4]],Table13[[#This Row],[Column4]]="",H713*(1+Table13[[#This Row],[Ávöxtun]]))</f>
        <v>100</v>
      </c>
      <c r="I714" cm="1">
        <f t="array" ref="I714">_xlfn.IFS(Table13[[#This Row],[Column4]]="NEW",_xlfn.XLOOKUP(Table13[[#This Row],[Year]],$N$2:$N$27,$P$2:$P$27),ISNUMBER(Table13[[#This Row],[Column4]]),Table13[[#This Row],[Column4]],Table13[[#This Row],[Column4]]="",I713*(1+Table13[[#This Row],[Ávöxtun]]))</f>
        <v>100</v>
      </c>
      <c r="L714" s="33">
        <v>100</v>
      </c>
      <c r="M714" s="33">
        <v>100</v>
      </c>
    </row>
    <row r="715" spans="1:13">
      <c r="A715" t="s">
        <v>122</v>
      </c>
      <c r="B715">
        <v>1998</v>
      </c>
      <c r="C715" s="16">
        <v>0.11</v>
      </c>
      <c r="D715" s="1">
        <v>7452913.1200000001</v>
      </c>
      <c r="E715" s="29">
        <f>Table13[[#This Row],[Ávöxtun]]*Table13[[#This Row],[Eignir]]/SUMIFS(Table13[Eignir],Table13[Year],Table13[[#This Row],[Year]])</f>
        <v>2.480557727290928E-3</v>
      </c>
      <c r="F715" s="23">
        <f>IF(B715=1997, 100, IF(COUNTIF(A$1:A714,A715)=0, "NEW", F714*(1+Table13[[#This Row],[Ávöxtun]])))</f>
        <v>111.00000000000001</v>
      </c>
      <c r="G715" s="18" cm="1">
        <f t="array" ref="G715">IFERROR(_xlfn.IFS(ISNUMBER(Table13[[#This Row],[Column3]]),Table13[[#This Row],[Column3]],Table13[[#This Row],[Column3]]="NEW",Table13[[#This Row],[Column3]]),"")</f>
        <v>111.00000000000001</v>
      </c>
      <c r="H715" s="15" cm="1">
        <f t="array" ref="H715">_xlfn.IFS(Table13[[#This Row],[Column4]]="NEW",AVERAGEIFS(Table13[Column4],Table13[Year],Table13[[#This Row],[Year]]),ISNUMBER(Table13[[#This Row],[Column4]]),Table13[[#This Row],[Column4]],Table13[[#This Row],[Column4]]="",H714*(1+Table13[[#This Row],[Ávöxtun]]))</f>
        <v>111.00000000000001</v>
      </c>
      <c r="I715" cm="1">
        <f t="array" ref="I715">_xlfn.IFS(Table13[[#This Row],[Column4]]="NEW",_xlfn.XLOOKUP(Table13[[#This Row],[Year]],$N$2:$N$27,$P$2:$P$27),ISNUMBER(Table13[[#This Row],[Column4]]),Table13[[#This Row],[Column4]],Table13[[#This Row],[Column4]]="",I714*(1+Table13[[#This Row],[Ávöxtun]]))</f>
        <v>111.00000000000001</v>
      </c>
      <c r="L715" s="33">
        <v>111.00000000000001</v>
      </c>
      <c r="M715" s="33">
        <v>111.00000000000001</v>
      </c>
    </row>
    <row r="716" spans="1:13">
      <c r="A716" t="s">
        <v>122</v>
      </c>
      <c r="B716">
        <v>1999</v>
      </c>
      <c r="C716" s="16">
        <v>0.22</v>
      </c>
      <c r="D716" s="1">
        <v>10352635.789999999</v>
      </c>
      <c r="E716" s="29">
        <f>Table13[[#This Row],[Ávöxtun]]*Table13[[#This Row],[Eignir]]/SUMIFS(Table13[Eignir],Table13[Year],Table13[[#This Row],[Year]])</f>
        <v>5.1305623935928657E-3</v>
      </c>
      <c r="F716" s="23">
        <f>IF(B716=1997, 100, IF(COUNTIF(A$1:A715,A716)=0, "NEW", F715*(1+Table13[[#This Row],[Ávöxtun]])))</f>
        <v>135.42000000000002</v>
      </c>
      <c r="G716" s="18" cm="1">
        <f t="array" ref="G716">IFERROR(_xlfn.IFS(ISNUMBER(Table13[[#This Row],[Column3]]),Table13[[#This Row],[Column3]],Table13[[#This Row],[Column3]]="NEW",Table13[[#This Row],[Column3]]),"")</f>
        <v>135.42000000000002</v>
      </c>
      <c r="H716" s="15" cm="1">
        <f t="array" ref="H716">_xlfn.IFS(Table13[[#This Row],[Column4]]="NEW",AVERAGEIFS(Table13[Column4],Table13[Year],Table13[[#This Row],[Year]]),ISNUMBER(Table13[[#This Row],[Column4]]),Table13[[#This Row],[Column4]],Table13[[#This Row],[Column4]]="",H715*(1+Table13[[#This Row],[Ávöxtun]]))</f>
        <v>135.42000000000002</v>
      </c>
      <c r="I716" cm="1">
        <f t="array" ref="I716">_xlfn.IFS(Table13[[#This Row],[Column4]]="NEW",_xlfn.XLOOKUP(Table13[[#This Row],[Year]],$N$2:$N$27,$P$2:$P$27),ISNUMBER(Table13[[#This Row],[Column4]]),Table13[[#This Row],[Column4]],Table13[[#This Row],[Column4]]="",I715*(1+Table13[[#This Row],[Ávöxtun]]))</f>
        <v>135.42000000000002</v>
      </c>
      <c r="L716" s="33">
        <v>135.42000000000002</v>
      </c>
      <c r="M716" s="33">
        <v>135.42000000000002</v>
      </c>
    </row>
    <row r="717" spans="1:13">
      <c r="A717" t="s">
        <v>122</v>
      </c>
      <c r="B717">
        <v>2000</v>
      </c>
      <c r="C717" s="16">
        <v>-0.08</v>
      </c>
      <c r="D717" s="1">
        <v>10653925.210000001</v>
      </c>
      <c r="E717" s="29">
        <f>Table13[[#This Row],[Ávöxtun]]*Table13[[#This Row],[Eignir]]/SUMIFS(Table13[Eignir],Table13[Year],Table13[[#This Row],[Year]])</f>
        <v>-1.3648344324159278E-3</v>
      </c>
      <c r="F717" s="23">
        <f>IF(B717=1997, 100, IF(COUNTIF(A$1:A716,A717)=0, "NEW", F716*(1+Table13[[#This Row],[Ávöxtun]])))</f>
        <v>124.58640000000003</v>
      </c>
      <c r="G717" s="18" cm="1">
        <f t="array" ref="G717">IFERROR(_xlfn.IFS(ISNUMBER(Table13[[#This Row],[Column3]]),Table13[[#This Row],[Column3]],Table13[[#This Row],[Column3]]="NEW",Table13[[#This Row],[Column3]]),"")</f>
        <v>124.58640000000003</v>
      </c>
      <c r="H717" s="15" cm="1">
        <f t="array" ref="H717">_xlfn.IFS(Table13[[#This Row],[Column4]]="NEW",AVERAGEIFS(Table13[Column4],Table13[Year],Table13[[#This Row],[Year]]),ISNUMBER(Table13[[#This Row],[Column4]]),Table13[[#This Row],[Column4]],Table13[[#This Row],[Column4]]="",H716*(1+Table13[[#This Row],[Ávöxtun]]))</f>
        <v>124.58640000000003</v>
      </c>
      <c r="I717" cm="1">
        <f t="array" ref="I717">_xlfn.IFS(Table13[[#This Row],[Column4]]="NEW",_xlfn.XLOOKUP(Table13[[#This Row],[Year]],$N$2:$N$27,$P$2:$P$27),ISNUMBER(Table13[[#This Row],[Column4]]),Table13[[#This Row],[Column4]],Table13[[#This Row],[Column4]]="",I716*(1+Table13[[#This Row],[Ávöxtun]]))</f>
        <v>124.58640000000003</v>
      </c>
      <c r="L717" s="33">
        <v>124.58640000000003</v>
      </c>
      <c r="M717" s="33">
        <v>124.58640000000003</v>
      </c>
    </row>
    <row r="718" spans="1:13">
      <c r="A718" t="s">
        <v>122</v>
      </c>
      <c r="B718">
        <v>2001</v>
      </c>
      <c r="C718" s="16">
        <v>-0.1</v>
      </c>
      <c r="D718" s="1">
        <v>23781169</v>
      </c>
      <c r="E718" s="29">
        <f>Table13[[#This Row],[Ávöxtun]]*Table13[[#This Row],[Eignir]]/SUMIFS(Table13[Eignir],Table13[Year],Table13[[#This Row],[Year]])</f>
        <v>-2.4745230881933235E-3</v>
      </c>
      <c r="F718" s="23">
        <f>IF(B718=1997, 100, IF(COUNTIF(A$1:A717,A718)=0, "NEW", F717*(1+Table13[[#This Row],[Ávöxtun]])))</f>
        <v>112.12776000000002</v>
      </c>
      <c r="G718" s="18" cm="1">
        <f t="array" ref="G718">IFERROR(_xlfn.IFS(ISNUMBER(Table13[[#This Row],[Column3]]),Table13[[#This Row],[Column3]],Table13[[#This Row],[Column3]]="NEW",Table13[[#This Row],[Column3]]),"")</f>
        <v>112.12776000000002</v>
      </c>
      <c r="H718" s="15" cm="1">
        <f t="array" ref="H718">_xlfn.IFS(Table13[[#This Row],[Column4]]="NEW",AVERAGEIFS(Table13[Column4],Table13[Year],Table13[[#This Row],[Year]]),ISNUMBER(Table13[[#This Row],[Column4]]),Table13[[#This Row],[Column4]],Table13[[#This Row],[Column4]]="",H717*(1+Table13[[#This Row],[Ávöxtun]]))</f>
        <v>112.12776000000002</v>
      </c>
      <c r="I718" cm="1">
        <f t="array" ref="I718">_xlfn.IFS(Table13[[#This Row],[Column4]]="NEW",_xlfn.XLOOKUP(Table13[[#This Row],[Year]],$N$2:$N$27,$P$2:$P$27),ISNUMBER(Table13[[#This Row],[Column4]]),Table13[[#This Row],[Column4]],Table13[[#This Row],[Column4]]="",I717*(1+Table13[[#This Row],[Ávöxtun]]))</f>
        <v>112.12776000000002</v>
      </c>
      <c r="L718" s="33">
        <v>112.12776000000002</v>
      </c>
      <c r="M718" s="33">
        <v>112.12776000000002</v>
      </c>
    </row>
    <row r="719" spans="1:13">
      <c r="A719" t="s">
        <v>122</v>
      </c>
      <c r="B719">
        <v>2002</v>
      </c>
      <c r="C719" s="16">
        <v>-0.11</v>
      </c>
      <c r="D719" s="1">
        <v>11655680.23</v>
      </c>
      <c r="E719" s="29">
        <f>Table13[[#This Row],[Ávöxtun]]*Table13[[#This Row],[Eignir]]/SUMIFS(Table13[Eignir],Table13[Year],Table13[[#This Row],[Year]])</f>
        <v>-2.4060194469270242E-3</v>
      </c>
      <c r="F719" s="23">
        <f>IF(B719=1997, 100, IF(COUNTIF(A$1:A718,A719)=0, "NEW", F718*(1+Table13[[#This Row],[Ávöxtun]])))</f>
        <v>99.793706400000019</v>
      </c>
      <c r="G719" s="18" cm="1">
        <f t="array" ref="G719">IFERROR(_xlfn.IFS(ISNUMBER(Table13[[#This Row],[Column3]]),Table13[[#This Row],[Column3]],Table13[[#This Row],[Column3]]="NEW",Table13[[#This Row],[Column3]]),"")</f>
        <v>99.793706400000019</v>
      </c>
      <c r="H719" s="15" cm="1">
        <f t="array" ref="H719">_xlfn.IFS(Table13[[#This Row],[Column4]]="NEW",AVERAGEIFS(Table13[Column4],Table13[Year],Table13[[#This Row],[Year]]),ISNUMBER(Table13[[#This Row],[Column4]]),Table13[[#This Row],[Column4]],Table13[[#This Row],[Column4]]="",H718*(1+Table13[[#This Row],[Ávöxtun]]))</f>
        <v>99.793706400000019</v>
      </c>
      <c r="I719" cm="1">
        <f t="array" ref="I719">_xlfn.IFS(Table13[[#This Row],[Column4]]="NEW",_xlfn.XLOOKUP(Table13[[#This Row],[Year]],$N$2:$N$27,$P$2:$P$27),ISNUMBER(Table13[[#This Row],[Column4]]),Table13[[#This Row],[Column4]],Table13[[#This Row],[Column4]]="",I718*(1+Table13[[#This Row],[Ávöxtun]]))</f>
        <v>99.793706400000019</v>
      </c>
      <c r="L719" s="33">
        <v>99.793706400000019</v>
      </c>
      <c r="M719" s="33">
        <v>99.793706400000019</v>
      </c>
    </row>
    <row r="720" spans="1:13">
      <c r="A720" t="s">
        <v>122</v>
      </c>
      <c r="B720">
        <v>2003</v>
      </c>
      <c r="C720" s="16">
        <v>0.1</v>
      </c>
      <c r="D720" s="1">
        <v>14195768</v>
      </c>
      <c r="E720" s="29">
        <f>Table13[[#This Row],[Ávöxtun]]*Table13[[#This Row],[Eignir]]/SUMIFS(Table13[Eignir],Table13[Year],Table13[[#This Row],[Year]])</f>
        <v>2.2257688667820926E-3</v>
      </c>
      <c r="F720" s="23">
        <f>IF(B720=1997, 100, IF(COUNTIF(A$1:A719,A720)=0, "NEW", F719*(1+Table13[[#This Row],[Ávöxtun]])))</f>
        <v>109.77307704000003</v>
      </c>
      <c r="G720" s="18" cm="1">
        <f t="array" ref="G720">IFERROR(_xlfn.IFS(ISNUMBER(Table13[[#This Row],[Column3]]),Table13[[#This Row],[Column3]],Table13[[#This Row],[Column3]]="NEW",Table13[[#This Row],[Column3]]),"")</f>
        <v>109.77307704000003</v>
      </c>
      <c r="H720" s="15" cm="1">
        <f t="array" ref="H720">_xlfn.IFS(Table13[[#This Row],[Column4]]="NEW",AVERAGEIFS(Table13[Column4],Table13[Year],Table13[[#This Row],[Year]]),ISNUMBER(Table13[[#This Row],[Column4]]),Table13[[#This Row],[Column4]],Table13[[#This Row],[Column4]]="",H719*(1+Table13[[#This Row],[Ávöxtun]]))</f>
        <v>109.77307704000003</v>
      </c>
      <c r="I720" cm="1">
        <f t="array" ref="I720">_xlfn.IFS(Table13[[#This Row],[Column4]]="NEW",_xlfn.XLOOKUP(Table13[[#This Row],[Year]],$N$2:$N$27,$P$2:$P$27),ISNUMBER(Table13[[#This Row],[Column4]]),Table13[[#This Row],[Column4]],Table13[[#This Row],[Column4]]="",I719*(1+Table13[[#This Row],[Ávöxtun]]))</f>
        <v>109.77307704000003</v>
      </c>
      <c r="L720" s="33">
        <v>109.77307704000003</v>
      </c>
      <c r="M720" s="33">
        <v>109.77307704000003</v>
      </c>
    </row>
    <row r="721" spans="1:13">
      <c r="A721" t="s">
        <v>122</v>
      </c>
      <c r="B721">
        <v>2004</v>
      </c>
      <c r="C721" s="16">
        <v>0.06</v>
      </c>
      <c r="D721" s="1">
        <v>16811540</v>
      </c>
      <c r="E721" s="29">
        <f>Table13[[#This Row],[Ávöxtun]]*Table13[[#This Row],[Eignir]]/SUMIFS(Table13[Eignir],Table13[Year],Table13[[#This Row],[Year]])</f>
        <v>1.3278690693527442E-3</v>
      </c>
      <c r="F721" s="23">
        <f>IF(B721=1997, 100, IF(COUNTIF(A$1:A720,A721)=0, "NEW", F720*(1+Table13[[#This Row],[Ávöxtun]])))</f>
        <v>116.35946166240004</v>
      </c>
      <c r="G721" s="18" cm="1">
        <f t="array" ref="G721">IFERROR(_xlfn.IFS(ISNUMBER(Table13[[#This Row],[Column3]]),Table13[[#This Row],[Column3]],Table13[[#This Row],[Column3]]="NEW",Table13[[#This Row],[Column3]]),"")</f>
        <v>116.35946166240004</v>
      </c>
      <c r="H721" s="15" cm="1">
        <f t="array" ref="H721">_xlfn.IFS(Table13[[#This Row],[Column4]]="NEW",AVERAGEIFS(Table13[Column4],Table13[Year],Table13[[#This Row],[Year]]),ISNUMBER(Table13[[#This Row],[Column4]]),Table13[[#This Row],[Column4]],Table13[[#This Row],[Column4]]="",H720*(1+Table13[[#This Row],[Ávöxtun]]))</f>
        <v>116.35946166240004</v>
      </c>
      <c r="I721" cm="1">
        <f t="array" ref="I721">_xlfn.IFS(Table13[[#This Row],[Column4]]="NEW",_xlfn.XLOOKUP(Table13[[#This Row],[Year]],$N$2:$N$27,$P$2:$P$27),ISNUMBER(Table13[[#This Row],[Column4]]),Table13[[#This Row],[Column4]],Table13[[#This Row],[Column4]]="",I720*(1+Table13[[#This Row],[Ávöxtun]]))</f>
        <v>116.35946166240004</v>
      </c>
      <c r="L721" s="33">
        <v>116.35946166240004</v>
      </c>
      <c r="M721" s="33">
        <v>116.35946166240004</v>
      </c>
    </row>
    <row r="722" spans="1:13">
      <c r="A722" t="s">
        <v>122</v>
      </c>
      <c r="B722">
        <v>2005</v>
      </c>
      <c r="C722" s="16">
        <v>0.11</v>
      </c>
      <c r="D722" s="1">
        <v>20678257</v>
      </c>
      <c r="E722" s="29">
        <f>Table13[[#This Row],[Ávöxtun]]*Table13[[#This Row],[Eignir]]/SUMIFS(Table13[Eignir],Table13[Year],Table13[[#This Row],[Year]])</f>
        <v>2.436882103756421E-3</v>
      </c>
      <c r="F722" s="23">
        <f>IF(B722=1997, 100, IF(COUNTIF(A$1:A721,A722)=0, "NEW", F721*(1+Table13[[#This Row],[Ávöxtun]])))</f>
        <v>129.15900244526406</v>
      </c>
      <c r="G722" s="18" cm="1">
        <f t="array" ref="G722">IFERROR(_xlfn.IFS(ISNUMBER(Table13[[#This Row],[Column3]]),Table13[[#This Row],[Column3]],Table13[[#This Row],[Column3]]="NEW",Table13[[#This Row],[Column3]]),"")</f>
        <v>129.15900244526406</v>
      </c>
      <c r="H722" s="15" cm="1">
        <f t="array" ref="H722">_xlfn.IFS(Table13[[#This Row],[Column4]]="NEW",AVERAGEIFS(Table13[Column4],Table13[Year],Table13[[#This Row],[Year]]),ISNUMBER(Table13[[#This Row],[Column4]]),Table13[[#This Row],[Column4]],Table13[[#This Row],[Column4]]="",H721*(1+Table13[[#This Row],[Ávöxtun]]))</f>
        <v>129.15900244526406</v>
      </c>
      <c r="I722" cm="1">
        <f t="array" ref="I722">_xlfn.IFS(Table13[[#This Row],[Column4]]="NEW",_xlfn.XLOOKUP(Table13[[#This Row],[Year]],$N$2:$N$27,$P$2:$P$27),ISNUMBER(Table13[[#This Row],[Column4]]),Table13[[#This Row],[Column4]],Table13[[#This Row],[Column4]]="",I721*(1+Table13[[#This Row],[Ávöxtun]]))</f>
        <v>129.15900244526406</v>
      </c>
      <c r="L722" s="33">
        <v>129.15900244526406</v>
      </c>
      <c r="M722" s="33">
        <v>129.15900244526406</v>
      </c>
    </row>
    <row r="723" spans="1:13">
      <c r="A723" t="s">
        <v>122</v>
      </c>
      <c r="B723">
        <v>2006</v>
      </c>
      <c r="C723" s="16">
        <v>9.6199999999999994E-2</v>
      </c>
      <c r="D723" s="1">
        <v>25794255</v>
      </c>
      <c r="E723" s="29">
        <f>Table13[[#This Row],[Ávöxtun]]*Table13[[#This Row],[Eignir]]/SUMIFS(Table13[Eignir],Table13[Year],Table13[[#This Row],[Year]])</f>
        <v>2.1812419017820826E-3</v>
      </c>
      <c r="F723" s="23">
        <f>IF(B723=1997, 100, IF(COUNTIF(A$1:A722,A723)=0, "NEW", F722*(1+Table13[[#This Row],[Ávöxtun]])))</f>
        <v>141.58409848049848</v>
      </c>
      <c r="G723" s="18" cm="1">
        <f t="array" ref="G723">IFERROR(_xlfn.IFS(ISNUMBER(Table13[[#This Row],[Column3]]),Table13[[#This Row],[Column3]],Table13[[#This Row],[Column3]]="NEW",Table13[[#This Row],[Column3]]),"")</f>
        <v>141.58409848049848</v>
      </c>
      <c r="H723" s="15" cm="1">
        <f t="array" ref="H723">_xlfn.IFS(Table13[[#This Row],[Column4]]="NEW",AVERAGEIFS(Table13[Column4],Table13[Year],Table13[[#This Row],[Year]]),ISNUMBER(Table13[[#This Row],[Column4]]),Table13[[#This Row],[Column4]],Table13[[#This Row],[Column4]]="",H722*(1+Table13[[#This Row],[Ávöxtun]]))</f>
        <v>141.58409848049848</v>
      </c>
      <c r="I723" cm="1">
        <f t="array" ref="I723">_xlfn.IFS(Table13[[#This Row],[Column4]]="NEW",_xlfn.XLOOKUP(Table13[[#This Row],[Year]],$N$2:$N$27,$P$2:$P$27),ISNUMBER(Table13[[#This Row],[Column4]]),Table13[[#This Row],[Column4]],Table13[[#This Row],[Column4]]="",I722*(1+Table13[[#This Row],[Ávöxtun]]))</f>
        <v>141.58409848049848</v>
      </c>
      <c r="L723" s="33">
        <v>141.58409848049848</v>
      </c>
      <c r="M723" s="33">
        <v>141.58409848049848</v>
      </c>
    </row>
    <row r="724" spans="1:13">
      <c r="A724" t="s">
        <v>122</v>
      </c>
      <c r="B724">
        <v>2007</v>
      </c>
      <c r="C724" s="16">
        <v>-7.3000000000000001E-3</v>
      </c>
      <c r="D724" s="1">
        <v>28665140</v>
      </c>
      <c r="E724" s="29">
        <f>Table13[[#This Row],[Ávöxtun]]*Table13[[#This Row],[Eignir]]/SUMIFS(Table13[Eignir],Table13[Year],Table13[[#This Row],[Year]])</f>
        <v>-1.6304015012256708E-4</v>
      </c>
      <c r="F724" s="23">
        <f>IF(B724=1997, 100, IF(COUNTIF(A$1:A723,A724)=0, "NEW", F723*(1+Table13[[#This Row],[Ávöxtun]])))</f>
        <v>140.55053456159084</v>
      </c>
      <c r="G724" s="18" cm="1">
        <f t="array" ref="G724">IFERROR(_xlfn.IFS(ISNUMBER(Table13[[#This Row],[Column3]]),Table13[[#This Row],[Column3]],Table13[[#This Row],[Column3]]="NEW",Table13[[#This Row],[Column3]]),"")</f>
        <v>140.55053456159084</v>
      </c>
      <c r="H724" s="15" cm="1">
        <f t="array" ref="H724">_xlfn.IFS(Table13[[#This Row],[Column4]]="NEW",AVERAGEIFS(Table13[Column4],Table13[Year],Table13[[#This Row],[Year]]),ISNUMBER(Table13[[#This Row],[Column4]]),Table13[[#This Row],[Column4]],Table13[[#This Row],[Column4]]="",H723*(1+Table13[[#This Row],[Ávöxtun]]))</f>
        <v>140.55053456159084</v>
      </c>
      <c r="I724" cm="1">
        <f t="array" ref="I724">_xlfn.IFS(Table13[[#This Row],[Column4]]="NEW",_xlfn.XLOOKUP(Table13[[#This Row],[Year]],$N$2:$N$27,$P$2:$P$27),ISNUMBER(Table13[[#This Row],[Column4]]),Table13[[#This Row],[Column4]],Table13[[#This Row],[Column4]]="",I723*(1+Table13[[#This Row],[Ávöxtun]]))</f>
        <v>140.55053456159084</v>
      </c>
      <c r="L724" s="33">
        <v>140.55053456159084</v>
      </c>
      <c r="M724" s="33">
        <v>140.55053456159084</v>
      </c>
    </row>
    <row r="725" spans="1:13">
      <c r="A725" t="s">
        <v>122</v>
      </c>
      <c r="B725">
        <v>2008</v>
      </c>
      <c r="C725" s="16">
        <v>-0.31409999999999999</v>
      </c>
      <c r="D725" s="1">
        <v>24599372</v>
      </c>
      <c r="E725" s="29">
        <f>Table13[[#This Row],[Ávöxtun]]*Table13[[#This Row],[Eignir]]/SUMIFS(Table13[Eignir],Table13[Year],Table13[[#This Row],[Year]])</f>
        <v>-6.2362306531556751E-3</v>
      </c>
      <c r="F725" s="23">
        <f>IF(B725=1997, 100, IF(COUNTIF(A$1:A724,A725)=0, "NEW", F724*(1+Table13[[#This Row],[Ávöxtun]])))</f>
        <v>96.403611655795146</v>
      </c>
      <c r="G725" s="18" cm="1">
        <f t="array" ref="G725">IFERROR(_xlfn.IFS(ISNUMBER(Table13[[#This Row],[Column3]]),Table13[[#This Row],[Column3]],Table13[[#This Row],[Column3]]="NEW",Table13[[#This Row],[Column3]]),"")</f>
        <v>96.403611655795146</v>
      </c>
      <c r="H725" s="15" cm="1">
        <f t="array" ref="H725">_xlfn.IFS(Table13[[#This Row],[Column4]]="NEW",AVERAGEIFS(Table13[Column4],Table13[Year],Table13[[#This Row],[Year]]),ISNUMBER(Table13[[#This Row],[Column4]]),Table13[[#This Row],[Column4]],Table13[[#This Row],[Column4]]="",H724*(1+Table13[[#This Row],[Ávöxtun]]))</f>
        <v>96.403611655795146</v>
      </c>
      <c r="I725" cm="1">
        <f t="array" ref="I725">_xlfn.IFS(Table13[[#This Row],[Column4]]="NEW",_xlfn.XLOOKUP(Table13[[#This Row],[Year]],$N$2:$N$27,$P$2:$P$27),ISNUMBER(Table13[[#This Row],[Column4]]),Table13[[#This Row],[Column4]],Table13[[#This Row],[Column4]]="",I724*(1+Table13[[#This Row],[Ávöxtun]]))</f>
        <v>96.403611655795146</v>
      </c>
      <c r="L725" s="33">
        <v>96.403611655795146</v>
      </c>
      <c r="M725" s="33">
        <v>96.403611655795146</v>
      </c>
    </row>
    <row r="726" spans="1:13">
      <c r="A726" t="s">
        <v>122</v>
      </c>
      <c r="B726">
        <v>2009</v>
      </c>
      <c r="C726" s="16">
        <v>-4.0000000000000001E-3</v>
      </c>
      <c r="D726" s="1">
        <v>29080106</v>
      </c>
      <c r="E726" s="29">
        <f>Table13[[#This Row],[Ávöxtun]]*Table13[[#This Row],[Eignir]]/SUMIFS(Table13[Eignir],Table13[Year],Table13[[#This Row],[Year]])</f>
        <v>-8.4712612145349016E-5</v>
      </c>
      <c r="F726" s="23">
        <f>IF(B726=1997, 100, IF(COUNTIF(A$1:A725,A726)=0, "NEW", F725*(1+Table13[[#This Row],[Ávöxtun]])))</f>
        <v>96.017997209171966</v>
      </c>
      <c r="G726" s="18" cm="1">
        <f t="array" ref="G726">IFERROR(_xlfn.IFS(ISNUMBER(Table13[[#This Row],[Column3]]),Table13[[#This Row],[Column3]],Table13[[#This Row],[Column3]]="NEW",Table13[[#This Row],[Column3]]),"")</f>
        <v>96.017997209171966</v>
      </c>
      <c r="H726" s="15" cm="1">
        <f t="array" ref="H726">_xlfn.IFS(Table13[[#This Row],[Column4]]="NEW",AVERAGEIFS(Table13[Column4],Table13[Year],Table13[[#This Row],[Year]]),ISNUMBER(Table13[[#This Row],[Column4]]),Table13[[#This Row],[Column4]],Table13[[#This Row],[Column4]]="",H725*(1+Table13[[#This Row],[Ávöxtun]]))</f>
        <v>96.017997209171966</v>
      </c>
      <c r="I726" cm="1">
        <f t="array" ref="I726">_xlfn.IFS(Table13[[#This Row],[Column4]]="NEW",_xlfn.XLOOKUP(Table13[[#This Row],[Year]],$N$2:$N$27,$P$2:$P$27),ISNUMBER(Table13[[#This Row],[Column4]]),Table13[[#This Row],[Column4]],Table13[[#This Row],[Column4]]="",I725*(1+Table13[[#This Row],[Ávöxtun]]))</f>
        <v>96.017997209171966</v>
      </c>
      <c r="L726" s="33">
        <v>96.017997209171966</v>
      </c>
      <c r="M726" s="33">
        <v>96.017997209171966</v>
      </c>
    </row>
    <row r="727" spans="1:13">
      <c r="A727" t="s">
        <v>122</v>
      </c>
      <c r="B727">
        <v>2010</v>
      </c>
      <c r="C727" s="16">
        <v>-2.3900000000000001E-2</v>
      </c>
      <c r="D727" s="1">
        <v>30805708</v>
      </c>
      <c r="E727" s="29">
        <f>Table13[[#This Row],[Ávöxtun]]*Table13[[#This Row],[Eignir]]/SUMIFS(Table13[Eignir],Table13[Year],Table13[[#This Row],[Year]])</f>
        <v>-5.0265040327121167E-4</v>
      </c>
      <c r="F727" s="23">
        <f>IF(B727=1997, 100, IF(COUNTIF(A$1:A726,A727)=0, "NEW", F726*(1+Table13[[#This Row],[Ávöxtun]])))</f>
        <v>93.723167075872752</v>
      </c>
      <c r="G727" s="18" cm="1">
        <f t="array" ref="G727">IFERROR(_xlfn.IFS(ISNUMBER(Table13[[#This Row],[Column3]]),Table13[[#This Row],[Column3]],Table13[[#This Row],[Column3]]="NEW",Table13[[#This Row],[Column3]]),"")</f>
        <v>93.723167075872752</v>
      </c>
      <c r="H727" s="15" cm="1">
        <f t="array" ref="H727">_xlfn.IFS(Table13[[#This Row],[Column4]]="NEW",AVERAGEIFS(Table13[Column4],Table13[Year],Table13[[#This Row],[Year]]),ISNUMBER(Table13[[#This Row],[Column4]]),Table13[[#This Row],[Column4]],Table13[[#This Row],[Column4]]="",H726*(1+Table13[[#This Row],[Ávöxtun]]))</f>
        <v>93.723167075872752</v>
      </c>
      <c r="I727" cm="1">
        <f t="array" ref="I727">_xlfn.IFS(Table13[[#This Row],[Column4]]="NEW",_xlfn.XLOOKUP(Table13[[#This Row],[Year]],$N$2:$N$27,$P$2:$P$27),ISNUMBER(Table13[[#This Row],[Column4]]),Table13[[#This Row],[Column4]],Table13[[#This Row],[Column4]]="",I726*(1+Table13[[#This Row],[Ávöxtun]]))</f>
        <v>93.723167075872752</v>
      </c>
      <c r="L727" s="33">
        <v>93.723167075872752</v>
      </c>
      <c r="M727" s="33">
        <v>93.723167075872752</v>
      </c>
    </row>
    <row r="728" spans="1:13">
      <c r="A728" t="s">
        <v>122</v>
      </c>
      <c r="B728">
        <v>2011</v>
      </c>
      <c r="C728" s="16">
        <v>9.0000000000000011E-3</v>
      </c>
      <c r="D728" s="1">
        <v>33813827</v>
      </c>
      <c r="E728" s="29">
        <f>Table13[[#This Row],[Ávöxtun]]*Table13[[#This Row],[Eignir]]/SUMIFS(Table13[Eignir],Table13[Year],Table13[[#This Row],[Year]])</f>
        <v>1.9165475425148303E-4</v>
      </c>
      <c r="F728" s="23">
        <f>IF(B728=1997, 100, IF(COUNTIF(A$1:A727,A728)=0, "NEW", F727*(1+Table13[[#This Row],[Ávöxtun]])))</f>
        <v>94.566675579555593</v>
      </c>
      <c r="G728" s="18" cm="1">
        <f t="array" ref="G728">IFERROR(_xlfn.IFS(ISNUMBER(Table13[[#This Row],[Column3]]),Table13[[#This Row],[Column3]],Table13[[#This Row],[Column3]]="NEW",Table13[[#This Row],[Column3]]),"")</f>
        <v>94.566675579555593</v>
      </c>
      <c r="H728" s="15" cm="1">
        <f t="array" ref="H728">_xlfn.IFS(Table13[[#This Row],[Column4]]="NEW",AVERAGEIFS(Table13[Column4],Table13[Year],Table13[[#This Row],[Year]]),ISNUMBER(Table13[[#This Row],[Column4]]),Table13[[#This Row],[Column4]],Table13[[#This Row],[Column4]]="",H727*(1+Table13[[#This Row],[Ávöxtun]]))</f>
        <v>94.566675579555593</v>
      </c>
      <c r="I728" cm="1">
        <f t="array" ref="I728">_xlfn.IFS(Table13[[#This Row],[Column4]]="NEW",_xlfn.XLOOKUP(Table13[[#This Row],[Year]],$N$2:$N$27,$P$2:$P$27),ISNUMBER(Table13[[#This Row],[Column4]]),Table13[[#This Row],[Column4]],Table13[[#This Row],[Column4]]="",I727*(1+Table13[[#This Row],[Ávöxtun]]))</f>
        <v>94.566675579555593</v>
      </c>
      <c r="L728" s="33">
        <v>94.566675579555593</v>
      </c>
      <c r="M728" s="33">
        <v>94.566675579555593</v>
      </c>
    </row>
    <row r="729" spans="1:13">
      <c r="A729" t="s">
        <v>122</v>
      </c>
      <c r="B729">
        <v>2012</v>
      </c>
      <c r="C729" s="16">
        <v>5.5E-2</v>
      </c>
      <c r="D729" s="1">
        <v>39163120</v>
      </c>
      <c r="E729" s="29">
        <f>Table13[[#This Row],[Ávöxtun]]*Table13[[#This Row],[Eignir]]/SUMIFS(Table13[Eignir],Table13[Year],Table13[[#This Row],[Year]])</f>
        <v>1.2000711757447437E-3</v>
      </c>
      <c r="F729" s="23">
        <f>IF(B729=1997, 100, IF(COUNTIF(A$1:A728,A729)=0, "NEW", F728*(1+Table13[[#This Row],[Ávöxtun]])))</f>
        <v>99.767842736431149</v>
      </c>
      <c r="G729" s="18" cm="1">
        <f t="array" ref="G729">IFERROR(_xlfn.IFS(ISNUMBER(Table13[[#This Row],[Column3]]),Table13[[#This Row],[Column3]],Table13[[#This Row],[Column3]]="NEW",Table13[[#This Row],[Column3]]),"")</f>
        <v>99.767842736431149</v>
      </c>
      <c r="H729" s="15" cm="1">
        <f t="array" ref="H729">_xlfn.IFS(Table13[[#This Row],[Column4]]="NEW",AVERAGEIFS(Table13[Column4],Table13[Year],Table13[[#This Row],[Year]]),ISNUMBER(Table13[[#This Row],[Column4]]),Table13[[#This Row],[Column4]],Table13[[#This Row],[Column4]]="",H728*(1+Table13[[#This Row],[Ávöxtun]]))</f>
        <v>99.767842736431149</v>
      </c>
      <c r="I729" cm="1">
        <f t="array" ref="I729">_xlfn.IFS(Table13[[#This Row],[Column4]]="NEW",_xlfn.XLOOKUP(Table13[[#This Row],[Year]],$N$2:$N$27,$P$2:$P$27),ISNUMBER(Table13[[#This Row],[Column4]]),Table13[[#This Row],[Column4]],Table13[[#This Row],[Column4]]="",I728*(1+Table13[[#This Row],[Ávöxtun]]))</f>
        <v>99.767842736431149</v>
      </c>
      <c r="L729" s="33">
        <v>99.767842736431149</v>
      </c>
      <c r="M729" s="33">
        <v>99.767842736431149</v>
      </c>
    </row>
    <row r="730" spans="1:13">
      <c r="A730" t="s">
        <v>122</v>
      </c>
      <c r="B730">
        <v>2013</v>
      </c>
      <c r="C730" s="16">
        <v>4.5999999999999999E-2</v>
      </c>
      <c r="D730" s="1">
        <v>44634884</v>
      </c>
      <c r="E730" s="29">
        <f>Table13[[#This Row],[Ávöxtun]]*Table13[[#This Row],[Eignir]]/SUMIFS(Table13[Eignir],Table13[Year],Table13[[#This Row],[Year]])</f>
        <v>1.0401694778142125E-3</v>
      </c>
      <c r="F730" s="23">
        <f>IF(B730=1997, 100, IF(COUNTIF(A$1:A729,A730)=0, "NEW", F729*(1+Table13[[#This Row],[Ávöxtun]])))</f>
        <v>104.35716350230699</v>
      </c>
      <c r="G730" s="18" cm="1">
        <f t="array" ref="G730">IFERROR(_xlfn.IFS(ISNUMBER(Table13[[#This Row],[Column3]]),Table13[[#This Row],[Column3]],Table13[[#This Row],[Column3]]="NEW",Table13[[#This Row],[Column3]]),"")</f>
        <v>104.35716350230699</v>
      </c>
      <c r="H730" s="15" cm="1">
        <f t="array" ref="H730">_xlfn.IFS(Table13[[#This Row],[Column4]]="NEW",AVERAGEIFS(Table13[Column4],Table13[Year],Table13[[#This Row],[Year]]),ISNUMBER(Table13[[#This Row],[Column4]]),Table13[[#This Row],[Column4]],Table13[[#This Row],[Column4]]="",H729*(1+Table13[[#This Row],[Ávöxtun]]))</f>
        <v>104.35716350230699</v>
      </c>
      <c r="I730" cm="1">
        <f t="array" ref="I730">_xlfn.IFS(Table13[[#This Row],[Column4]]="NEW",_xlfn.XLOOKUP(Table13[[#This Row],[Year]],$N$2:$N$27,$P$2:$P$27),ISNUMBER(Table13[[#This Row],[Column4]]),Table13[[#This Row],[Column4]],Table13[[#This Row],[Column4]]="",I729*(1+Table13[[#This Row],[Ávöxtun]]))</f>
        <v>104.35716350230699</v>
      </c>
      <c r="L730" s="33">
        <v>104.35716350230699</v>
      </c>
      <c r="M730" s="33">
        <v>104.35716350230699</v>
      </c>
    </row>
    <row r="731" spans="1:13">
      <c r="A731" t="s">
        <v>103</v>
      </c>
      <c r="B731">
        <v>1997</v>
      </c>
      <c r="C731" s="16">
        <v>0.06</v>
      </c>
      <c r="D731" s="1">
        <v>8772602.2200000007</v>
      </c>
      <c r="E731" s="29">
        <f>Table13[[#This Row],[Ávöxtun]]*Table13[[#This Row],[Eignir]]/SUMIFS(Table13[Eignir],Table13[Year],Table13[[#This Row],[Year]])</f>
        <v>1.8445612834140054E-3</v>
      </c>
      <c r="F731" s="23">
        <f>IF(B731=1997, 100, IF(COUNTIF(A$1:A730,A731)=0, "NEW",#REF!*( 1+Table13[[#This Row],[Ávöxtun]])))</f>
        <v>100</v>
      </c>
      <c r="G731" s="18" cm="1">
        <f t="array" ref="G731">IFERROR(_xlfn.IFS(ISNUMBER(Table13[[#This Row],[Column3]]),Table13[[#This Row],[Column3]],Table13[[#This Row],[Column3]]="NEW",Table13[[#This Row],[Column3]]),"")</f>
        <v>100</v>
      </c>
      <c r="H731" s="15" cm="1">
        <f t="array" ref="H731">_xlfn.IFS(Table13[[#This Row],[Column4]]="NEW",AVERAGEIFS(Table13[Column4],Table13[Year],Table13[[#This Row],[Year]]),ISNUMBER(Table13[[#This Row],[Column4]]),Table13[[#This Row],[Column4]],Table13[[#This Row],[Column4]]="",#REF!*(1+Table13[[#This Row],[Ávöxtun]]))</f>
        <v>100</v>
      </c>
      <c r="I731" cm="1">
        <f t="array" ref="I731">_xlfn.IFS(Table13[[#This Row],[Column4]]="NEW",_xlfn.XLOOKUP(Table13[[#This Row],[Year]],$N$2:$N$27,$P$2:$P$27),ISNUMBER(Table13[[#This Row],[Column4]]),Table13[[#This Row],[Column4]],Table13[[#This Row],[Column4]]="",#REF!*(1+Table13[[#This Row],[Ávöxtun]]))</f>
        <v>100</v>
      </c>
      <c r="L731" s="33">
        <v>100</v>
      </c>
      <c r="M731" s="33">
        <v>100</v>
      </c>
    </row>
    <row r="732" spans="1:13">
      <c r="A732" t="s">
        <v>103</v>
      </c>
      <c r="B732">
        <v>1998</v>
      </c>
      <c r="C732" s="16">
        <v>0.08</v>
      </c>
      <c r="D732" s="1">
        <v>9943439.0899999999</v>
      </c>
      <c r="E732" s="29">
        <f>Table13[[#This Row],[Ávöxtun]]*Table13[[#This Row],[Eignir]]/SUMIFS(Table13[Eignir],Table13[Year],Table13[[#This Row],[Year]])</f>
        <v>2.4068953025148153E-3</v>
      </c>
      <c r="F732" s="23">
        <f>IF(B732=1997, 100, IF(COUNTIF(A$1:A731,A732)=0, "NEW", F731*(1+Table13[[#This Row],[Ávöxtun]])))</f>
        <v>108</v>
      </c>
      <c r="G732" s="18" cm="1">
        <f t="array" ref="G732">IFERROR(_xlfn.IFS(ISNUMBER(Table13[[#This Row],[Column3]]),Table13[[#This Row],[Column3]],Table13[[#This Row],[Column3]]="NEW",Table13[[#This Row],[Column3]]),"")</f>
        <v>108</v>
      </c>
      <c r="H732" s="15" cm="1">
        <f t="array" ref="H732">_xlfn.IFS(Table13[[#This Row],[Column4]]="NEW",AVERAGEIFS(Table13[Column4],Table13[Year],Table13[[#This Row],[Year]]),ISNUMBER(Table13[[#This Row],[Column4]]),Table13[[#This Row],[Column4]],Table13[[#This Row],[Column4]]="",H731*(1+Table13[[#This Row],[Ávöxtun]]))</f>
        <v>108</v>
      </c>
      <c r="I732" cm="1">
        <f t="array" ref="I732">_xlfn.IFS(Table13[[#This Row],[Column4]]="NEW",_xlfn.XLOOKUP(Table13[[#This Row],[Year]],$N$2:$N$27,$P$2:$P$27),ISNUMBER(Table13[[#This Row],[Column4]]),Table13[[#This Row],[Column4]],Table13[[#This Row],[Column4]]="",I731*(1+Table13[[#This Row],[Ávöxtun]]))</f>
        <v>108</v>
      </c>
      <c r="L732" s="33">
        <v>108</v>
      </c>
      <c r="M732" s="33">
        <v>108</v>
      </c>
    </row>
    <row r="733" spans="1:13">
      <c r="A733" t="s">
        <v>103</v>
      </c>
      <c r="B733">
        <v>1999</v>
      </c>
      <c r="C733" s="16">
        <v>0.14000000000000001</v>
      </c>
      <c r="D733" s="1">
        <v>12306473.34</v>
      </c>
      <c r="E733" s="29">
        <f>Table13[[#This Row],[Ávöxtun]]*Table13[[#This Row],[Eignir]]/SUMIFS(Table13[Eignir],Table13[Year],Table13[[#This Row],[Year]])</f>
        <v>3.8810836914737442E-3</v>
      </c>
      <c r="F733" s="23">
        <f>IF(B733=1997, 100, IF(COUNTIF(A$1:A732,A733)=0, "NEW", F732*(1+Table13[[#This Row],[Ávöxtun]])))</f>
        <v>123.12000000000002</v>
      </c>
      <c r="G733" s="18" cm="1">
        <f t="array" ref="G733">IFERROR(_xlfn.IFS(ISNUMBER(Table13[[#This Row],[Column3]]),Table13[[#This Row],[Column3]],Table13[[#This Row],[Column3]]="NEW",Table13[[#This Row],[Column3]]),"")</f>
        <v>123.12000000000002</v>
      </c>
      <c r="H733" s="15" cm="1">
        <f t="array" ref="H733">_xlfn.IFS(Table13[[#This Row],[Column4]]="NEW",AVERAGEIFS(Table13[Column4],Table13[Year],Table13[[#This Row],[Year]]),ISNUMBER(Table13[[#This Row],[Column4]]),Table13[[#This Row],[Column4]],Table13[[#This Row],[Column4]]="",H732*(1+Table13[[#This Row],[Ávöxtun]]))</f>
        <v>123.12000000000002</v>
      </c>
      <c r="I733" cm="1">
        <f t="array" ref="I733">_xlfn.IFS(Table13[[#This Row],[Column4]]="NEW",_xlfn.XLOOKUP(Table13[[#This Row],[Year]],$N$2:$N$27,$P$2:$P$27),ISNUMBER(Table13[[#This Row],[Column4]]),Table13[[#This Row],[Column4]],Table13[[#This Row],[Column4]]="",I732*(1+Table13[[#This Row],[Ávöxtun]]))</f>
        <v>123.12000000000002</v>
      </c>
      <c r="L733" s="33">
        <v>123.12000000000002</v>
      </c>
      <c r="M733" s="33">
        <v>123.12000000000002</v>
      </c>
    </row>
    <row r="734" spans="1:13">
      <c r="A734" t="s">
        <v>103</v>
      </c>
      <c r="B734">
        <v>2000</v>
      </c>
      <c r="C734" s="16">
        <v>-0.05</v>
      </c>
      <c r="D734" s="1">
        <v>12283009.130000001</v>
      </c>
      <c r="E734" s="29">
        <f>Table13[[#This Row],[Ávöxtun]]*Table13[[#This Row],[Eignir]]/SUMIFS(Table13[Eignir],Table13[Year],Table13[[#This Row],[Year]])</f>
        <v>-9.8345641769710776E-4</v>
      </c>
      <c r="F734" s="23">
        <f>IF(B734=1997, 100, IF(COUNTIF(A$1:A733,A734)=0, "NEW", F733*(1+Table13[[#This Row],[Ávöxtun]])))</f>
        <v>116.96400000000001</v>
      </c>
      <c r="G734" s="18" cm="1">
        <f t="array" ref="G734">IFERROR(_xlfn.IFS(ISNUMBER(Table13[[#This Row],[Column3]]),Table13[[#This Row],[Column3]],Table13[[#This Row],[Column3]]="NEW",Table13[[#This Row],[Column3]]),"")</f>
        <v>116.96400000000001</v>
      </c>
      <c r="H734" s="15" cm="1">
        <f t="array" ref="H734">_xlfn.IFS(Table13[[#This Row],[Column4]]="NEW",AVERAGEIFS(Table13[Column4],Table13[Year],Table13[[#This Row],[Year]]),ISNUMBER(Table13[[#This Row],[Column4]]),Table13[[#This Row],[Column4]],Table13[[#This Row],[Column4]]="",H733*(1+Table13[[#This Row],[Ávöxtun]]))</f>
        <v>116.96400000000001</v>
      </c>
      <c r="I734" cm="1">
        <f t="array" ref="I734">_xlfn.IFS(Table13[[#This Row],[Column4]]="NEW",_xlfn.XLOOKUP(Table13[[#This Row],[Year]],$N$2:$N$27,$P$2:$P$27),ISNUMBER(Table13[[#This Row],[Column4]]),Table13[[#This Row],[Column4]],Table13[[#This Row],[Column4]]="",I733*(1+Table13[[#This Row],[Ávöxtun]]))</f>
        <v>116.96400000000001</v>
      </c>
      <c r="L734" s="33">
        <v>116.96400000000001</v>
      </c>
      <c r="M734" s="33">
        <v>116.96400000000001</v>
      </c>
    </row>
    <row r="735" spans="1:13">
      <c r="A735" t="s">
        <v>103</v>
      </c>
      <c r="B735">
        <v>2001</v>
      </c>
      <c r="C735" s="16">
        <v>-0.08</v>
      </c>
      <c r="D735" s="1">
        <v>26445491</v>
      </c>
      <c r="E735" s="29">
        <f>Table13[[#This Row],[Ávöxtun]]*Table13[[#This Row],[Eignir]]/SUMIFS(Table13[Eignir],Table13[Year],Table13[[#This Row],[Year]])</f>
        <v>-2.2014049202748191E-3</v>
      </c>
      <c r="F735" s="23">
        <f>IF(B735=1997, 100, IF(COUNTIF(A$1:A734,A735)=0, "NEW", F734*(1+Table13[[#This Row],[Ávöxtun]])))</f>
        <v>107.60688000000002</v>
      </c>
      <c r="G735" s="18" cm="1">
        <f t="array" ref="G735">IFERROR(_xlfn.IFS(ISNUMBER(Table13[[#This Row],[Column3]]),Table13[[#This Row],[Column3]],Table13[[#This Row],[Column3]]="NEW",Table13[[#This Row],[Column3]]),"")</f>
        <v>107.60688000000002</v>
      </c>
      <c r="H735" s="15" cm="1">
        <f t="array" ref="H735">_xlfn.IFS(Table13[[#This Row],[Column4]]="NEW",AVERAGEIFS(Table13[Column4],Table13[Year],Table13[[#This Row],[Year]]),ISNUMBER(Table13[[#This Row],[Column4]]),Table13[[#This Row],[Column4]],Table13[[#This Row],[Column4]]="",H734*(1+Table13[[#This Row],[Ávöxtun]]))</f>
        <v>107.60688000000002</v>
      </c>
      <c r="I735" cm="1">
        <f t="array" ref="I735">_xlfn.IFS(Table13[[#This Row],[Column4]]="NEW",_xlfn.XLOOKUP(Table13[[#This Row],[Year]],$N$2:$N$27,$P$2:$P$27),ISNUMBER(Table13[[#This Row],[Column4]]),Table13[[#This Row],[Column4]],Table13[[#This Row],[Column4]]="",I734*(1+Table13[[#This Row],[Ávöxtun]]))</f>
        <v>107.60688000000002</v>
      </c>
      <c r="L735" s="33">
        <v>107.60688000000002</v>
      </c>
      <c r="M735" s="33">
        <v>107.60688000000002</v>
      </c>
    </row>
    <row r="736" spans="1:13">
      <c r="A736" t="s">
        <v>103</v>
      </c>
      <c r="B736">
        <v>2002</v>
      </c>
      <c r="C736" s="16">
        <v>0.02</v>
      </c>
      <c r="D736" s="1">
        <v>12891022</v>
      </c>
      <c r="E736" s="29">
        <f>Table13[[#This Row],[Ávöxtun]]*Table13[[#This Row],[Eignir]]/SUMIFS(Table13[Eignir],Table13[Year],Table13[[#This Row],[Year]])</f>
        <v>4.838226202430291E-4</v>
      </c>
      <c r="F736" s="23">
        <f>IF(B736=1997, 100, IF(COUNTIF(A$1:A735,A736)=0, "NEW", F735*(1+Table13[[#This Row],[Ávöxtun]])))</f>
        <v>109.75901760000002</v>
      </c>
      <c r="G736" s="18" cm="1">
        <f t="array" ref="G736">IFERROR(_xlfn.IFS(ISNUMBER(Table13[[#This Row],[Column3]]),Table13[[#This Row],[Column3]],Table13[[#This Row],[Column3]]="NEW",Table13[[#This Row],[Column3]]),"")</f>
        <v>109.75901760000002</v>
      </c>
      <c r="H736" s="15" cm="1">
        <f t="array" ref="H736">_xlfn.IFS(Table13[[#This Row],[Column4]]="NEW",AVERAGEIFS(Table13[Column4],Table13[Year],Table13[[#This Row],[Year]]),ISNUMBER(Table13[[#This Row],[Column4]]),Table13[[#This Row],[Column4]],Table13[[#This Row],[Column4]]="",H735*(1+Table13[[#This Row],[Ávöxtun]]))</f>
        <v>109.75901760000002</v>
      </c>
      <c r="I736" cm="1">
        <f t="array" ref="I736">_xlfn.IFS(Table13[[#This Row],[Column4]]="NEW",_xlfn.XLOOKUP(Table13[[#This Row],[Year]],$N$2:$N$27,$P$2:$P$27),ISNUMBER(Table13[[#This Row],[Column4]]),Table13[[#This Row],[Column4]],Table13[[#This Row],[Column4]]="",I735*(1+Table13[[#This Row],[Ávöxtun]]))</f>
        <v>109.75901760000002</v>
      </c>
      <c r="L736" s="33">
        <v>109.75901760000002</v>
      </c>
      <c r="M736" s="33">
        <v>109.75901760000002</v>
      </c>
    </row>
    <row r="737" spans="1:13">
      <c r="A737" t="s">
        <v>103</v>
      </c>
      <c r="B737">
        <v>2003</v>
      </c>
      <c r="C737" s="16">
        <v>0.23</v>
      </c>
      <c r="D737" s="1">
        <v>15142950</v>
      </c>
      <c r="E737" s="29">
        <f>Table13[[#This Row],[Ávöxtun]]*Table13[[#This Row],[Eignir]]/SUMIFS(Table13[Eignir],Table13[Year],Table13[[#This Row],[Year]])</f>
        <v>5.4608405350698285E-3</v>
      </c>
      <c r="F737" s="23">
        <f>IF(B737=1997, 100, IF(COUNTIF(A$1:A736,A737)=0, "NEW", F736*(1+Table13[[#This Row],[Ávöxtun]])))</f>
        <v>135.00359164800003</v>
      </c>
      <c r="G737" s="18" cm="1">
        <f t="array" ref="G737">IFERROR(_xlfn.IFS(ISNUMBER(Table13[[#This Row],[Column3]]),Table13[[#This Row],[Column3]],Table13[[#This Row],[Column3]]="NEW",Table13[[#This Row],[Column3]]),"")</f>
        <v>135.00359164800003</v>
      </c>
      <c r="H737" s="15" cm="1">
        <f t="array" ref="H737">_xlfn.IFS(Table13[[#This Row],[Column4]]="NEW",AVERAGEIFS(Table13[Column4],Table13[Year],Table13[[#This Row],[Year]]),ISNUMBER(Table13[[#This Row],[Column4]]),Table13[[#This Row],[Column4]],Table13[[#This Row],[Column4]]="",H736*(1+Table13[[#This Row],[Ávöxtun]]))</f>
        <v>135.00359164800003</v>
      </c>
      <c r="I737" cm="1">
        <f t="array" ref="I737">_xlfn.IFS(Table13[[#This Row],[Column4]]="NEW",_xlfn.XLOOKUP(Table13[[#This Row],[Year]],$N$2:$N$27,$P$2:$P$27),ISNUMBER(Table13[[#This Row],[Column4]]),Table13[[#This Row],[Column4]],Table13[[#This Row],[Column4]]="",I736*(1+Table13[[#This Row],[Ávöxtun]]))</f>
        <v>135.00359164800003</v>
      </c>
      <c r="L737" s="33">
        <v>135.00359164800003</v>
      </c>
      <c r="M737" s="33">
        <v>135.00359164800003</v>
      </c>
    </row>
    <row r="738" spans="1:13">
      <c r="A738" t="s">
        <v>103</v>
      </c>
      <c r="B738">
        <v>2004</v>
      </c>
      <c r="C738" s="16">
        <v>0.12</v>
      </c>
      <c r="D738" s="1">
        <v>17686375</v>
      </c>
      <c r="E738" s="29">
        <f>Table13[[#This Row],[Ávöxtun]]*Table13[[#This Row],[Eignir]]/SUMIFS(Table13[Eignir],Table13[Year],Table13[[#This Row],[Year]])</f>
        <v>2.7939368209543734E-3</v>
      </c>
      <c r="F738" s="23">
        <f>IF(B738=1997, 100, IF(COUNTIF(A$1:A737,A738)=0, "NEW", F737*(1+Table13[[#This Row],[Ávöxtun]])))</f>
        <v>151.20402264576003</v>
      </c>
      <c r="G738" s="18" cm="1">
        <f t="array" ref="G738">IFERROR(_xlfn.IFS(ISNUMBER(Table13[[#This Row],[Column3]]),Table13[[#This Row],[Column3]],Table13[[#This Row],[Column3]]="NEW",Table13[[#This Row],[Column3]]),"")</f>
        <v>151.20402264576003</v>
      </c>
      <c r="H738" s="15" cm="1">
        <f t="array" ref="H738">_xlfn.IFS(Table13[[#This Row],[Column4]]="NEW",AVERAGEIFS(Table13[Column4],Table13[Year],Table13[[#This Row],[Year]]),ISNUMBER(Table13[[#This Row],[Column4]]),Table13[[#This Row],[Column4]],Table13[[#This Row],[Column4]]="",H737*(1+Table13[[#This Row],[Ávöxtun]]))</f>
        <v>151.20402264576003</v>
      </c>
      <c r="I738" cm="1">
        <f t="array" ref="I738">_xlfn.IFS(Table13[[#This Row],[Column4]]="NEW",_xlfn.XLOOKUP(Table13[[#This Row],[Year]],$N$2:$N$27,$P$2:$P$27),ISNUMBER(Table13[[#This Row],[Column4]]),Table13[[#This Row],[Column4]],Table13[[#This Row],[Column4]]="",I737*(1+Table13[[#This Row],[Ávöxtun]]))</f>
        <v>151.20402264576003</v>
      </c>
      <c r="L738" s="33">
        <v>151.20402264576003</v>
      </c>
      <c r="M738" s="33">
        <v>151.20402264576003</v>
      </c>
    </row>
    <row r="739" spans="1:13">
      <c r="A739" t="s">
        <v>103</v>
      </c>
      <c r="B739">
        <v>2005</v>
      </c>
      <c r="C739" s="16">
        <v>0.17</v>
      </c>
      <c r="D739" s="1">
        <v>22046933</v>
      </c>
      <c r="E739" s="29">
        <f>Table13[[#This Row],[Ávöxtun]]*Table13[[#This Row],[Eignir]]/SUMIFS(Table13[Eignir],Table13[Year],Table13[[#This Row],[Year]])</f>
        <v>4.0153648082756985E-3</v>
      </c>
      <c r="F739" s="23">
        <f>IF(B739=1997, 100, IF(COUNTIF(A$1:A738,A739)=0, "NEW", F738*(1+Table13[[#This Row],[Ávöxtun]])))</f>
        <v>176.90870649553923</v>
      </c>
      <c r="G739" s="18" cm="1">
        <f t="array" ref="G739">IFERROR(_xlfn.IFS(ISNUMBER(Table13[[#This Row],[Column3]]),Table13[[#This Row],[Column3]],Table13[[#This Row],[Column3]]="NEW",Table13[[#This Row],[Column3]]),"")</f>
        <v>176.90870649553923</v>
      </c>
      <c r="H739" s="15" cm="1">
        <f t="array" ref="H739">_xlfn.IFS(Table13[[#This Row],[Column4]]="NEW",AVERAGEIFS(Table13[Column4],Table13[Year],Table13[[#This Row],[Year]]),ISNUMBER(Table13[[#This Row],[Column4]]),Table13[[#This Row],[Column4]],Table13[[#This Row],[Column4]]="",H738*(1+Table13[[#This Row],[Ávöxtun]]))</f>
        <v>176.90870649553923</v>
      </c>
      <c r="I739" cm="1">
        <f t="array" ref="I739">_xlfn.IFS(Table13[[#This Row],[Column4]]="NEW",_xlfn.XLOOKUP(Table13[[#This Row],[Year]],$N$2:$N$27,$P$2:$P$27),ISNUMBER(Table13[[#This Row],[Column4]]),Table13[[#This Row],[Column4]],Table13[[#This Row],[Column4]]="",I738*(1+Table13[[#This Row],[Ávöxtun]]))</f>
        <v>176.90870649553923</v>
      </c>
      <c r="L739" s="33">
        <v>176.90870649553923</v>
      </c>
      <c r="M739" s="33">
        <v>176.90870649553923</v>
      </c>
    </row>
    <row r="740" spans="1:13">
      <c r="A740" t="s">
        <v>103</v>
      </c>
      <c r="B740">
        <v>2006</v>
      </c>
      <c r="C740" s="16">
        <v>9.1700000000000004E-2</v>
      </c>
      <c r="D740" s="1">
        <v>26236169</v>
      </c>
      <c r="E740" s="29">
        <f>Table13[[#This Row],[Ávöxtun]]*Table13[[#This Row],[Eignir]]/SUMIFS(Table13[Eignir],Table13[Year],Table13[[#This Row],[Year]])</f>
        <v>2.1148303111198524E-3</v>
      </c>
      <c r="F740" s="23">
        <f>IF(B740=1997, 100, IF(COUNTIF(A$1:A739,A740)=0, "NEW", F739*(1+Table13[[#This Row],[Ávöxtun]])))</f>
        <v>193.13123488118018</v>
      </c>
      <c r="G740" s="18" cm="1">
        <f t="array" ref="G740">IFERROR(_xlfn.IFS(ISNUMBER(Table13[[#This Row],[Column3]]),Table13[[#This Row],[Column3]],Table13[[#This Row],[Column3]]="NEW",Table13[[#This Row],[Column3]]),"")</f>
        <v>193.13123488118018</v>
      </c>
      <c r="H740" s="15" cm="1">
        <f t="array" ref="H740">_xlfn.IFS(Table13[[#This Row],[Column4]]="NEW",AVERAGEIFS(Table13[Column4],Table13[Year],Table13[[#This Row],[Year]]),ISNUMBER(Table13[[#This Row],[Column4]]),Table13[[#This Row],[Column4]],Table13[[#This Row],[Column4]]="",H739*(1+Table13[[#This Row],[Ávöxtun]]))</f>
        <v>193.13123488118018</v>
      </c>
      <c r="I740" cm="1">
        <f t="array" ref="I740">_xlfn.IFS(Table13[[#This Row],[Column4]]="NEW",_xlfn.XLOOKUP(Table13[[#This Row],[Year]],$N$2:$N$27,$P$2:$P$27),ISNUMBER(Table13[[#This Row],[Column4]]),Table13[[#This Row],[Column4]],Table13[[#This Row],[Column4]]="",I739*(1+Table13[[#This Row],[Ávöxtun]]))</f>
        <v>193.13123488118018</v>
      </c>
      <c r="L740" s="33">
        <v>193.13123488118018</v>
      </c>
      <c r="M740" s="33">
        <v>193.13123488118018</v>
      </c>
    </row>
    <row r="741" spans="1:13">
      <c r="A741" t="s">
        <v>103</v>
      </c>
      <c r="B741">
        <v>2007</v>
      </c>
      <c r="C741" s="16">
        <v>-4.0000000000000001E-3</v>
      </c>
      <c r="D741" s="1">
        <v>27428205</v>
      </c>
      <c r="E741" s="29">
        <f>Table13[[#This Row],[Ávöxtun]]*Table13[[#This Row],[Eignir]]/SUMIFS(Table13[Eignir],Table13[Year],Table13[[#This Row],[Year]])</f>
        <v>-8.5482067437007373E-5</v>
      </c>
      <c r="F741" s="23">
        <f>IF(B741=1997, 100, IF(COUNTIF(A$1:A740,A741)=0, "NEW", F740*(1+Table13[[#This Row],[Ávöxtun]])))</f>
        <v>192.35870994165546</v>
      </c>
      <c r="G741" s="18" cm="1">
        <f t="array" ref="G741">IFERROR(_xlfn.IFS(ISNUMBER(Table13[[#This Row],[Column3]]),Table13[[#This Row],[Column3]],Table13[[#This Row],[Column3]]="NEW",Table13[[#This Row],[Column3]]),"")</f>
        <v>192.35870994165546</v>
      </c>
      <c r="H741" s="15" cm="1">
        <f t="array" ref="H741">_xlfn.IFS(Table13[[#This Row],[Column4]]="NEW",AVERAGEIFS(Table13[Column4],Table13[Year],Table13[[#This Row],[Year]]),ISNUMBER(Table13[[#This Row],[Column4]]),Table13[[#This Row],[Column4]],Table13[[#This Row],[Column4]]="",H740*(1+Table13[[#This Row],[Ávöxtun]]))</f>
        <v>192.35870994165546</v>
      </c>
      <c r="I741" cm="1">
        <f t="array" ref="I741">_xlfn.IFS(Table13[[#This Row],[Column4]]="NEW",_xlfn.XLOOKUP(Table13[[#This Row],[Year]],$N$2:$N$27,$P$2:$P$27),ISNUMBER(Table13[[#This Row],[Column4]]),Table13[[#This Row],[Column4]],Table13[[#This Row],[Column4]]="",I740*(1+Table13[[#This Row],[Ávöxtun]]))</f>
        <v>192.35870994165546</v>
      </c>
      <c r="L741" s="33">
        <v>192.35870994165546</v>
      </c>
      <c r="M741" s="33">
        <v>192.35870994165546</v>
      </c>
    </row>
    <row r="742" spans="1:13">
      <c r="A742" t="s">
        <v>103</v>
      </c>
      <c r="B742">
        <v>2008</v>
      </c>
      <c r="C742" s="16">
        <v>-0.29699999999999999</v>
      </c>
      <c r="D742" s="1">
        <v>23383264</v>
      </c>
      <c r="E742" s="29">
        <f>Table13[[#This Row],[Ávöxtun]]*Table13[[#This Row],[Eignir]]/SUMIFS(Table13[Eignir],Table13[Year],Table13[[#This Row],[Year]])</f>
        <v>-5.6052088027281352E-3</v>
      </c>
      <c r="F742" s="23">
        <f>IF(B742=1997, 100, IF(COUNTIF(A$1:A741,A742)=0, "NEW", F741*(1+Table13[[#This Row],[Ávöxtun]])))</f>
        <v>135.22817308898379</v>
      </c>
      <c r="G742" s="18" cm="1">
        <f t="array" ref="G742">IFERROR(_xlfn.IFS(ISNUMBER(Table13[[#This Row],[Column3]]),Table13[[#This Row],[Column3]],Table13[[#This Row],[Column3]]="NEW",Table13[[#This Row],[Column3]]),"")</f>
        <v>135.22817308898379</v>
      </c>
      <c r="H742" s="15" cm="1">
        <f t="array" ref="H742">_xlfn.IFS(Table13[[#This Row],[Column4]]="NEW",AVERAGEIFS(Table13[Column4],Table13[Year],Table13[[#This Row],[Year]]),ISNUMBER(Table13[[#This Row],[Column4]]),Table13[[#This Row],[Column4]],Table13[[#This Row],[Column4]]="",H741*(1+Table13[[#This Row],[Ávöxtun]]))</f>
        <v>135.22817308898379</v>
      </c>
      <c r="I742" cm="1">
        <f t="array" ref="I742">_xlfn.IFS(Table13[[#This Row],[Column4]]="NEW",_xlfn.XLOOKUP(Table13[[#This Row],[Year]],$N$2:$N$27,$P$2:$P$27),ISNUMBER(Table13[[#This Row],[Column4]]),Table13[[#This Row],[Column4]],Table13[[#This Row],[Column4]]="",I741*(1+Table13[[#This Row],[Ávöxtun]]))</f>
        <v>135.22817308898379</v>
      </c>
      <c r="L742" s="33">
        <v>135.22817308898379</v>
      </c>
      <c r="M742" s="33">
        <v>135.22817308898379</v>
      </c>
    </row>
    <row r="743" spans="1:13">
      <c r="A743" t="s">
        <v>103</v>
      </c>
      <c r="B743">
        <v>2009</v>
      </c>
      <c r="C743" s="16">
        <v>2.0999999999999999E-3</v>
      </c>
      <c r="D743" s="1">
        <v>25585503</v>
      </c>
      <c r="E743" s="29">
        <f>Table13[[#This Row],[Ávöxtun]]*Table13[[#This Row],[Eignir]]/SUMIFS(Table13[Eignir],Table13[Year],Table13[[#This Row],[Year]])</f>
        <v>3.9129594847278013E-5</v>
      </c>
      <c r="F743" s="23">
        <f>IF(B743=1997, 100, IF(COUNTIF(A$1:A742,A743)=0, "NEW", F742*(1+Table13[[#This Row],[Ávöxtun]])))</f>
        <v>135.51215225247066</v>
      </c>
      <c r="G743" s="18" cm="1">
        <f t="array" ref="G743">IFERROR(_xlfn.IFS(ISNUMBER(Table13[[#This Row],[Column3]]),Table13[[#This Row],[Column3]],Table13[[#This Row],[Column3]]="NEW",Table13[[#This Row],[Column3]]),"")</f>
        <v>135.51215225247066</v>
      </c>
      <c r="H743" s="15" cm="1">
        <f t="array" ref="H743">_xlfn.IFS(Table13[[#This Row],[Column4]]="NEW",AVERAGEIFS(Table13[Column4],Table13[Year],Table13[[#This Row],[Year]]),ISNUMBER(Table13[[#This Row],[Column4]]),Table13[[#This Row],[Column4]],Table13[[#This Row],[Column4]]="",H742*(1+Table13[[#This Row],[Ávöxtun]]))</f>
        <v>135.51215225247066</v>
      </c>
      <c r="I743" cm="1">
        <f t="array" ref="I743">_xlfn.IFS(Table13[[#This Row],[Column4]]="NEW",_xlfn.XLOOKUP(Table13[[#This Row],[Year]],$N$2:$N$27,$P$2:$P$27),ISNUMBER(Table13[[#This Row],[Column4]]),Table13[[#This Row],[Column4]],Table13[[#This Row],[Column4]]="",I742*(1+Table13[[#This Row],[Ávöxtun]]))</f>
        <v>135.51215225247066</v>
      </c>
      <c r="L743" s="33">
        <v>135.51215225247066</v>
      </c>
      <c r="M743" s="33">
        <v>135.51215225247066</v>
      </c>
    </row>
    <row r="744" spans="1:13">
      <c r="A744" t="s">
        <v>103</v>
      </c>
      <c r="B744">
        <v>2010</v>
      </c>
      <c r="C744" s="16">
        <v>2.2100000000000002E-2</v>
      </c>
      <c r="D744" s="1">
        <v>27391200</v>
      </c>
      <c r="E744" s="29">
        <f>Table13[[#This Row],[Ávöxtun]]*Table13[[#This Row],[Eignir]]/SUMIFS(Table13[Eignir],Table13[Year],Table13[[#This Row],[Year]])</f>
        <v>4.1327608287679182E-4</v>
      </c>
      <c r="F744" s="23">
        <f>IF(B744=1997, 100, IF(COUNTIF(A$1:A743,A744)=0, "NEW", F743*(1+Table13[[#This Row],[Ávöxtun]])))</f>
        <v>138.50697081725025</v>
      </c>
      <c r="G744" s="18" cm="1">
        <f t="array" ref="G744">IFERROR(_xlfn.IFS(ISNUMBER(Table13[[#This Row],[Column3]]),Table13[[#This Row],[Column3]],Table13[[#This Row],[Column3]]="NEW",Table13[[#This Row],[Column3]]),"")</f>
        <v>138.50697081725025</v>
      </c>
      <c r="H744" s="15" cm="1">
        <f t="array" ref="H744">_xlfn.IFS(Table13[[#This Row],[Column4]]="NEW",AVERAGEIFS(Table13[Column4],Table13[Year],Table13[[#This Row],[Year]]),ISNUMBER(Table13[[#This Row],[Column4]]),Table13[[#This Row],[Column4]],Table13[[#This Row],[Column4]]="",H743*(1+Table13[[#This Row],[Ávöxtun]]))</f>
        <v>138.50697081725025</v>
      </c>
      <c r="I744" cm="1">
        <f t="array" ref="I744">_xlfn.IFS(Table13[[#This Row],[Column4]]="NEW",_xlfn.XLOOKUP(Table13[[#This Row],[Year]],$N$2:$N$27,$P$2:$P$27),ISNUMBER(Table13[[#This Row],[Column4]]),Table13[[#This Row],[Column4]],Table13[[#This Row],[Column4]]="",I743*(1+Table13[[#This Row],[Ávöxtun]]))</f>
        <v>138.50697081725025</v>
      </c>
      <c r="L744" s="33">
        <v>138.50697081725025</v>
      </c>
      <c r="M744" s="33">
        <v>138.50697081725025</v>
      </c>
    </row>
    <row r="745" spans="1:13">
      <c r="A745" t="s">
        <v>103</v>
      </c>
      <c r="B745">
        <v>2011</v>
      </c>
      <c r="C745" s="16">
        <v>-5.0000000000000001E-3</v>
      </c>
      <c r="D745" s="1">
        <v>27877764</v>
      </c>
      <c r="E745" s="29">
        <f>Table13[[#This Row],[Ávöxtun]]*Table13[[#This Row],[Eignir]]/SUMIFS(Table13[Eignir],Table13[Year],Table13[[#This Row],[Year]])</f>
        <v>-8.7783057381638581E-5</v>
      </c>
      <c r="F745" s="23">
        <f>IF(B745=1997, 100, IF(COUNTIF(A$1:A744,A745)=0, "NEW", F744*(1+Table13[[#This Row],[Ávöxtun]])))</f>
        <v>137.81443596316399</v>
      </c>
      <c r="G745" s="18" cm="1">
        <f t="array" ref="G745">IFERROR(_xlfn.IFS(ISNUMBER(Table13[[#This Row],[Column3]]),Table13[[#This Row],[Column3]],Table13[[#This Row],[Column3]]="NEW",Table13[[#This Row],[Column3]]),"")</f>
        <v>137.81443596316399</v>
      </c>
      <c r="H745" s="15" cm="1">
        <f t="array" ref="H745">_xlfn.IFS(Table13[[#This Row],[Column4]]="NEW",AVERAGEIFS(Table13[Column4],Table13[Year],Table13[[#This Row],[Year]]),ISNUMBER(Table13[[#This Row],[Column4]]),Table13[[#This Row],[Column4]],Table13[[#This Row],[Column4]]="",H744*(1+Table13[[#This Row],[Ávöxtun]]))</f>
        <v>137.81443596316399</v>
      </c>
      <c r="I745" cm="1">
        <f t="array" ref="I745">_xlfn.IFS(Table13[[#This Row],[Column4]]="NEW",_xlfn.XLOOKUP(Table13[[#This Row],[Year]],$N$2:$N$27,$P$2:$P$27),ISNUMBER(Table13[[#This Row],[Column4]]),Table13[[#This Row],[Column4]],Table13[[#This Row],[Column4]]="",I744*(1+Table13[[#This Row],[Ávöxtun]]))</f>
        <v>137.81443596316399</v>
      </c>
      <c r="L745" s="33">
        <v>137.81443596316399</v>
      </c>
      <c r="M745" s="33">
        <v>137.81443596316399</v>
      </c>
    </row>
    <row r="746" spans="1:13">
      <c r="A746" t="s">
        <v>103</v>
      </c>
      <c r="B746">
        <v>2012</v>
      </c>
      <c r="C746" s="16">
        <v>6.8000000000000005E-2</v>
      </c>
      <c r="D746" s="1">
        <v>31293975</v>
      </c>
      <c r="E746" s="29">
        <f>Table13[[#This Row],[Ávöxtun]]*Table13[[#This Row],[Eignir]]/SUMIFS(Table13[Eignir],Table13[Year],Table13[[#This Row],[Year]])</f>
        <v>1.1855958645389801E-3</v>
      </c>
      <c r="F746" s="23">
        <f>IF(B746=1997, 100, IF(COUNTIF(A$1:A745,A746)=0, "NEW", F745*(1+Table13[[#This Row],[Ávöxtun]])))</f>
        <v>147.18581760865914</v>
      </c>
      <c r="G746" s="18" cm="1">
        <f t="array" ref="G746">IFERROR(_xlfn.IFS(ISNUMBER(Table13[[#This Row],[Column3]]),Table13[[#This Row],[Column3]],Table13[[#This Row],[Column3]]="NEW",Table13[[#This Row],[Column3]]),"")</f>
        <v>147.18581760865914</v>
      </c>
      <c r="H746" s="15" cm="1">
        <f t="array" ref="H746">_xlfn.IFS(Table13[[#This Row],[Column4]]="NEW",AVERAGEIFS(Table13[Column4],Table13[Year],Table13[[#This Row],[Year]]),ISNUMBER(Table13[[#This Row],[Column4]]),Table13[[#This Row],[Column4]],Table13[[#This Row],[Column4]]="",H745*(1+Table13[[#This Row],[Ávöxtun]]))</f>
        <v>147.18581760865914</v>
      </c>
      <c r="I746" cm="1">
        <f t="array" ref="I746">_xlfn.IFS(Table13[[#This Row],[Column4]]="NEW",_xlfn.XLOOKUP(Table13[[#This Row],[Year]],$N$2:$N$27,$P$2:$P$27),ISNUMBER(Table13[[#This Row],[Column4]]),Table13[[#This Row],[Column4]],Table13[[#This Row],[Column4]]="",I745*(1+Table13[[#This Row],[Ávöxtun]]))</f>
        <v>147.18581760865914</v>
      </c>
      <c r="L746" s="33">
        <v>147.18581760865914</v>
      </c>
      <c r="M746" s="33">
        <v>147.18581760865914</v>
      </c>
    </row>
    <row r="747" spans="1:13">
      <c r="A747" t="s">
        <v>103</v>
      </c>
      <c r="B747">
        <v>2013</v>
      </c>
      <c r="C747" s="16">
        <v>4.5999999999999999E-2</v>
      </c>
      <c r="D747" s="1">
        <v>34070511</v>
      </c>
      <c r="E747" s="29">
        <f>Table13[[#This Row],[Ávöxtun]]*Table13[[#This Row],[Eignir]]/SUMIFS(Table13[Eignir],Table13[Year],Table13[[#This Row],[Year]])</f>
        <v>7.9397776939967826E-4</v>
      </c>
      <c r="F747" s="23">
        <f>IF(B747=1997, 100, IF(COUNTIF(A$1:A746,A747)=0, "NEW", F746*(1+Table13[[#This Row],[Ávöxtun]])))</f>
        <v>153.95636521865745</v>
      </c>
      <c r="G747" s="18" cm="1">
        <f t="array" ref="G747">IFERROR(_xlfn.IFS(ISNUMBER(Table13[[#This Row],[Column3]]),Table13[[#This Row],[Column3]],Table13[[#This Row],[Column3]]="NEW",Table13[[#This Row],[Column3]]),"")</f>
        <v>153.95636521865745</v>
      </c>
      <c r="H747" s="15" cm="1">
        <f t="array" ref="H747">_xlfn.IFS(Table13[[#This Row],[Column4]]="NEW",AVERAGEIFS(Table13[Column4],Table13[Year],Table13[[#This Row],[Year]]),ISNUMBER(Table13[[#This Row],[Column4]]),Table13[[#This Row],[Column4]],Table13[[#This Row],[Column4]]="",H746*(1+Table13[[#This Row],[Ávöxtun]]))</f>
        <v>153.95636521865745</v>
      </c>
      <c r="I747" cm="1">
        <f t="array" ref="I747">_xlfn.IFS(Table13[[#This Row],[Column4]]="NEW",_xlfn.XLOOKUP(Table13[[#This Row],[Year]],$N$2:$N$27,$P$2:$P$27),ISNUMBER(Table13[[#This Row],[Column4]]),Table13[[#This Row],[Column4]],Table13[[#This Row],[Column4]]="",I746*(1+Table13[[#This Row],[Ávöxtun]]))</f>
        <v>153.95636521865745</v>
      </c>
      <c r="L747" s="33">
        <v>153.95636521865745</v>
      </c>
      <c r="M747" s="33">
        <v>153.95636521865745</v>
      </c>
    </row>
    <row r="748" spans="1:13">
      <c r="A748" t="s">
        <v>103</v>
      </c>
      <c r="B748">
        <v>2014</v>
      </c>
      <c r="C748" s="16">
        <v>7.8E-2</v>
      </c>
      <c r="D748" s="1">
        <v>37131083</v>
      </c>
      <c r="E748" s="29">
        <f>Table13[[#This Row],[Ávöxtun]]*Table13[[#This Row],[Eignir]]/SUMIFS(Table13[Eignir],Table13[Year],Table13[[#This Row],[Year]])</f>
        <v>1.3455142842939197E-3</v>
      </c>
      <c r="F748" s="23">
        <f>IF(B748=1997, 100, IF(COUNTIF(A$1:A747,A748)=0, "NEW", F747*(1+Table13[[#This Row],[Ávöxtun]])))</f>
        <v>165.96496170571274</v>
      </c>
      <c r="G748" s="18" cm="1">
        <f t="array" ref="G748">IFERROR(_xlfn.IFS(ISNUMBER(Table13[[#This Row],[Column3]]),Table13[[#This Row],[Column3]],Table13[[#This Row],[Column3]]="NEW",Table13[[#This Row],[Column3]]),"")</f>
        <v>165.96496170571274</v>
      </c>
      <c r="H748" s="15" cm="1">
        <f t="array" ref="H748">_xlfn.IFS(Table13[[#This Row],[Column4]]="NEW",AVERAGEIFS(Table13[Column4],Table13[Year],Table13[[#This Row],[Year]]),ISNUMBER(Table13[[#This Row],[Column4]]),Table13[[#This Row],[Column4]],Table13[[#This Row],[Column4]]="",H747*(1+Table13[[#This Row],[Ávöxtun]]))</f>
        <v>165.96496170571274</v>
      </c>
      <c r="I748" cm="1">
        <f t="array" ref="I748">_xlfn.IFS(Table13[[#This Row],[Column4]]="NEW",_xlfn.XLOOKUP(Table13[[#This Row],[Year]],$N$2:$N$27,$P$2:$P$27),ISNUMBER(Table13[[#This Row],[Column4]]),Table13[[#This Row],[Column4]],Table13[[#This Row],[Column4]]="",I747*(1+Table13[[#This Row],[Ávöxtun]]))</f>
        <v>165.96496170571274</v>
      </c>
      <c r="L748" s="33">
        <v>165.96496170571274</v>
      </c>
      <c r="M748" s="33">
        <v>165.96496170571274</v>
      </c>
    </row>
    <row r="749" spans="1:13">
      <c r="A749" t="s">
        <v>104</v>
      </c>
      <c r="B749">
        <v>1997</v>
      </c>
      <c r="C749" s="16">
        <v>7.0000000000000007E-2</v>
      </c>
      <c r="D749" s="1">
        <v>6939615.0499999998</v>
      </c>
      <c r="E749" s="29">
        <f>Table13[[#This Row],[Ávöxtun]]*Table13[[#This Row],[Eignir]]/SUMIFS(Table13[Eignir],Table13[Year],Table13[[#This Row],[Year]])</f>
        <v>1.7023420275629846E-3</v>
      </c>
      <c r="F749" s="23">
        <f>IF(B749=1997, 100, IF(COUNTIF(A$1:A748,A749)=0, "NEW", F748*(1+Table13[[#This Row],[Ávöxtun]])))</f>
        <v>100</v>
      </c>
      <c r="G749" s="18" cm="1">
        <f t="array" ref="G749">IFERROR(_xlfn.IFS(ISNUMBER(Table13[[#This Row],[Column3]]),Table13[[#This Row],[Column3]],Table13[[#This Row],[Column3]]="NEW",Table13[[#This Row],[Column3]]),"")</f>
        <v>100</v>
      </c>
      <c r="H749" s="15" cm="1">
        <f t="array" ref="H749">_xlfn.IFS(Table13[[#This Row],[Column4]]="NEW",AVERAGEIFS(Table13[Column4],Table13[Year],Table13[[#This Row],[Year]]),ISNUMBER(Table13[[#This Row],[Column4]]),Table13[[#This Row],[Column4]],Table13[[#This Row],[Column4]]="",H748*(1+Table13[[#This Row],[Ávöxtun]]))</f>
        <v>100</v>
      </c>
      <c r="I749" cm="1">
        <f t="array" ref="I749">_xlfn.IFS(Table13[[#This Row],[Column4]]="NEW",_xlfn.XLOOKUP(Table13[[#This Row],[Year]],$N$2:$N$27,$P$2:$P$27),ISNUMBER(Table13[[#This Row],[Column4]]),Table13[[#This Row],[Column4]],Table13[[#This Row],[Column4]]="",I748*(1+Table13[[#This Row],[Ávöxtun]]))</f>
        <v>100</v>
      </c>
      <c r="L749" s="33">
        <v>100</v>
      </c>
      <c r="M749" s="33">
        <v>100</v>
      </c>
    </row>
    <row r="750" spans="1:13">
      <c r="A750" t="s">
        <v>104</v>
      </c>
      <c r="B750">
        <v>1998</v>
      </c>
      <c r="C750" s="16">
        <v>7.0000000000000007E-2</v>
      </c>
      <c r="D750" s="1">
        <v>7751463.6600000001</v>
      </c>
      <c r="E750" s="29">
        <f>Table13[[#This Row],[Ávöxtun]]*Table13[[#This Row],[Eignir]]/SUMIFS(Table13[Eignir],Table13[Year],Table13[[#This Row],[Year]])</f>
        <v>1.6417701299570953E-3</v>
      </c>
      <c r="F750" s="23">
        <f>IF(B750=1997, 100, IF(COUNTIF(A$1:A749,A750)=0, "NEW", F749*(1+Table13[[#This Row],[Ávöxtun]])))</f>
        <v>107</v>
      </c>
      <c r="G750" s="18" cm="1">
        <f t="array" ref="G750">IFERROR(_xlfn.IFS(ISNUMBER(Table13[[#This Row],[Column3]]),Table13[[#This Row],[Column3]],Table13[[#This Row],[Column3]]="NEW",Table13[[#This Row],[Column3]]),"")</f>
        <v>107</v>
      </c>
      <c r="H750" s="15" cm="1">
        <f t="array" ref="H750">_xlfn.IFS(Table13[[#This Row],[Column4]]="NEW",AVERAGEIFS(Table13[Column4],Table13[Year],Table13[[#This Row],[Year]]),ISNUMBER(Table13[[#This Row],[Column4]]),Table13[[#This Row],[Column4]],Table13[[#This Row],[Column4]]="",H749*(1+Table13[[#This Row],[Ávöxtun]]))</f>
        <v>107</v>
      </c>
      <c r="I750" cm="1">
        <f t="array" ref="I750">_xlfn.IFS(Table13[[#This Row],[Column4]]="NEW",_xlfn.XLOOKUP(Table13[[#This Row],[Year]],$N$2:$N$27,$P$2:$P$27),ISNUMBER(Table13[[#This Row],[Column4]]),Table13[[#This Row],[Column4]],Table13[[#This Row],[Column4]]="",I749*(1+Table13[[#This Row],[Ávöxtun]]))</f>
        <v>107</v>
      </c>
      <c r="L750" s="33">
        <v>107</v>
      </c>
      <c r="M750" s="33">
        <v>107</v>
      </c>
    </row>
    <row r="751" spans="1:13">
      <c r="A751" t="s">
        <v>104</v>
      </c>
      <c r="B751">
        <v>1999</v>
      </c>
      <c r="C751" s="16">
        <v>0.13</v>
      </c>
      <c r="D751" s="1">
        <v>9456775.3900000006</v>
      </c>
      <c r="E751" s="29">
        <f>Table13[[#This Row],[Ávöxtun]]*Table13[[#This Row],[Eignir]]/SUMIFS(Table13[Eignir],Table13[Year],Table13[[#This Row],[Year]])</f>
        <v>2.7693495960486245E-3</v>
      </c>
      <c r="F751" s="23">
        <f>IF(B751=1997, 100, IF(COUNTIF(A$1:A750,A751)=0, "NEW", F750*(1+Table13[[#This Row],[Ávöxtun]])))</f>
        <v>120.90999999999998</v>
      </c>
      <c r="G751" s="18" cm="1">
        <f t="array" ref="G751">IFERROR(_xlfn.IFS(ISNUMBER(Table13[[#This Row],[Column3]]),Table13[[#This Row],[Column3]],Table13[[#This Row],[Column3]]="NEW",Table13[[#This Row],[Column3]]),"")</f>
        <v>120.90999999999998</v>
      </c>
      <c r="H751" s="15" cm="1">
        <f t="array" ref="H751">_xlfn.IFS(Table13[[#This Row],[Column4]]="NEW",AVERAGEIFS(Table13[Column4],Table13[Year],Table13[[#This Row],[Year]]),ISNUMBER(Table13[[#This Row],[Column4]]),Table13[[#This Row],[Column4]],Table13[[#This Row],[Column4]]="",H750*(1+Table13[[#This Row],[Ávöxtun]]))</f>
        <v>120.90999999999998</v>
      </c>
      <c r="I751" cm="1">
        <f t="array" ref="I751">_xlfn.IFS(Table13[[#This Row],[Column4]]="NEW",_xlfn.XLOOKUP(Table13[[#This Row],[Year]],$N$2:$N$27,$P$2:$P$27),ISNUMBER(Table13[[#This Row],[Column4]]),Table13[[#This Row],[Column4]],Table13[[#This Row],[Column4]]="",I750*(1+Table13[[#This Row],[Ávöxtun]]))</f>
        <v>120.90999999999998</v>
      </c>
      <c r="L751" s="33">
        <v>120.90999999999998</v>
      </c>
      <c r="M751" s="33">
        <v>120.90999999999998</v>
      </c>
    </row>
    <row r="752" spans="1:13">
      <c r="A752" t="s">
        <v>104</v>
      </c>
      <c r="B752">
        <v>2000</v>
      </c>
      <c r="C752" s="16">
        <v>0</v>
      </c>
      <c r="D752" s="1">
        <v>10051419.9</v>
      </c>
      <c r="E752" s="29">
        <f>Table13[[#This Row],[Ávöxtun]]*Table13[[#This Row],[Eignir]]/SUMIFS(Table13[Eignir],Table13[Year],Table13[[#This Row],[Year]])</f>
        <v>0</v>
      </c>
      <c r="F752" s="23">
        <f>IF(B752=1997, 100, IF(COUNTIF(A$1:A751,A752)=0, "NEW", F751*(1+Table13[[#This Row],[Ávöxtun]])))</f>
        <v>120.90999999999998</v>
      </c>
      <c r="G752" s="18" cm="1">
        <f t="array" ref="G752">IFERROR(_xlfn.IFS(ISNUMBER(Table13[[#This Row],[Column3]]),Table13[[#This Row],[Column3]],Table13[[#This Row],[Column3]]="NEW",Table13[[#This Row],[Column3]]),"")</f>
        <v>120.90999999999998</v>
      </c>
      <c r="H752" s="15" cm="1">
        <f t="array" ref="H752">_xlfn.IFS(Table13[[#This Row],[Column4]]="NEW",AVERAGEIFS(Table13[Column4],Table13[Year],Table13[[#This Row],[Year]]),ISNUMBER(Table13[[#This Row],[Column4]]),Table13[[#This Row],[Column4]],Table13[[#This Row],[Column4]]="",H751*(1+Table13[[#This Row],[Ávöxtun]]))</f>
        <v>120.90999999999998</v>
      </c>
      <c r="I752" cm="1">
        <f t="array" ref="I752">_xlfn.IFS(Table13[[#This Row],[Column4]]="NEW",_xlfn.XLOOKUP(Table13[[#This Row],[Year]],$N$2:$N$27,$P$2:$P$27),ISNUMBER(Table13[[#This Row],[Column4]]),Table13[[#This Row],[Column4]],Table13[[#This Row],[Column4]]="",I751*(1+Table13[[#This Row],[Ávöxtun]]))</f>
        <v>120.90999999999998</v>
      </c>
      <c r="L752" s="33">
        <v>120.90999999999998</v>
      </c>
      <c r="M752" s="33">
        <v>120.90999999999998</v>
      </c>
    </row>
    <row r="753" spans="1:13">
      <c r="A753" t="s">
        <v>104</v>
      </c>
      <c r="B753">
        <v>2001</v>
      </c>
      <c r="C753" s="16">
        <v>-0.04</v>
      </c>
      <c r="D753" s="1">
        <v>21872806</v>
      </c>
      <c r="E753" s="29">
        <f>Table13[[#This Row],[Ávöxtun]]*Table13[[#This Row],[Eignir]]/SUMIFS(Table13[Eignir],Table13[Year],Table13[[#This Row],[Year]])</f>
        <v>-9.1038019957006243E-4</v>
      </c>
      <c r="F753" s="23">
        <f>IF(B753=1997, 100, IF(COUNTIF(A$1:A752,A753)=0, "NEW", F752*(1+Table13[[#This Row],[Ávöxtun]])))</f>
        <v>116.07359999999998</v>
      </c>
      <c r="G753" s="18" cm="1">
        <f t="array" ref="G753">IFERROR(_xlfn.IFS(ISNUMBER(Table13[[#This Row],[Column3]]),Table13[[#This Row],[Column3]],Table13[[#This Row],[Column3]]="NEW",Table13[[#This Row],[Column3]]),"")</f>
        <v>116.07359999999998</v>
      </c>
      <c r="H753" s="15" cm="1">
        <f t="array" ref="H753">_xlfn.IFS(Table13[[#This Row],[Column4]]="NEW",AVERAGEIFS(Table13[Column4],Table13[Year],Table13[[#This Row],[Year]]),ISNUMBER(Table13[[#This Row],[Column4]]),Table13[[#This Row],[Column4]],Table13[[#This Row],[Column4]]="",H752*(1+Table13[[#This Row],[Ávöxtun]]))</f>
        <v>116.07359999999998</v>
      </c>
      <c r="I753" cm="1">
        <f t="array" ref="I753">_xlfn.IFS(Table13[[#This Row],[Column4]]="NEW",_xlfn.XLOOKUP(Table13[[#This Row],[Year]],$N$2:$N$27,$P$2:$P$27),ISNUMBER(Table13[[#This Row],[Column4]]),Table13[[#This Row],[Column4]],Table13[[#This Row],[Column4]]="",I752*(1+Table13[[#This Row],[Ávöxtun]]))</f>
        <v>116.07359999999998</v>
      </c>
      <c r="L753" s="33">
        <v>116.07359999999998</v>
      </c>
      <c r="M753" s="33">
        <v>116.07359999999998</v>
      </c>
    </row>
    <row r="754" spans="1:13">
      <c r="A754" t="s">
        <v>104</v>
      </c>
      <c r="B754">
        <v>2002</v>
      </c>
      <c r="C754" s="16">
        <v>0</v>
      </c>
      <c r="D754" s="1">
        <v>11334092.699999999</v>
      </c>
      <c r="E754" s="29">
        <f>Table13[[#This Row],[Ávöxtun]]*Table13[[#This Row],[Eignir]]/SUMIFS(Table13[Eignir],Table13[Year],Table13[[#This Row],[Year]])</f>
        <v>0</v>
      </c>
      <c r="F754" s="23">
        <f>IF(B754=1997, 100, IF(COUNTIF(A$1:A753,A754)=0, "NEW", F753*(1+Table13[[#This Row],[Ávöxtun]])))</f>
        <v>116.07359999999998</v>
      </c>
      <c r="G754" s="18" cm="1">
        <f t="array" ref="G754">IFERROR(_xlfn.IFS(ISNUMBER(Table13[[#This Row],[Column3]]),Table13[[#This Row],[Column3]],Table13[[#This Row],[Column3]]="NEW",Table13[[#This Row],[Column3]]),"")</f>
        <v>116.07359999999998</v>
      </c>
      <c r="H754" s="15" cm="1">
        <f t="array" ref="H754">_xlfn.IFS(Table13[[#This Row],[Column4]]="NEW",AVERAGEIFS(Table13[Column4],Table13[Year],Table13[[#This Row],[Year]]),ISNUMBER(Table13[[#This Row],[Column4]]),Table13[[#This Row],[Column4]],Table13[[#This Row],[Column4]]="",H753*(1+Table13[[#This Row],[Ávöxtun]]))</f>
        <v>116.07359999999998</v>
      </c>
      <c r="I754" cm="1">
        <f t="array" ref="I754">_xlfn.IFS(Table13[[#This Row],[Column4]]="NEW",_xlfn.XLOOKUP(Table13[[#This Row],[Year]],$N$2:$N$27,$P$2:$P$27),ISNUMBER(Table13[[#This Row],[Column4]]),Table13[[#This Row],[Column4]],Table13[[#This Row],[Column4]]="",I753*(1+Table13[[#This Row],[Ávöxtun]]))</f>
        <v>116.07359999999998</v>
      </c>
      <c r="L754" s="33">
        <v>116.07359999999998</v>
      </c>
      <c r="M754" s="33">
        <v>116.07359999999998</v>
      </c>
    </row>
    <row r="755" spans="1:13">
      <c r="A755" t="s">
        <v>104</v>
      </c>
      <c r="B755">
        <v>2003</v>
      </c>
      <c r="C755" s="16">
        <v>0.09</v>
      </c>
      <c r="D755" s="1">
        <v>12869794</v>
      </c>
      <c r="E755" s="29">
        <f>Table13[[#This Row],[Ávöxtun]]*Table13[[#This Row],[Eignir]]/SUMIFS(Table13[Eignir],Table13[Year],Table13[[#This Row],[Year]])</f>
        <v>1.8160812522710343E-3</v>
      </c>
      <c r="F755" s="23">
        <f>IF(B755=1997, 100, IF(COUNTIF(A$1:A754,A755)=0, "NEW", F754*(1+Table13[[#This Row],[Ávöxtun]])))</f>
        <v>126.520224</v>
      </c>
      <c r="G755" s="18" cm="1">
        <f t="array" ref="G755">IFERROR(_xlfn.IFS(ISNUMBER(Table13[[#This Row],[Column3]]),Table13[[#This Row],[Column3]],Table13[[#This Row],[Column3]]="NEW",Table13[[#This Row],[Column3]]),"")</f>
        <v>126.520224</v>
      </c>
      <c r="H755" s="15" cm="1">
        <f t="array" ref="H755">_xlfn.IFS(Table13[[#This Row],[Column4]]="NEW",AVERAGEIFS(Table13[Column4],Table13[Year],Table13[[#This Row],[Year]]),ISNUMBER(Table13[[#This Row],[Column4]]),Table13[[#This Row],[Column4]],Table13[[#This Row],[Column4]]="",H754*(1+Table13[[#This Row],[Ávöxtun]]))</f>
        <v>126.520224</v>
      </c>
      <c r="I755" cm="1">
        <f t="array" ref="I755">_xlfn.IFS(Table13[[#This Row],[Column4]]="NEW",_xlfn.XLOOKUP(Table13[[#This Row],[Year]],$N$2:$N$27,$P$2:$P$27),ISNUMBER(Table13[[#This Row],[Column4]]),Table13[[#This Row],[Column4]],Table13[[#This Row],[Column4]]="",I754*(1+Table13[[#This Row],[Ávöxtun]]))</f>
        <v>126.520224</v>
      </c>
      <c r="L755" s="33">
        <v>126.520224</v>
      </c>
      <c r="M755" s="33">
        <v>126.520224</v>
      </c>
    </row>
    <row r="756" spans="1:13">
      <c r="A756" t="s">
        <v>104</v>
      </c>
      <c r="B756">
        <v>2004</v>
      </c>
      <c r="C756" s="16">
        <v>0.11</v>
      </c>
      <c r="D756" s="1">
        <v>14973972</v>
      </c>
      <c r="E756" s="29">
        <f>Table13[[#This Row],[Ávöxtun]]*Table13[[#This Row],[Eignir]]/SUMIFS(Table13[Eignir],Table13[Year],Table13[[#This Row],[Year]])</f>
        <v>2.168334141366531E-3</v>
      </c>
      <c r="F756" s="23">
        <f>IF(B756=1997, 100, IF(COUNTIF(A$1:A755,A756)=0, "NEW", F755*(1+Table13[[#This Row],[Ávöxtun]])))</f>
        <v>140.43744864000001</v>
      </c>
      <c r="G756" s="18" cm="1">
        <f t="array" ref="G756">IFERROR(_xlfn.IFS(ISNUMBER(Table13[[#This Row],[Column3]]),Table13[[#This Row],[Column3]],Table13[[#This Row],[Column3]]="NEW",Table13[[#This Row],[Column3]]),"")</f>
        <v>140.43744864000001</v>
      </c>
      <c r="H756" s="15" cm="1">
        <f t="array" ref="H756">_xlfn.IFS(Table13[[#This Row],[Column4]]="NEW",AVERAGEIFS(Table13[Column4],Table13[Year],Table13[[#This Row],[Year]]),ISNUMBER(Table13[[#This Row],[Column4]]),Table13[[#This Row],[Column4]],Table13[[#This Row],[Column4]]="",H755*(1+Table13[[#This Row],[Ávöxtun]]))</f>
        <v>140.43744864000001</v>
      </c>
      <c r="I756" cm="1">
        <f t="array" ref="I756">_xlfn.IFS(Table13[[#This Row],[Column4]]="NEW",_xlfn.XLOOKUP(Table13[[#This Row],[Year]],$N$2:$N$27,$P$2:$P$27),ISNUMBER(Table13[[#This Row],[Column4]]),Table13[[#This Row],[Column4]],Table13[[#This Row],[Column4]]="",I755*(1+Table13[[#This Row],[Ávöxtun]]))</f>
        <v>140.43744864000001</v>
      </c>
      <c r="L756" s="33">
        <v>140.43744864000001</v>
      </c>
      <c r="M756" s="33">
        <v>140.43744864000001</v>
      </c>
    </row>
    <row r="757" spans="1:13">
      <c r="A757" t="s">
        <v>104</v>
      </c>
      <c r="B757">
        <v>2005</v>
      </c>
      <c r="C757" s="16">
        <v>0.12</v>
      </c>
      <c r="D757" s="1">
        <v>17652399</v>
      </c>
      <c r="E757" s="29">
        <f>Table13[[#This Row],[Ávöxtun]]*Table13[[#This Row],[Eignir]]/SUMIFS(Table13[Eignir],Table13[Year],Table13[[#This Row],[Year]])</f>
        <v>2.2694095917342853E-3</v>
      </c>
      <c r="F757" s="23">
        <f>IF(B757=1997, 100, IF(COUNTIF(A$1:A756,A757)=0, "NEW", F756*(1+Table13[[#This Row],[Ávöxtun]])))</f>
        <v>157.28994247680004</v>
      </c>
      <c r="G757" s="18" cm="1">
        <f t="array" ref="G757">IFERROR(_xlfn.IFS(ISNUMBER(Table13[[#This Row],[Column3]]),Table13[[#This Row],[Column3]],Table13[[#This Row],[Column3]]="NEW",Table13[[#This Row],[Column3]]),"")</f>
        <v>157.28994247680004</v>
      </c>
      <c r="H757" s="15" cm="1">
        <f t="array" ref="H757">_xlfn.IFS(Table13[[#This Row],[Column4]]="NEW",AVERAGEIFS(Table13[Column4],Table13[Year],Table13[[#This Row],[Year]]),ISNUMBER(Table13[[#This Row],[Column4]]),Table13[[#This Row],[Column4]],Table13[[#This Row],[Column4]]="",H756*(1+Table13[[#This Row],[Ávöxtun]]))</f>
        <v>157.28994247680004</v>
      </c>
      <c r="I757" cm="1">
        <f t="array" ref="I757">_xlfn.IFS(Table13[[#This Row],[Column4]]="NEW",_xlfn.XLOOKUP(Table13[[#This Row],[Year]],$N$2:$N$27,$P$2:$P$27),ISNUMBER(Table13[[#This Row],[Column4]]),Table13[[#This Row],[Column4]],Table13[[#This Row],[Column4]]="",I756*(1+Table13[[#This Row],[Ávöxtun]]))</f>
        <v>157.28994247680004</v>
      </c>
      <c r="L757" s="33">
        <v>157.28994247680004</v>
      </c>
      <c r="M757" s="33">
        <v>157.28994247680004</v>
      </c>
    </row>
    <row r="758" spans="1:13">
      <c r="A758" t="s">
        <v>104</v>
      </c>
      <c r="B758">
        <v>2006</v>
      </c>
      <c r="C758" s="16">
        <v>0.12740000000000001</v>
      </c>
      <c r="D758" s="1">
        <v>21446178</v>
      </c>
      <c r="E758" s="29">
        <f>Table13[[#This Row],[Ávöxtun]]*Table13[[#This Row],[Eignir]]/SUMIFS(Table13[Eignir],Table13[Year],Table13[[#This Row],[Year]])</f>
        <v>2.4017351006377992E-3</v>
      </c>
      <c r="F758" s="23">
        <f>IF(B758=1997, 100, IF(COUNTIF(A$1:A757,A758)=0, "NEW", F757*(1+Table13[[#This Row],[Ávöxtun]])))</f>
        <v>177.32868114834434</v>
      </c>
      <c r="G758" s="18" cm="1">
        <f t="array" ref="G758">IFERROR(_xlfn.IFS(ISNUMBER(Table13[[#This Row],[Column3]]),Table13[[#This Row],[Column3]],Table13[[#This Row],[Column3]]="NEW",Table13[[#This Row],[Column3]]),"")</f>
        <v>177.32868114834434</v>
      </c>
      <c r="H758" s="15" cm="1">
        <f t="array" ref="H758">_xlfn.IFS(Table13[[#This Row],[Column4]]="NEW",AVERAGEIFS(Table13[Column4],Table13[Year],Table13[[#This Row],[Year]]),ISNUMBER(Table13[[#This Row],[Column4]]),Table13[[#This Row],[Column4]],Table13[[#This Row],[Column4]]="",H757*(1+Table13[[#This Row],[Ávöxtun]]))</f>
        <v>177.32868114834434</v>
      </c>
      <c r="I758" cm="1">
        <f t="array" ref="I758">_xlfn.IFS(Table13[[#This Row],[Column4]]="NEW",_xlfn.XLOOKUP(Table13[[#This Row],[Year]],$N$2:$N$27,$P$2:$P$27),ISNUMBER(Table13[[#This Row],[Column4]]),Table13[[#This Row],[Column4]],Table13[[#This Row],[Column4]]="",I757*(1+Table13[[#This Row],[Ávöxtun]]))</f>
        <v>177.32868114834434</v>
      </c>
      <c r="L758" s="33">
        <v>177.32868114834434</v>
      </c>
      <c r="M758" s="33">
        <v>177.32868114834434</v>
      </c>
    </row>
    <row r="759" spans="1:13">
      <c r="A759" t="s">
        <v>104</v>
      </c>
      <c r="B759">
        <v>2007</v>
      </c>
      <c r="C759" s="16">
        <v>1.21E-2</v>
      </c>
      <c r="D759" s="1">
        <v>23194956</v>
      </c>
      <c r="E759" s="29">
        <f>Table13[[#This Row],[Ávöxtun]]*Table13[[#This Row],[Eignir]]/SUMIFS(Table13[Eignir],Table13[Year],Table13[[#This Row],[Year]])</f>
        <v>2.1867370463346094E-4</v>
      </c>
      <c r="F759" s="23">
        <f>IF(B759=1997, 100, IF(COUNTIF(A$1:A758,A759)=0, "NEW", F758*(1+Table13[[#This Row],[Ávöxtun]])))</f>
        <v>179.47435819023931</v>
      </c>
      <c r="G759" s="18" cm="1">
        <f t="array" ref="G759">IFERROR(_xlfn.IFS(ISNUMBER(Table13[[#This Row],[Column3]]),Table13[[#This Row],[Column3]],Table13[[#This Row],[Column3]]="NEW",Table13[[#This Row],[Column3]]),"")</f>
        <v>179.47435819023931</v>
      </c>
      <c r="H759" s="15" cm="1">
        <f t="array" ref="H759">_xlfn.IFS(Table13[[#This Row],[Column4]]="NEW",AVERAGEIFS(Table13[Column4],Table13[Year],Table13[[#This Row],[Year]]),ISNUMBER(Table13[[#This Row],[Column4]]),Table13[[#This Row],[Column4]],Table13[[#This Row],[Column4]]="",H758*(1+Table13[[#This Row],[Ávöxtun]]))</f>
        <v>179.47435819023931</v>
      </c>
      <c r="I759" cm="1">
        <f t="array" ref="I759">_xlfn.IFS(Table13[[#This Row],[Column4]]="NEW",_xlfn.XLOOKUP(Table13[[#This Row],[Year]],$N$2:$N$27,$P$2:$P$27),ISNUMBER(Table13[[#This Row],[Column4]]),Table13[[#This Row],[Column4]],Table13[[#This Row],[Column4]]="",I758*(1+Table13[[#This Row],[Ávöxtun]]))</f>
        <v>179.47435819023931</v>
      </c>
      <c r="L759" s="33">
        <v>179.47435819023931</v>
      </c>
      <c r="M759" s="33">
        <v>179.47435819023931</v>
      </c>
    </row>
    <row r="760" spans="1:13">
      <c r="A760" t="s">
        <v>104</v>
      </c>
      <c r="B760">
        <v>2008</v>
      </c>
      <c r="C760" s="16">
        <v>-0.1152</v>
      </c>
      <c r="D760" s="1">
        <v>24410219</v>
      </c>
      <c r="E760" s="29">
        <f>Table13[[#This Row],[Ávöxtun]]*Table13[[#This Row],[Eignir]]/SUMIFS(Table13[Eignir],Table13[Year],Table13[[#This Row],[Year]])</f>
        <v>-2.2696263661261475E-3</v>
      </c>
      <c r="F760" s="23">
        <f>IF(B760=1997, 100, IF(COUNTIF(A$1:A759,A760)=0, "NEW", F759*(1+Table13[[#This Row],[Ávöxtun]])))</f>
        <v>158.79891212672376</v>
      </c>
      <c r="G760" s="18" cm="1">
        <f t="array" ref="G760">IFERROR(_xlfn.IFS(ISNUMBER(Table13[[#This Row],[Column3]]),Table13[[#This Row],[Column3]],Table13[[#This Row],[Column3]]="NEW",Table13[[#This Row],[Column3]]),"")</f>
        <v>158.79891212672376</v>
      </c>
      <c r="H760" s="15" cm="1">
        <f t="array" ref="H760">_xlfn.IFS(Table13[[#This Row],[Column4]]="NEW",AVERAGEIFS(Table13[Column4],Table13[Year],Table13[[#This Row],[Year]]),ISNUMBER(Table13[[#This Row],[Column4]]),Table13[[#This Row],[Column4]],Table13[[#This Row],[Column4]]="",H759*(1+Table13[[#This Row],[Ávöxtun]]))</f>
        <v>158.79891212672376</v>
      </c>
      <c r="I760" cm="1">
        <f t="array" ref="I760">_xlfn.IFS(Table13[[#This Row],[Column4]]="NEW",_xlfn.XLOOKUP(Table13[[#This Row],[Year]],$N$2:$N$27,$P$2:$P$27),ISNUMBER(Table13[[#This Row],[Column4]]),Table13[[#This Row],[Column4]],Table13[[#This Row],[Column4]]="",I759*(1+Table13[[#This Row],[Ávöxtun]]))</f>
        <v>158.79891212672376</v>
      </c>
      <c r="L760" s="33">
        <v>158.79891212672376</v>
      </c>
      <c r="M760" s="33">
        <v>158.79891212672376</v>
      </c>
    </row>
    <row r="761" spans="1:13">
      <c r="A761" t="s">
        <v>104</v>
      </c>
      <c r="B761">
        <v>2009</v>
      </c>
      <c r="C761" s="16">
        <v>2.8900000000000002E-2</v>
      </c>
      <c r="D761" s="1">
        <v>27485233</v>
      </c>
      <c r="E761" s="29">
        <f>Table13[[#This Row],[Ávöxtun]]*Table13[[#This Row],[Eignir]]/SUMIFS(Table13[Eignir],Table13[Year],Table13[[#This Row],[Year]])</f>
        <v>5.7848135091450096E-4</v>
      </c>
      <c r="F761" s="23">
        <f>IF(B761=1997, 100, IF(COUNTIF(A$1:A760,A761)=0, "NEW", F760*(1+Table13[[#This Row],[Ávöxtun]])))</f>
        <v>163.38820068718607</v>
      </c>
      <c r="G761" s="18" cm="1">
        <f t="array" ref="G761">IFERROR(_xlfn.IFS(ISNUMBER(Table13[[#This Row],[Column3]]),Table13[[#This Row],[Column3]],Table13[[#This Row],[Column3]]="NEW",Table13[[#This Row],[Column3]]),"")</f>
        <v>163.38820068718607</v>
      </c>
      <c r="H761" s="15" cm="1">
        <f t="array" ref="H761">_xlfn.IFS(Table13[[#This Row],[Column4]]="NEW",AVERAGEIFS(Table13[Column4],Table13[Year],Table13[[#This Row],[Year]]),ISNUMBER(Table13[[#This Row],[Column4]]),Table13[[#This Row],[Column4]],Table13[[#This Row],[Column4]]="",H760*(1+Table13[[#This Row],[Ávöxtun]]))</f>
        <v>163.38820068718607</v>
      </c>
      <c r="I761" cm="1">
        <f t="array" ref="I761">_xlfn.IFS(Table13[[#This Row],[Column4]]="NEW",_xlfn.XLOOKUP(Table13[[#This Row],[Year]],$N$2:$N$27,$P$2:$P$27),ISNUMBER(Table13[[#This Row],[Column4]]),Table13[[#This Row],[Column4]],Table13[[#This Row],[Column4]]="",I760*(1+Table13[[#This Row],[Ávöxtun]]))</f>
        <v>163.38820068718607</v>
      </c>
      <c r="L761" s="33">
        <v>163.38820068718607</v>
      </c>
      <c r="M761" s="33">
        <v>163.38820068718607</v>
      </c>
    </row>
    <row r="762" spans="1:13">
      <c r="A762" t="s">
        <v>104</v>
      </c>
      <c r="B762">
        <v>2010</v>
      </c>
      <c r="C762" s="16">
        <v>1.24E-2</v>
      </c>
      <c r="D762" s="1">
        <v>28820003</v>
      </c>
      <c r="E762" s="29">
        <f>Table13[[#This Row],[Ávöxtun]]*Table13[[#This Row],[Eignir]]/SUMIFS(Table13[Eignir],Table13[Year],Table13[[#This Row],[Year]])</f>
        <v>2.4397911222566511E-4</v>
      </c>
      <c r="F762" s="23">
        <f>IF(B762=1997, 100, IF(COUNTIF(A$1:A761,A762)=0, "NEW", F761*(1+Table13[[#This Row],[Ávöxtun]])))</f>
        <v>165.41421437570716</v>
      </c>
      <c r="G762" s="18" cm="1">
        <f t="array" ref="G762">IFERROR(_xlfn.IFS(ISNUMBER(Table13[[#This Row],[Column3]]),Table13[[#This Row],[Column3]],Table13[[#This Row],[Column3]]="NEW",Table13[[#This Row],[Column3]]),"")</f>
        <v>165.41421437570716</v>
      </c>
      <c r="H762" s="15" cm="1">
        <f t="array" ref="H762">_xlfn.IFS(Table13[[#This Row],[Column4]]="NEW",AVERAGEIFS(Table13[Column4],Table13[Year],Table13[[#This Row],[Year]]),ISNUMBER(Table13[[#This Row],[Column4]]),Table13[[#This Row],[Column4]],Table13[[#This Row],[Column4]]="",H761*(1+Table13[[#This Row],[Ávöxtun]]))</f>
        <v>165.41421437570716</v>
      </c>
      <c r="I762" cm="1">
        <f t="array" ref="I762">_xlfn.IFS(Table13[[#This Row],[Column4]]="NEW",_xlfn.XLOOKUP(Table13[[#This Row],[Year]],$N$2:$N$27,$P$2:$P$27),ISNUMBER(Table13[[#This Row],[Column4]]),Table13[[#This Row],[Column4]],Table13[[#This Row],[Column4]]="",I761*(1+Table13[[#This Row],[Ávöxtun]]))</f>
        <v>165.41421437570716</v>
      </c>
      <c r="L762" s="33">
        <v>165.41421437570716</v>
      </c>
      <c r="M762" s="33">
        <v>165.41421437570716</v>
      </c>
    </row>
    <row r="763" spans="1:13">
      <c r="A763" t="s">
        <v>104</v>
      </c>
      <c r="B763">
        <v>2011</v>
      </c>
      <c r="C763" s="16">
        <v>9.0000000000000011E-3</v>
      </c>
      <c r="D763" s="1">
        <v>30995398</v>
      </c>
      <c r="E763" s="29">
        <f>Table13[[#This Row],[Ávöxtun]]*Table13[[#This Row],[Eignir]]/SUMIFS(Table13[Eignir],Table13[Year],Table13[[#This Row],[Year]])</f>
        <v>1.7568006681458769E-4</v>
      </c>
      <c r="F763" s="23">
        <f>IF(B763=1997, 100, IF(COUNTIF(A$1:A762,A763)=0, "NEW", F762*(1+Table13[[#This Row],[Ávöxtun]])))</f>
        <v>166.90294230508852</v>
      </c>
      <c r="G763" s="18" cm="1">
        <f t="array" ref="G763">IFERROR(_xlfn.IFS(ISNUMBER(Table13[[#This Row],[Column3]]),Table13[[#This Row],[Column3]],Table13[[#This Row],[Column3]]="NEW",Table13[[#This Row],[Column3]]),"")</f>
        <v>166.90294230508852</v>
      </c>
      <c r="H763" s="15" cm="1">
        <f t="array" ref="H763">_xlfn.IFS(Table13[[#This Row],[Column4]]="NEW",AVERAGEIFS(Table13[Column4],Table13[Year],Table13[[#This Row],[Year]]),ISNUMBER(Table13[[#This Row],[Column4]]),Table13[[#This Row],[Column4]],Table13[[#This Row],[Column4]]="",H762*(1+Table13[[#This Row],[Ávöxtun]]))</f>
        <v>166.90294230508852</v>
      </c>
      <c r="I763" cm="1">
        <f t="array" ref="I763">_xlfn.IFS(Table13[[#This Row],[Column4]]="NEW",_xlfn.XLOOKUP(Table13[[#This Row],[Year]],$N$2:$N$27,$P$2:$P$27),ISNUMBER(Table13[[#This Row],[Column4]]),Table13[[#This Row],[Column4]],Table13[[#This Row],[Column4]]="",I762*(1+Table13[[#This Row],[Ávöxtun]]))</f>
        <v>166.90294230508852</v>
      </c>
      <c r="L763" s="33">
        <v>166.90294230508852</v>
      </c>
      <c r="M763" s="33">
        <v>166.90294230508852</v>
      </c>
    </row>
    <row r="764" spans="1:13">
      <c r="A764" t="s">
        <v>104</v>
      </c>
      <c r="B764">
        <v>2012</v>
      </c>
      <c r="C764" s="16">
        <v>6.5000000000000002E-2</v>
      </c>
      <c r="D764" s="1">
        <v>34910832</v>
      </c>
      <c r="E764" s="29">
        <f>Table13[[#This Row],[Ávöxtun]]*Table13[[#This Row],[Eignir]]/SUMIFS(Table13[Eignir],Table13[Year],Table13[[#This Row],[Year]])</f>
        <v>1.2642721975955344E-3</v>
      </c>
      <c r="F764" s="23">
        <f>IF(B764=1997, 100, IF(COUNTIF(A$1:A763,A764)=0, "NEW", F763*(1+Table13[[#This Row],[Ávöxtun]])))</f>
        <v>177.75163355491927</v>
      </c>
      <c r="G764" s="18" cm="1">
        <f t="array" ref="G764">IFERROR(_xlfn.IFS(ISNUMBER(Table13[[#This Row],[Column3]]),Table13[[#This Row],[Column3]],Table13[[#This Row],[Column3]]="NEW",Table13[[#This Row],[Column3]]),"")</f>
        <v>177.75163355491927</v>
      </c>
      <c r="H764" s="15" cm="1">
        <f t="array" ref="H764">_xlfn.IFS(Table13[[#This Row],[Column4]]="NEW",AVERAGEIFS(Table13[Column4],Table13[Year],Table13[[#This Row],[Year]]),ISNUMBER(Table13[[#This Row],[Column4]]),Table13[[#This Row],[Column4]],Table13[[#This Row],[Column4]]="",H763*(1+Table13[[#This Row],[Ávöxtun]]))</f>
        <v>177.75163355491927</v>
      </c>
      <c r="I764" cm="1">
        <f t="array" ref="I764">_xlfn.IFS(Table13[[#This Row],[Column4]]="NEW",_xlfn.XLOOKUP(Table13[[#This Row],[Year]],$N$2:$N$27,$P$2:$P$27),ISNUMBER(Table13[[#This Row],[Column4]]),Table13[[#This Row],[Column4]],Table13[[#This Row],[Column4]]="",I763*(1+Table13[[#This Row],[Ávöxtun]]))</f>
        <v>177.75163355491927</v>
      </c>
      <c r="L764" s="33">
        <v>177.75163355491927</v>
      </c>
      <c r="M764" s="33">
        <v>177.75163355491927</v>
      </c>
    </row>
    <row r="765" spans="1:13">
      <c r="A765" t="s">
        <v>104</v>
      </c>
      <c r="B765">
        <v>2013</v>
      </c>
      <c r="C765" s="16">
        <v>4.0999999999999995E-2</v>
      </c>
      <c r="D765" s="1">
        <v>37562829</v>
      </c>
      <c r="E765" s="29">
        <f>Table13[[#This Row],[Ávöxtun]]*Table13[[#This Row],[Eignir]]/SUMIFS(Table13[Eignir],Table13[Year],Table13[[#This Row],[Year]])</f>
        <v>7.8021449364501201E-4</v>
      </c>
      <c r="F765" s="23">
        <f>IF(B765=1997, 100, IF(COUNTIF(A$1:A764,A765)=0, "NEW", F764*(1+Table13[[#This Row],[Ávöxtun]])))</f>
        <v>185.03945053067093</v>
      </c>
      <c r="G765" s="18" cm="1">
        <f t="array" ref="G765">IFERROR(_xlfn.IFS(ISNUMBER(Table13[[#This Row],[Column3]]),Table13[[#This Row],[Column3]],Table13[[#This Row],[Column3]]="NEW",Table13[[#This Row],[Column3]]),"")</f>
        <v>185.03945053067093</v>
      </c>
      <c r="H765" s="15" cm="1">
        <f t="array" ref="H765">_xlfn.IFS(Table13[[#This Row],[Column4]]="NEW",AVERAGEIFS(Table13[Column4],Table13[Year],Table13[[#This Row],[Year]]),ISNUMBER(Table13[[#This Row],[Column4]]),Table13[[#This Row],[Column4]],Table13[[#This Row],[Column4]]="",H764*(1+Table13[[#This Row],[Ávöxtun]]))</f>
        <v>185.03945053067093</v>
      </c>
      <c r="I765" cm="1">
        <f t="array" ref="I765">_xlfn.IFS(Table13[[#This Row],[Column4]]="NEW",_xlfn.XLOOKUP(Table13[[#This Row],[Year]],$N$2:$N$27,$P$2:$P$27),ISNUMBER(Table13[[#This Row],[Column4]]),Table13[[#This Row],[Column4]],Table13[[#This Row],[Column4]]="",I764*(1+Table13[[#This Row],[Ávöxtun]]))</f>
        <v>185.03945053067093</v>
      </c>
      <c r="L765" s="33">
        <v>185.03945053067093</v>
      </c>
      <c r="M765" s="33">
        <v>185.03945053067093</v>
      </c>
    </row>
    <row r="766" spans="1:13">
      <c r="A766" t="s">
        <v>104</v>
      </c>
      <c r="B766">
        <v>2014</v>
      </c>
      <c r="C766" s="16">
        <v>7.4999999999999997E-2</v>
      </c>
      <c r="D766" s="1">
        <v>40834143</v>
      </c>
      <c r="E766" s="29">
        <f>Table13[[#This Row],[Ávöxtun]]*Table13[[#This Row],[Eignir]]/SUMIFS(Table13[Eignir],Table13[Year],Table13[[#This Row],[Year]])</f>
        <v>1.4227899940068814E-3</v>
      </c>
      <c r="F766" s="23">
        <f>IF(B766=1997, 100, IF(COUNTIF(A$1:A765,A766)=0, "NEW", F765*(1+Table13[[#This Row],[Ávöxtun]])))</f>
        <v>198.91740932047125</v>
      </c>
      <c r="G766" s="18" cm="1">
        <f t="array" ref="G766">IFERROR(_xlfn.IFS(ISNUMBER(Table13[[#This Row],[Column3]]),Table13[[#This Row],[Column3]],Table13[[#This Row],[Column3]]="NEW",Table13[[#This Row],[Column3]]),"")</f>
        <v>198.91740932047125</v>
      </c>
      <c r="H766" s="15" cm="1">
        <f t="array" ref="H766">_xlfn.IFS(Table13[[#This Row],[Column4]]="NEW",AVERAGEIFS(Table13[Column4],Table13[Year],Table13[[#This Row],[Year]]),ISNUMBER(Table13[[#This Row],[Column4]]),Table13[[#This Row],[Column4]],Table13[[#This Row],[Column4]]="",H765*(1+Table13[[#This Row],[Ávöxtun]]))</f>
        <v>198.91740932047125</v>
      </c>
      <c r="I766" cm="1">
        <f t="array" ref="I766">_xlfn.IFS(Table13[[#This Row],[Column4]]="NEW",_xlfn.XLOOKUP(Table13[[#This Row],[Year]],$N$2:$N$27,$P$2:$P$27),ISNUMBER(Table13[[#This Row],[Column4]]),Table13[[#This Row],[Column4]],Table13[[#This Row],[Column4]]="",I765*(1+Table13[[#This Row],[Ávöxtun]]))</f>
        <v>198.91740932047125</v>
      </c>
      <c r="L766" s="33">
        <v>198.91740932047125</v>
      </c>
      <c r="M766" s="33">
        <v>198.91740932047125</v>
      </c>
    </row>
    <row r="767" spans="1:13">
      <c r="A767" t="s">
        <v>104</v>
      </c>
      <c r="B767">
        <v>2015</v>
      </c>
      <c r="C767" s="16">
        <v>7.9000000000000001E-2</v>
      </c>
      <c r="D767" s="1">
        <v>45058959</v>
      </c>
      <c r="E767" s="29">
        <f>Table13[[#This Row],[Ávöxtun]]*Table13[[#This Row],[Eignir]]/SUMIFS(Table13[Eignir],Table13[Year],Table13[[#This Row],[Year]])</f>
        <v>1.4907919134475851E-3</v>
      </c>
      <c r="F767" s="23">
        <f>IF(B767=1997, 100, IF(COUNTIF(A$1:A766,A767)=0, "NEW", F766*(1+Table13[[#This Row],[Ávöxtun]])))</f>
        <v>214.63188465678846</v>
      </c>
      <c r="G767" s="18" cm="1">
        <f t="array" ref="G767">IFERROR(_xlfn.IFS(ISNUMBER(Table13[[#This Row],[Column3]]),Table13[[#This Row],[Column3]],Table13[[#This Row],[Column3]]="NEW",Table13[[#This Row],[Column3]]),"")</f>
        <v>214.63188465678846</v>
      </c>
      <c r="H767" s="15" cm="1">
        <f t="array" ref="H767">_xlfn.IFS(Table13[[#This Row],[Column4]]="NEW",AVERAGEIFS(Table13[Column4],Table13[Year],Table13[[#This Row],[Year]]),ISNUMBER(Table13[[#This Row],[Column4]]),Table13[[#This Row],[Column4]],Table13[[#This Row],[Column4]]="",H766*(1+Table13[[#This Row],[Ávöxtun]]))</f>
        <v>214.63188465678846</v>
      </c>
      <c r="I767" cm="1">
        <f t="array" ref="I767">_xlfn.IFS(Table13[[#This Row],[Column4]]="NEW",_xlfn.XLOOKUP(Table13[[#This Row],[Year]],$N$2:$N$27,$P$2:$P$27),ISNUMBER(Table13[[#This Row],[Column4]]),Table13[[#This Row],[Column4]],Table13[[#This Row],[Column4]]="",I766*(1+Table13[[#This Row],[Ávöxtun]]))</f>
        <v>214.63188465678846</v>
      </c>
      <c r="L767" s="33">
        <v>214.63188465678846</v>
      </c>
      <c r="M767" s="33">
        <v>214.63188465678846</v>
      </c>
    </row>
    <row r="768" spans="1:13">
      <c r="A768" t="s">
        <v>104</v>
      </c>
      <c r="B768">
        <v>2016</v>
      </c>
      <c r="C768" s="16">
        <v>-1.3000000000000001E-2</v>
      </c>
      <c r="D768" s="1">
        <v>45402711.850000001</v>
      </c>
      <c r="E768" s="29">
        <f>Table13[[#This Row],[Ávöxtun]]*Table13[[#This Row],[Eignir]]/SUMIFS(Table13[Eignir],Table13[Year],Table13[[#This Row],[Year]])</f>
        <v>-2.2632157415163282E-4</v>
      </c>
      <c r="F768" s="23">
        <f>IF(B768=1997, 100, IF(COUNTIF(A$1:A767,A768)=0, "NEW", F767*(1+Table13[[#This Row],[Ávöxtun]])))</f>
        <v>211.84167015625022</v>
      </c>
      <c r="G768" s="18" cm="1">
        <f t="array" ref="G768">IFERROR(_xlfn.IFS(ISNUMBER(Table13[[#This Row],[Column3]]),Table13[[#This Row],[Column3]],Table13[[#This Row],[Column3]]="NEW",Table13[[#This Row],[Column3]]),"")</f>
        <v>211.84167015625022</v>
      </c>
      <c r="H768" s="15" cm="1">
        <f t="array" ref="H768">_xlfn.IFS(Table13[[#This Row],[Column4]]="NEW",AVERAGEIFS(Table13[Column4],Table13[Year],Table13[[#This Row],[Year]]),ISNUMBER(Table13[[#This Row],[Column4]]),Table13[[#This Row],[Column4]],Table13[[#This Row],[Column4]]="",H767*(1+Table13[[#This Row],[Ávöxtun]]))</f>
        <v>211.84167015625022</v>
      </c>
      <c r="I768" cm="1">
        <f t="array" ref="I768">_xlfn.IFS(Table13[[#This Row],[Column4]]="NEW",_xlfn.XLOOKUP(Table13[[#This Row],[Year]],$N$2:$N$27,$P$2:$P$27),ISNUMBER(Table13[[#This Row],[Column4]]),Table13[[#This Row],[Column4]],Table13[[#This Row],[Column4]]="",I767*(1+Table13[[#This Row],[Ávöxtun]]))</f>
        <v>211.84167015625022</v>
      </c>
      <c r="L768" s="33">
        <v>211.84167015625022</v>
      </c>
      <c r="M768" s="33">
        <v>211.84167015625022</v>
      </c>
    </row>
    <row r="769" spans="1:13">
      <c r="A769" t="s">
        <v>104</v>
      </c>
      <c r="B769">
        <v>2017</v>
      </c>
      <c r="C769" s="16">
        <v>0.06</v>
      </c>
      <c r="D769" s="1">
        <v>49019154</v>
      </c>
      <c r="E769" s="29">
        <f>Table13[[#This Row],[Ávöxtun]]*Table13[[#This Row],[Eignir]]/SUMIFS(Table13[Eignir],Table13[Year],Table13[[#This Row],[Year]])</f>
        <v>1.0120534320002394E-3</v>
      </c>
      <c r="F769" s="23">
        <f>IF(B769=1997, 100, IF(COUNTIF(A$1:A768,A769)=0, "NEW", F768*(1+Table13[[#This Row],[Ávöxtun]])))</f>
        <v>224.55217036562524</v>
      </c>
      <c r="G769" s="18" cm="1">
        <f t="array" ref="G769">IFERROR(_xlfn.IFS(ISNUMBER(Table13[[#This Row],[Column3]]),Table13[[#This Row],[Column3]],Table13[[#This Row],[Column3]]="NEW",Table13[[#This Row],[Column3]]),"")</f>
        <v>224.55217036562524</v>
      </c>
      <c r="H769" s="15" cm="1">
        <f t="array" ref="H769">_xlfn.IFS(Table13[[#This Row],[Column4]]="NEW",AVERAGEIFS(Table13[Column4],Table13[Year],Table13[[#This Row],[Year]]),ISNUMBER(Table13[[#This Row],[Column4]]),Table13[[#This Row],[Column4]],Table13[[#This Row],[Column4]]="",H768*(1+Table13[[#This Row],[Ávöxtun]]))</f>
        <v>224.55217036562524</v>
      </c>
      <c r="I769" cm="1">
        <f t="array" ref="I769">_xlfn.IFS(Table13[[#This Row],[Column4]]="NEW",_xlfn.XLOOKUP(Table13[[#This Row],[Year]],$N$2:$N$27,$P$2:$P$27),ISNUMBER(Table13[[#This Row],[Column4]]),Table13[[#This Row],[Column4]],Table13[[#This Row],[Column4]]="",I768*(1+Table13[[#This Row],[Ávöxtun]]))</f>
        <v>224.55217036562524</v>
      </c>
      <c r="L769" s="33">
        <v>224.55217036562524</v>
      </c>
      <c r="M769" s="33">
        <v>224.55217036562524</v>
      </c>
    </row>
    <row r="770" spans="1:13">
      <c r="A770" t="s">
        <v>104</v>
      </c>
      <c r="B770">
        <v>2018</v>
      </c>
      <c r="C770" s="16">
        <v>0.05</v>
      </c>
      <c r="D770" s="1">
        <v>52809678</v>
      </c>
      <c r="E770" s="29">
        <f>Table13[[#This Row],[Ávöxtun]]*Table13[[#This Row],[Eignir]]/SUMIFS(Table13[Eignir],Table13[Year],Table13[[#This Row],[Year]])</f>
        <v>8.4660195992912089E-4</v>
      </c>
      <c r="F770" s="23">
        <f>IF(B770=1997, 100, IF(COUNTIF(A$1:A769,A770)=0, "NEW", F769*(1+Table13[[#This Row],[Ávöxtun]])))</f>
        <v>235.77977888390652</v>
      </c>
      <c r="G770" s="18" cm="1">
        <f t="array" ref="G770">IFERROR(_xlfn.IFS(ISNUMBER(Table13[[#This Row],[Column3]]),Table13[[#This Row],[Column3]],Table13[[#This Row],[Column3]]="NEW",Table13[[#This Row],[Column3]]),"")</f>
        <v>235.77977888390652</v>
      </c>
      <c r="H770" s="15" cm="1">
        <f t="array" ref="H770">_xlfn.IFS(Table13[[#This Row],[Column4]]="NEW",AVERAGEIFS(Table13[Column4],Table13[Year],Table13[[#This Row],[Year]]),ISNUMBER(Table13[[#This Row],[Column4]]),Table13[[#This Row],[Column4]],Table13[[#This Row],[Column4]]="",H769*(1+Table13[[#This Row],[Ávöxtun]]))</f>
        <v>235.77977888390652</v>
      </c>
      <c r="I770" cm="1">
        <f t="array" ref="I770">_xlfn.IFS(Table13[[#This Row],[Column4]]="NEW",_xlfn.XLOOKUP(Table13[[#This Row],[Year]],$N$2:$N$27,$P$2:$P$27),ISNUMBER(Table13[[#This Row],[Column4]]),Table13[[#This Row],[Column4]],Table13[[#This Row],[Column4]]="",I769*(1+Table13[[#This Row],[Ávöxtun]]))</f>
        <v>235.77977888390652</v>
      </c>
      <c r="L770" s="33">
        <v>235.77977888390652</v>
      </c>
      <c r="M770" s="33">
        <v>235.77977888390652</v>
      </c>
    </row>
    <row r="771" spans="1:13">
      <c r="A771" t="s">
        <v>104</v>
      </c>
      <c r="B771">
        <v>2019</v>
      </c>
      <c r="C771" s="16">
        <v>0.11609999999999999</v>
      </c>
      <c r="D771" s="1">
        <v>60397914.270000003</v>
      </c>
      <c r="E771" s="29">
        <f>Table13[[#This Row],[Ávöxtun]]*Table13[[#This Row],[Eignir]]/SUMIFS(Table13[Eignir],Table13[Year],Table13[[#This Row],[Year]])</f>
        <v>1.9606718711847608E-3</v>
      </c>
      <c r="F771" s="23">
        <f>IF(B771=1997, 100, IF(COUNTIF(A$1:A770,A771)=0, "NEW", F770*(1+Table13[[#This Row],[Ávöxtun]])))</f>
        <v>263.15381121232809</v>
      </c>
      <c r="G771" s="18" cm="1">
        <f t="array" ref="G771">IFERROR(_xlfn.IFS(ISNUMBER(Table13[[#This Row],[Column3]]),Table13[[#This Row],[Column3]],Table13[[#This Row],[Column3]]="NEW",Table13[[#This Row],[Column3]]),"")</f>
        <v>263.15381121232809</v>
      </c>
      <c r="H771" s="15" cm="1">
        <f t="array" ref="H771">_xlfn.IFS(Table13[[#This Row],[Column4]]="NEW",AVERAGEIFS(Table13[Column4],Table13[Year],Table13[[#This Row],[Year]]),ISNUMBER(Table13[[#This Row],[Column4]]),Table13[[#This Row],[Column4]],Table13[[#This Row],[Column4]]="",H770*(1+Table13[[#This Row],[Ávöxtun]]))</f>
        <v>263.15381121232809</v>
      </c>
      <c r="I771" cm="1">
        <f t="array" ref="I771">_xlfn.IFS(Table13[[#This Row],[Column4]]="NEW",_xlfn.XLOOKUP(Table13[[#This Row],[Year]],$N$2:$N$27,$P$2:$P$27),ISNUMBER(Table13[[#This Row],[Column4]]),Table13[[#This Row],[Column4]],Table13[[#This Row],[Column4]]="",I770*(1+Table13[[#This Row],[Ávöxtun]]))</f>
        <v>263.15381121232809</v>
      </c>
      <c r="L771" s="33">
        <v>263.15381121232809</v>
      </c>
      <c r="M771" s="33">
        <v>263.15381121232809</v>
      </c>
    </row>
    <row r="772" spans="1:13">
      <c r="A772" t="s">
        <v>104</v>
      </c>
      <c r="B772">
        <v>2020</v>
      </c>
      <c r="C772" s="16">
        <v>0.11630000000000001</v>
      </c>
      <c r="D772" s="1">
        <v>69564287.930000007</v>
      </c>
      <c r="E772" s="29">
        <f>Table13[[#This Row],[Ávöxtun]]*Table13[[#This Row],[Eignir]]/SUMIFS(Table13[Eignir],Table13[Year],Table13[[#This Row],[Year]])</f>
        <v>1.9522289490192925E-3</v>
      </c>
      <c r="F772" s="23">
        <f>IF(B772=1997, 100, IF(COUNTIF(A$1:A771,A772)=0, "NEW", F771*(1+Table13[[#This Row],[Ávöxtun]])))</f>
        <v>293.75859945632186</v>
      </c>
      <c r="G772" s="18" cm="1">
        <f t="array" ref="G772">IFERROR(_xlfn.IFS(ISNUMBER(Table13[[#This Row],[Column3]]),Table13[[#This Row],[Column3]],Table13[[#This Row],[Column3]]="NEW",Table13[[#This Row],[Column3]]),"")</f>
        <v>293.75859945632186</v>
      </c>
      <c r="H772" s="15" cm="1">
        <f t="array" ref="H772">_xlfn.IFS(Table13[[#This Row],[Column4]]="NEW",AVERAGEIFS(Table13[Column4],Table13[Year],Table13[[#This Row],[Year]]),ISNUMBER(Table13[[#This Row],[Column4]]),Table13[[#This Row],[Column4]],Table13[[#This Row],[Column4]]="",H771*(1+Table13[[#This Row],[Ávöxtun]]))</f>
        <v>293.75859945632186</v>
      </c>
      <c r="I772" cm="1">
        <f t="array" ref="I772">_xlfn.IFS(Table13[[#This Row],[Column4]]="NEW",_xlfn.XLOOKUP(Table13[[#This Row],[Year]],$N$2:$N$27,$P$2:$P$27),ISNUMBER(Table13[[#This Row],[Column4]]),Table13[[#This Row],[Column4]],Table13[[#This Row],[Column4]]="",I771*(1+Table13[[#This Row],[Ávöxtun]]))</f>
        <v>293.75859945632186</v>
      </c>
      <c r="L772" s="33">
        <v>293.75859945632186</v>
      </c>
      <c r="M772" s="33">
        <v>293.75859945632186</v>
      </c>
    </row>
    <row r="773" spans="1:13">
      <c r="A773" t="s">
        <v>104</v>
      </c>
      <c r="B773">
        <v>2021</v>
      </c>
      <c r="C773" s="16">
        <v>0.17100000000000001</v>
      </c>
      <c r="D773" s="1">
        <v>85203319.5</v>
      </c>
      <c r="E773" s="29">
        <f>Table13[[#This Row],[Ávöxtun]]*Table13[[#This Row],[Eignir]]/SUMIFS(Table13[Eignir],Table13[Year],Table13[[#This Row],[Year]])</f>
        <v>2.9955552842927139E-3</v>
      </c>
      <c r="F773" s="23">
        <f>IF(B773=1997, 100, IF(COUNTIF(A$1:A772,A773)=0, "NEW", F772*(1+Table13[[#This Row],[Ávöxtun]])))</f>
        <v>343.99131996335291</v>
      </c>
      <c r="G773" s="18" cm="1">
        <f t="array" ref="G773">IFERROR(_xlfn.IFS(ISNUMBER(Table13[[#This Row],[Column3]]),Table13[[#This Row],[Column3]],Table13[[#This Row],[Column3]]="NEW",Table13[[#This Row],[Column3]]),"")</f>
        <v>343.99131996335291</v>
      </c>
      <c r="H773" s="15" cm="1">
        <f t="array" ref="H773">_xlfn.IFS(Table13[[#This Row],[Column4]]="NEW",AVERAGEIFS(Table13[Column4],Table13[Year],Table13[[#This Row],[Year]]),ISNUMBER(Table13[[#This Row],[Column4]]),Table13[[#This Row],[Column4]],Table13[[#This Row],[Column4]]="",H772*(1+Table13[[#This Row],[Ávöxtun]]))</f>
        <v>343.99131996335291</v>
      </c>
      <c r="I773" cm="1">
        <f t="array" ref="I773">_xlfn.IFS(Table13[[#This Row],[Column4]]="NEW",_xlfn.XLOOKUP(Table13[[#This Row],[Year]],$N$2:$N$27,$P$2:$P$27),ISNUMBER(Table13[[#This Row],[Column4]]),Table13[[#This Row],[Column4]],Table13[[#This Row],[Column4]]="",I772*(1+Table13[[#This Row],[Ávöxtun]]))</f>
        <v>343.99131996335291</v>
      </c>
      <c r="L773" s="33">
        <v>343.99131996335291</v>
      </c>
      <c r="M773" s="33">
        <v>343.99131996335291</v>
      </c>
    </row>
    <row r="774" spans="1:13">
      <c r="A774" t="s">
        <v>105</v>
      </c>
      <c r="B774">
        <v>1997</v>
      </c>
      <c r="C774" s="16">
        <v>0.06</v>
      </c>
      <c r="D774" s="1">
        <v>4923546</v>
      </c>
      <c r="E774" s="29">
        <f>Table13[[#This Row],[Ávöxtun]]*Table13[[#This Row],[Eignir]]/SUMIFS(Table13[Eignir],Table13[Year],Table13[[#This Row],[Year]])</f>
        <v>1.0352438308445144E-3</v>
      </c>
      <c r="F774" s="23">
        <f>IF(B774=1997, 100, IF(COUNTIF(A$1:A773,A774)=0, "NEW", F773*(1+Table13[[#This Row],[Ávöxtun]])))</f>
        <v>100</v>
      </c>
      <c r="G774" s="18" cm="1">
        <f t="array" ref="G774">IFERROR(_xlfn.IFS(ISNUMBER(Table13[[#This Row],[Column3]]),Table13[[#This Row],[Column3]],Table13[[#This Row],[Column3]]="NEW",Table13[[#This Row],[Column3]]),"")</f>
        <v>100</v>
      </c>
      <c r="H774" s="15" cm="1">
        <f t="array" ref="H774">_xlfn.IFS(Table13[[#This Row],[Column4]]="NEW",AVERAGEIFS(Table13[Column4],Table13[Year],Table13[[#This Row],[Year]]),ISNUMBER(Table13[[#This Row],[Column4]]),Table13[[#This Row],[Column4]],Table13[[#This Row],[Column4]]="",H773*(1+Table13[[#This Row],[Ávöxtun]]))</f>
        <v>100</v>
      </c>
      <c r="I774" cm="1">
        <f t="array" ref="I774">_xlfn.IFS(Table13[[#This Row],[Column4]]="NEW",_xlfn.XLOOKUP(Table13[[#This Row],[Year]],$N$2:$N$27,$P$2:$P$27),ISNUMBER(Table13[[#This Row],[Column4]]),Table13[[#This Row],[Column4]],Table13[[#This Row],[Column4]]="",I773*(1+Table13[[#This Row],[Ávöxtun]]))</f>
        <v>100</v>
      </c>
      <c r="L774" s="33">
        <v>100</v>
      </c>
      <c r="M774" s="33">
        <v>100</v>
      </c>
    </row>
    <row r="775" spans="1:13">
      <c r="A775" t="s">
        <v>105</v>
      </c>
      <c r="B775">
        <v>1998</v>
      </c>
      <c r="C775" s="16">
        <v>7.0000000000000007E-2</v>
      </c>
      <c r="D775" s="1">
        <v>5484034.5800000001</v>
      </c>
      <c r="E775" s="29">
        <f>Table13[[#This Row],[Ávöxtun]]*Table13[[#This Row],[Eignir]]/SUMIFS(Table13[Eignir],Table13[Year],Table13[[#This Row],[Year]])</f>
        <v>1.1615256885685774E-3</v>
      </c>
      <c r="F775" s="23">
        <f>IF(B775=1997, 100, IF(COUNTIF(A$1:A774,A775)=0, "NEW", F774*(1+Table13[[#This Row],[Ávöxtun]])))</f>
        <v>107</v>
      </c>
      <c r="G775" s="18" cm="1">
        <f t="array" ref="G775">IFERROR(_xlfn.IFS(ISNUMBER(Table13[[#This Row],[Column3]]),Table13[[#This Row],[Column3]],Table13[[#This Row],[Column3]]="NEW",Table13[[#This Row],[Column3]]),"")</f>
        <v>107</v>
      </c>
      <c r="H775" s="15" cm="1">
        <f t="array" ref="H775">_xlfn.IFS(Table13[[#This Row],[Column4]]="NEW",AVERAGEIFS(Table13[Column4],Table13[Year],Table13[[#This Row],[Year]]),ISNUMBER(Table13[[#This Row],[Column4]]),Table13[[#This Row],[Column4]],Table13[[#This Row],[Column4]]="",H774*(1+Table13[[#This Row],[Ávöxtun]]))</f>
        <v>107</v>
      </c>
      <c r="I775" cm="1">
        <f t="array" ref="I775">_xlfn.IFS(Table13[[#This Row],[Column4]]="NEW",_xlfn.XLOOKUP(Table13[[#This Row],[Year]],$N$2:$N$27,$P$2:$P$27),ISNUMBER(Table13[[#This Row],[Column4]]),Table13[[#This Row],[Column4]],Table13[[#This Row],[Column4]]="",I774*(1+Table13[[#This Row],[Ávöxtun]]))</f>
        <v>107</v>
      </c>
      <c r="L775" s="33">
        <v>107</v>
      </c>
      <c r="M775" s="33">
        <v>107</v>
      </c>
    </row>
    <row r="776" spans="1:13">
      <c r="A776" t="s">
        <v>105</v>
      </c>
      <c r="B776">
        <v>1999</v>
      </c>
      <c r="C776" s="16">
        <v>0.16</v>
      </c>
      <c r="D776" s="1">
        <v>6901854.4699999997</v>
      </c>
      <c r="E776" s="29">
        <f>Table13[[#This Row],[Ávöxtun]]*Table13[[#This Row],[Eignir]]/SUMIFS(Table13[Eignir],Table13[Year],Table13[[#This Row],[Year]])</f>
        <v>2.4875804636087014E-3</v>
      </c>
      <c r="F776" s="23">
        <f>IF(B776=1997, 100, IF(COUNTIF(A$1:A775,A776)=0, "NEW", F775*(1+Table13[[#This Row],[Ávöxtun]])))</f>
        <v>124.11999999999999</v>
      </c>
      <c r="G776" s="18" cm="1">
        <f t="array" ref="G776">IFERROR(_xlfn.IFS(ISNUMBER(Table13[[#This Row],[Column3]]),Table13[[#This Row],[Column3]],Table13[[#This Row],[Column3]]="NEW",Table13[[#This Row],[Column3]]),"")</f>
        <v>124.11999999999999</v>
      </c>
      <c r="H776" s="15" cm="1">
        <f t="array" ref="H776">_xlfn.IFS(Table13[[#This Row],[Column4]]="NEW",AVERAGEIFS(Table13[Column4],Table13[Year],Table13[[#This Row],[Year]]),ISNUMBER(Table13[[#This Row],[Column4]]),Table13[[#This Row],[Column4]],Table13[[#This Row],[Column4]]="",H775*(1+Table13[[#This Row],[Ávöxtun]]))</f>
        <v>124.11999999999999</v>
      </c>
      <c r="I776" cm="1">
        <f t="array" ref="I776">_xlfn.IFS(Table13[[#This Row],[Column4]]="NEW",_xlfn.XLOOKUP(Table13[[#This Row],[Year]],$N$2:$N$27,$P$2:$P$27),ISNUMBER(Table13[[#This Row],[Column4]]),Table13[[#This Row],[Column4]],Table13[[#This Row],[Column4]]="",I775*(1+Table13[[#This Row],[Ávöxtun]]))</f>
        <v>124.11999999999999</v>
      </c>
      <c r="L776" s="33">
        <v>124.11999999999999</v>
      </c>
      <c r="M776" s="33">
        <v>124.11999999999999</v>
      </c>
    </row>
    <row r="777" spans="1:13">
      <c r="A777" t="s">
        <v>105</v>
      </c>
      <c r="B777">
        <v>2000</v>
      </c>
      <c r="C777" s="16">
        <v>-0.03</v>
      </c>
      <c r="D777" s="1">
        <v>7218164.1299999999</v>
      </c>
      <c r="E777" s="29">
        <f>Table13[[#This Row],[Ávöxtun]]*Table13[[#This Row],[Eignir]]/SUMIFS(Table13[Eignir],Table13[Year],Table13[[#This Row],[Year]])</f>
        <v>-3.4675948356831807E-4</v>
      </c>
      <c r="F777" s="23">
        <f>IF(B777=1997, 100, IF(COUNTIF(A$1:A776,A777)=0, "NEW", F776*(1+Table13[[#This Row],[Ávöxtun]])))</f>
        <v>120.39639999999999</v>
      </c>
      <c r="G777" s="18" cm="1">
        <f t="array" ref="G777">IFERROR(_xlfn.IFS(ISNUMBER(Table13[[#This Row],[Column3]]),Table13[[#This Row],[Column3]],Table13[[#This Row],[Column3]]="NEW",Table13[[#This Row],[Column3]]),"")</f>
        <v>120.39639999999999</v>
      </c>
      <c r="H777" s="15" cm="1">
        <f t="array" ref="H777">_xlfn.IFS(Table13[[#This Row],[Column4]]="NEW",AVERAGEIFS(Table13[Column4],Table13[Year],Table13[[#This Row],[Year]]),ISNUMBER(Table13[[#This Row],[Column4]]),Table13[[#This Row],[Column4]],Table13[[#This Row],[Column4]]="",H776*(1+Table13[[#This Row],[Ávöxtun]]))</f>
        <v>120.39639999999999</v>
      </c>
      <c r="I777" cm="1">
        <f t="array" ref="I777">_xlfn.IFS(Table13[[#This Row],[Column4]]="NEW",_xlfn.XLOOKUP(Table13[[#This Row],[Year]],$N$2:$N$27,$P$2:$P$27),ISNUMBER(Table13[[#This Row],[Column4]]),Table13[[#This Row],[Column4]],Table13[[#This Row],[Column4]]="",I776*(1+Table13[[#This Row],[Ávöxtun]]))</f>
        <v>120.39639999999999</v>
      </c>
      <c r="L777" s="33">
        <v>120.39639999999999</v>
      </c>
      <c r="M777" s="33">
        <v>120.39639999999999</v>
      </c>
    </row>
    <row r="778" spans="1:13">
      <c r="A778" t="s">
        <v>105</v>
      </c>
      <c r="B778">
        <v>2001</v>
      </c>
      <c r="C778" s="16">
        <v>-0.03</v>
      </c>
      <c r="D778" s="1">
        <v>15805979</v>
      </c>
      <c r="E778" s="29">
        <f>Table13[[#This Row],[Ávöxtun]]*Table13[[#This Row],[Eignir]]/SUMIFS(Table13[Eignir],Table13[Year],Table13[[#This Row],[Year]])</f>
        <v>-4.934020690950746E-4</v>
      </c>
      <c r="F778" s="23">
        <f>IF(B778=1997, 100, IF(COUNTIF(A$1:A777,A778)=0, "NEW", F777*(1+Table13[[#This Row],[Ávöxtun]])))</f>
        <v>116.78450799999999</v>
      </c>
      <c r="G778" s="18" cm="1">
        <f t="array" ref="G778">IFERROR(_xlfn.IFS(ISNUMBER(Table13[[#This Row],[Column3]]),Table13[[#This Row],[Column3]],Table13[[#This Row],[Column3]]="NEW",Table13[[#This Row],[Column3]]),"")</f>
        <v>116.78450799999999</v>
      </c>
      <c r="H778" s="15" cm="1">
        <f t="array" ref="H778">_xlfn.IFS(Table13[[#This Row],[Column4]]="NEW",AVERAGEIFS(Table13[Column4],Table13[Year],Table13[[#This Row],[Year]]),ISNUMBER(Table13[[#This Row],[Column4]]),Table13[[#This Row],[Column4]],Table13[[#This Row],[Column4]]="",H777*(1+Table13[[#This Row],[Ávöxtun]]))</f>
        <v>116.78450799999999</v>
      </c>
      <c r="I778" cm="1">
        <f t="array" ref="I778">_xlfn.IFS(Table13[[#This Row],[Column4]]="NEW",_xlfn.XLOOKUP(Table13[[#This Row],[Year]],$N$2:$N$27,$P$2:$P$27),ISNUMBER(Table13[[#This Row],[Column4]]),Table13[[#This Row],[Column4]],Table13[[#This Row],[Column4]]="",I777*(1+Table13[[#This Row],[Ávöxtun]]))</f>
        <v>116.78450799999999</v>
      </c>
      <c r="L778" s="33">
        <v>116.78450799999999</v>
      </c>
      <c r="M778" s="33">
        <v>116.78450799999999</v>
      </c>
    </row>
    <row r="779" spans="1:13">
      <c r="A779" t="s">
        <v>105</v>
      </c>
      <c r="B779">
        <v>2002</v>
      </c>
      <c r="C779" s="16">
        <v>0</v>
      </c>
      <c r="D779" s="1">
        <v>8247877.7999999998</v>
      </c>
      <c r="E779" s="29">
        <f>Table13[[#This Row],[Ávöxtun]]*Table13[[#This Row],[Eignir]]/SUMIFS(Table13[Eignir],Table13[Year],Table13[[#This Row],[Year]])</f>
        <v>0</v>
      </c>
      <c r="F779" s="23">
        <f>IF(B779=1997, 100, IF(COUNTIF(A$1:A778,A779)=0, "NEW", F778*(1+Table13[[#This Row],[Ávöxtun]])))</f>
        <v>116.78450799999999</v>
      </c>
      <c r="G779" s="18" cm="1">
        <f t="array" ref="G779">IFERROR(_xlfn.IFS(ISNUMBER(Table13[[#This Row],[Column3]]),Table13[[#This Row],[Column3]],Table13[[#This Row],[Column3]]="NEW",Table13[[#This Row],[Column3]]),"")</f>
        <v>116.78450799999999</v>
      </c>
      <c r="H779" s="15" cm="1">
        <f t="array" ref="H779">_xlfn.IFS(Table13[[#This Row],[Column4]]="NEW",AVERAGEIFS(Table13[Column4],Table13[Year],Table13[[#This Row],[Year]]),ISNUMBER(Table13[[#This Row],[Column4]]),Table13[[#This Row],[Column4]],Table13[[#This Row],[Column4]]="",H778*(1+Table13[[#This Row],[Ávöxtun]]))</f>
        <v>116.78450799999999</v>
      </c>
      <c r="I779" cm="1">
        <f t="array" ref="I779">_xlfn.IFS(Table13[[#This Row],[Column4]]="NEW",_xlfn.XLOOKUP(Table13[[#This Row],[Year]],$N$2:$N$27,$P$2:$P$27),ISNUMBER(Table13[[#This Row],[Column4]]),Table13[[#This Row],[Column4]],Table13[[#This Row],[Column4]]="",I778*(1+Table13[[#This Row],[Ávöxtun]]))</f>
        <v>116.78450799999999</v>
      </c>
      <c r="L779" s="33">
        <v>116.78450799999999</v>
      </c>
      <c r="M779" s="33">
        <v>116.78450799999999</v>
      </c>
    </row>
    <row r="780" spans="1:13">
      <c r="A780" t="s">
        <v>105</v>
      </c>
      <c r="B780">
        <v>2003</v>
      </c>
      <c r="C780" s="16">
        <v>0.1</v>
      </c>
      <c r="D780" s="1">
        <v>9546638</v>
      </c>
      <c r="E780" s="29">
        <f>Table13[[#This Row],[Ávöxtun]]*Table13[[#This Row],[Eignir]]/SUMIFS(Table13[Eignir],Table13[Year],Table13[[#This Row],[Year]])</f>
        <v>1.4968270573905453E-3</v>
      </c>
      <c r="F780" s="23">
        <f>IF(B780=1997, 100, IF(COUNTIF(A$1:A779,A780)=0, "NEW", F779*(1+Table13[[#This Row],[Ávöxtun]])))</f>
        <v>128.4629588</v>
      </c>
      <c r="G780" s="18" cm="1">
        <f t="array" ref="G780">IFERROR(_xlfn.IFS(ISNUMBER(Table13[[#This Row],[Column3]]),Table13[[#This Row],[Column3]],Table13[[#This Row],[Column3]]="NEW",Table13[[#This Row],[Column3]]),"")</f>
        <v>128.4629588</v>
      </c>
      <c r="H780" s="15" cm="1">
        <f t="array" ref="H780">_xlfn.IFS(Table13[[#This Row],[Column4]]="NEW",AVERAGEIFS(Table13[Column4],Table13[Year],Table13[[#This Row],[Year]]),ISNUMBER(Table13[[#This Row],[Column4]]),Table13[[#This Row],[Column4]],Table13[[#This Row],[Column4]]="",H779*(1+Table13[[#This Row],[Ávöxtun]]))</f>
        <v>128.4629588</v>
      </c>
      <c r="I780" cm="1">
        <f t="array" ref="I780">_xlfn.IFS(Table13[[#This Row],[Column4]]="NEW",_xlfn.XLOOKUP(Table13[[#This Row],[Year]],$N$2:$N$27,$P$2:$P$27),ISNUMBER(Table13[[#This Row],[Column4]]),Table13[[#This Row],[Column4]],Table13[[#This Row],[Column4]]="",I779*(1+Table13[[#This Row],[Ávöxtun]]))</f>
        <v>128.4629588</v>
      </c>
      <c r="L780" s="33">
        <v>128.4629588</v>
      </c>
      <c r="M780" s="33">
        <v>128.4629588</v>
      </c>
    </row>
    <row r="781" spans="1:13">
      <c r="A781" t="s">
        <v>105</v>
      </c>
      <c r="B781">
        <v>2004</v>
      </c>
      <c r="C781" s="16">
        <v>0.11</v>
      </c>
      <c r="D781" s="1">
        <v>11233915</v>
      </c>
      <c r="E781" s="29">
        <f>Table13[[#This Row],[Ávöxtun]]*Table13[[#This Row],[Eignir]]/SUMIFS(Table13[Eignir],Table13[Year],Table13[[#This Row],[Year]])</f>
        <v>1.6267481624588048E-3</v>
      </c>
      <c r="F781" s="23">
        <f>IF(B781=1997, 100, IF(COUNTIF(A$1:A780,A781)=0, "NEW", F780*(1+Table13[[#This Row],[Ávöxtun]])))</f>
        <v>142.59388426800001</v>
      </c>
      <c r="G781" s="18" cm="1">
        <f t="array" ref="G781">IFERROR(_xlfn.IFS(ISNUMBER(Table13[[#This Row],[Column3]]),Table13[[#This Row],[Column3]],Table13[[#This Row],[Column3]]="NEW",Table13[[#This Row],[Column3]]),"")</f>
        <v>142.59388426800001</v>
      </c>
      <c r="H781" s="15" cm="1">
        <f t="array" ref="H781">_xlfn.IFS(Table13[[#This Row],[Column4]]="NEW",AVERAGEIFS(Table13[Column4],Table13[Year],Table13[[#This Row],[Year]]),ISNUMBER(Table13[[#This Row],[Column4]]),Table13[[#This Row],[Column4]],Table13[[#This Row],[Column4]]="",H780*(1+Table13[[#This Row],[Ávöxtun]]))</f>
        <v>142.59388426800001</v>
      </c>
      <c r="I781" cm="1">
        <f t="array" ref="I781">_xlfn.IFS(Table13[[#This Row],[Column4]]="NEW",_xlfn.XLOOKUP(Table13[[#This Row],[Year]],$N$2:$N$27,$P$2:$P$27),ISNUMBER(Table13[[#This Row],[Column4]]),Table13[[#This Row],[Column4]],Table13[[#This Row],[Column4]]="",I780*(1+Table13[[#This Row],[Ávöxtun]]))</f>
        <v>142.59388426800001</v>
      </c>
      <c r="L781" s="33">
        <v>142.59388426800001</v>
      </c>
      <c r="M781" s="33">
        <v>142.59388426800001</v>
      </c>
    </row>
    <row r="782" spans="1:13">
      <c r="A782" t="s">
        <v>105</v>
      </c>
      <c r="B782">
        <v>2005</v>
      </c>
      <c r="C782" s="16">
        <v>0.1</v>
      </c>
      <c r="D782" s="1">
        <v>13271719</v>
      </c>
      <c r="E782" s="29">
        <f>Table13[[#This Row],[Ávöxtun]]*Table13[[#This Row],[Eignir]]/SUMIFS(Table13[Eignir],Table13[Year],Table13[[#This Row],[Year]])</f>
        <v>1.4218542570050565E-3</v>
      </c>
      <c r="F782" s="23">
        <f>IF(B782=1997, 100, IF(COUNTIF(A$1:A781,A782)=0, "NEW", F781*(1+Table13[[#This Row],[Ávöxtun]])))</f>
        <v>156.85327269480001</v>
      </c>
      <c r="G782" s="18" cm="1">
        <f t="array" ref="G782">IFERROR(_xlfn.IFS(ISNUMBER(Table13[[#This Row],[Column3]]),Table13[[#This Row],[Column3]],Table13[[#This Row],[Column3]]="NEW",Table13[[#This Row],[Column3]]),"")</f>
        <v>156.85327269480001</v>
      </c>
      <c r="H782" s="15" cm="1">
        <f t="array" ref="H782">_xlfn.IFS(Table13[[#This Row],[Column4]]="NEW",AVERAGEIFS(Table13[Column4],Table13[Year],Table13[[#This Row],[Year]]),ISNUMBER(Table13[[#This Row],[Column4]]),Table13[[#This Row],[Column4]],Table13[[#This Row],[Column4]]="",H781*(1+Table13[[#This Row],[Ávöxtun]]))</f>
        <v>156.85327269480001</v>
      </c>
      <c r="I782" cm="1">
        <f t="array" ref="I782">_xlfn.IFS(Table13[[#This Row],[Column4]]="NEW",_xlfn.XLOOKUP(Table13[[#This Row],[Year]],$N$2:$N$27,$P$2:$P$27),ISNUMBER(Table13[[#This Row],[Column4]]),Table13[[#This Row],[Column4]],Table13[[#This Row],[Column4]]="",I781*(1+Table13[[#This Row],[Ávöxtun]]))</f>
        <v>156.85327269480001</v>
      </c>
      <c r="L782" s="33">
        <v>156.85327269480001</v>
      </c>
      <c r="M782" s="33">
        <v>156.85327269480001</v>
      </c>
    </row>
    <row r="783" spans="1:13">
      <c r="A783" t="s">
        <v>124</v>
      </c>
      <c r="B783">
        <v>1997</v>
      </c>
      <c r="C783" s="16">
        <v>0.08</v>
      </c>
      <c r="D783" s="1">
        <v>33298933.260000002</v>
      </c>
      <c r="E783" s="29">
        <f>Table13[[#This Row],[Ávöxtun]]*Table13[[#This Row],[Eignir]]/SUMIFS(Table13[Eignir],Table13[Year],Table13[[#This Row],[Year]])</f>
        <v>9.3354167182536658E-3</v>
      </c>
      <c r="F783" s="23">
        <f>IF(B783=1997, 100, IF(COUNTIF(A$1:A782,A783)=0, "NEW", F782*(1+Table13[[#This Row],[Ávöxtun]])))</f>
        <v>100</v>
      </c>
      <c r="G783" s="18" cm="1">
        <f t="array" ref="G783">IFERROR(_xlfn.IFS(ISNUMBER(Table13[[#This Row],[Column3]]),Table13[[#This Row],[Column3]],Table13[[#This Row],[Column3]]="NEW",Table13[[#This Row],[Column3]]),"")</f>
        <v>100</v>
      </c>
      <c r="H783" s="15" cm="1">
        <f t="array" ref="H783">_xlfn.IFS(Table13[[#This Row],[Column4]]="NEW",AVERAGEIFS(Table13[Column4],Table13[Year],Table13[[#This Row],[Year]]),ISNUMBER(Table13[[#This Row],[Column4]]),Table13[[#This Row],[Column4]],Table13[[#This Row],[Column4]]="",H782*(1+Table13[[#This Row],[Ávöxtun]]))</f>
        <v>100</v>
      </c>
      <c r="I783" cm="1">
        <f t="array" ref="I783">_xlfn.IFS(Table13[[#This Row],[Column4]]="NEW",_xlfn.XLOOKUP(Table13[[#This Row],[Year]],$N$2:$N$27,$P$2:$P$27),ISNUMBER(Table13[[#This Row],[Column4]]),Table13[[#This Row],[Column4]],Table13[[#This Row],[Column4]]="",I782*(1+Table13[[#This Row],[Ávöxtun]]))</f>
        <v>100</v>
      </c>
      <c r="L783" s="33">
        <v>100</v>
      </c>
      <c r="M783" s="33">
        <v>100</v>
      </c>
    </row>
    <row r="784" spans="1:13">
      <c r="A784" t="s">
        <v>124</v>
      </c>
      <c r="B784">
        <v>1998</v>
      </c>
      <c r="C784" s="16">
        <v>0.08</v>
      </c>
      <c r="D784" s="1">
        <v>37030389.799999997</v>
      </c>
      <c r="E784" s="29">
        <f>Table13[[#This Row],[Ávöxtun]]*Table13[[#This Row],[Eignir]]/SUMIFS(Table13[Eignir],Table13[Year],Table13[[#This Row],[Year]])</f>
        <v>8.9635256427072381E-3</v>
      </c>
      <c r="F784" s="23">
        <f>IF(B784=1997, 100, IF(COUNTIF(A$1:A783,A784)=0, "NEW", F783*(1+Table13[[#This Row],[Ávöxtun]])))</f>
        <v>108</v>
      </c>
      <c r="G784" s="18" cm="1">
        <f t="array" ref="G784">IFERROR(_xlfn.IFS(ISNUMBER(Table13[[#This Row],[Column3]]),Table13[[#This Row],[Column3]],Table13[[#This Row],[Column3]]="NEW",Table13[[#This Row],[Column3]]),"")</f>
        <v>108</v>
      </c>
      <c r="H784" s="15" cm="1">
        <f t="array" ref="H784">_xlfn.IFS(Table13[[#This Row],[Column4]]="NEW",AVERAGEIFS(Table13[Column4],Table13[Year],Table13[[#This Row],[Year]]),ISNUMBER(Table13[[#This Row],[Column4]]),Table13[[#This Row],[Column4]],Table13[[#This Row],[Column4]]="",H783*(1+Table13[[#This Row],[Ávöxtun]]))</f>
        <v>108</v>
      </c>
      <c r="I784" cm="1">
        <f t="array" ref="I784">_xlfn.IFS(Table13[[#This Row],[Column4]]="NEW",_xlfn.XLOOKUP(Table13[[#This Row],[Year]],$N$2:$N$27,$P$2:$P$27),ISNUMBER(Table13[[#This Row],[Column4]]),Table13[[#This Row],[Column4]],Table13[[#This Row],[Column4]]="",I783*(1+Table13[[#This Row],[Ávöxtun]]))</f>
        <v>108</v>
      </c>
      <c r="L784" s="33">
        <v>108</v>
      </c>
      <c r="M784" s="33">
        <v>108</v>
      </c>
    </row>
    <row r="785" spans="1:13">
      <c r="A785" t="s">
        <v>124</v>
      </c>
      <c r="B785">
        <v>1999</v>
      </c>
      <c r="C785" s="16">
        <v>0.15</v>
      </c>
      <c r="D785" s="1">
        <v>46338131.829999998</v>
      </c>
      <c r="E785" s="29">
        <f>Table13[[#This Row],[Ávöxtun]]*Table13[[#This Row],[Eignir]]/SUMIFS(Table13[Eignir],Table13[Year],Table13[[#This Row],[Year]])</f>
        <v>1.5657453726948184E-2</v>
      </c>
      <c r="F785" s="23">
        <f>IF(B785=1997, 100, IF(COUNTIF(A$1:A784,A785)=0, "NEW", F784*(1+Table13[[#This Row],[Ávöxtun]])))</f>
        <v>124.19999999999999</v>
      </c>
      <c r="G785" s="18" cm="1">
        <f t="array" ref="G785">IFERROR(_xlfn.IFS(ISNUMBER(Table13[[#This Row],[Column3]]),Table13[[#This Row],[Column3]],Table13[[#This Row],[Column3]]="NEW",Table13[[#This Row],[Column3]]),"")</f>
        <v>124.19999999999999</v>
      </c>
      <c r="H785" s="15" cm="1">
        <f t="array" ref="H785">_xlfn.IFS(Table13[[#This Row],[Column4]]="NEW",AVERAGEIFS(Table13[Column4],Table13[Year],Table13[[#This Row],[Year]]),ISNUMBER(Table13[[#This Row],[Column4]]),Table13[[#This Row],[Column4]],Table13[[#This Row],[Column4]]="",H784*(1+Table13[[#This Row],[Ávöxtun]]))</f>
        <v>124.19999999999999</v>
      </c>
      <c r="I785" cm="1">
        <f t="array" ref="I785">_xlfn.IFS(Table13[[#This Row],[Column4]]="NEW",_xlfn.XLOOKUP(Table13[[#This Row],[Year]],$N$2:$N$27,$P$2:$P$27),ISNUMBER(Table13[[#This Row],[Column4]]),Table13[[#This Row],[Column4]],Table13[[#This Row],[Column4]]="",I784*(1+Table13[[#This Row],[Ávöxtun]]))</f>
        <v>124.19999999999999</v>
      </c>
      <c r="L785" s="33">
        <v>124.19999999999999</v>
      </c>
      <c r="M785" s="33">
        <v>124.19999999999999</v>
      </c>
    </row>
    <row r="786" spans="1:13">
      <c r="A786" t="s">
        <v>124</v>
      </c>
      <c r="B786">
        <v>2000</v>
      </c>
      <c r="C786" s="16">
        <v>-0.01</v>
      </c>
      <c r="D786" s="1">
        <v>48711789.770000003</v>
      </c>
      <c r="E786" s="29">
        <f>Table13[[#This Row],[Ávöxtun]]*Table13[[#This Row],[Eignir]]/SUMIFS(Table13[Eignir],Table13[Year],Table13[[#This Row],[Year]])</f>
        <v>-7.8003560462742766E-4</v>
      </c>
      <c r="F786" s="23">
        <f>IF(B786=1997, 100, IF(COUNTIF(A$1:A785,A786)=0, "NEW", F785*(1+Table13[[#This Row],[Ávöxtun]])))</f>
        <v>122.95799999999998</v>
      </c>
      <c r="G786" s="18" cm="1">
        <f t="array" ref="G786">IFERROR(_xlfn.IFS(ISNUMBER(Table13[[#This Row],[Column3]]),Table13[[#This Row],[Column3]],Table13[[#This Row],[Column3]]="NEW",Table13[[#This Row],[Column3]]),"")</f>
        <v>122.95799999999998</v>
      </c>
      <c r="H786" s="15" cm="1">
        <f t="array" ref="H786">_xlfn.IFS(Table13[[#This Row],[Column4]]="NEW",AVERAGEIFS(Table13[Column4],Table13[Year],Table13[[#This Row],[Year]]),ISNUMBER(Table13[[#This Row],[Column4]]),Table13[[#This Row],[Column4]],Table13[[#This Row],[Column4]]="",H785*(1+Table13[[#This Row],[Ávöxtun]]))</f>
        <v>122.95799999999998</v>
      </c>
      <c r="I786" cm="1">
        <f t="array" ref="I786">_xlfn.IFS(Table13[[#This Row],[Column4]]="NEW",_xlfn.XLOOKUP(Table13[[#This Row],[Year]],$N$2:$N$27,$P$2:$P$27),ISNUMBER(Table13[[#This Row],[Column4]]),Table13[[#This Row],[Column4]],Table13[[#This Row],[Column4]]="",I785*(1+Table13[[#This Row],[Ávöxtun]]))</f>
        <v>122.95799999999998</v>
      </c>
      <c r="L786" s="33">
        <v>122.95799999999998</v>
      </c>
      <c r="M786" s="33">
        <v>122.95799999999998</v>
      </c>
    </row>
    <row r="787" spans="1:13">
      <c r="A787" t="s">
        <v>124</v>
      </c>
      <c r="B787">
        <v>2001</v>
      </c>
      <c r="C787" s="16">
        <v>-0.05</v>
      </c>
      <c r="D787" s="1">
        <v>104961845.41</v>
      </c>
      <c r="E787" s="29">
        <f>Table13[[#This Row],[Ávöxtun]]*Table13[[#This Row],[Eignir]]/SUMIFS(Table13[Eignir],Table13[Year],Table13[[#This Row],[Year]])</f>
        <v>-5.4608440368600769E-3</v>
      </c>
      <c r="F787" s="23">
        <f>IF(B787=1997, 100, IF(COUNTIF(A$1:A786,A787)=0, "NEW", F786*(1+Table13[[#This Row],[Ávöxtun]])))</f>
        <v>116.81009999999998</v>
      </c>
      <c r="G787" s="18" cm="1">
        <f t="array" ref="G787">IFERROR(_xlfn.IFS(ISNUMBER(Table13[[#This Row],[Column3]]),Table13[[#This Row],[Column3]],Table13[[#This Row],[Column3]]="NEW",Table13[[#This Row],[Column3]]),"")</f>
        <v>116.81009999999998</v>
      </c>
      <c r="H787" s="15" cm="1">
        <f t="array" ref="H787">_xlfn.IFS(Table13[[#This Row],[Column4]]="NEW",AVERAGEIFS(Table13[Column4],Table13[Year],Table13[[#This Row],[Year]]),ISNUMBER(Table13[[#This Row],[Column4]]),Table13[[#This Row],[Column4]],Table13[[#This Row],[Column4]]="",H786*(1+Table13[[#This Row],[Ávöxtun]]))</f>
        <v>116.81009999999998</v>
      </c>
      <c r="I787" cm="1">
        <f t="array" ref="I787">_xlfn.IFS(Table13[[#This Row],[Column4]]="NEW",_xlfn.XLOOKUP(Table13[[#This Row],[Year]],$N$2:$N$27,$P$2:$P$27),ISNUMBER(Table13[[#This Row],[Column4]]),Table13[[#This Row],[Column4]],Table13[[#This Row],[Column4]]="",I786*(1+Table13[[#This Row],[Ávöxtun]]))</f>
        <v>116.81009999999998</v>
      </c>
      <c r="L787" s="33">
        <v>116.81009999999998</v>
      </c>
      <c r="M787" s="33">
        <v>116.81009999999998</v>
      </c>
    </row>
    <row r="788" spans="1:13">
      <c r="A788" t="s">
        <v>124</v>
      </c>
      <c r="B788">
        <v>2002</v>
      </c>
      <c r="C788" s="16">
        <v>-0.01</v>
      </c>
      <c r="D788" s="1">
        <v>53465137.770000003</v>
      </c>
      <c r="E788" s="29">
        <f>Table13[[#This Row],[Ávöxtun]]*Table13[[#This Row],[Eignir]]/SUMIFS(Table13[Eignir],Table13[Year],Table13[[#This Row],[Year]])</f>
        <v>-1.0033201032290514E-3</v>
      </c>
      <c r="F788" s="23">
        <f>IF(B788=1997, 100, IF(COUNTIF(A$1:A787,A788)=0, "NEW", F787*(1+Table13[[#This Row],[Ávöxtun]])))</f>
        <v>115.64199899999997</v>
      </c>
      <c r="G788" s="18" cm="1">
        <f t="array" ref="G788">IFERROR(_xlfn.IFS(ISNUMBER(Table13[[#This Row],[Column3]]),Table13[[#This Row],[Column3]],Table13[[#This Row],[Column3]]="NEW",Table13[[#This Row],[Column3]]),"")</f>
        <v>115.64199899999997</v>
      </c>
      <c r="H788" s="15" cm="1">
        <f t="array" ref="H788">_xlfn.IFS(Table13[[#This Row],[Column4]]="NEW",AVERAGEIFS(Table13[Column4],Table13[Year],Table13[[#This Row],[Year]]),ISNUMBER(Table13[[#This Row],[Column4]]),Table13[[#This Row],[Column4]],Table13[[#This Row],[Column4]]="",H787*(1+Table13[[#This Row],[Ávöxtun]]))</f>
        <v>115.64199899999997</v>
      </c>
      <c r="I788" cm="1">
        <f t="array" ref="I788">_xlfn.IFS(Table13[[#This Row],[Column4]]="NEW",_xlfn.XLOOKUP(Table13[[#This Row],[Year]],$N$2:$N$27,$P$2:$P$27),ISNUMBER(Table13[[#This Row],[Column4]]),Table13[[#This Row],[Column4]],Table13[[#This Row],[Column4]]="",I787*(1+Table13[[#This Row],[Ávöxtun]]))</f>
        <v>115.64199899999997</v>
      </c>
      <c r="L788" s="33">
        <v>115.64199899999997</v>
      </c>
      <c r="M788" s="33">
        <v>115.64199899999997</v>
      </c>
    </row>
    <row r="789" spans="1:13">
      <c r="A789" t="s">
        <v>124</v>
      </c>
      <c r="B789">
        <v>2003</v>
      </c>
      <c r="C789" s="16">
        <v>0.14000000000000001</v>
      </c>
      <c r="D789" s="1">
        <v>63621502</v>
      </c>
      <c r="E789" s="29">
        <f>Table13[[#This Row],[Ávöxtun]]*Table13[[#This Row],[Eignir]]/SUMIFS(Table13[Eignir],Table13[Year],Table13[[#This Row],[Year]])</f>
        <v>1.3965391782489015E-2</v>
      </c>
      <c r="F789" s="23">
        <f>IF(B789=1997, 100, IF(COUNTIF(A$1:A788,A789)=0, "NEW", F788*(1+Table13[[#This Row],[Ávöxtun]])))</f>
        <v>131.83187885999999</v>
      </c>
      <c r="G789" s="18" cm="1">
        <f t="array" ref="G789">IFERROR(_xlfn.IFS(ISNUMBER(Table13[[#This Row],[Column3]]),Table13[[#This Row],[Column3]],Table13[[#This Row],[Column3]]="NEW",Table13[[#This Row],[Column3]]),"")</f>
        <v>131.83187885999999</v>
      </c>
      <c r="H789" s="15" cm="1">
        <f t="array" ref="H789">_xlfn.IFS(Table13[[#This Row],[Column4]]="NEW",AVERAGEIFS(Table13[Column4],Table13[Year],Table13[[#This Row],[Year]]),ISNUMBER(Table13[[#This Row],[Column4]]),Table13[[#This Row],[Column4]],Table13[[#This Row],[Column4]]="",H788*(1+Table13[[#This Row],[Ávöxtun]]))</f>
        <v>131.83187885999999</v>
      </c>
      <c r="I789" cm="1">
        <f t="array" ref="I789">_xlfn.IFS(Table13[[#This Row],[Column4]]="NEW",_xlfn.XLOOKUP(Table13[[#This Row],[Year]],$N$2:$N$27,$P$2:$P$27),ISNUMBER(Table13[[#This Row],[Column4]]),Table13[[#This Row],[Column4]],Table13[[#This Row],[Column4]]="",I788*(1+Table13[[#This Row],[Ávöxtun]]))</f>
        <v>131.83187885999999</v>
      </c>
      <c r="L789" s="33">
        <v>131.83187885999999</v>
      </c>
      <c r="M789" s="33">
        <v>131.83187885999999</v>
      </c>
    </row>
    <row r="790" spans="1:13">
      <c r="A790" t="s">
        <v>124</v>
      </c>
      <c r="B790">
        <v>2004</v>
      </c>
      <c r="C790" s="16">
        <v>0.14000000000000001</v>
      </c>
      <c r="D790" s="1">
        <v>76386821.939999998</v>
      </c>
      <c r="E790" s="29">
        <f>Table13[[#This Row],[Ávöxtun]]*Table13[[#This Row],[Eignir]]/SUMIFS(Table13[Eignir],Table13[Year],Table13[[#This Row],[Year]])</f>
        <v>1.4078065565319441E-2</v>
      </c>
      <c r="F790" s="23">
        <f>IF(B790=1997, 100, IF(COUNTIF(A$1:A789,A790)=0, "NEW", F789*(1+Table13[[#This Row],[Ávöxtun]])))</f>
        <v>150.28834190040001</v>
      </c>
      <c r="G790" s="18" cm="1">
        <f t="array" ref="G790">IFERROR(_xlfn.IFS(ISNUMBER(Table13[[#This Row],[Column3]]),Table13[[#This Row],[Column3]],Table13[[#This Row],[Column3]]="NEW",Table13[[#This Row],[Column3]]),"")</f>
        <v>150.28834190040001</v>
      </c>
      <c r="H790" s="15" cm="1">
        <f t="array" ref="H790">_xlfn.IFS(Table13[[#This Row],[Column4]]="NEW",AVERAGEIFS(Table13[Column4],Table13[Year],Table13[[#This Row],[Year]]),ISNUMBER(Table13[[#This Row],[Column4]]),Table13[[#This Row],[Column4]],Table13[[#This Row],[Column4]]="",H789*(1+Table13[[#This Row],[Ávöxtun]]))</f>
        <v>150.28834190040001</v>
      </c>
      <c r="I790" cm="1">
        <f t="array" ref="I790">_xlfn.IFS(Table13[[#This Row],[Column4]]="NEW",_xlfn.XLOOKUP(Table13[[#This Row],[Year]],$N$2:$N$27,$P$2:$P$27),ISNUMBER(Table13[[#This Row],[Column4]]),Table13[[#This Row],[Column4]],Table13[[#This Row],[Column4]]="",I789*(1+Table13[[#This Row],[Ávöxtun]]))</f>
        <v>150.28834190040001</v>
      </c>
      <c r="L790" s="33">
        <v>150.28834190040001</v>
      </c>
      <c r="M790" s="33">
        <v>150.28834190040001</v>
      </c>
    </row>
    <row r="791" spans="1:13">
      <c r="A791" t="s">
        <v>125</v>
      </c>
      <c r="B791">
        <v>1997</v>
      </c>
      <c r="C791" s="16">
        <v>0.1</v>
      </c>
      <c r="D791" s="1">
        <v>10050859.49</v>
      </c>
      <c r="E791" s="29">
        <f>Table13[[#This Row],[Ávöxtun]]*Table13[[#This Row],[Eignir]]/SUMIFS(Table13[Eignir],Table13[Year],Table13[[#This Row],[Year]])</f>
        <v>3.5222210041663546E-3</v>
      </c>
      <c r="F791" s="23">
        <f>IF(B791=1997, 100, IF(COUNTIF(A$1:A790,A791)=0, "NEW", F790*(1+Table13[[#This Row],[Ávöxtun]])))</f>
        <v>100</v>
      </c>
      <c r="G791" s="18" cm="1">
        <f t="array" ref="G791">IFERROR(_xlfn.IFS(ISNUMBER(Table13[[#This Row],[Column3]]),Table13[[#This Row],[Column3]],Table13[[#This Row],[Column3]]="NEW",Table13[[#This Row],[Column3]]),"")</f>
        <v>100</v>
      </c>
      <c r="H791" s="15" cm="1">
        <f t="array" ref="H791">_xlfn.IFS(Table13[[#This Row],[Column4]]="NEW",AVERAGEIFS(Table13[Column4],Table13[Year],Table13[[#This Row],[Year]]),ISNUMBER(Table13[[#This Row],[Column4]]),Table13[[#This Row],[Column4]],Table13[[#This Row],[Column4]]="",H790*(1+Table13[[#This Row],[Ávöxtun]]))</f>
        <v>100</v>
      </c>
      <c r="I791" cm="1">
        <f t="array" ref="I791">_xlfn.IFS(Table13[[#This Row],[Column4]]="NEW",_xlfn.XLOOKUP(Table13[[#This Row],[Year]],$N$2:$N$27,$P$2:$P$27),ISNUMBER(Table13[[#This Row],[Column4]]),Table13[[#This Row],[Column4]],Table13[[#This Row],[Column4]]="",I790*(1+Table13[[#This Row],[Ávöxtun]]))</f>
        <v>100</v>
      </c>
      <c r="L791" s="33">
        <v>100</v>
      </c>
      <c r="M791" s="33">
        <v>100</v>
      </c>
    </row>
    <row r="792" spans="1:13">
      <c r="A792" t="s">
        <v>125</v>
      </c>
      <c r="B792">
        <v>1998</v>
      </c>
      <c r="C792" s="16">
        <v>0.05</v>
      </c>
      <c r="D792" s="1">
        <v>11379300.15</v>
      </c>
      <c r="E792" s="29">
        <f>Table13[[#This Row],[Ávöxtun]]*Table13[[#This Row],[Eignir]]/SUMIFS(Table13[Eignir],Table13[Year],Table13[[#This Row],[Year]])</f>
        <v>1.7215361700463948E-3</v>
      </c>
      <c r="F792" s="23">
        <f>IF(B792=1997, 100, IF(COUNTIF(A$1:A791,A792)=0, "NEW", F791*(1+Table13[[#This Row],[Ávöxtun]])))</f>
        <v>105</v>
      </c>
      <c r="G792" s="18" cm="1">
        <f t="array" ref="G792">IFERROR(_xlfn.IFS(ISNUMBER(Table13[[#This Row],[Column3]]),Table13[[#This Row],[Column3]],Table13[[#This Row],[Column3]]="NEW",Table13[[#This Row],[Column3]]),"")</f>
        <v>105</v>
      </c>
      <c r="H792" s="15" cm="1">
        <f t="array" ref="H792">_xlfn.IFS(Table13[[#This Row],[Column4]]="NEW",AVERAGEIFS(Table13[Column4],Table13[Year],Table13[[#This Row],[Year]]),ISNUMBER(Table13[[#This Row],[Column4]]),Table13[[#This Row],[Column4]],Table13[[#This Row],[Column4]]="",H791*(1+Table13[[#This Row],[Ávöxtun]]))</f>
        <v>105</v>
      </c>
      <c r="I792" cm="1">
        <f t="array" ref="I792">_xlfn.IFS(Table13[[#This Row],[Column4]]="NEW",_xlfn.XLOOKUP(Table13[[#This Row],[Year]],$N$2:$N$27,$P$2:$P$27),ISNUMBER(Table13[[#This Row],[Column4]]),Table13[[#This Row],[Column4]],Table13[[#This Row],[Column4]]="",I791*(1+Table13[[#This Row],[Ávöxtun]]))</f>
        <v>105</v>
      </c>
      <c r="L792" s="33">
        <v>105</v>
      </c>
      <c r="M792" s="33">
        <v>105</v>
      </c>
    </row>
    <row r="793" spans="1:13">
      <c r="A793" t="s">
        <v>125</v>
      </c>
      <c r="B793">
        <v>1999</v>
      </c>
      <c r="C793" s="16">
        <v>0.14000000000000001</v>
      </c>
      <c r="D793" s="1">
        <v>14690531.02</v>
      </c>
      <c r="E793" s="29">
        <f>Table13[[#This Row],[Ávöxtun]]*Table13[[#This Row],[Eignir]]/SUMIFS(Table13[Eignir],Table13[Year],Table13[[#This Row],[Year]])</f>
        <v>4.6329422561290131E-3</v>
      </c>
      <c r="F793" s="23">
        <f>IF(B793=1997, 100, IF(COUNTIF(A$1:A792,A793)=0, "NEW", F792*(1+Table13[[#This Row],[Ávöxtun]])))</f>
        <v>119.70000000000002</v>
      </c>
      <c r="G793" s="18" cm="1">
        <f t="array" ref="G793">IFERROR(_xlfn.IFS(ISNUMBER(Table13[[#This Row],[Column3]]),Table13[[#This Row],[Column3]],Table13[[#This Row],[Column3]]="NEW",Table13[[#This Row],[Column3]]),"")</f>
        <v>119.70000000000002</v>
      </c>
      <c r="H793" s="15" cm="1">
        <f t="array" ref="H793">_xlfn.IFS(Table13[[#This Row],[Column4]]="NEW",AVERAGEIFS(Table13[Column4],Table13[Year],Table13[[#This Row],[Year]]),ISNUMBER(Table13[[#This Row],[Column4]]),Table13[[#This Row],[Column4]],Table13[[#This Row],[Column4]]="",H792*(1+Table13[[#This Row],[Ávöxtun]]))</f>
        <v>119.70000000000002</v>
      </c>
      <c r="I793" cm="1">
        <f t="array" ref="I793">_xlfn.IFS(Table13[[#This Row],[Column4]]="NEW",_xlfn.XLOOKUP(Table13[[#This Row],[Year]],$N$2:$N$27,$P$2:$P$27),ISNUMBER(Table13[[#This Row],[Column4]]),Table13[[#This Row],[Column4]],Table13[[#This Row],[Column4]]="",I792*(1+Table13[[#This Row],[Ávöxtun]]))</f>
        <v>119.70000000000002</v>
      </c>
      <c r="L793" s="33">
        <v>119.70000000000002</v>
      </c>
      <c r="M793" s="33">
        <v>119.70000000000002</v>
      </c>
    </row>
    <row r="794" spans="1:13">
      <c r="A794" t="s">
        <v>125</v>
      </c>
      <c r="B794">
        <v>2000</v>
      </c>
      <c r="C794" s="16">
        <v>0</v>
      </c>
      <c r="D794" s="1">
        <v>16290384.630000001</v>
      </c>
      <c r="E794" s="29">
        <f>Table13[[#This Row],[Ávöxtun]]*Table13[[#This Row],[Eignir]]/SUMIFS(Table13[Eignir],Table13[Year],Table13[[#This Row],[Year]])</f>
        <v>0</v>
      </c>
      <c r="F794" s="23">
        <f>IF(B794=1997, 100, IF(COUNTIF(A$1:A793,A794)=0, "NEW", F793*(1+Table13[[#This Row],[Ávöxtun]])))</f>
        <v>119.70000000000002</v>
      </c>
      <c r="G794" s="18" cm="1">
        <f t="array" ref="G794">IFERROR(_xlfn.IFS(ISNUMBER(Table13[[#This Row],[Column3]]),Table13[[#This Row],[Column3]],Table13[[#This Row],[Column3]]="NEW",Table13[[#This Row],[Column3]]),"")</f>
        <v>119.70000000000002</v>
      </c>
      <c r="H794" s="15" cm="1">
        <f t="array" ref="H794">_xlfn.IFS(Table13[[#This Row],[Column4]]="NEW",AVERAGEIFS(Table13[Column4],Table13[Year],Table13[[#This Row],[Year]]),ISNUMBER(Table13[[#This Row],[Column4]]),Table13[[#This Row],[Column4]],Table13[[#This Row],[Column4]]="",H793*(1+Table13[[#This Row],[Ávöxtun]]))</f>
        <v>119.70000000000002</v>
      </c>
      <c r="I794" cm="1">
        <f t="array" ref="I794">_xlfn.IFS(Table13[[#This Row],[Column4]]="NEW",_xlfn.XLOOKUP(Table13[[#This Row],[Year]],$N$2:$N$27,$P$2:$P$27),ISNUMBER(Table13[[#This Row],[Column4]]),Table13[[#This Row],[Column4]],Table13[[#This Row],[Column4]]="",I793*(1+Table13[[#This Row],[Ávöxtun]]))</f>
        <v>119.70000000000002</v>
      </c>
      <c r="L794" s="33">
        <v>119.70000000000002</v>
      </c>
      <c r="M794" s="33">
        <v>119.70000000000002</v>
      </c>
    </row>
    <row r="795" spans="1:13">
      <c r="A795" t="s">
        <v>125</v>
      </c>
      <c r="B795">
        <v>2001</v>
      </c>
      <c r="C795" s="16">
        <v>-0.1</v>
      </c>
      <c r="D795" s="1">
        <v>36572592.369999997</v>
      </c>
      <c r="E795" s="29">
        <f>Table13[[#This Row],[Ávöxtun]]*Table13[[#This Row],[Eignir]]/SUMIFS(Table13[Eignir],Table13[Year],Table13[[#This Row],[Year]])</f>
        <v>-3.8055204188931152E-3</v>
      </c>
      <c r="F795" s="23">
        <f>IF(B795=1997, 100, IF(COUNTIF(A$1:A794,A795)=0, "NEW", F794*(1+Table13[[#This Row],[Ávöxtun]])))</f>
        <v>107.73000000000002</v>
      </c>
      <c r="G795" s="18" cm="1">
        <f t="array" ref="G795">IFERROR(_xlfn.IFS(ISNUMBER(Table13[[#This Row],[Column3]]),Table13[[#This Row],[Column3]],Table13[[#This Row],[Column3]]="NEW",Table13[[#This Row],[Column3]]),"")</f>
        <v>107.73000000000002</v>
      </c>
      <c r="H795" s="15" cm="1">
        <f t="array" ref="H795">_xlfn.IFS(Table13[[#This Row],[Column4]]="NEW",AVERAGEIFS(Table13[Column4],Table13[Year],Table13[[#This Row],[Year]]),ISNUMBER(Table13[[#This Row],[Column4]]),Table13[[#This Row],[Column4]],Table13[[#This Row],[Column4]]="",H794*(1+Table13[[#This Row],[Ávöxtun]]))</f>
        <v>107.73000000000002</v>
      </c>
      <c r="I795" cm="1">
        <f t="array" ref="I795">_xlfn.IFS(Table13[[#This Row],[Column4]]="NEW",_xlfn.XLOOKUP(Table13[[#This Row],[Year]],$N$2:$N$27,$P$2:$P$27),ISNUMBER(Table13[[#This Row],[Column4]]),Table13[[#This Row],[Column4]],Table13[[#This Row],[Column4]]="",I794*(1+Table13[[#This Row],[Ávöxtun]]))</f>
        <v>107.73000000000002</v>
      </c>
      <c r="L795" s="33">
        <v>107.73000000000002</v>
      </c>
      <c r="M795" s="33">
        <v>107.73000000000002</v>
      </c>
    </row>
    <row r="796" spans="1:13">
      <c r="A796" t="s">
        <v>125</v>
      </c>
      <c r="B796">
        <v>2002</v>
      </c>
      <c r="C796" s="16">
        <v>-0.04</v>
      </c>
      <c r="D796" s="1">
        <v>18858028</v>
      </c>
      <c r="E796" s="29">
        <f>Table13[[#This Row],[Ávöxtun]]*Table13[[#This Row],[Eignir]]/SUMIFS(Table13[Eignir],Table13[Year],Table13[[#This Row],[Year]])</f>
        <v>-1.4155496002685294E-3</v>
      </c>
      <c r="F796" s="23">
        <f>IF(B796=1997, 100, IF(COUNTIF(A$1:A795,A796)=0, "NEW", F795*(1+Table13[[#This Row],[Ávöxtun]])))</f>
        <v>103.42080000000001</v>
      </c>
      <c r="G796" s="18" cm="1">
        <f t="array" ref="G796">IFERROR(_xlfn.IFS(ISNUMBER(Table13[[#This Row],[Column3]]),Table13[[#This Row],[Column3]],Table13[[#This Row],[Column3]]="NEW",Table13[[#This Row],[Column3]]),"")</f>
        <v>103.42080000000001</v>
      </c>
      <c r="H796" s="15" cm="1">
        <f t="array" ref="H796">_xlfn.IFS(Table13[[#This Row],[Column4]]="NEW",AVERAGEIFS(Table13[Column4],Table13[Year],Table13[[#This Row],[Year]]),ISNUMBER(Table13[[#This Row],[Column4]]),Table13[[#This Row],[Column4]],Table13[[#This Row],[Column4]]="",H795*(1+Table13[[#This Row],[Ávöxtun]]))</f>
        <v>103.42080000000001</v>
      </c>
      <c r="I796" cm="1">
        <f t="array" ref="I796">_xlfn.IFS(Table13[[#This Row],[Column4]]="NEW",_xlfn.XLOOKUP(Table13[[#This Row],[Year]],$N$2:$N$27,$P$2:$P$27),ISNUMBER(Table13[[#This Row],[Column4]]),Table13[[#This Row],[Column4]],Table13[[#This Row],[Column4]]="",I795*(1+Table13[[#This Row],[Ávöxtun]]))</f>
        <v>103.42080000000001</v>
      </c>
      <c r="L796" s="33">
        <v>103.42080000000001</v>
      </c>
      <c r="M796" s="33">
        <v>103.42080000000001</v>
      </c>
    </row>
    <row r="797" spans="1:13">
      <c r="A797" t="s">
        <v>125</v>
      </c>
      <c r="B797">
        <v>2003</v>
      </c>
      <c r="C797" s="16">
        <v>0.1</v>
      </c>
      <c r="D797" s="1">
        <v>22526414</v>
      </c>
      <c r="E797" s="29">
        <f>Table13[[#This Row],[Ávöxtun]]*Table13[[#This Row],[Eignir]]/SUMIFS(Table13[Eignir],Table13[Year],Table13[[#This Row],[Year]])</f>
        <v>3.5319393048297396E-3</v>
      </c>
      <c r="F797" s="23">
        <f>IF(B797=1997, 100, IF(COUNTIF(A$1:A796,A797)=0, "NEW", F796*(1+Table13[[#This Row],[Ávöxtun]])))</f>
        <v>113.76288000000002</v>
      </c>
      <c r="G797" s="18" cm="1">
        <f t="array" ref="G797">IFERROR(_xlfn.IFS(ISNUMBER(Table13[[#This Row],[Column3]]),Table13[[#This Row],[Column3]],Table13[[#This Row],[Column3]]="NEW",Table13[[#This Row],[Column3]]),"")</f>
        <v>113.76288000000002</v>
      </c>
      <c r="H797" s="15" cm="1">
        <f t="array" ref="H797">_xlfn.IFS(Table13[[#This Row],[Column4]]="NEW",AVERAGEIFS(Table13[Column4],Table13[Year],Table13[[#This Row],[Year]]),ISNUMBER(Table13[[#This Row],[Column4]]),Table13[[#This Row],[Column4]],Table13[[#This Row],[Column4]]="",H796*(1+Table13[[#This Row],[Ávöxtun]]))</f>
        <v>113.76288000000002</v>
      </c>
      <c r="I797" cm="1">
        <f t="array" ref="I797">_xlfn.IFS(Table13[[#This Row],[Column4]]="NEW",_xlfn.XLOOKUP(Table13[[#This Row],[Year]],$N$2:$N$27,$P$2:$P$27),ISNUMBER(Table13[[#This Row],[Column4]]),Table13[[#This Row],[Column4]],Table13[[#This Row],[Column4]]="",I796*(1+Table13[[#This Row],[Ávöxtun]]))</f>
        <v>113.76288000000002</v>
      </c>
      <c r="L797" s="33">
        <v>113.76288000000002</v>
      </c>
      <c r="M797" s="33">
        <v>113.76288000000002</v>
      </c>
    </row>
    <row r="798" spans="1:13">
      <c r="A798" t="s">
        <v>125</v>
      </c>
      <c r="B798">
        <v>2004</v>
      </c>
      <c r="C798" s="16">
        <v>0.09</v>
      </c>
      <c r="D798" s="1">
        <v>26830629</v>
      </c>
      <c r="E798" s="29">
        <f>Table13[[#This Row],[Ávöxtun]]*Table13[[#This Row],[Eignir]]/SUMIFS(Table13[Eignir],Table13[Year],Table13[[#This Row],[Year]])</f>
        <v>3.1788487872359181E-3</v>
      </c>
      <c r="F798" s="23">
        <f>IF(B798=1997, 100, IF(COUNTIF(A$1:A797,A798)=0, "NEW", F797*(1+Table13[[#This Row],[Ávöxtun]])))</f>
        <v>124.00153920000004</v>
      </c>
      <c r="G798" s="18" cm="1">
        <f t="array" ref="G798">IFERROR(_xlfn.IFS(ISNUMBER(Table13[[#This Row],[Column3]]),Table13[[#This Row],[Column3]],Table13[[#This Row],[Column3]]="NEW",Table13[[#This Row],[Column3]]),"")</f>
        <v>124.00153920000004</v>
      </c>
      <c r="H798" s="15" cm="1">
        <f t="array" ref="H798">_xlfn.IFS(Table13[[#This Row],[Column4]]="NEW",AVERAGEIFS(Table13[Column4],Table13[Year],Table13[[#This Row],[Year]]),ISNUMBER(Table13[[#This Row],[Column4]]),Table13[[#This Row],[Column4]],Table13[[#This Row],[Column4]]="",H797*(1+Table13[[#This Row],[Ávöxtun]]))</f>
        <v>124.00153920000004</v>
      </c>
      <c r="I798" cm="1">
        <f t="array" ref="I798">_xlfn.IFS(Table13[[#This Row],[Column4]]="NEW",_xlfn.XLOOKUP(Table13[[#This Row],[Year]],$N$2:$N$27,$P$2:$P$27),ISNUMBER(Table13[[#This Row],[Column4]]),Table13[[#This Row],[Column4]],Table13[[#This Row],[Column4]]="",I797*(1+Table13[[#This Row],[Ávöxtun]]))</f>
        <v>124.00153920000004</v>
      </c>
      <c r="L798" s="33">
        <v>124.00153920000004</v>
      </c>
      <c r="M798" s="33">
        <v>124.00153920000004</v>
      </c>
    </row>
    <row r="799" spans="1:13">
      <c r="A799" t="s">
        <v>125</v>
      </c>
      <c r="B799">
        <v>2005</v>
      </c>
      <c r="C799" s="16">
        <v>0.11</v>
      </c>
      <c r="D799" s="1">
        <v>32675798</v>
      </c>
      <c r="E799" s="29">
        <f>Table13[[#This Row],[Ávöxtun]]*Table13[[#This Row],[Eignir]]/SUMIFS(Table13[Eignir],Table13[Year],Table13[[#This Row],[Year]])</f>
        <v>3.8507630199276395E-3</v>
      </c>
      <c r="F799" s="23">
        <f>IF(B799=1997, 100, IF(COUNTIF(A$1:A798,A799)=0, "NEW", F798*(1+Table13[[#This Row],[Ávöxtun]])))</f>
        <v>137.64170851200006</v>
      </c>
      <c r="G799" s="18" cm="1">
        <f t="array" ref="G799">IFERROR(_xlfn.IFS(ISNUMBER(Table13[[#This Row],[Column3]]),Table13[[#This Row],[Column3]],Table13[[#This Row],[Column3]]="NEW",Table13[[#This Row],[Column3]]),"")</f>
        <v>137.64170851200006</v>
      </c>
      <c r="H799" s="15" cm="1">
        <f t="array" ref="H799">_xlfn.IFS(Table13[[#This Row],[Column4]]="NEW",AVERAGEIFS(Table13[Column4],Table13[Year],Table13[[#This Row],[Year]]),ISNUMBER(Table13[[#This Row],[Column4]]),Table13[[#This Row],[Column4]],Table13[[#This Row],[Column4]]="",H798*(1+Table13[[#This Row],[Ávöxtun]]))</f>
        <v>137.64170851200006</v>
      </c>
      <c r="I799" cm="1">
        <f t="array" ref="I799">_xlfn.IFS(Table13[[#This Row],[Column4]]="NEW",_xlfn.XLOOKUP(Table13[[#This Row],[Year]],$N$2:$N$27,$P$2:$P$27),ISNUMBER(Table13[[#This Row],[Column4]]),Table13[[#This Row],[Column4]],Table13[[#This Row],[Column4]]="",I798*(1+Table13[[#This Row],[Ávöxtun]]))</f>
        <v>137.64170851200006</v>
      </c>
      <c r="L799" s="33">
        <v>137.64170851200006</v>
      </c>
      <c r="M799" s="33">
        <v>137.64170851200006</v>
      </c>
    </row>
    <row r="800" spans="1:13">
      <c r="A800" t="s">
        <v>127</v>
      </c>
      <c r="B800">
        <v>2014</v>
      </c>
      <c r="C800" s="16">
        <v>6.3E-2</v>
      </c>
      <c r="D800" s="1">
        <v>49955272</v>
      </c>
      <c r="E800" s="29">
        <f>Table13[[#This Row],[Ávöxtun]]*Table13[[#This Row],[Eignir]]/SUMIFS(Table13[Eignir],Table13[Year],Table13[[#This Row],[Year]])</f>
        <v>1.4621030093755951E-3</v>
      </c>
      <c r="F800" s="23" t="str">
        <f>IF(B800=1997, 100, IF(COUNTIF(A$1:A799,A800)=0, "NEW", F799*(1+Table13[[#This Row],[Ávöxtun]])))</f>
        <v>NEW</v>
      </c>
      <c r="G800" s="18" t="str" cm="1">
        <f t="array" ref="G800">IFERROR(_xlfn.IFS(ISNUMBER(Table13[[#This Row],[Column3]]),Table13[[#This Row],[Column3]],Table13[[#This Row],[Column3]]="NEW",Table13[[#This Row],[Column3]]),"")</f>
        <v>NEW</v>
      </c>
      <c r="H800" s="15" cm="1">
        <f t="array" ref="H800">_xlfn.IFS(Table13[[#This Row],[Column4]]="NEW",AVERAGEIFS(Table13[Column4],Table13[Year],Table13[[#This Row],[Year]]),ISNUMBER(Table13[[#This Row],[Column4]]),Table13[[#This Row],[Column4]],Table13[[#This Row],[Column4]]="",H799*(1+Table13[[#This Row],[Ávöxtun]]))</f>
        <v>198.62394352657526</v>
      </c>
      <c r="I800" cm="1">
        <f t="array" ref="I800">_xlfn.IFS(Table13[[#This Row],[Column4]]="NEW",_xlfn.XLOOKUP(Table13[[#This Row],[Year]],$N$2:$N$27,$P$2:$P$27),ISNUMBER(Table13[[#This Row],[Column4]]),Table13[[#This Row],[Column4]],Table13[[#This Row],[Column4]]="",I799*(1+Table13[[#This Row],[Ávöxtun]]))</f>
        <v>207.73332826322718</v>
      </c>
      <c r="L800" s="33">
        <v>185.98027658661198</v>
      </c>
      <c r="M800" s="33">
        <v>221.66504708890625</v>
      </c>
    </row>
    <row r="801" spans="1:13">
      <c r="A801" t="s">
        <v>127</v>
      </c>
      <c r="B801">
        <v>2015</v>
      </c>
      <c r="C801" s="16">
        <v>0.08</v>
      </c>
      <c r="D801" s="1">
        <v>57277966</v>
      </c>
      <c r="E801" s="29">
        <f>Table13[[#This Row],[Ávöxtun]]*Table13[[#This Row],[Eignir]]/SUMIFS(Table13[Eignir],Table13[Year],Table13[[#This Row],[Year]])</f>
        <v>1.9190502967349897E-3</v>
      </c>
      <c r="F801" s="23" t="e">
        <f>IF(B801=1997, 100, IF(COUNTIF(A$1:A800,A801)=0, "NEW", F800*(1+Table13[[#This Row],[Ávöxtun]])))</f>
        <v>#VALUE!</v>
      </c>
      <c r="G801" s="18" t="str" cm="1">
        <f t="array" ref="G801">IFERROR(_xlfn.IFS(ISNUMBER(Table13[[#This Row],[Column3]]),Table13[[#This Row],[Column3]],Table13[[#This Row],[Column3]]="NEW",Table13[[#This Row],[Column3]]),"")</f>
        <v/>
      </c>
      <c r="H801" s="15" cm="1">
        <f t="array" ref="H801">_xlfn.IFS(Table13[[#This Row],[Column4]]="NEW",AVERAGEIFS(Table13[Column4],Table13[Year],Table13[[#This Row],[Year]]),ISNUMBER(Table13[[#This Row],[Column4]]),Table13[[#This Row],[Column4]],Table13[[#This Row],[Column4]]="",H800*(1+Table13[[#This Row],[Ávöxtun]]))</f>
        <v>214.5138590087013</v>
      </c>
      <c r="I801" cm="1">
        <f t="array" ref="I801">_xlfn.IFS(Table13[[#This Row],[Column4]]="NEW",_xlfn.XLOOKUP(Table13[[#This Row],[Year]],$N$2:$N$27,$P$2:$P$27),ISNUMBER(Table13[[#This Row],[Column4]]),Table13[[#This Row],[Column4]],Table13[[#This Row],[Column4]]="",I800*(1+Table13[[#This Row],[Ávöxtun]]))</f>
        <v>224.35199452428537</v>
      </c>
      <c r="L801" s="33">
        <v>200.85869871354095</v>
      </c>
      <c r="M801" s="33">
        <v>239.39825085601876</v>
      </c>
    </row>
    <row r="802" spans="1:13">
      <c r="A802" t="s">
        <v>127</v>
      </c>
      <c r="B802">
        <v>2016</v>
      </c>
      <c r="C802" s="16">
        <v>2.6000000000000002E-2</v>
      </c>
      <c r="D802" s="1">
        <v>62756983</v>
      </c>
      <c r="E802" s="29">
        <f>Table13[[#This Row],[Ávöxtun]]*Table13[[#This Row],[Eignir]]/SUMIFS(Table13[Eignir],Table13[Year],Table13[[#This Row],[Year]])</f>
        <v>6.2565686510054831E-4</v>
      </c>
      <c r="F802" s="23" t="e">
        <f>IF(B802=1997, 100, IF(COUNTIF(A$1:A801,A802)=0, "NEW", F801*(1+Table13[[#This Row],[Ávöxtun]])))</f>
        <v>#VALUE!</v>
      </c>
      <c r="G802" s="18" t="str" cm="1">
        <f t="array" ref="G802">IFERROR(_xlfn.IFS(ISNUMBER(Table13[[#This Row],[Column3]]),Table13[[#This Row],[Column3]],Table13[[#This Row],[Column3]]="NEW",Table13[[#This Row],[Column3]]),"")</f>
        <v/>
      </c>
      <c r="H802" s="15" cm="1">
        <f t="array" ref="H802">_xlfn.IFS(Table13[[#This Row],[Column4]]="NEW",AVERAGEIFS(Table13[Column4],Table13[Year],Table13[[#This Row],[Year]]),ISNUMBER(Table13[[#This Row],[Column4]]),Table13[[#This Row],[Column4]],Table13[[#This Row],[Column4]]="",H801*(1+Table13[[#This Row],[Ávöxtun]]))</f>
        <v>220.09121934292753</v>
      </c>
      <c r="I802" cm="1">
        <f t="array" ref="I802">_xlfn.IFS(Table13[[#This Row],[Column4]]="NEW",_xlfn.XLOOKUP(Table13[[#This Row],[Year]],$N$2:$N$27,$P$2:$P$27),ISNUMBER(Table13[[#This Row],[Column4]]),Table13[[#This Row],[Column4]],Table13[[#This Row],[Column4]]="",I801*(1+Table13[[#This Row],[Ávöxtun]]))</f>
        <v>230.18514638191681</v>
      </c>
      <c r="L802" s="33">
        <v>206.08102488009303</v>
      </c>
      <c r="M802" s="33">
        <v>245.62260537827527</v>
      </c>
    </row>
    <row r="803" spans="1:13">
      <c r="A803" t="s">
        <v>127</v>
      </c>
      <c r="B803">
        <v>2017</v>
      </c>
      <c r="C803" s="16">
        <v>3.6000000000000004E-2</v>
      </c>
      <c r="D803" s="1">
        <v>68992090</v>
      </c>
      <c r="E803" s="29">
        <f>Table13[[#This Row],[Ávöxtun]]*Table13[[#This Row],[Eignir]]/SUMIFS(Table13[Eignir],Table13[Year],Table13[[#This Row],[Year]])</f>
        <v>8.5464977382558756E-4</v>
      </c>
      <c r="F803" s="23" t="e">
        <f>IF(B803=1997, 100, IF(COUNTIF(A$1:A802,A803)=0, "NEW", F802*(1+Table13[[#This Row],[Ávöxtun]])))</f>
        <v>#VALUE!</v>
      </c>
      <c r="G803" s="18" t="str" cm="1">
        <f t="array" ref="G803">IFERROR(_xlfn.IFS(ISNUMBER(Table13[[#This Row],[Column3]]),Table13[[#This Row],[Column3]],Table13[[#This Row],[Column3]]="NEW",Table13[[#This Row],[Column3]]),"")</f>
        <v/>
      </c>
      <c r="H803" s="15" cm="1">
        <f t="array" ref="H803">_xlfn.IFS(Table13[[#This Row],[Column4]]="NEW",AVERAGEIFS(Table13[Column4],Table13[Year],Table13[[#This Row],[Year]]),ISNUMBER(Table13[[#This Row],[Column4]]),Table13[[#This Row],[Column4]],Table13[[#This Row],[Column4]]="",H802*(1+Table13[[#This Row],[Ávöxtun]]))</f>
        <v>228.01450323927293</v>
      </c>
      <c r="I803" cm="1">
        <f t="array" ref="I803">_xlfn.IFS(Table13[[#This Row],[Column4]]="NEW",_xlfn.XLOOKUP(Table13[[#This Row],[Year]],$N$2:$N$27,$P$2:$P$27),ISNUMBER(Table13[[#This Row],[Column4]]),Table13[[#This Row],[Column4]],Table13[[#This Row],[Column4]]="",I802*(1+Table13[[#This Row],[Ávöxtun]]))</f>
        <v>238.47181165166583</v>
      </c>
      <c r="L803" s="33">
        <v>213.49994177577639</v>
      </c>
      <c r="M803" s="33">
        <v>254.46501917189318</v>
      </c>
    </row>
    <row r="804" spans="1:13">
      <c r="A804" t="s">
        <v>127</v>
      </c>
      <c r="B804">
        <v>2018</v>
      </c>
      <c r="C804" s="16">
        <v>1.1000000000000001E-2</v>
      </c>
      <c r="D804" s="1">
        <v>74497818</v>
      </c>
      <c r="E804" s="29">
        <f>Table13[[#This Row],[Ávöxtun]]*Table13[[#This Row],[Eignir]]/SUMIFS(Table13[Eignir],Table13[Year],Table13[[#This Row],[Year]])</f>
        <v>2.6274350168227587E-4</v>
      </c>
      <c r="F804" s="23" t="e">
        <f>IF(B804=1997, 100, IF(COUNTIF(A$1:A803,A804)=0, "NEW", F803*(1+Table13[[#This Row],[Ávöxtun]])))</f>
        <v>#VALUE!</v>
      </c>
      <c r="G804" s="18" t="str" cm="1">
        <f t="array" ref="G804">IFERROR(_xlfn.IFS(ISNUMBER(Table13[[#This Row],[Column3]]),Table13[[#This Row],[Column3]],Table13[[#This Row],[Column3]]="NEW",Table13[[#This Row],[Column3]]),"")</f>
        <v/>
      </c>
      <c r="H804" s="15" cm="1">
        <f t="array" ref="H804">_xlfn.IFS(Table13[[#This Row],[Column4]]="NEW",AVERAGEIFS(Table13[Column4],Table13[Year],Table13[[#This Row],[Year]]),ISNUMBER(Table13[[#This Row],[Column4]]),Table13[[#This Row],[Column4]],Table13[[#This Row],[Column4]]="",H803*(1+Table13[[#This Row],[Ávöxtun]]))</f>
        <v>230.52266277490492</v>
      </c>
      <c r="I804" cm="1">
        <f t="array" ref="I804">_xlfn.IFS(Table13[[#This Row],[Column4]]="NEW",_xlfn.XLOOKUP(Table13[[#This Row],[Year]],$N$2:$N$27,$P$2:$P$27),ISNUMBER(Table13[[#This Row],[Column4]]),Table13[[#This Row],[Column4]],Table13[[#This Row],[Column4]]="",I803*(1+Table13[[#This Row],[Ávöxtun]]))</f>
        <v>241.09500157983413</v>
      </c>
      <c r="L804" s="33">
        <v>215.84844113530991</v>
      </c>
      <c r="M804" s="33">
        <v>257.26413438278399</v>
      </c>
    </row>
    <row r="805" spans="1:13">
      <c r="A805" t="s">
        <v>127</v>
      </c>
      <c r="B805">
        <v>2019</v>
      </c>
      <c r="C805" s="16">
        <v>0.09</v>
      </c>
      <c r="D805" s="1">
        <v>86144500</v>
      </c>
      <c r="E805" s="29">
        <f>Table13[[#This Row],[Ávöxtun]]*Table13[[#This Row],[Eignir]]/SUMIFS(Table13[Eignir],Table13[Year],Table13[[#This Row],[Year]])</f>
        <v>2.1678080329274631E-3</v>
      </c>
      <c r="F805" s="23" t="e">
        <f>IF(B805=1997, 100, IF(COUNTIF(A$1:A804,A805)=0, "NEW", F804*(1+Table13[[#This Row],[Ávöxtun]])))</f>
        <v>#VALUE!</v>
      </c>
      <c r="G805" s="18" t="str" cm="1">
        <f t="array" ref="G805">IFERROR(_xlfn.IFS(ISNUMBER(Table13[[#This Row],[Column3]]),Table13[[#This Row],[Column3]],Table13[[#This Row],[Column3]]="NEW",Table13[[#This Row],[Column3]]),"")</f>
        <v/>
      </c>
      <c r="H805" s="15" cm="1">
        <f t="array" ref="H805">_xlfn.IFS(Table13[[#This Row],[Column4]]="NEW",AVERAGEIFS(Table13[Column4],Table13[Year],Table13[[#This Row],[Year]]),ISNUMBER(Table13[[#This Row],[Column4]]),Table13[[#This Row],[Column4]],Table13[[#This Row],[Column4]]="",H804*(1+Table13[[#This Row],[Ávöxtun]]))</f>
        <v>251.26970242464637</v>
      </c>
      <c r="I805" cm="1">
        <f t="array" ref="I805">_xlfn.IFS(Table13[[#This Row],[Column4]]="NEW",_xlfn.XLOOKUP(Table13[[#This Row],[Year]],$N$2:$N$27,$P$2:$P$27),ISNUMBER(Table13[[#This Row],[Column4]]),Table13[[#This Row],[Column4]],Table13[[#This Row],[Column4]]="",I804*(1+Table13[[#This Row],[Ávöxtun]]))</f>
        <v>262.79355172201923</v>
      </c>
      <c r="L805" s="33">
        <v>235.27480083748782</v>
      </c>
      <c r="M805" s="33">
        <v>280.41790647723457</v>
      </c>
    </row>
    <row r="806" spans="1:13">
      <c r="A806" t="s">
        <v>127</v>
      </c>
      <c r="B806">
        <v>2020</v>
      </c>
      <c r="C806" s="16">
        <v>9.3000000000000013E-2</v>
      </c>
      <c r="D806" s="1">
        <v>100264199</v>
      </c>
      <c r="E806" s="29">
        <f>Table13[[#This Row],[Ávöxtun]]*Table13[[#This Row],[Eignir]]/SUMIFS(Table13[Eignir],Table13[Year],Table13[[#This Row],[Year]])</f>
        <v>2.2500570356268719E-3</v>
      </c>
      <c r="F806" s="23" t="e">
        <f>IF(B806=1997, 100, IF(COUNTIF(A$1:A805,A806)=0, "NEW", F805*(1+Table13[[#This Row],[Ávöxtun]])))</f>
        <v>#VALUE!</v>
      </c>
      <c r="G806" s="18" t="str" cm="1">
        <f t="array" ref="G806">IFERROR(_xlfn.IFS(ISNUMBER(Table13[[#This Row],[Column3]]),Table13[[#This Row],[Column3]],Table13[[#This Row],[Column3]]="NEW",Table13[[#This Row],[Column3]]),"")</f>
        <v/>
      </c>
      <c r="H806" s="15" cm="1">
        <f t="array" ref="H806">_xlfn.IFS(Table13[[#This Row],[Column4]]="NEW",AVERAGEIFS(Table13[Column4],Table13[Year],Table13[[#This Row],[Year]]),ISNUMBER(Table13[[#This Row],[Column4]]),Table13[[#This Row],[Column4]],Table13[[#This Row],[Column4]]="",H805*(1+Table13[[#This Row],[Ávöxtun]]))</f>
        <v>274.63778475013845</v>
      </c>
      <c r="I806" cm="1">
        <f t="array" ref="I806">_xlfn.IFS(Table13[[#This Row],[Column4]]="NEW",_xlfn.XLOOKUP(Table13[[#This Row],[Year]],$N$2:$N$27,$P$2:$P$27),ISNUMBER(Table13[[#This Row],[Column4]]),Table13[[#This Row],[Column4]],Table13[[#This Row],[Column4]]="",I805*(1+Table13[[#This Row],[Ávöxtun]]))</f>
        <v>287.23335203216703</v>
      </c>
      <c r="L806" s="33">
        <v>257.1553573153742</v>
      </c>
      <c r="M806" s="33">
        <v>306.49677177961735</v>
      </c>
    </row>
    <row r="807" spans="1:13">
      <c r="A807" t="s">
        <v>127</v>
      </c>
      <c r="B807">
        <v>2021</v>
      </c>
      <c r="C807" s="16">
        <v>0.11900000000000001</v>
      </c>
      <c r="D807" s="1">
        <v>121181205</v>
      </c>
      <c r="E807" s="29">
        <f>Table13[[#This Row],[Ávöxtun]]*Table13[[#This Row],[Eignir]]/SUMIFS(Table13[Eignir],Table13[Year],Table13[[#This Row],[Year]])</f>
        <v>2.9648787794035931E-3</v>
      </c>
      <c r="F807" s="23" t="e">
        <f>IF(B807=1997, 100, IF(COUNTIF(A$1:A806,A807)=0, "NEW", F806*(1+Table13[[#This Row],[Ávöxtun]])))</f>
        <v>#VALUE!</v>
      </c>
      <c r="G807" s="18" t="str" cm="1">
        <f t="array" ref="G807">IFERROR(_xlfn.IFS(ISNUMBER(Table13[[#This Row],[Column3]]),Table13[[#This Row],[Column3]],Table13[[#This Row],[Column3]]="NEW",Table13[[#This Row],[Column3]]),"")</f>
        <v/>
      </c>
      <c r="H807" s="15" cm="1">
        <f t="array" ref="H807">_xlfn.IFS(Table13[[#This Row],[Column4]]="NEW",AVERAGEIFS(Table13[Column4],Table13[Year],Table13[[#This Row],[Year]]),ISNUMBER(Table13[[#This Row],[Column4]]),Table13[[#This Row],[Column4]],Table13[[#This Row],[Column4]]="",H806*(1+Table13[[#This Row],[Ávöxtun]]))</f>
        <v>307.31968113540495</v>
      </c>
      <c r="I807" cm="1">
        <f t="array" ref="I807">_xlfn.IFS(Table13[[#This Row],[Column4]]="NEW",_xlfn.XLOOKUP(Table13[[#This Row],[Year]],$N$2:$N$27,$P$2:$P$27),ISNUMBER(Table13[[#This Row],[Column4]]),Table13[[#This Row],[Column4]],Table13[[#This Row],[Column4]]="",I806*(1+Table13[[#This Row],[Ávöxtun]]))</f>
        <v>321.41412092399491</v>
      </c>
      <c r="L807" s="33">
        <v>287.75684483590373</v>
      </c>
      <c r="M807" s="33">
        <v>342.96988762139182</v>
      </c>
    </row>
    <row r="808" spans="1:13">
      <c r="A808" t="s">
        <v>128</v>
      </c>
      <c r="B808">
        <v>1997</v>
      </c>
      <c r="C808" s="16">
        <v>0.08</v>
      </c>
      <c r="D808" s="1">
        <v>27655597.260000002</v>
      </c>
      <c r="E808" s="29">
        <f>Table13[[#This Row],[Ávöxtun]]*Table13[[#This Row],[Eignir]]/SUMIFS(Table13[Eignir],Table13[Year],Table13[[#This Row],[Year]])</f>
        <v>7.7532971701656924E-3</v>
      </c>
      <c r="F808" s="23">
        <f>IF(B808=1997, 100, IF(COUNTIF(A$1:A807,A808)=0, "NEW", F807*(1+Table13[[#This Row],[Ávöxtun]])))</f>
        <v>100</v>
      </c>
      <c r="G808" s="18" cm="1">
        <f t="array" ref="G808">IFERROR(_xlfn.IFS(ISNUMBER(Table13[[#This Row],[Column3]]),Table13[[#This Row],[Column3]],Table13[[#This Row],[Column3]]="NEW",Table13[[#This Row],[Column3]]),"")</f>
        <v>100</v>
      </c>
      <c r="H808" s="15" cm="1">
        <f t="array" ref="H808">_xlfn.IFS(Table13[[#This Row],[Column4]]="NEW",AVERAGEIFS(Table13[Column4],Table13[Year],Table13[[#This Row],[Year]]),ISNUMBER(Table13[[#This Row],[Column4]]),Table13[[#This Row],[Column4]],Table13[[#This Row],[Column4]]="",H807*(1+Table13[[#This Row],[Ávöxtun]]))</f>
        <v>100</v>
      </c>
      <c r="I808" cm="1">
        <f t="array" ref="I808">_xlfn.IFS(Table13[[#This Row],[Column4]]="NEW",_xlfn.XLOOKUP(Table13[[#This Row],[Year]],$N$2:$N$27,$P$2:$P$27),ISNUMBER(Table13[[#This Row],[Column4]]),Table13[[#This Row],[Column4]],Table13[[#This Row],[Column4]]="",I807*(1+Table13[[#This Row],[Ávöxtun]]))</f>
        <v>100</v>
      </c>
      <c r="L808" s="33">
        <v>100</v>
      </c>
      <c r="M808" s="33">
        <v>100</v>
      </c>
    </row>
    <row r="809" spans="1:13">
      <c r="A809" t="s">
        <v>128</v>
      </c>
      <c r="B809">
        <v>1998</v>
      </c>
      <c r="C809" s="16">
        <v>7.0000000000000007E-2</v>
      </c>
      <c r="D809" s="1">
        <v>30852400.739999998</v>
      </c>
      <c r="E809" s="29">
        <f>Table13[[#This Row],[Ávöxtun]]*Table13[[#This Row],[Eignir]]/SUMIFS(Table13[Eignir],Table13[Year],Table13[[#This Row],[Year]])</f>
        <v>6.5345787833311188E-3</v>
      </c>
      <c r="F809" s="23">
        <f>IF(B809=1997, 100, IF(COUNTIF(A$1:A808,A809)=0, "NEW", F808*(1+Table13[[#This Row],[Ávöxtun]])))</f>
        <v>107</v>
      </c>
      <c r="G809" s="18" cm="1">
        <f t="array" ref="G809">IFERROR(_xlfn.IFS(ISNUMBER(Table13[[#This Row],[Column3]]),Table13[[#This Row],[Column3]],Table13[[#This Row],[Column3]]="NEW",Table13[[#This Row],[Column3]]),"")</f>
        <v>107</v>
      </c>
      <c r="H809" s="15" cm="1">
        <f t="array" ref="H809">_xlfn.IFS(Table13[[#This Row],[Column4]]="NEW",AVERAGEIFS(Table13[Column4],Table13[Year],Table13[[#This Row],[Year]]),ISNUMBER(Table13[[#This Row],[Column4]]),Table13[[#This Row],[Column4]],Table13[[#This Row],[Column4]]="",H808*(1+Table13[[#This Row],[Ávöxtun]]))</f>
        <v>107</v>
      </c>
      <c r="I809" cm="1">
        <f t="array" ref="I809">_xlfn.IFS(Table13[[#This Row],[Column4]]="NEW",_xlfn.XLOOKUP(Table13[[#This Row],[Year]],$N$2:$N$27,$P$2:$P$27),ISNUMBER(Table13[[#This Row],[Column4]]),Table13[[#This Row],[Column4]],Table13[[#This Row],[Column4]]="",I808*(1+Table13[[#This Row],[Ávöxtun]]))</f>
        <v>107</v>
      </c>
      <c r="L809" s="33">
        <v>107</v>
      </c>
      <c r="M809" s="33">
        <v>107</v>
      </c>
    </row>
    <row r="810" spans="1:13">
      <c r="A810" t="s">
        <v>128</v>
      </c>
      <c r="B810">
        <v>1999</v>
      </c>
      <c r="C810" s="16">
        <v>0.18</v>
      </c>
      <c r="D810" s="1">
        <v>39575584.240000002</v>
      </c>
      <c r="E810" s="29">
        <f>Table13[[#This Row],[Ávöxtun]]*Table13[[#This Row],[Eignir]]/SUMIFS(Table13[Eignir],Table13[Year],Table13[[#This Row],[Year]])</f>
        <v>1.6046901879291579E-2</v>
      </c>
      <c r="F810" s="23">
        <f>IF(B810=1997, 100, IF(COUNTIF(A$1:A809,A810)=0, "NEW", F809*(1+Table13[[#This Row],[Ávöxtun]])))</f>
        <v>126.25999999999999</v>
      </c>
      <c r="G810" s="18" cm="1">
        <f t="array" ref="G810">IFERROR(_xlfn.IFS(ISNUMBER(Table13[[#This Row],[Column3]]),Table13[[#This Row],[Column3]],Table13[[#This Row],[Column3]]="NEW",Table13[[#This Row],[Column3]]),"")</f>
        <v>126.25999999999999</v>
      </c>
      <c r="H810" s="15" cm="1">
        <f t="array" ref="H810">_xlfn.IFS(Table13[[#This Row],[Column4]]="NEW",AVERAGEIFS(Table13[Column4],Table13[Year],Table13[[#This Row],[Year]]),ISNUMBER(Table13[[#This Row],[Column4]]),Table13[[#This Row],[Column4]],Table13[[#This Row],[Column4]]="",H809*(1+Table13[[#This Row],[Ávöxtun]]))</f>
        <v>126.25999999999999</v>
      </c>
      <c r="I810" cm="1">
        <f t="array" ref="I810">_xlfn.IFS(Table13[[#This Row],[Column4]]="NEW",_xlfn.XLOOKUP(Table13[[#This Row],[Year]],$N$2:$N$27,$P$2:$P$27),ISNUMBER(Table13[[#This Row],[Column4]]),Table13[[#This Row],[Column4]],Table13[[#This Row],[Column4]]="",I809*(1+Table13[[#This Row],[Ávöxtun]]))</f>
        <v>126.25999999999999</v>
      </c>
      <c r="L810" s="33">
        <v>126.25999999999999</v>
      </c>
      <c r="M810" s="33">
        <v>126.25999999999999</v>
      </c>
    </row>
    <row r="811" spans="1:13">
      <c r="A811" t="s">
        <v>128</v>
      </c>
      <c r="B811">
        <v>2000</v>
      </c>
      <c r="C811" s="16">
        <v>0</v>
      </c>
      <c r="D811" s="1">
        <v>84304757</v>
      </c>
      <c r="E811" s="29">
        <f>Table13[[#This Row],[Ávöxtun]]*Table13[[#This Row],[Eignir]]/SUMIFS(Table13[Eignir],Table13[Year],Table13[[#This Row],[Year]])</f>
        <v>0</v>
      </c>
      <c r="F811" s="23">
        <f>IF(B811=1997, 100, IF(COUNTIF(A$1:A810,A811)=0, "NEW", F810*(1+Table13[[#This Row],[Ávöxtun]])))</f>
        <v>126.25999999999999</v>
      </c>
      <c r="G811" s="18" cm="1">
        <f t="array" ref="G811">IFERROR(_xlfn.IFS(ISNUMBER(Table13[[#This Row],[Column3]]),Table13[[#This Row],[Column3]],Table13[[#This Row],[Column3]]="NEW",Table13[[#This Row],[Column3]]),"")</f>
        <v>126.25999999999999</v>
      </c>
      <c r="H811" s="15" cm="1">
        <f t="array" ref="H811">_xlfn.IFS(Table13[[#This Row],[Column4]]="NEW",AVERAGEIFS(Table13[Column4],Table13[Year],Table13[[#This Row],[Year]]),ISNUMBER(Table13[[#This Row],[Column4]]),Table13[[#This Row],[Column4]],Table13[[#This Row],[Column4]]="",H810*(1+Table13[[#This Row],[Ávöxtun]]))</f>
        <v>126.25999999999999</v>
      </c>
      <c r="I811" cm="1">
        <f t="array" ref="I811">_xlfn.IFS(Table13[[#This Row],[Column4]]="NEW",_xlfn.XLOOKUP(Table13[[#This Row],[Year]],$N$2:$N$27,$P$2:$P$27),ISNUMBER(Table13[[#This Row],[Column4]]),Table13[[#This Row],[Column4]],Table13[[#This Row],[Column4]]="",I810*(1+Table13[[#This Row],[Ávöxtun]]))</f>
        <v>126.25999999999999</v>
      </c>
      <c r="L811" s="33">
        <v>126.25999999999999</v>
      </c>
      <c r="M811" s="33">
        <v>126.25999999999999</v>
      </c>
    </row>
    <row r="812" spans="1:13">
      <c r="A812" t="s">
        <v>128</v>
      </c>
      <c r="B812">
        <v>2001</v>
      </c>
      <c r="C812" s="16">
        <v>-0.06</v>
      </c>
      <c r="D812" s="1">
        <v>91947107</v>
      </c>
      <c r="E812" s="29">
        <f>Table13[[#This Row],[Ávöxtun]]*Table13[[#This Row],[Eignir]]/SUMIFS(Table13[Eignir],Table13[Year],Table13[[#This Row],[Year]])</f>
        <v>-5.7404723669576196E-3</v>
      </c>
      <c r="F812" s="23">
        <f>IF(B812=1997, 100, IF(COUNTIF(A$1:A811,A812)=0, "NEW", F811*(1+Table13[[#This Row],[Ávöxtun]])))</f>
        <v>118.68439999999998</v>
      </c>
      <c r="G812" s="18" cm="1">
        <f t="array" ref="G812">IFERROR(_xlfn.IFS(ISNUMBER(Table13[[#This Row],[Column3]]),Table13[[#This Row],[Column3]],Table13[[#This Row],[Column3]]="NEW",Table13[[#This Row],[Column3]]),"")</f>
        <v>118.68439999999998</v>
      </c>
      <c r="H812" s="15" cm="1">
        <f t="array" ref="H812">_xlfn.IFS(Table13[[#This Row],[Column4]]="NEW",AVERAGEIFS(Table13[Column4],Table13[Year],Table13[[#This Row],[Year]]),ISNUMBER(Table13[[#This Row],[Column4]]),Table13[[#This Row],[Column4]],Table13[[#This Row],[Column4]]="",H811*(1+Table13[[#This Row],[Ávöxtun]]))</f>
        <v>118.68439999999998</v>
      </c>
      <c r="I812" cm="1">
        <f t="array" ref="I812">_xlfn.IFS(Table13[[#This Row],[Column4]]="NEW",_xlfn.XLOOKUP(Table13[[#This Row],[Year]],$N$2:$N$27,$P$2:$P$27),ISNUMBER(Table13[[#This Row],[Column4]]),Table13[[#This Row],[Column4]],Table13[[#This Row],[Column4]]="",I811*(1+Table13[[#This Row],[Ávöxtun]]))</f>
        <v>118.68439999999998</v>
      </c>
      <c r="L812" s="33">
        <v>118.68439999999998</v>
      </c>
      <c r="M812" s="33">
        <v>118.68439999999998</v>
      </c>
    </row>
    <row r="813" spans="1:13">
      <c r="A813" t="s">
        <v>128</v>
      </c>
      <c r="B813">
        <v>2002</v>
      </c>
      <c r="C813" s="16">
        <v>-0.19</v>
      </c>
      <c r="D813" s="1">
        <v>49481358</v>
      </c>
      <c r="E813" s="29">
        <f>Table13[[#This Row],[Ávöxtun]]*Table13[[#This Row],[Eignir]]/SUMIFS(Table13[Eignir],Table13[Year],Table13[[#This Row],[Year]])</f>
        <v>-1.7642658795172485E-2</v>
      </c>
      <c r="F813" s="23">
        <f>IF(B813=1997, 100, IF(COUNTIF(A$1:A812,A813)=0, "NEW", F812*(1+Table13[[#This Row],[Ávöxtun]])))</f>
        <v>96.134363999999991</v>
      </c>
      <c r="G813" s="18" cm="1">
        <f t="array" ref="G813">IFERROR(_xlfn.IFS(ISNUMBER(Table13[[#This Row],[Column3]]),Table13[[#This Row],[Column3]],Table13[[#This Row],[Column3]]="NEW",Table13[[#This Row],[Column3]]),"")</f>
        <v>96.134363999999991</v>
      </c>
      <c r="H813" s="15" cm="1">
        <f t="array" ref="H813">_xlfn.IFS(Table13[[#This Row],[Column4]]="NEW",AVERAGEIFS(Table13[Column4],Table13[Year],Table13[[#This Row],[Year]]),ISNUMBER(Table13[[#This Row],[Column4]]),Table13[[#This Row],[Column4]],Table13[[#This Row],[Column4]]="",H812*(1+Table13[[#This Row],[Ávöxtun]]))</f>
        <v>96.134363999999991</v>
      </c>
      <c r="I813" cm="1">
        <f t="array" ref="I813">_xlfn.IFS(Table13[[#This Row],[Column4]]="NEW",_xlfn.XLOOKUP(Table13[[#This Row],[Year]],$N$2:$N$27,$P$2:$P$27),ISNUMBER(Table13[[#This Row],[Column4]]),Table13[[#This Row],[Column4]],Table13[[#This Row],[Column4]]="",I812*(1+Table13[[#This Row],[Ávöxtun]]))</f>
        <v>96.134363999999991</v>
      </c>
      <c r="L813" s="33">
        <v>96.134363999999991</v>
      </c>
      <c r="M813" s="33">
        <v>96.134363999999991</v>
      </c>
    </row>
    <row r="814" spans="1:13">
      <c r="A814" t="s">
        <v>128</v>
      </c>
      <c r="B814">
        <v>2003</v>
      </c>
      <c r="C814" s="16">
        <v>0.14000000000000001</v>
      </c>
      <c r="D814" s="1">
        <v>52130044</v>
      </c>
      <c r="E814" s="29">
        <f>Table13[[#This Row],[Ávöxtun]]*Table13[[#This Row],[Eignir]]/SUMIFS(Table13[Eignir],Table13[Year],Table13[[#This Row],[Year]])</f>
        <v>1.144293148090705E-2</v>
      </c>
      <c r="F814" s="23">
        <f>IF(B814=1997, 100, IF(COUNTIF(A$1:A813,A814)=0, "NEW", F813*(1+Table13[[#This Row],[Ávöxtun]])))</f>
        <v>109.59317496</v>
      </c>
      <c r="G814" s="18" cm="1">
        <f t="array" ref="G814">IFERROR(_xlfn.IFS(ISNUMBER(Table13[[#This Row],[Column3]]),Table13[[#This Row],[Column3]],Table13[[#This Row],[Column3]]="NEW",Table13[[#This Row],[Column3]]),"")</f>
        <v>109.59317496</v>
      </c>
      <c r="H814" s="15" cm="1">
        <f t="array" ref="H814">_xlfn.IFS(Table13[[#This Row],[Column4]]="NEW",AVERAGEIFS(Table13[Column4],Table13[Year],Table13[[#This Row],[Year]]),ISNUMBER(Table13[[#This Row],[Column4]]),Table13[[#This Row],[Column4]],Table13[[#This Row],[Column4]]="",H813*(1+Table13[[#This Row],[Ávöxtun]]))</f>
        <v>109.59317496</v>
      </c>
      <c r="I814" cm="1">
        <f t="array" ref="I814">_xlfn.IFS(Table13[[#This Row],[Column4]]="NEW",_xlfn.XLOOKUP(Table13[[#This Row],[Year]],$N$2:$N$27,$P$2:$P$27),ISNUMBER(Table13[[#This Row],[Column4]]),Table13[[#This Row],[Column4]],Table13[[#This Row],[Column4]]="",I813*(1+Table13[[#This Row],[Ávöxtun]]))</f>
        <v>109.59317496</v>
      </c>
      <c r="L814" s="33">
        <v>109.59317496</v>
      </c>
      <c r="M814" s="33">
        <v>109.59317496</v>
      </c>
    </row>
    <row r="815" spans="1:13">
      <c r="A815" t="s">
        <v>128</v>
      </c>
      <c r="B815">
        <v>2004</v>
      </c>
      <c r="C815" s="16">
        <v>0.13</v>
      </c>
      <c r="D815" s="1">
        <v>59645759</v>
      </c>
      <c r="E815" s="29">
        <f>Table13[[#This Row],[Ávöxtun]]*Table13[[#This Row],[Eignir]]/SUMIFS(Table13[Eignir],Table13[Year],Table13[[#This Row],[Year]])</f>
        <v>1.0207500923216879E-2</v>
      </c>
      <c r="F815" s="23">
        <f>IF(B815=1997, 100, IF(COUNTIF(A$1:A814,A815)=0, "NEW", F814*(1+Table13[[#This Row],[Ávöxtun]])))</f>
        <v>123.84028770479999</v>
      </c>
      <c r="G815" s="18" cm="1">
        <f t="array" ref="G815">IFERROR(_xlfn.IFS(ISNUMBER(Table13[[#This Row],[Column3]]),Table13[[#This Row],[Column3]],Table13[[#This Row],[Column3]]="NEW",Table13[[#This Row],[Column3]]),"")</f>
        <v>123.84028770479999</v>
      </c>
      <c r="H815" s="15" cm="1">
        <f t="array" ref="H815">_xlfn.IFS(Table13[[#This Row],[Column4]]="NEW",AVERAGEIFS(Table13[Column4],Table13[Year],Table13[[#This Row],[Year]]),ISNUMBER(Table13[[#This Row],[Column4]]),Table13[[#This Row],[Column4]],Table13[[#This Row],[Column4]]="",H814*(1+Table13[[#This Row],[Ávöxtun]]))</f>
        <v>123.84028770479999</v>
      </c>
      <c r="I815" cm="1">
        <f t="array" ref="I815">_xlfn.IFS(Table13[[#This Row],[Column4]]="NEW",_xlfn.XLOOKUP(Table13[[#This Row],[Year]],$N$2:$N$27,$P$2:$P$27),ISNUMBER(Table13[[#This Row],[Column4]]),Table13[[#This Row],[Column4]],Table13[[#This Row],[Column4]]="",I814*(1+Table13[[#This Row],[Ávöxtun]]))</f>
        <v>123.84028770479999</v>
      </c>
      <c r="L815" s="33">
        <v>123.84028770479999</v>
      </c>
      <c r="M815" s="33">
        <v>123.84028770479999</v>
      </c>
    </row>
    <row r="816" spans="1:13">
      <c r="A816" t="s">
        <v>128</v>
      </c>
      <c r="B816">
        <v>2005</v>
      </c>
      <c r="C816" s="16">
        <v>0.24</v>
      </c>
      <c r="D816" s="1">
        <v>73356549</v>
      </c>
      <c r="E816" s="29">
        <f>Table13[[#This Row],[Ávöxtun]]*Table13[[#This Row],[Eignir]]/SUMIFS(Table13[Eignir],Table13[Year],Table13[[#This Row],[Year]])</f>
        <v>1.8861578634963561E-2</v>
      </c>
      <c r="F816" s="23">
        <f>IF(B816=1997, 100, IF(COUNTIF(A$1:A815,A816)=0, "NEW", F815*(1+Table13[[#This Row],[Ávöxtun]])))</f>
        <v>153.56195675395199</v>
      </c>
      <c r="G816" s="18" cm="1">
        <f t="array" ref="G816">IFERROR(_xlfn.IFS(ISNUMBER(Table13[[#This Row],[Column3]]),Table13[[#This Row],[Column3]],Table13[[#This Row],[Column3]]="NEW",Table13[[#This Row],[Column3]]),"")</f>
        <v>153.56195675395199</v>
      </c>
      <c r="H816" s="15" cm="1">
        <f t="array" ref="H816">_xlfn.IFS(Table13[[#This Row],[Column4]]="NEW",AVERAGEIFS(Table13[Column4],Table13[Year],Table13[[#This Row],[Year]]),ISNUMBER(Table13[[#This Row],[Column4]]),Table13[[#This Row],[Column4]],Table13[[#This Row],[Column4]]="",H815*(1+Table13[[#This Row],[Ávöxtun]]))</f>
        <v>153.56195675395199</v>
      </c>
      <c r="I816" cm="1">
        <f t="array" ref="I816">_xlfn.IFS(Table13[[#This Row],[Column4]]="NEW",_xlfn.XLOOKUP(Table13[[#This Row],[Year]],$N$2:$N$27,$P$2:$P$27),ISNUMBER(Table13[[#This Row],[Column4]]),Table13[[#This Row],[Column4]],Table13[[#This Row],[Column4]]="",I815*(1+Table13[[#This Row],[Ávöxtun]]))</f>
        <v>153.56195675395199</v>
      </c>
      <c r="L816" s="33">
        <v>153.56195675395199</v>
      </c>
      <c r="M816" s="33">
        <v>153.56195675395199</v>
      </c>
    </row>
    <row r="817" spans="1:13">
      <c r="A817" t="s">
        <v>128</v>
      </c>
      <c r="B817">
        <v>2006</v>
      </c>
      <c r="C817" s="16">
        <v>0.23570000000000002</v>
      </c>
      <c r="D817" s="1">
        <v>92240401</v>
      </c>
      <c r="E817" s="29">
        <f>Table13[[#This Row],[Ávöxtun]]*Table13[[#This Row],[Eignir]]/SUMIFS(Table13[Eignir],Table13[Year],Table13[[#This Row],[Year]])</f>
        <v>1.9111137440461046E-2</v>
      </c>
      <c r="F817" s="23">
        <f>IF(B817=1997, 100, IF(COUNTIF(A$1:A816,A817)=0, "NEW", F816*(1+Table13[[#This Row],[Ávöxtun]])))</f>
        <v>189.75650996085847</v>
      </c>
      <c r="G817" s="18" cm="1">
        <f t="array" ref="G817">IFERROR(_xlfn.IFS(ISNUMBER(Table13[[#This Row],[Column3]]),Table13[[#This Row],[Column3]],Table13[[#This Row],[Column3]]="NEW",Table13[[#This Row],[Column3]]),"")</f>
        <v>189.75650996085847</v>
      </c>
      <c r="H817" s="15" cm="1">
        <f t="array" ref="H817">_xlfn.IFS(Table13[[#This Row],[Column4]]="NEW",AVERAGEIFS(Table13[Column4],Table13[Year],Table13[[#This Row],[Year]]),ISNUMBER(Table13[[#This Row],[Column4]]),Table13[[#This Row],[Column4]],Table13[[#This Row],[Column4]]="",H816*(1+Table13[[#This Row],[Ávöxtun]]))</f>
        <v>189.75650996085847</v>
      </c>
      <c r="I817" cm="1">
        <f t="array" ref="I817">_xlfn.IFS(Table13[[#This Row],[Column4]]="NEW",_xlfn.XLOOKUP(Table13[[#This Row],[Year]],$N$2:$N$27,$P$2:$P$27),ISNUMBER(Table13[[#This Row],[Column4]]),Table13[[#This Row],[Column4]],Table13[[#This Row],[Column4]]="",I816*(1+Table13[[#This Row],[Ávöxtun]]))</f>
        <v>189.75650996085847</v>
      </c>
      <c r="L817" s="33">
        <v>189.75650996085847</v>
      </c>
      <c r="M817" s="33">
        <v>189.75650996085847</v>
      </c>
    </row>
    <row r="818" spans="1:13">
      <c r="A818" t="s">
        <v>128</v>
      </c>
      <c r="B818">
        <v>2007</v>
      </c>
      <c r="C818" s="16">
        <v>0</v>
      </c>
      <c r="D818" s="1">
        <v>103083102</v>
      </c>
      <c r="E818" s="29">
        <f>Table13[[#This Row],[Ávöxtun]]*Table13[[#This Row],[Eignir]]/SUMIFS(Table13[Eignir],Table13[Year],Table13[[#This Row],[Year]])</f>
        <v>0</v>
      </c>
      <c r="F818" s="23">
        <f>IF(B818=1997, 100, IF(COUNTIF(A$1:A817,A818)=0, "NEW", F817*(1+Table13[[#This Row],[Ávöxtun]])))</f>
        <v>189.75650996085847</v>
      </c>
      <c r="G818" s="18" cm="1">
        <f t="array" ref="G818">IFERROR(_xlfn.IFS(ISNUMBER(Table13[[#This Row],[Column3]]),Table13[[#This Row],[Column3]],Table13[[#This Row],[Column3]]="NEW",Table13[[#This Row],[Column3]]),"")</f>
        <v>189.75650996085847</v>
      </c>
      <c r="H818" s="15" cm="1">
        <f t="array" ref="H818">_xlfn.IFS(Table13[[#This Row],[Column4]]="NEW",AVERAGEIFS(Table13[Column4],Table13[Year],Table13[[#This Row],[Year]]),ISNUMBER(Table13[[#This Row],[Column4]]),Table13[[#This Row],[Column4]],Table13[[#This Row],[Column4]]="",H817*(1+Table13[[#This Row],[Ávöxtun]]))</f>
        <v>189.75650996085847</v>
      </c>
      <c r="I818" cm="1">
        <f t="array" ref="I818">_xlfn.IFS(Table13[[#This Row],[Column4]]="NEW",_xlfn.XLOOKUP(Table13[[#This Row],[Year]],$N$2:$N$27,$P$2:$P$27),ISNUMBER(Table13[[#This Row],[Column4]]),Table13[[#This Row],[Column4]],Table13[[#This Row],[Column4]]="",I817*(1+Table13[[#This Row],[Ávöxtun]]))</f>
        <v>189.75650996085847</v>
      </c>
      <c r="L818" s="33">
        <v>189.75650996085847</v>
      </c>
      <c r="M818" s="33">
        <v>189.75650996085847</v>
      </c>
    </row>
    <row r="819" spans="1:13">
      <c r="A819" t="s">
        <v>128</v>
      </c>
      <c r="B819">
        <v>2008</v>
      </c>
      <c r="C819" s="16">
        <v>-0.22500000000000001</v>
      </c>
      <c r="D819" s="1">
        <v>89813906</v>
      </c>
      <c r="E819" s="29">
        <f>Table13[[#This Row],[Ávöxtun]]*Table13[[#This Row],[Eignir]]/SUMIFS(Table13[Eignir],Table13[Year],Table13[[#This Row],[Year]])</f>
        <v>-1.6310088421495811E-2</v>
      </c>
      <c r="F819" s="23">
        <f>IF(B819=1997, 100, IF(COUNTIF(A$1:A818,A819)=0, "NEW", F818*(1+Table13[[#This Row],[Ávöxtun]])))</f>
        <v>147.06129521966531</v>
      </c>
      <c r="G819" s="18" cm="1">
        <f t="array" ref="G819">IFERROR(_xlfn.IFS(ISNUMBER(Table13[[#This Row],[Column3]]),Table13[[#This Row],[Column3]],Table13[[#This Row],[Column3]]="NEW",Table13[[#This Row],[Column3]]),"")</f>
        <v>147.06129521966531</v>
      </c>
      <c r="H819" s="15" cm="1">
        <f t="array" ref="H819">_xlfn.IFS(Table13[[#This Row],[Column4]]="NEW",AVERAGEIFS(Table13[Column4],Table13[Year],Table13[[#This Row],[Year]]),ISNUMBER(Table13[[#This Row],[Column4]]),Table13[[#This Row],[Column4]],Table13[[#This Row],[Column4]]="",H818*(1+Table13[[#This Row],[Ávöxtun]]))</f>
        <v>147.06129521966531</v>
      </c>
      <c r="I819" cm="1">
        <f t="array" ref="I819">_xlfn.IFS(Table13[[#This Row],[Column4]]="NEW",_xlfn.XLOOKUP(Table13[[#This Row],[Year]],$N$2:$N$27,$P$2:$P$27),ISNUMBER(Table13[[#This Row],[Column4]]),Table13[[#This Row],[Column4]],Table13[[#This Row],[Column4]]="",I818*(1+Table13[[#This Row],[Ávöxtun]]))</f>
        <v>147.06129521966531</v>
      </c>
      <c r="L819" s="33">
        <v>147.06129521966531</v>
      </c>
      <c r="M819" s="33">
        <v>147.06129521966531</v>
      </c>
    </row>
    <row r="820" spans="1:13">
      <c r="A820" t="s">
        <v>128</v>
      </c>
      <c r="B820">
        <v>2009</v>
      </c>
      <c r="C820" s="16">
        <v>-1.3999999999999999E-2</v>
      </c>
      <c r="D820" s="1">
        <v>97926232</v>
      </c>
      <c r="E820" s="29">
        <f>Table13[[#This Row],[Ávöxtun]]*Table13[[#This Row],[Eignir]]/SUMIFS(Table13[Eignir],Table13[Year],Table13[[#This Row],[Year]])</f>
        <v>-9.9843357469020684E-4</v>
      </c>
      <c r="F820" s="23">
        <f>IF(B820=1997, 100, IF(COUNTIF(A$1:A819,A820)=0, "NEW", F819*(1+Table13[[#This Row],[Ávöxtun]])))</f>
        <v>145.00243708658999</v>
      </c>
      <c r="G820" s="18" cm="1">
        <f t="array" ref="G820">IFERROR(_xlfn.IFS(ISNUMBER(Table13[[#This Row],[Column3]]),Table13[[#This Row],[Column3]],Table13[[#This Row],[Column3]]="NEW",Table13[[#This Row],[Column3]]),"")</f>
        <v>145.00243708658999</v>
      </c>
      <c r="H820" s="15" cm="1">
        <f t="array" ref="H820">_xlfn.IFS(Table13[[#This Row],[Column4]]="NEW",AVERAGEIFS(Table13[Column4],Table13[Year],Table13[[#This Row],[Year]]),ISNUMBER(Table13[[#This Row],[Column4]]),Table13[[#This Row],[Column4]],Table13[[#This Row],[Column4]]="",H819*(1+Table13[[#This Row],[Ávöxtun]]))</f>
        <v>145.00243708658999</v>
      </c>
      <c r="I820" cm="1">
        <f t="array" ref="I820">_xlfn.IFS(Table13[[#This Row],[Column4]]="NEW",_xlfn.XLOOKUP(Table13[[#This Row],[Year]],$N$2:$N$27,$P$2:$P$27),ISNUMBER(Table13[[#This Row],[Column4]]),Table13[[#This Row],[Column4]],Table13[[#This Row],[Column4]]="",I819*(1+Table13[[#This Row],[Ávöxtun]]))</f>
        <v>145.00243708658999</v>
      </c>
      <c r="L820" s="33">
        <v>145.00243708658999</v>
      </c>
      <c r="M820" s="33">
        <v>145.00243708658999</v>
      </c>
    </row>
    <row r="821" spans="1:13">
      <c r="A821" t="s">
        <v>128</v>
      </c>
      <c r="B821">
        <v>2010</v>
      </c>
      <c r="C821" s="16">
        <v>1.9599999999999999E-2</v>
      </c>
      <c r="D821" s="1">
        <v>104023968</v>
      </c>
      <c r="E821" s="29">
        <f>Table13[[#This Row],[Ávöxtun]]*Table13[[#This Row],[Eignir]]/SUMIFS(Table13[Eignir],Table13[Year],Table13[[#This Row],[Year]])</f>
        <v>1.391958948004899E-3</v>
      </c>
      <c r="F821" s="23">
        <f>IF(B821=1997, 100, IF(COUNTIF(A$1:A820,A821)=0, "NEW", F820*(1+Table13[[#This Row],[Ávöxtun]])))</f>
        <v>147.84448485348716</v>
      </c>
      <c r="G821" s="18" cm="1">
        <f t="array" ref="G821">IFERROR(_xlfn.IFS(ISNUMBER(Table13[[#This Row],[Column3]]),Table13[[#This Row],[Column3]],Table13[[#This Row],[Column3]]="NEW",Table13[[#This Row],[Column3]]),"")</f>
        <v>147.84448485348716</v>
      </c>
      <c r="H821" s="15" cm="1">
        <f t="array" ref="H821">_xlfn.IFS(Table13[[#This Row],[Column4]]="NEW",AVERAGEIFS(Table13[Column4],Table13[Year],Table13[[#This Row],[Year]]),ISNUMBER(Table13[[#This Row],[Column4]]),Table13[[#This Row],[Column4]],Table13[[#This Row],[Column4]]="",H820*(1+Table13[[#This Row],[Ávöxtun]]))</f>
        <v>147.84448485348716</v>
      </c>
      <c r="I821" cm="1">
        <f t="array" ref="I821">_xlfn.IFS(Table13[[#This Row],[Column4]]="NEW",_xlfn.XLOOKUP(Table13[[#This Row],[Year]],$N$2:$N$27,$P$2:$P$27),ISNUMBER(Table13[[#This Row],[Column4]]),Table13[[#This Row],[Column4]],Table13[[#This Row],[Column4]]="",I820*(1+Table13[[#This Row],[Ávöxtun]]))</f>
        <v>147.84448485348716</v>
      </c>
      <c r="L821" s="33">
        <v>147.84448485348716</v>
      </c>
      <c r="M821" s="33">
        <v>147.84448485348716</v>
      </c>
    </row>
    <row r="822" spans="1:13">
      <c r="A822" t="s">
        <v>128</v>
      </c>
      <c r="B822">
        <v>2011</v>
      </c>
      <c r="C822" s="16">
        <v>1.9E-2</v>
      </c>
      <c r="D822" s="1">
        <v>113017939</v>
      </c>
      <c r="E822" s="29">
        <f>Table13[[#This Row],[Ávöxtun]]*Table13[[#This Row],[Eignir]]/SUMIFS(Table13[Eignir],Table13[Year],Table13[[#This Row],[Year]])</f>
        <v>1.3523333095397396E-3</v>
      </c>
      <c r="F822" s="23">
        <f>IF(B822=1997, 100, IF(COUNTIF(A$1:A821,A822)=0, "NEW", F821*(1+Table13[[#This Row],[Ávöxtun]])))</f>
        <v>150.65353006570339</v>
      </c>
      <c r="G822" s="18" cm="1">
        <f t="array" ref="G822">IFERROR(_xlfn.IFS(ISNUMBER(Table13[[#This Row],[Column3]]),Table13[[#This Row],[Column3]],Table13[[#This Row],[Column3]]="NEW",Table13[[#This Row],[Column3]]),"")</f>
        <v>150.65353006570339</v>
      </c>
      <c r="H822" s="15" cm="1">
        <f t="array" ref="H822">_xlfn.IFS(Table13[[#This Row],[Column4]]="NEW",AVERAGEIFS(Table13[Column4],Table13[Year],Table13[[#This Row],[Year]]),ISNUMBER(Table13[[#This Row],[Column4]]),Table13[[#This Row],[Column4]],Table13[[#This Row],[Column4]]="",H821*(1+Table13[[#This Row],[Ávöxtun]]))</f>
        <v>150.65353006570339</v>
      </c>
      <c r="I822" cm="1">
        <f t="array" ref="I822">_xlfn.IFS(Table13[[#This Row],[Column4]]="NEW",_xlfn.XLOOKUP(Table13[[#This Row],[Year]],$N$2:$N$27,$P$2:$P$27),ISNUMBER(Table13[[#This Row],[Column4]]),Table13[[#This Row],[Column4]],Table13[[#This Row],[Column4]]="",I821*(1+Table13[[#This Row],[Ávöxtun]]))</f>
        <v>150.65353006570339</v>
      </c>
      <c r="L822" s="33">
        <v>150.65353006570339</v>
      </c>
      <c r="M822" s="33">
        <v>150.65353006570339</v>
      </c>
    </row>
    <row r="823" spans="1:13">
      <c r="A823" t="s">
        <v>128</v>
      </c>
      <c r="B823">
        <v>2012</v>
      </c>
      <c r="C823" s="16">
        <v>8.5999999999999993E-2</v>
      </c>
      <c r="D823" s="1">
        <v>131306266</v>
      </c>
      <c r="E823" s="29">
        <f>Table13[[#This Row],[Ávöxtun]]*Table13[[#This Row],[Eignir]]/SUMIFS(Table13[Eignir],Table13[Year],Table13[[#This Row],[Year]])</f>
        <v>6.2914526783126555E-3</v>
      </c>
      <c r="F823" s="23">
        <f>IF(B823=1997, 100, IF(COUNTIF(A$1:A822,A823)=0, "NEW", F822*(1+Table13[[#This Row],[Ávöxtun]])))</f>
        <v>163.60973365135391</v>
      </c>
      <c r="G823" s="18" cm="1">
        <f t="array" ref="G823">IFERROR(_xlfn.IFS(ISNUMBER(Table13[[#This Row],[Column3]]),Table13[[#This Row],[Column3]],Table13[[#This Row],[Column3]]="NEW",Table13[[#This Row],[Column3]]),"")</f>
        <v>163.60973365135391</v>
      </c>
      <c r="H823" s="15" cm="1">
        <f t="array" ref="H823">_xlfn.IFS(Table13[[#This Row],[Column4]]="NEW",AVERAGEIFS(Table13[Column4],Table13[Year],Table13[[#This Row],[Year]]),ISNUMBER(Table13[[#This Row],[Column4]]),Table13[[#This Row],[Column4]],Table13[[#This Row],[Column4]]="",H822*(1+Table13[[#This Row],[Ávöxtun]]))</f>
        <v>163.60973365135391</v>
      </c>
      <c r="I823" cm="1">
        <f t="array" ref="I823">_xlfn.IFS(Table13[[#This Row],[Column4]]="NEW",_xlfn.XLOOKUP(Table13[[#This Row],[Year]],$N$2:$N$27,$P$2:$P$27),ISNUMBER(Table13[[#This Row],[Column4]]),Table13[[#This Row],[Column4]],Table13[[#This Row],[Column4]]="",I822*(1+Table13[[#This Row],[Ávöxtun]]))</f>
        <v>163.60973365135391</v>
      </c>
      <c r="L823" s="33">
        <v>163.60973365135391</v>
      </c>
      <c r="M823" s="33">
        <v>163.60973365135391</v>
      </c>
    </row>
    <row r="824" spans="1:13">
      <c r="A824" t="s">
        <v>128</v>
      </c>
      <c r="B824">
        <v>2013</v>
      </c>
      <c r="C824" s="16">
        <v>6.0999999999999999E-2</v>
      </c>
      <c r="D824" s="1">
        <v>143173472</v>
      </c>
      <c r="E824" s="29">
        <f>Table13[[#This Row],[Ávöxtun]]*Table13[[#This Row],[Eignir]]/SUMIFS(Table13[Eignir],Table13[Year],Table13[[#This Row],[Year]])</f>
        <v>4.4245005728432126E-3</v>
      </c>
      <c r="F824" s="23">
        <f>IF(B824=1997, 100, IF(COUNTIF(A$1:A823,A824)=0, "NEW", F823*(1+Table13[[#This Row],[Ávöxtun]])))</f>
        <v>173.5899274040865</v>
      </c>
      <c r="G824" s="18" cm="1">
        <f t="array" ref="G824">IFERROR(_xlfn.IFS(ISNUMBER(Table13[[#This Row],[Column3]]),Table13[[#This Row],[Column3]],Table13[[#This Row],[Column3]]="NEW",Table13[[#This Row],[Column3]]),"")</f>
        <v>173.5899274040865</v>
      </c>
      <c r="H824" s="15" cm="1">
        <f t="array" ref="H824">_xlfn.IFS(Table13[[#This Row],[Column4]]="NEW",AVERAGEIFS(Table13[Column4],Table13[Year],Table13[[#This Row],[Year]]),ISNUMBER(Table13[[#This Row],[Column4]]),Table13[[#This Row],[Column4]],Table13[[#This Row],[Column4]]="",H823*(1+Table13[[#This Row],[Ávöxtun]]))</f>
        <v>173.5899274040865</v>
      </c>
      <c r="I824" cm="1">
        <f t="array" ref="I824">_xlfn.IFS(Table13[[#This Row],[Column4]]="NEW",_xlfn.XLOOKUP(Table13[[#This Row],[Year]],$N$2:$N$27,$P$2:$P$27),ISNUMBER(Table13[[#This Row],[Column4]]),Table13[[#This Row],[Column4]],Table13[[#This Row],[Column4]]="",I823*(1+Table13[[#This Row],[Ávöxtun]]))</f>
        <v>173.5899274040865</v>
      </c>
      <c r="L824" s="33">
        <v>173.5899274040865</v>
      </c>
      <c r="M824" s="33">
        <v>173.5899274040865</v>
      </c>
    </row>
    <row r="825" spans="1:13">
      <c r="A825" t="s">
        <v>128</v>
      </c>
      <c r="B825">
        <v>2014</v>
      </c>
      <c r="C825" s="16">
        <v>6.3E-2</v>
      </c>
      <c r="D825" s="1">
        <v>152140551</v>
      </c>
      <c r="E825" s="29">
        <f>Table13[[#This Row],[Ávöxtun]]*Table13[[#This Row],[Eignir]]/SUMIFS(Table13[Eignir],Table13[Year],Table13[[#This Row],[Year]])</f>
        <v>4.4528865234716606E-3</v>
      </c>
      <c r="F825" s="23">
        <f>IF(B825=1997, 100, IF(COUNTIF(A$1:A824,A825)=0, "NEW", F824*(1+Table13[[#This Row],[Ávöxtun]])))</f>
        <v>184.52609283054394</v>
      </c>
      <c r="G825" s="18" cm="1">
        <f t="array" ref="G825">IFERROR(_xlfn.IFS(ISNUMBER(Table13[[#This Row],[Column3]]),Table13[[#This Row],[Column3]],Table13[[#This Row],[Column3]]="NEW",Table13[[#This Row],[Column3]]),"")</f>
        <v>184.52609283054394</v>
      </c>
      <c r="H825" s="15" cm="1">
        <f t="array" ref="H825">_xlfn.IFS(Table13[[#This Row],[Column4]]="NEW",AVERAGEIFS(Table13[Column4],Table13[Year],Table13[[#This Row],[Year]]),ISNUMBER(Table13[[#This Row],[Column4]]),Table13[[#This Row],[Column4]],Table13[[#This Row],[Column4]]="",H824*(1+Table13[[#This Row],[Ávöxtun]]))</f>
        <v>184.52609283054394</v>
      </c>
      <c r="I825" cm="1">
        <f t="array" ref="I825">_xlfn.IFS(Table13[[#This Row],[Column4]]="NEW",_xlfn.XLOOKUP(Table13[[#This Row],[Year]],$N$2:$N$27,$P$2:$P$27),ISNUMBER(Table13[[#This Row],[Column4]]),Table13[[#This Row],[Column4]],Table13[[#This Row],[Column4]]="",I824*(1+Table13[[#This Row],[Ávöxtun]]))</f>
        <v>184.52609283054394</v>
      </c>
      <c r="L825" s="33">
        <v>184.52609283054394</v>
      </c>
      <c r="M825" s="33">
        <v>184.52609283054394</v>
      </c>
    </row>
    <row r="826" spans="1:13">
      <c r="A826" t="s">
        <v>128</v>
      </c>
      <c r="B826">
        <v>2015</v>
      </c>
      <c r="C826" s="16">
        <v>7.0999999999999994E-2</v>
      </c>
      <c r="D826" s="1">
        <v>167057358</v>
      </c>
      <c r="E826" s="29">
        <f>Table13[[#This Row],[Ávöxtun]]*Table13[[#This Row],[Eignir]]/SUMIFS(Table13[Eignir],Table13[Year],Table13[[#This Row],[Year]])</f>
        <v>4.9674412633991969E-3</v>
      </c>
      <c r="F826" s="23">
        <f>IF(B826=1997, 100, IF(COUNTIF(A$1:A825,A826)=0, "NEW", F825*(1+Table13[[#This Row],[Ávöxtun]])))</f>
        <v>197.62744542151256</v>
      </c>
      <c r="G826" s="18" cm="1">
        <f t="array" ref="G826">IFERROR(_xlfn.IFS(ISNUMBER(Table13[[#This Row],[Column3]]),Table13[[#This Row],[Column3]],Table13[[#This Row],[Column3]]="NEW",Table13[[#This Row],[Column3]]),"")</f>
        <v>197.62744542151256</v>
      </c>
      <c r="H826" s="15" cm="1">
        <f t="array" ref="H826">_xlfn.IFS(Table13[[#This Row],[Column4]]="NEW",AVERAGEIFS(Table13[Column4],Table13[Year],Table13[[#This Row],[Year]]),ISNUMBER(Table13[[#This Row],[Column4]]),Table13[[#This Row],[Column4]],Table13[[#This Row],[Column4]]="",H825*(1+Table13[[#This Row],[Ávöxtun]]))</f>
        <v>197.62744542151256</v>
      </c>
      <c r="I826" cm="1">
        <f t="array" ref="I826">_xlfn.IFS(Table13[[#This Row],[Column4]]="NEW",_xlfn.XLOOKUP(Table13[[#This Row],[Year]],$N$2:$N$27,$P$2:$P$27),ISNUMBER(Table13[[#This Row],[Column4]]),Table13[[#This Row],[Column4]],Table13[[#This Row],[Column4]]="",I825*(1+Table13[[#This Row],[Ávöxtun]]))</f>
        <v>197.62744542151256</v>
      </c>
      <c r="L826" s="33">
        <v>197.62744542151256</v>
      </c>
      <c r="M826" s="33">
        <v>197.62744542151256</v>
      </c>
    </row>
    <row r="827" spans="1:13">
      <c r="A827" t="s">
        <v>129</v>
      </c>
      <c r="B827">
        <v>1997</v>
      </c>
      <c r="C827" s="16">
        <v>0.13</v>
      </c>
      <c r="D827" s="1">
        <v>11111288.91</v>
      </c>
      <c r="E827" s="29">
        <f>Table13[[#This Row],[Ávöxtun]]*Table13[[#This Row],[Eignir]]/SUMIFS(Table13[Eignir],Table13[Year],Table13[[#This Row],[Year]])</f>
        <v>5.0619889560123074E-3</v>
      </c>
      <c r="F827" s="23">
        <f>IF(B827=1997, 100, IF(COUNTIF(A$1:A826,A827)=0, "NEW", F826*(1+Table13[[#This Row],[Ávöxtun]])))</f>
        <v>100</v>
      </c>
      <c r="G827" s="18" cm="1">
        <f t="array" ref="G827">IFERROR(_xlfn.IFS(ISNUMBER(Table13[[#This Row],[Column3]]),Table13[[#This Row],[Column3]],Table13[[#This Row],[Column3]]="NEW",Table13[[#This Row],[Column3]]),"")</f>
        <v>100</v>
      </c>
      <c r="H827" s="15" cm="1">
        <f t="array" ref="H827">_xlfn.IFS(Table13[[#This Row],[Column4]]="NEW",AVERAGEIFS(Table13[Column4],Table13[Year],Table13[[#This Row],[Year]]),ISNUMBER(Table13[[#This Row],[Column4]]),Table13[[#This Row],[Column4]],Table13[[#This Row],[Column4]]="",H826*(1+Table13[[#This Row],[Ávöxtun]]))</f>
        <v>100</v>
      </c>
      <c r="I827" cm="1">
        <f t="array" ref="I827">_xlfn.IFS(Table13[[#This Row],[Column4]]="NEW",_xlfn.XLOOKUP(Table13[[#This Row],[Year]],$N$2:$N$27,$P$2:$P$27),ISNUMBER(Table13[[#This Row],[Column4]]),Table13[[#This Row],[Column4]],Table13[[#This Row],[Column4]]="",I826*(1+Table13[[#This Row],[Ávöxtun]]))</f>
        <v>100</v>
      </c>
      <c r="L827" s="33">
        <v>100</v>
      </c>
      <c r="M827" s="33">
        <v>100</v>
      </c>
    </row>
    <row r="828" spans="1:13">
      <c r="A828" t="s">
        <v>129</v>
      </c>
      <c r="B828">
        <v>1998</v>
      </c>
      <c r="C828" s="16">
        <v>7.0000000000000007E-2</v>
      </c>
      <c r="D828" s="1">
        <v>12076141.869999999</v>
      </c>
      <c r="E828" s="29">
        <f>Table13[[#This Row],[Ávöxtun]]*Table13[[#This Row],[Eignir]]/SUMIFS(Table13[Eignir],Table13[Year],Table13[[#This Row],[Year]])</f>
        <v>2.5577426247380768E-3</v>
      </c>
      <c r="F828" s="23">
        <f>IF(B828=1997, 100, IF(COUNTIF(A$1:A827,A828)=0, "NEW", F827*(1+Table13[[#This Row],[Ávöxtun]])))</f>
        <v>107</v>
      </c>
      <c r="G828" s="18" cm="1">
        <f t="array" ref="G828">IFERROR(_xlfn.IFS(ISNUMBER(Table13[[#This Row],[Column3]]),Table13[[#This Row],[Column3]],Table13[[#This Row],[Column3]]="NEW",Table13[[#This Row],[Column3]]),"")</f>
        <v>107</v>
      </c>
      <c r="H828" s="15" cm="1">
        <f t="array" ref="H828">_xlfn.IFS(Table13[[#This Row],[Column4]]="NEW",AVERAGEIFS(Table13[Column4],Table13[Year],Table13[[#This Row],[Year]]),ISNUMBER(Table13[[#This Row],[Column4]]),Table13[[#This Row],[Column4]],Table13[[#This Row],[Column4]]="",H827*(1+Table13[[#This Row],[Ávöxtun]]))</f>
        <v>107</v>
      </c>
      <c r="I828" cm="1">
        <f t="array" ref="I828">_xlfn.IFS(Table13[[#This Row],[Column4]]="NEW",_xlfn.XLOOKUP(Table13[[#This Row],[Year]],$N$2:$N$27,$P$2:$P$27),ISNUMBER(Table13[[#This Row],[Column4]]),Table13[[#This Row],[Column4]],Table13[[#This Row],[Column4]]="",I827*(1+Table13[[#This Row],[Ávöxtun]]))</f>
        <v>107</v>
      </c>
      <c r="L828" s="33">
        <v>107</v>
      </c>
      <c r="M828" s="33">
        <v>107</v>
      </c>
    </row>
    <row r="829" spans="1:13">
      <c r="A829" t="s">
        <v>129</v>
      </c>
      <c r="B829">
        <v>1999</v>
      </c>
      <c r="C829" s="16">
        <v>0.13</v>
      </c>
      <c r="D829" s="1">
        <v>14586564.939999999</v>
      </c>
      <c r="E829" s="29">
        <f>Table13[[#This Row],[Ávöxtun]]*Table13[[#This Row],[Eignir]]/SUMIFS(Table13[Eignir],Table13[Year],Table13[[#This Row],[Year]])</f>
        <v>4.2715720801661146E-3</v>
      </c>
      <c r="F829" s="23">
        <f>IF(B829=1997, 100, IF(COUNTIF(A$1:A828,A829)=0, "NEW", F828*(1+Table13[[#This Row],[Ávöxtun]])))</f>
        <v>120.90999999999998</v>
      </c>
      <c r="G829" s="18" cm="1">
        <f t="array" ref="G829">IFERROR(_xlfn.IFS(ISNUMBER(Table13[[#This Row],[Column3]]),Table13[[#This Row],[Column3]],Table13[[#This Row],[Column3]]="NEW",Table13[[#This Row],[Column3]]),"")</f>
        <v>120.90999999999998</v>
      </c>
      <c r="H829" s="15" cm="1">
        <f t="array" ref="H829">_xlfn.IFS(Table13[[#This Row],[Column4]]="NEW",AVERAGEIFS(Table13[Column4],Table13[Year],Table13[[#This Row],[Year]]),ISNUMBER(Table13[[#This Row],[Column4]]),Table13[[#This Row],[Column4]],Table13[[#This Row],[Column4]]="",H828*(1+Table13[[#This Row],[Ávöxtun]]))</f>
        <v>120.90999999999998</v>
      </c>
      <c r="I829" cm="1">
        <f t="array" ref="I829">_xlfn.IFS(Table13[[#This Row],[Column4]]="NEW",_xlfn.XLOOKUP(Table13[[#This Row],[Year]],$N$2:$N$27,$P$2:$P$27),ISNUMBER(Table13[[#This Row],[Column4]]),Table13[[#This Row],[Column4]],Table13[[#This Row],[Column4]]="",I828*(1+Table13[[#This Row],[Ávöxtun]]))</f>
        <v>120.90999999999998</v>
      </c>
      <c r="L829" s="33">
        <v>120.90999999999998</v>
      </c>
      <c r="M829" s="33">
        <v>120.90999999999998</v>
      </c>
    </row>
    <row r="830" spans="1:13">
      <c r="A830" t="s">
        <v>129</v>
      </c>
      <c r="B830">
        <v>2000</v>
      </c>
      <c r="C830" s="16">
        <v>0.02</v>
      </c>
      <c r="D830" s="1">
        <v>15623822.550000001</v>
      </c>
      <c r="E830" s="29">
        <f>Table13[[#This Row],[Ávöxtun]]*Table13[[#This Row],[Eignir]]/SUMIFS(Table13[Eignir],Table13[Year],Table13[[#This Row],[Year]])</f>
        <v>5.0037733891217218E-4</v>
      </c>
      <c r="F830" s="23">
        <f>IF(B830=1997, 100, IF(COUNTIF(A$1:A829,A830)=0, "NEW", F829*(1+Table13[[#This Row],[Ávöxtun]])))</f>
        <v>123.32819999999998</v>
      </c>
      <c r="G830" s="18" cm="1">
        <f t="array" ref="G830">IFERROR(_xlfn.IFS(ISNUMBER(Table13[[#This Row],[Column3]]),Table13[[#This Row],[Column3]],Table13[[#This Row],[Column3]]="NEW",Table13[[#This Row],[Column3]]),"")</f>
        <v>123.32819999999998</v>
      </c>
      <c r="H830" s="15" cm="1">
        <f t="array" ref="H830">_xlfn.IFS(Table13[[#This Row],[Column4]]="NEW",AVERAGEIFS(Table13[Column4],Table13[Year],Table13[[#This Row],[Year]]),ISNUMBER(Table13[[#This Row],[Column4]]),Table13[[#This Row],[Column4]],Table13[[#This Row],[Column4]]="",H829*(1+Table13[[#This Row],[Ávöxtun]]))</f>
        <v>123.32819999999998</v>
      </c>
      <c r="I830" cm="1">
        <f t="array" ref="I830">_xlfn.IFS(Table13[[#This Row],[Column4]]="NEW",_xlfn.XLOOKUP(Table13[[#This Row],[Year]],$N$2:$N$27,$P$2:$P$27),ISNUMBER(Table13[[#This Row],[Column4]]),Table13[[#This Row],[Column4]],Table13[[#This Row],[Column4]]="",I829*(1+Table13[[#This Row],[Ávöxtun]]))</f>
        <v>123.32819999999998</v>
      </c>
      <c r="L830" s="33">
        <v>123.32819999999998</v>
      </c>
      <c r="M830" s="33">
        <v>123.32819999999998</v>
      </c>
    </row>
    <row r="831" spans="1:13">
      <c r="A831" t="s">
        <v>129</v>
      </c>
      <c r="B831">
        <v>2001</v>
      </c>
      <c r="C831" s="16">
        <v>0</v>
      </c>
      <c r="D831" s="1">
        <v>34887900</v>
      </c>
      <c r="E831" s="29">
        <f>Table13[[#This Row],[Ávöxtun]]*Table13[[#This Row],[Eignir]]/SUMIFS(Table13[Eignir],Table13[Year],Table13[[#This Row],[Year]])</f>
        <v>0</v>
      </c>
      <c r="F831" s="23">
        <f>IF(B831=1997, 100, IF(COUNTIF(A$1:A830,A831)=0, "NEW", F830*(1+Table13[[#This Row],[Ávöxtun]])))</f>
        <v>123.32819999999998</v>
      </c>
      <c r="G831" s="18" cm="1">
        <f t="array" ref="G831">IFERROR(_xlfn.IFS(ISNUMBER(Table13[[#This Row],[Column3]]),Table13[[#This Row],[Column3]],Table13[[#This Row],[Column3]]="NEW",Table13[[#This Row],[Column3]]),"")</f>
        <v>123.32819999999998</v>
      </c>
      <c r="H831" s="15" cm="1">
        <f t="array" ref="H831">_xlfn.IFS(Table13[[#This Row],[Column4]]="NEW",AVERAGEIFS(Table13[Column4],Table13[Year],Table13[[#This Row],[Year]]),ISNUMBER(Table13[[#This Row],[Column4]]),Table13[[#This Row],[Column4]],Table13[[#This Row],[Column4]]="",H830*(1+Table13[[#This Row],[Ávöxtun]]))</f>
        <v>123.32819999999998</v>
      </c>
      <c r="I831" cm="1">
        <f t="array" ref="I831">_xlfn.IFS(Table13[[#This Row],[Column4]]="NEW",_xlfn.XLOOKUP(Table13[[#This Row],[Year]],$N$2:$N$27,$P$2:$P$27),ISNUMBER(Table13[[#This Row],[Column4]]),Table13[[#This Row],[Column4]],Table13[[#This Row],[Column4]]="",I830*(1+Table13[[#This Row],[Ávöxtun]]))</f>
        <v>123.32819999999998</v>
      </c>
      <c r="L831" s="33">
        <v>123.32819999999998</v>
      </c>
      <c r="M831" s="33">
        <v>123.32819999999998</v>
      </c>
    </row>
    <row r="832" spans="1:13">
      <c r="A832" t="s">
        <v>129</v>
      </c>
      <c r="B832">
        <v>2002</v>
      </c>
      <c r="C832" s="16">
        <v>0.02</v>
      </c>
      <c r="D832" s="1">
        <v>16852138</v>
      </c>
      <c r="E832" s="29">
        <f>Table13[[#This Row],[Ávöxtun]]*Table13[[#This Row],[Eignir]]/SUMIFS(Table13[Eignir],Table13[Year],Table13[[#This Row],[Year]])</f>
        <v>6.3249023730291678E-4</v>
      </c>
      <c r="F832" s="23">
        <f>IF(B832=1997, 100, IF(COUNTIF(A$1:A831,A832)=0, "NEW", F831*(1+Table13[[#This Row],[Ávöxtun]])))</f>
        <v>125.79476399999999</v>
      </c>
      <c r="G832" s="18" cm="1">
        <f t="array" ref="G832">IFERROR(_xlfn.IFS(ISNUMBER(Table13[[#This Row],[Column3]]),Table13[[#This Row],[Column3]],Table13[[#This Row],[Column3]]="NEW",Table13[[#This Row],[Column3]]),"")</f>
        <v>125.79476399999999</v>
      </c>
      <c r="H832" s="15" cm="1">
        <f t="array" ref="H832">_xlfn.IFS(Table13[[#This Row],[Column4]]="NEW",AVERAGEIFS(Table13[Column4],Table13[Year],Table13[[#This Row],[Year]]),ISNUMBER(Table13[[#This Row],[Column4]]),Table13[[#This Row],[Column4]],Table13[[#This Row],[Column4]]="",H831*(1+Table13[[#This Row],[Ávöxtun]]))</f>
        <v>125.79476399999999</v>
      </c>
      <c r="I832" cm="1">
        <f t="array" ref="I832">_xlfn.IFS(Table13[[#This Row],[Column4]]="NEW",_xlfn.XLOOKUP(Table13[[#This Row],[Year]],$N$2:$N$27,$P$2:$P$27),ISNUMBER(Table13[[#This Row],[Column4]]),Table13[[#This Row],[Column4]],Table13[[#This Row],[Column4]]="",I831*(1+Table13[[#This Row],[Ávöxtun]]))</f>
        <v>125.79476399999999</v>
      </c>
      <c r="L832" s="33">
        <v>125.79476399999999</v>
      </c>
      <c r="M832" s="33">
        <v>125.79476399999999</v>
      </c>
    </row>
    <row r="833" spans="1:13">
      <c r="A833" t="s">
        <v>129</v>
      </c>
      <c r="B833">
        <v>2003</v>
      </c>
      <c r="C833" s="16">
        <v>0.24</v>
      </c>
      <c r="D833" s="1">
        <v>19299843</v>
      </c>
      <c r="E833" s="29">
        <f>Table13[[#This Row],[Ávöxtun]]*Table13[[#This Row],[Eignir]]/SUMIFS(Table13[Eignir],Table13[Year],Table13[[#This Row],[Year]])</f>
        <v>7.2625007142718533E-3</v>
      </c>
      <c r="F833" s="23">
        <f>IF(B833=1997, 100, IF(COUNTIF(A$1:A832,A833)=0, "NEW", F832*(1+Table13[[#This Row],[Ávöxtun]])))</f>
        <v>155.98550735999999</v>
      </c>
      <c r="G833" s="18" cm="1">
        <f t="array" ref="G833">IFERROR(_xlfn.IFS(ISNUMBER(Table13[[#This Row],[Column3]]),Table13[[#This Row],[Column3]],Table13[[#This Row],[Column3]]="NEW",Table13[[#This Row],[Column3]]),"")</f>
        <v>155.98550735999999</v>
      </c>
      <c r="H833" s="15" cm="1">
        <f t="array" ref="H833">_xlfn.IFS(Table13[[#This Row],[Column4]]="NEW",AVERAGEIFS(Table13[Column4],Table13[Year],Table13[[#This Row],[Year]]),ISNUMBER(Table13[[#This Row],[Column4]]),Table13[[#This Row],[Column4]],Table13[[#This Row],[Column4]]="",H832*(1+Table13[[#This Row],[Ávöxtun]]))</f>
        <v>155.98550735999999</v>
      </c>
      <c r="I833" cm="1">
        <f t="array" ref="I833">_xlfn.IFS(Table13[[#This Row],[Column4]]="NEW",_xlfn.XLOOKUP(Table13[[#This Row],[Year]],$N$2:$N$27,$P$2:$P$27),ISNUMBER(Table13[[#This Row],[Column4]]),Table13[[#This Row],[Column4]],Table13[[#This Row],[Column4]]="",I832*(1+Table13[[#This Row],[Ávöxtun]]))</f>
        <v>155.98550735999999</v>
      </c>
      <c r="L833" s="33">
        <v>155.98550735999999</v>
      </c>
      <c r="M833" s="33">
        <v>155.98550735999999</v>
      </c>
    </row>
    <row r="834" spans="1:13">
      <c r="A834" t="s">
        <v>129</v>
      </c>
      <c r="B834">
        <v>2004</v>
      </c>
      <c r="C834" s="16">
        <v>0.3</v>
      </c>
      <c r="D834" s="1">
        <v>22971218</v>
      </c>
      <c r="E834" s="29">
        <f>Table13[[#This Row],[Ávöxtun]]*Table13[[#This Row],[Eignir]]/SUMIFS(Table13[Eignir],Table13[Year],Table13[[#This Row],[Year]])</f>
        <v>9.0719737357669219E-3</v>
      </c>
      <c r="F834" s="23">
        <f>IF(B834=1997, 100, IF(COUNTIF(A$1:A833,A834)=0, "NEW", F833*(1+Table13[[#This Row],[Ávöxtun]])))</f>
        <v>202.78115956799999</v>
      </c>
      <c r="G834" s="18" cm="1">
        <f t="array" ref="G834">IFERROR(_xlfn.IFS(ISNUMBER(Table13[[#This Row],[Column3]]),Table13[[#This Row],[Column3]],Table13[[#This Row],[Column3]]="NEW",Table13[[#This Row],[Column3]]),"")</f>
        <v>202.78115956799999</v>
      </c>
      <c r="H834" s="15" cm="1">
        <f t="array" ref="H834">_xlfn.IFS(Table13[[#This Row],[Column4]]="NEW",AVERAGEIFS(Table13[Column4],Table13[Year],Table13[[#This Row],[Year]]),ISNUMBER(Table13[[#This Row],[Column4]]),Table13[[#This Row],[Column4]],Table13[[#This Row],[Column4]]="",H833*(1+Table13[[#This Row],[Ávöxtun]]))</f>
        <v>202.78115956799999</v>
      </c>
      <c r="I834" cm="1">
        <f t="array" ref="I834">_xlfn.IFS(Table13[[#This Row],[Column4]]="NEW",_xlfn.XLOOKUP(Table13[[#This Row],[Year]],$N$2:$N$27,$P$2:$P$27),ISNUMBER(Table13[[#This Row],[Column4]]),Table13[[#This Row],[Column4]],Table13[[#This Row],[Column4]]="",I833*(1+Table13[[#This Row],[Ávöxtun]]))</f>
        <v>202.78115956799999</v>
      </c>
      <c r="L834" s="33">
        <v>202.78115956799999</v>
      </c>
      <c r="M834" s="33">
        <v>202.78115956799999</v>
      </c>
    </row>
    <row r="835" spans="1:13">
      <c r="A835" t="s">
        <v>129</v>
      </c>
      <c r="B835">
        <v>2005</v>
      </c>
      <c r="C835" s="16">
        <v>0.28000000000000003</v>
      </c>
      <c r="D835" s="1">
        <v>27233265</v>
      </c>
      <c r="E835" s="29">
        <f>Table13[[#This Row],[Ávöxtun]]*Table13[[#This Row],[Eignir]]/SUMIFS(Table13[Eignir],Table13[Year],Table13[[#This Row],[Year]])</f>
        <v>8.1693151100253898E-3</v>
      </c>
      <c r="F835" s="23">
        <f>IF(B835=1997, 100, IF(COUNTIF(A$1:A834,A835)=0, "NEW", F834*(1+Table13[[#This Row],[Ávöxtun]])))</f>
        <v>259.55988424703997</v>
      </c>
      <c r="G835" s="18" cm="1">
        <f t="array" ref="G835">IFERROR(_xlfn.IFS(ISNUMBER(Table13[[#This Row],[Column3]]),Table13[[#This Row],[Column3]],Table13[[#This Row],[Column3]]="NEW",Table13[[#This Row],[Column3]]),"")</f>
        <v>259.55988424703997</v>
      </c>
      <c r="H835" s="15" cm="1">
        <f t="array" ref="H835">_xlfn.IFS(Table13[[#This Row],[Column4]]="NEW",AVERAGEIFS(Table13[Column4],Table13[Year],Table13[[#This Row],[Year]]),ISNUMBER(Table13[[#This Row],[Column4]]),Table13[[#This Row],[Column4]],Table13[[#This Row],[Column4]]="",H834*(1+Table13[[#This Row],[Ávöxtun]]))</f>
        <v>259.55988424703997</v>
      </c>
      <c r="I835" cm="1">
        <f t="array" ref="I835">_xlfn.IFS(Table13[[#This Row],[Column4]]="NEW",_xlfn.XLOOKUP(Table13[[#This Row],[Year]],$N$2:$N$27,$P$2:$P$27),ISNUMBER(Table13[[#This Row],[Column4]]),Table13[[#This Row],[Column4]],Table13[[#This Row],[Column4]]="",I834*(1+Table13[[#This Row],[Ávöxtun]]))</f>
        <v>259.55988424703997</v>
      </c>
      <c r="L835" s="33">
        <v>259.55988424703997</v>
      </c>
      <c r="M835" s="33">
        <v>259.55988424703997</v>
      </c>
    </row>
    <row r="836" spans="1:13">
      <c r="A836" t="s">
        <v>132</v>
      </c>
      <c r="B836">
        <v>1999</v>
      </c>
      <c r="C836" s="16">
        <v>0.22</v>
      </c>
      <c r="D836" s="1">
        <v>1053801.1100000001</v>
      </c>
      <c r="E836" s="29">
        <f>Table13[[#This Row],[Ávöxtun]]*Table13[[#This Row],[Eignir]]/SUMIFS(Table13[Eignir],Table13[Year],Table13[[#This Row],[Year]])</f>
        <v>5.2224307461051127E-4</v>
      </c>
      <c r="F836" s="23" t="str">
        <f>IF(B836=1997, 100, IF(COUNTIF(A$1:A835,A836)=0, "NEW", F835*(1+Table13[[#This Row],[Ávöxtun]])))</f>
        <v>NEW</v>
      </c>
      <c r="G836" s="18" t="str" cm="1">
        <f t="array" ref="G836">IFERROR(_xlfn.IFS(ISNUMBER(Table13[[#This Row],[Column3]]),Table13[[#This Row],[Column3]],Table13[[#This Row],[Column3]]="NEW",Table13[[#This Row],[Column3]]),"")</f>
        <v>NEW</v>
      </c>
      <c r="H836" s="15" cm="1">
        <f t="array" ref="H836">_xlfn.IFS(Table13[[#This Row],[Column4]]="NEW",AVERAGEIFS(Table13[Column4],Table13[Year],Table13[[#This Row],[Year]]),ISNUMBER(Table13[[#This Row],[Column4]]),Table13[[#This Row],[Column4]],Table13[[#This Row],[Column4]]="",H835*(1+Table13[[#This Row],[Ávöxtun]]))</f>
        <v>117.24765957446809</v>
      </c>
      <c r="I836" cm="1">
        <f t="array" ref="I836">_xlfn.IFS(Table13[[#This Row],[Column4]]="NEW",_xlfn.XLOOKUP(Table13[[#This Row],[Year]],$N$2:$N$27,$P$2:$P$27),ISNUMBER(Table13[[#This Row],[Column4]]),Table13[[#This Row],[Column4]],Table13[[#This Row],[Column4]]="",I835*(1+Table13[[#This Row],[Ávöxtun]]))</f>
        <v>119.85237726478729</v>
      </c>
      <c r="L836" s="33">
        <v>117.05306122448981</v>
      </c>
      <c r="M836" s="33">
        <v>129.26988390123572</v>
      </c>
    </row>
    <row r="837" spans="1:13">
      <c r="A837" t="s">
        <v>132</v>
      </c>
      <c r="B837">
        <v>2000</v>
      </c>
      <c r="C837" s="16">
        <v>-0.09</v>
      </c>
      <c r="D837" s="1">
        <v>1320671.98</v>
      </c>
      <c r="E837" s="29">
        <f>Table13[[#This Row],[Ávöxtun]]*Table13[[#This Row],[Eignir]]/SUMIFS(Table13[Eignir],Table13[Year],Table13[[#This Row],[Year]])</f>
        <v>-1.9033463031601142E-4</v>
      </c>
      <c r="F837" s="23" t="e">
        <f>IF(B837=1997, 100, IF(COUNTIF(A$1:A836,A837)=0, "NEW", F836*(1+Table13[[#This Row],[Ávöxtun]])))</f>
        <v>#VALUE!</v>
      </c>
      <c r="G837" s="18" t="str" cm="1">
        <f t="array" ref="G837">IFERROR(_xlfn.IFS(ISNUMBER(Table13[[#This Row],[Column3]]),Table13[[#This Row],[Column3]],Table13[[#This Row],[Column3]]="NEW",Table13[[#This Row],[Column3]]),"")</f>
        <v/>
      </c>
      <c r="H837" s="15" cm="1">
        <f t="array" ref="H837">_xlfn.IFS(Table13[[#This Row],[Column4]]="NEW",AVERAGEIFS(Table13[Column4],Table13[Year],Table13[[#This Row],[Year]]),ISNUMBER(Table13[[#This Row],[Column4]]),Table13[[#This Row],[Column4]],Table13[[#This Row],[Column4]]="",H836*(1+Table13[[#This Row],[Ávöxtun]]))</f>
        <v>106.69537021276597</v>
      </c>
      <c r="I837" cm="1">
        <f t="array" ref="I837">_xlfn.IFS(Table13[[#This Row],[Column4]]="NEW",_xlfn.XLOOKUP(Table13[[#This Row],[Year]],$N$2:$N$27,$P$2:$P$27),ISNUMBER(Table13[[#This Row],[Column4]]),Table13[[#This Row],[Column4]],Table13[[#This Row],[Column4]]="",I836*(1+Table13[[#This Row],[Ávöxtun]]))</f>
        <v>109.06566331095644</v>
      </c>
      <c r="L837" s="33">
        <v>106.51828571428572</v>
      </c>
      <c r="M837" s="33">
        <v>117.63559435012451</v>
      </c>
    </row>
    <row r="838" spans="1:13">
      <c r="A838" t="s">
        <v>132</v>
      </c>
      <c r="B838">
        <v>2001</v>
      </c>
      <c r="C838" s="16">
        <v>0</v>
      </c>
      <c r="D838" s="1">
        <v>1921124</v>
      </c>
      <c r="E838" s="29">
        <f>Table13[[#This Row],[Ávöxtun]]*Table13[[#This Row],[Eignir]]/SUMIFS(Table13[Eignir],Table13[Year],Table13[[#This Row],[Year]])</f>
        <v>0</v>
      </c>
      <c r="F838" s="23" t="e">
        <f>IF(B838=1997, 100, IF(COUNTIF(A$1:A837,A838)=0, "NEW", F837*(1+Table13[[#This Row],[Ávöxtun]])))</f>
        <v>#VALUE!</v>
      </c>
      <c r="G838" s="18" t="str" cm="1">
        <f t="array" ref="G838">IFERROR(_xlfn.IFS(ISNUMBER(Table13[[#This Row],[Column3]]),Table13[[#This Row],[Column3]],Table13[[#This Row],[Column3]]="NEW",Table13[[#This Row],[Column3]]),"")</f>
        <v/>
      </c>
      <c r="H838" s="15" cm="1">
        <f t="array" ref="H838">_xlfn.IFS(Table13[[#This Row],[Column4]]="NEW",AVERAGEIFS(Table13[Column4],Table13[Year],Table13[[#This Row],[Year]]),ISNUMBER(Table13[[#This Row],[Column4]]),Table13[[#This Row],[Column4]],Table13[[#This Row],[Column4]]="",H837*(1+Table13[[#This Row],[Ávöxtun]]))</f>
        <v>106.69537021276597</v>
      </c>
      <c r="I838" cm="1">
        <f t="array" ref="I838">_xlfn.IFS(Table13[[#This Row],[Column4]]="NEW",_xlfn.XLOOKUP(Table13[[#This Row],[Year]],$N$2:$N$27,$P$2:$P$27),ISNUMBER(Table13[[#This Row],[Column4]]),Table13[[#This Row],[Column4]],Table13[[#This Row],[Column4]]="",I837*(1+Table13[[#This Row],[Ávöxtun]]))</f>
        <v>109.06566331095644</v>
      </c>
      <c r="L838" s="33">
        <v>106.51828571428572</v>
      </c>
      <c r="M838" s="33">
        <v>117.63559435012451</v>
      </c>
    </row>
    <row r="839" spans="1:13">
      <c r="A839" t="s">
        <v>132</v>
      </c>
      <c r="B839">
        <v>2002</v>
      </c>
      <c r="C839" s="16">
        <v>-0.04</v>
      </c>
      <c r="D839" s="1">
        <v>298748</v>
      </c>
      <c r="E839" s="29">
        <f>Table13[[#This Row],[Ávöxtun]]*Table13[[#This Row],[Eignir]]/SUMIFS(Table13[Eignir],Table13[Year],Table13[[#This Row],[Year]])</f>
        <v>-2.2425070743400246E-5</v>
      </c>
      <c r="F839" s="23" t="e">
        <f>IF(B839=1997, 100, IF(COUNTIF(A$1:A838,A839)=0, "NEW", F838*(1+Table13[[#This Row],[Ávöxtun]])))</f>
        <v>#VALUE!</v>
      </c>
      <c r="G839" s="18" t="str" cm="1">
        <f t="array" ref="G839">IFERROR(_xlfn.IFS(ISNUMBER(Table13[[#This Row],[Column3]]),Table13[[#This Row],[Column3]],Table13[[#This Row],[Column3]]="NEW",Table13[[#This Row],[Column3]]),"")</f>
        <v/>
      </c>
      <c r="H839" s="15" cm="1">
        <f t="array" ref="H839">_xlfn.IFS(Table13[[#This Row],[Column4]]="NEW",AVERAGEIFS(Table13[Column4],Table13[Year],Table13[[#This Row],[Year]]),ISNUMBER(Table13[[#This Row],[Column4]]),Table13[[#This Row],[Column4]],Table13[[#This Row],[Column4]]="",H838*(1+Table13[[#This Row],[Ávöxtun]]))</f>
        <v>102.42755540425533</v>
      </c>
      <c r="I839" cm="1">
        <f t="array" ref="I839">_xlfn.IFS(Table13[[#This Row],[Column4]]="NEW",_xlfn.XLOOKUP(Table13[[#This Row],[Year]],$N$2:$N$27,$P$2:$P$27),ISNUMBER(Table13[[#This Row],[Column4]]),Table13[[#This Row],[Column4]],Table13[[#This Row],[Column4]]="",I838*(1+Table13[[#This Row],[Ávöxtun]]))</f>
        <v>104.70303677851818</v>
      </c>
      <c r="L839" s="33">
        <v>102.25755428571429</v>
      </c>
      <c r="M839" s="33">
        <v>112.93017057611952</v>
      </c>
    </row>
    <row r="840" spans="1:13">
      <c r="A840" t="s">
        <v>132</v>
      </c>
      <c r="B840">
        <v>2003</v>
      </c>
      <c r="C840" s="16">
        <v>0.12</v>
      </c>
      <c r="D840" s="1">
        <v>471251.72</v>
      </c>
      <c r="E840" s="29">
        <f>Table13[[#This Row],[Ávöxtun]]*Table13[[#This Row],[Eignir]]/SUMIFS(Table13[Eignir],Table13[Year],Table13[[#This Row],[Year]])</f>
        <v>8.8665642334547469E-5</v>
      </c>
      <c r="F840" s="23" t="e">
        <f>IF(B840=1997, 100, IF(COUNTIF(A$1:A839,A840)=0, "NEW", F839*(1+Table13[[#This Row],[Ávöxtun]])))</f>
        <v>#VALUE!</v>
      </c>
      <c r="G840" s="18" t="str" cm="1">
        <f t="array" ref="G840">IFERROR(_xlfn.IFS(ISNUMBER(Table13[[#This Row],[Column3]]),Table13[[#This Row],[Column3]],Table13[[#This Row],[Column3]]="NEW",Table13[[#This Row],[Column3]]),"")</f>
        <v/>
      </c>
      <c r="H840" s="15" cm="1">
        <f t="array" ref="H840">_xlfn.IFS(Table13[[#This Row],[Column4]]="NEW",AVERAGEIFS(Table13[Column4],Table13[Year],Table13[[#This Row],[Year]]),ISNUMBER(Table13[[#This Row],[Column4]]),Table13[[#This Row],[Column4]],Table13[[#This Row],[Column4]]="",H839*(1+Table13[[#This Row],[Ávöxtun]]))</f>
        <v>114.71886205276599</v>
      </c>
      <c r="I840" cm="1">
        <f t="array" ref="I840">_xlfn.IFS(Table13[[#This Row],[Column4]]="NEW",_xlfn.XLOOKUP(Table13[[#This Row],[Year]],$N$2:$N$27,$P$2:$P$27),ISNUMBER(Table13[[#This Row],[Column4]]),Table13[[#This Row],[Column4]],Table13[[#This Row],[Column4]]="",I839*(1+Table13[[#This Row],[Ávöxtun]]))</f>
        <v>117.26740119194038</v>
      </c>
      <c r="L840" s="33">
        <v>114.52846080000002</v>
      </c>
      <c r="M840" s="33">
        <v>126.48179104525387</v>
      </c>
    </row>
    <row r="841" spans="1:13">
      <c r="A841" t="s">
        <v>133</v>
      </c>
      <c r="B841">
        <v>1997</v>
      </c>
      <c r="C841" s="16">
        <v>0.09</v>
      </c>
      <c r="D841" s="1">
        <v>13210404.98</v>
      </c>
      <c r="E841" s="29">
        <f>Table13[[#This Row],[Ávöxtun]]*Table13[[#This Row],[Eignir]]/SUMIFS(Table13[Eignir],Table13[Year],Table13[[#This Row],[Year]])</f>
        <v>4.1665062919598959E-3</v>
      </c>
      <c r="F841" s="23">
        <f>IF(B841=1997, 100, IF(COUNTIF(A$1:A840,A841)=0, "NEW", F840*(1+Table13[[#This Row],[Ávöxtun]])))</f>
        <v>100</v>
      </c>
      <c r="G841" s="18" cm="1">
        <f t="array" ref="G841">IFERROR(_xlfn.IFS(ISNUMBER(Table13[[#This Row],[Column3]]),Table13[[#This Row],[Column3]],Table13[[#This Row],[Column3]]="NEW",Table13[[#This Row],[Column3]]),"")</f>
        <v>100</v>
      </c>
      <c r="H841" s="15" cm="1">
        <f t="array" ref="H841">_xlfn.IFS(Table13[[#This Row],[Column4]]="NEW",AVERAGEIFS(Table13[Column4],Table13[Year],Table13[[#This Row],[Year]]),ISNUMBER(Table13[[#This Row],[Column4]]),Table13[[#This Row],[Column4]],Table13[[#This Row],[Column4]]="",H840*(1+Table13[[#This Row],[Ávöxtun]]))</f>
        <v>100</v>
      </c>
      <c r="I841" cm="1">
        <f t="array" ref="I841">_xlfn.IFS(Table13[[#This Row],[Column4]]="NEW",_xlfn.XLOOKUP(Table13[[#This Row],[Year]],$N$2:$N$27,$P$2:$P$27),ISNUMBER(Table13[[#This Row],[Column4]]),Table13[[#This Row],[Column4]],Table13[[#This Row],[Column4]]="",I840*(1+Table13[[#This Row],[Ávöxtun]]))</f>
        <v>100</v>
      </c>
      <c r="L841" s="33">
        <v>100</v>
      </c>
      <c r="M841" s="33">
        <v>100</v>
      </c>
    </row>
    <row r="842" spans="1:13">
      <c r="A842" t="s">
        <v>133</v>
      </c>
      <c r="B842">
        <v>1998</v>
      </c>
      <c r="C842" s="16">
        <v>0.06</v>
      </c>
      <c r="D842" s="1">
        <v>14660015.68</v>
      </c>
      <c r="E842" s="29">
        <f>Table13[[#This Row],[Ávöxtun]]*Table13[[#This Row],[Eignir]]/SUMIFS(Table13[Eignir],Table13[Year],Table13[[#This Row],[Year]])</f>
        <v>2.6614375485895544E-3</v>
      </c>
      <c r="F842" s="23">
        <f>IF(B842=1997, 100, IF(COUNTIF(A$1:A841,A842)=0, "NEW", F841*(1+Table13[[#This Row],[Ávöxtun]])))</f>
        <v>106</v>
      </c>
      <c r="G842" s="18" cm="1">
        <f t="array" ref="G842">IFERROR(_xlfn.IFS(ISNUMBER(Table13[[#This Row],[Column3]]),Table13[[#This Row],[Column3]],Table13[[#This Row],[Column3]]="NEW",Table13[[#This Row],[Column3]]),"")</f>
        <v>106</v>
      </c>
      <c r="H842" s="15" cm="1">
        <f t="array" ref="H842">_xlfn.IFS(Table13[[#This Row],[Column4]]="NEW",AVERAGEIFS(Table13[Column4],Table13[Year],Table13[[#This Row],[Year]]),ISNUMBER(Table13[[#This Row],[Column4]]),Table13[[#This Row],[Column4]],Table13[[#This Row],[Column4]]="",H841*(1+Table13[[#This Row],[Ávöxtun]]))</f>
        <v>106</v>
      </c>
      <c r="I842" cm="1">
        <f t="array" ref="I842">_xlfn.IFS(Table13[[#This Row],[Column4]]="NEW",_xlfn.XLOOKUP(Table13[[#This Row],[Year]],$N$2:$N$27,$P$2:$P$27),ISNUMBER(Table13[[#This Row],[Column4]]),Table13[[#This Row],[Column4]],Table13[[#This Row],[Column4]]="",I841*(1+Table13[[#This Row],[Ávöxtun]]))</f>
        <v>106</v>
      </c>
      <c r="L842" s="33">
        <v>106</v>
      </c>
      <c r="M842" s="33">
        <v>106</v>
      </c>
    </row>
    <row r="843" spans="1:13">
      <c r="A843" t="s">
        <v>133</v>
      </c>
      <c r="B843">
        <v>1999</v>
      </c>
      <c r="C843" s="16">
        <v>0.1</v>
      </c>
      <c r="D843" s="1">
        <v>17707325.149999999</v>
      </c>
      <c r="E843" s="29">
        <f>Table13[[#This Row],[Ávöxtun]]*Table13[[#This Row],[Eignir]]/SUMIFS(Table13[Eignir],Table13[Year],Table13[[#This Row],[Year]])</f>
        <v>3.9888189016236801E-3</v>
      </c>
      <c r="F843" s="23">
        <f>IF(B843=1997, 100, IF(COUNTIF(A$1:A842,A843)=0, "NEW", F842*(1+Table13[[#This Row],[Ávöxtun]])))</f>
        <v>116.60000000000001</v>
      </c>
      <c r="G843" s="18" cm="1">
        <f t="array" ref="G843">IFERROR(_xlfn.IFS(ISNUMBER(Table13[[#This Row],[Column3]]),Table13[[#This Row],[Column3]],Table13[[#This Row],[Column3]]="NEW",Table13[[#This Row],[Column3]]),"")</f>
        <v>116.60000000000001</v>
      </c>
      <c r="H843" s="15" cm="1">
        <f t="array" ref="H843">_xlfn.IFS(Table13[[#This Row],[Column4]]="NEW",AVERAGEIFS(Table13[Column4],Table13[Year],Table13[[#This Row],[Year]]),ISNUMBER(Table13[[#This Row],[Column4]]),Table13[[#This Row],[Column4]],Table13[[#This Row],[Column4]]="",H842*(1+Table13[[#This Row],[Ávöxtun]]))</f>
        <v>116.60000000000001</v>
      </c>
      <c r="I843" cm="1">
        <f t="array" ref="I843">_xlfn.IFS(Table13[[#This Row],[Column4]]="NEW",_xlfn.XLOOKUP(Table13[[#This Row],[Year]],$N$2:$N$27,$P$2:$P$27),ISNUMBER(Table13[[#This Row],[Column4]]),Table13[[#This Row],[Column4]],Table13[[#This Row],[Column4]]="",I842*(1+Table13[[#This Row],[Ávöxtun]]))</f>
        <v>116.60000000000001</v>
      </c>
      <c r="L843" s="33">
        <v>116.60000000000001</v>
      </c>
      <c r="M843" s="33">
        <v>116.60000000000001</v>
      </c>
    </row>
    <row r="844" spans="1:13">
      <c r="A844" t="s">
        <v>133</v>
      </c>
      <c r="B844">
        <v>2000</v>
      </c>
      <c r="C844" s="16">
        <v>0.02</v>
      </c>
      <c r="D844" s="1">
        <v>19243795.02</v>
      </c>
      <c r="E844" s="29">
        <f>Table13[[#This Row],[Ávöxtun]]*Table13[[#This Row],[Eignir]]/SUMIFS(Table13[Eignir],Table13[Year],Table13[[#This Row],[Year]])</f>
        <v>6.1631261567796742E-4</v>
      </c>
      <c r="F844" s="23">
        <f>IF(B844=1997, 100, IF(COUNTIF(A$1:A843,A844)=0, "NEW", F843*(1+Table13[[#This Row],[Ávöxtun]])))</f>
        <v>118.93200000000002</v>
      </c>
      <c r="G844" s="18" cm="1">
        <f t="array" ref="G844">IFERROR(_xlfn.IFS(ISNUMBER(Table13[[#This Row],[Column3]]),Table13[[#This Row],[Column3]],Table13[[#This Row],[Column3]]="NEW",Table13[[#This Row],[Column3]]),"")</f>
        <v>118.93200000000002</v>
      </c>
      <c r="H844" s="15" cm="1">
        <f t="array" ref="H844">_xlfn.IFS(Table13[[#This Row],[Column4]]="NEW",AVERAGEIFS(Table13[Column4],Table13[Year],Table13[[#This Row],[Year]]),ISNUMBER(Table13[[#This Row],[Column4]]),Table13[[#This Row],[Column4]],Table13[[#This Row],[Column4]]="",H843*(1+Table13[[#This Row],[Ávöxtun]]))</f>
        <v>118.93200000000002</v>
      </c>
      <c r="I844" cm="1">
        <f t="array" ref="I844">_xlfn.IFS(Table13[[#This Row],[Column4]]="NEW",_xlfn.XLOOKUP(Table13[[#This Row],[Year]],$N$2:$N$27,$P$2:$P$27),ISNUMBER(Table13[[#This Row],[Column4]]),Table13[[#This Row],[Column4]],Table13[[#This Row],[Column4]]="",I843*(1+Table13[[#This Row],[Ávöxtun]]))</f>
        <v>118.93200000000002</v>
      </c>
      <c r="L844" s="33">
        <v>118.93200000000002</v>
      </c>
      <c r="M844" s="33">
        <v>118.93200000000002</v>
      </c>
    </row>
    <row r="845" spans="1:13">
      <c r="A845" t="s">
        <v>133</v>
      </c>
      <c r="B845">
        <v>2001</v>
      </c>
      <c r="C845" s="16">
        <v>0.02</v>
      </c>
      <c r="D845" s="1">
        <v>44444546.789999999</v>
      </c>
      <c r="E845" s="29">
        <f>Table13[[#This Row],[Ávöxtun]]*Table13[[#This Row],[Eignir]]/SUMIFS(Table13[Eignir],Table13[Year],Table13[[#This Row],[Year]])</f>
        <v>9.2492557599791207E-4</v>
      </c>
      <c r="F845" s="23">
        <f>IF(B845=1997, 100, IF(COUNTIF(A$1:A844,A845)=0, "NEW", F844*(1+Table13[[#This Row],[Ávöxtun]])))</f>
        <v>121.31064000000002</v>
      </c>
      <c r="G845" s="18" cm="1">
        <f t="array" ref="G845">IFERROR(_xlfn.IFS(ISNUMBER(Table13[[#This Row],[Column3]]),Table13[[#This Row],[Column3]],Table13[[#This Row],[Column3]]="NEW",Table13[[#This Row],[Column3]]),"")</f>
        <v>121.31064000000002</v>
      </c>
      <c r="H845" s="15" cm="1">
        <f t="array" ref="H845">_xlfn.IFS(Table13[[#This Row],[Column4]]="NEW",AVERAGEIFS(Table13[Column4],Table13[Year],Table13[[#This Row],[Year]]),ISNUMBER(Table13[[#This Row],[Column4]]),Table13[[#This Row],[Column4]],Table13[[#This Row],[Column4]]="",H844*(1+Table13[[#This Row],[Ávöxtun]]))</f>
        <v>121.31064000000002</v>
      </c>
      <c r="I845" cm="1">
        <f t="array" ref="I845">_xlfn.IFS(Table13[[#This Row],[Column4]]="NEW",_xlfn.XLOOKUP(Table13[[#This Row],[Year]],$N$2:$N$27,$P$2:$P$27),ISNUMBER(Table13[[#This Row],[Column4]]),Table13[[#This Row],[Column4]],Table13[[#This Row],[Column4]]="",I844*(1+Table13[[#This Row],[Ávöxtun]]))</f>
        <v>121.31064000000002</v>
      </c>
      <c r="L845" s="33">
        <v>121.31064000000002</v>
      </c>
      <c r="M845" s="33">
        <v>121.31064000000002</v>
      </c>
    </row>
    <row r="846" spans="1:13">
      <c r="A846" t="s">
        <v>133</v>
      </c>
      <c r="B846">
        <v>2002</v>
      </c>
      <c r="C846" s="16">
        <v>0</v>
      </c>
      <c r="D846" s="1">
        <v>23870648.16</v>
      </c>
      <c r="E846" s="29">
        <f>Table13[[#This Row],[Ávöxtun]]*Table13[[#This Row],[Eignir]]/SUMIFS(Table13[Eignir],Table13[Year],Table13[[#This Row],[Year]])</f>
        <v>0</v>
      </c>
      <c r="F846" s="23">
        <f>IF(B846=1997, 100, IF(COUNTIF(A$1:A845,A846)=0, "NEW", F845*(1+Table13[[#This Row],[Ávöxtun]])))</f>
        <v>121.31064000000002</v>
      </c>
      <c r="G846" s="18" cm="1">
        <f t="array" ref="G846">IFERROR(_xlfn.IFS(ISNUMBER(Table13[[#This Row],[Column3]]),Table13[[#This Row],[Column3]],Table13[[#This Row],[Column3]]="NEW",Table13[[#This Row],[Column3]]),"")</f>
        <v>121.31064000000002</v>
      </c>
      <c r="H846" s="15" cm="1">
        <f t="array" ref="H846">_xlfn.IFS(Table13[[#This Row],[Column4]]="NEW",AVERAGEIFS(Table13[Column4],Table13[Year],Table13[[#This Row],[Year]]),ISNUMBER(Table13[[#This Row],[Column4]]),Table13[[#This Row],[Column4]],Table13[[#This Row],[Column4]]="",H845*(1+Table13[[#This Row],[Ávöxtun]]))</f>
        <v>121.31064000000002</v>
      </c>
      <c r="I846" cm="1">
        <f t="array" ref="I846">_xlfn.IFS(Table13[[#This Row],[Column4]]="NEW",_xlfn.XLOOKUP(Table13[[#This Row],[Year]],$N$2:$N$27,$P$2:$P$27),ISNUMBER(Table13[[#This Row],[Column4]]),Table13[[#This Row],[Column4]],Table13[[#This Row],[Column4]]="",I845*(1+Table13[[#This Row],[Ávöxtun]]))</f>
        <v>121.31064000000002</v>
      </c>
      <c r="L846" s="33">
        <v>121.31064000000002</v>
      </c>
      <c r="M846" s="33">
        <v>121.31064000000002</v>
      </c>
    </row>
    <row r="847" spans="1:13">
      <c r="A847" t="s">
        <v>133</v>
      </c>
      <c r="B847">
        <v>2003</v>
      </c>
      <c r="C847" s="16">
        <v>0.1</v>
      </c>
      <c r="D847" s="1">
        <v>28202335</v>
      </c>
      <c r="E847" s="29">
        <f>Table13[[#This Row],[Ávöxtun]]*Table13[[#This Row],[Eignir]]/SUMIFS(Table13[Eignir],Table13[Year],Table13[[#This Row],[Year]])</f>
        <v>4.4218727168237005E-3</v>
      </c>
      <c r="F847" s="23">
        <f>IF(B847=1997, 100, IF(COUNTIF(A$1:A846,A847)=0, "NEW", F846*(1+Table13[[#This Row],[Ávöxtun]])))</f>
        <v>133.44170400000004</v>
      </c>
      <c r="G847" s="18" cm="1">
        <f t="array" ref="G847">IFERROR(_xlfn.IFS(ISNUMBER(Table13[[#This Row],[Column3]]),Table13[[#This Row],[Column3]],Table13[[#This Row],[Column3]]="NEW",Table13[[#This Row],[Column3]]),"")</f>
        <v>133.44170400000004</v>
      </c>
      <c r="H847" s="15" cm="1">
        <f t="array" ref="H847">_xlfn.IFS(Table13[[#This Row],[Column4]]="NEW",AVERAGEIFS(Table13[Column4],Table13[Year],Table13[[#This Row],[Year]]),ISNUMBER(Table13[[#This Row],[Column4]]),Table13[[#This Row],[Column4]],Table13[[#This Row],[Column4]]="",H846*(1+Table13[[#This Row],[Ávöxtun]]))</f>
        <v>133.44170400000004</v>
      </c>
      <c r="I847" cm="1">
        <f t="array" ref="I847">_xlfn.IFS(Table13[[#This Row],[Column4]]="NEW",_xlfn.XLOOKUP(Table13[[#This Row],[Year]],$N$2:$N$27,$P$2:$P$27),ISNUMBER(Table13[[#This Row],[Column4]]),Table13[[#This Row],[Column4]],Table13[[#This Row],[Column4]]="",I846*(1+Table13[[#This Row],[Ávöxtun]]))</f>
        <v>133.44170400000004</v>
      </c>
      <c r="L847" s="33">
        <v>133.44170400000004</v>
      </c>
      <c r="M847" s="33">
        <v>133.44170400000004</v>
      </c>
    </row>
    <row r="848" spans="1:13">
      <c r="A848" t="s">
        <v>133</v>
      </c>
      <c r="B848">
        <v>2004</v>
      </c>
      <c r="C848" s="16">
        <v>0.1</v>
      </c>
      <c r="D848" s="1">
        <v>33619873</v>
      </c>
      <c r="E848" s="29">
        <f>Table13[[#This Row],[Ávöxtun]]*Table13[[#This Row],[Eignir]]/SUMIFS(Table13[Eignir],Table13[Year],Table13[[#This Row],[Year]])</f>
        <v>4.4258080533042046E-3</v>
      </c>
      <c r="F848" s="23">
        <f>IF(B848=1997, 100, IF(COUNTIF(A$1:A847,A848)=0, "NEW", F847*(1+Table13[[#This Row],[Ávöxtun]])))</f>
        <v>146.78587440000007</v>
      </c>
      <c r="G848" s="18" cm="1">
        <f t="array" ref="G848">IFERROR(_xlfn.IFS(ISNUMBER(Table13[[#This Row],[Column3]]),Table13[[#This Row],[Column3]],Table13[[#This Row],[Column3]]="NEW",Table13[[#This Row],[Column3]]),"")</f>
        <v>146.78587440000007</v>
      </c>
      <c r="H848" s="15" cm="1">
        <f t="array" ref="H848">_xlfn.IFS(Table13[[#This Row],[Column4]]="NEW",AVERAGEIFS(Table13[Column4],Table13[Year],Table13[[#This Row],[Year]]),ISNUMBER(Table13[[#This Row],[Column4]]),Table13[[#This Row],[Column4]],Table13[[#This Row],[Column4]]="",H847*(1+Table13[[#This Row],[Ávöxtun]]))</f>
        <v>146.78587440000007</v>
      </c>
      <c r="I848" cm="1">
        <f t="array" ref="I848">_xlfn.IFS(Table13[[#This Row],[Column4]]="NEW",_xlfn.XLOOKUP(Table13[[#This Row],[Year]],$N$2:$N$27,$P$2:$P$27),ISNUMBER(Table13[[#This Row],[Column4]]),Table13[[#This Row],[Column4]],Table13[[#This Row],[Column4]]="",I847*(1+Table13[[#This Row],[Ávöxtun]]))</f>
        <v>146.78587440000007</v>
      </c>
      <c r="L848" s="33">
        <v>146.78587440000007</v>
      </c>
      <c r="M848" s="33">
        <v>146.78587440000007</v>
      </c>
    </row>
    <row r="849" spans="1:13">
      <c r="A849" t="s">
        <v>133</v>
      </c>
      <c r="B849">
        <v>2005</v>
      </c>
      <c r="C849" s="16">
        <v>0.13</v>
      </c>
      <c r="D849" s="1">
        <v>41382819</v>
      </c>
      <c r="E849" s="29">
        <f>Table13[[#This Row],[Ávöxtun]]*Table13[[#This Row],[Eignir]]/SUMIFS(Table13[Eignir],Table13[Year],Table13[[#This Row],[Year]])</f>
        <v>5.7635667670951777E-3</v>
      </c>
      <c r="F849" s="23">
        <f>IF(B849=1997, 100, IF(COUNTIF(A$1:A848,A849)=0, "NEW", F848*(1+Table13[[#This Row],[Ávöxtun]])))</f>
        <v>165.86803807200008</v>
      </c>
      <c r="G849" s="18" cm="1">
        <f t="array" ref="G849">IFERROR(_xlfn.IFS(ISNUMBER(Table13[[#This Row],[Column3]]),Table13[[#This Row],[Column3]],Table13[[#This Row],[Column3]]="NEW",Table13[[#This Row],[Column3]]),"")</f>
        <v>165.86803807200008</v>
      </c>
      <c r="H849" s="15" cm="1">
        <f t="array" ref="H849">_xlfn.IFS(Table13[[#This Row],[Column4]]="NEW",AVERAGEIFS(Table13[Column4],Table13[Year],Table13[[#This Row],[Year]]),ISNUMBER(Table13[[#This Row],[Column4]]),Table13[[#This Row],[Column4]],Table13[[#This Row],[Column4]]="",H848*(1+Table13[[#This Row],[Ávöxtun]]))</f>
        <v>165.86803807200008</v>
      </c>
      <c r="I849" cm="1">
        <f t="array" ref="I849">_xlfn.IFS(Table13[[#This Row],[Column4]]="NEW",_xlfn.XLOOKUP(Table13[[#This Row],[Year]],$N$2:$N$27,$P$2:$P$27),ISNUMBER(Table13[[#This Row],[Column4]]),Table13[[#This Row],[Column4]],Table13[[#This Row],[Column4]]="",I848*(1+Table13[[#This Row],[Ávöxtun]]))</f>
        <v>165.86803807200008</v>
      </c>
      <c r="L849" s="33">
        <v>165.86803807200008</v>
      </c>
      <c r="M849" s="33">
        <v>165.86803807200008</v>
      </c>
    </row>
    <row r="850" spans="1:13">
      <c r="A850" t="s">
        <v>133</v>
      </c>
      <c r="B850">
        <v>2006</v>
      </c>
      <c r="C850" s="16">
        <v>0.105</v>
      </c>
      <c r="D850" s="1">
        <v>50614033</v>
      </c>
      <c r="E850" s="29">
        <f>Table13[[#This Row],[Ávöxtun]]*Table13[[#This Row],[Eignir]]/SUMIFS(Table13[Eignir],Table13[Year],Table13[[#This Row],[Year]])</f>
        <v>4.6716039172397424E-3</v>
      </c>
      <c r="F850" s="23">
        <f>IF(B850=1997, 100, IF(COUNTIF(A$1:A849,A850)=0, "NEW", F849*(1+Table13[[#This Row],[Ávöxtun]])))</f>
        <v>183.28418206956007</v>
      </c>
      <c r="G850" s="18" cm="1">
        <f t="array" ref="G850">IFERROR(_xlfn.IFS(ISNUMBER(Table13[[#This Row],[Column3]]),Table13[[#This Row],[Column3]],Table13[[#This Row],[Column3]]="NEW",Table13[[#This Row],[Column3]]),"")</f>
        <v>183.28418206956007</v>
      </c>
      <c r="H850" s="15" cm="1">
        <f t="array" ref="H850">_xlfn.IFS(Table13[[#This Row],[Column4]]="NEW",AVERAGEIFS(Table13[Column4],Table13[Year],Table13[[#This Row],[Year]]),ISNUMBER(Table13[[#This Row],[Column4]]),Table13[[#This Row],[Column4]],Table13[[#This Row],[Column4]]="",H849*(1+Table13[[#This Row],[Ávöxtun]]))</f>
        <v>183.28418206956007</v>
      </c>
      <c r="I850" cm="1">
        <f t="array" ref="I850">_xlfn.IFS(Table13[[#This Row],[Column4]]="NEW",_xlfn.XLOOKUP(Table13[[#This Row],[Year]],$N$2:$N$27,$P$2:$P$27),ISNUMBER(Table13[[#This Row],[Column4]]),Table13[[#This Row],[Column4]],Table13[[#This Row],[Column4]]="",I849*(1+Table13[[#This Row],[Ávöxtun]]))</f>
        <v>183.28418206956007</v>
      </c>
      <c r="L850" s="33">
        <v>183.28418206956007</v>
      </c>
      <c r="M850" s="33">
        <v>183.28418206956007</v>
      </c>
    </row>
    <row r="851" spans="1:13">
      <c r="A851" t="s">
        <v>133</v>
      </c>
      <c r="B851">
        <v>2007</v>
      </c>
      <c r="C851" s="16">
        <v>2.0999999999999999E-3</v>
      </c>
      <c r="D851" s="1">
        <v>55643381</v>
      </c>
      <c r="E851" s="29">
        <f>Table13[[#This Row],[Ávöxtun]]*Table13[[#This Row],[Eignir]]/SUMIFS(Table13[Eignir],Table13[Year],Table13[[#This Row],[Year]])</f>
        <v>9.1043814376813017E-5</v>
      </c>
      <c r="F851" s="23">
        <f>IF(B851=1997, 100, IF(COUNTIF(A$1:A850,A851)=0, "NEW", F850*(1+Table13[[#This Row],[Ávöxtun]])))</f>
        <v>183.66907885190614</v>
      </c>
      <c r="G851" s="18" cm="1">
        <f t="array" ref="G851">IFERROR(_xlfn.IFS(ISNUMBER(Table13[[#This Row],[Column3]]),Table13[[#This Row],[Column3]],Table13[[#This Row],[Column3]]="NEW",Table13[[#This Row],[Column3]]),"")</f>
        <v>183.66907885190614</v>
      </c>
      <c r="H851" s="15" cm="1">
        <f t="array" ref="H851">_xlfn.IFS(Table13[[#This Row],[Column4]]="NEW",AVERAGEIFS(Table13[Column4],Table13[Year],Table13[[#This Row],[Year]]),ISNUMBER(Table13[[#This Row],[Column4]]),Table13[[#This Row],[Column4]],Table13[[#This Row],[Column4]]="",H850*(1+Table13[[#This Row],[Ávöxtun]]))</f>
        <v>183.66907885190614</v>
      </c>
      <c r="I851" cm="1">
        <f t="array" ref="I851">_xlfn.IFS(Table13[[#This Row],[Column4]]="NEW",_xlfn.XLOOKUP(Table13[[#This Row],[Year]],$N$2:$N$27,$P$2:$P$27),ISNUMBER(Table13[[#This Row],[Column4]]),Table13[[#This Row],[Column4]],Table13[[#This Row],[Column4]]="",I850*(1+Table13[[#This Row],[Ávöxtun]]))</f>
        <v>183.66907885190614</v>
      </c>
      <c r="L851" s="33">
        <v>183.66907885190614</v>
      </c>
      <c r="M851" s="33">
        <v>183.66907885190614</v>
      </c>
    </row>
    <row r="852" spans="1:13">
      <c r="A852" t="s">
        <v>133</v>
      </c>
      <c r="B852">
        <v>2008</v>
      </c>
      <c r="C852" s="16">
        <v>-0.1384</v>
      </c>
      <c r="D852" s="1">
        <v>57926567</v>
      </c>
      <c r="E852" s="29">
        <f>Table13[[#This Row],[Ávöxtun]]*Table13[[#This Row],[Eignir]]/SUMIFS(Table13[Eignir],Table13[Year],Table13[[#This Row],[Year]])</f>
        <v>-6.4705931580478935E-3</v>
      </c>
      <c r="F852" s="23">
        <f>IF(B852=1997, 100, IF(COUNTIF(A$1:A851,A852)=0, "NEW", F851*(1+Table13[[#This Row],[Ávöxtun]])))</f>
        <v>158.24927833880233</v>
      </c>
      <c r="G852" s="18" cm="1">
        <f t="array" ref="G852">IFERROR(_xlfn.IFS(ISNUMBER(Table13[[#This Row],[Column3]]),Table13[[#This Row],[Column3]],Table13[[#This Row],[Column3]]="NEW",Table13[[#This Row],[Column3]]),"")</f>
        <v>158.24927833880233</v>
      </c>
      <c r="H852" s="15" cm="1">
        <f t="array" ref="H852">_xlfn.IFS(Table13[[#This Row],[Column4]]="NEW",AVERAGEIFS(Table13[Column4],Table13[Year],Table13[[#This Row],[Year]]),ISNUMBER(Table13[[#This Row],[Column4]]),Table13[[#This Row],[Column4]],Table13[[#This Row],[Column4]]="",H851*(1+Table13[[#This Row],[Ávöxtun]]))</f>
        <v>158.24927833880233</v>
      </c>
      <c r="I852" cm="1">
        <f t="array" ref="I852">_xlfn.IFS(Table13[[#This Row],[Column4]]="NEW",_xlfn.XLOOKUP(Table13[[#This Row],[Year]],$N$2:$N$27,$P$2:$P$27),ISNUMBER(Table13[[#This Row],[Column4]]),Table13[[#This Row],[Column4]],Table13[[#This Row],[Column4]]="",I851*(1+Table13[[#This Row],[Ávöxtun]]))</f>
        <v>158.24927833880233</v>
      </c>
      <c r="L852" s="33">
        <v>158.24927833880233</v>
      </c>
      <c r="M852" s="33">
        <v>158.24927833880233</v>
      </c>
    </row>
    <row r="853" spans="1:13">
      <c r="A853" t="s">
        <v>133</v>
      </c>
      <c r="B853">
        <v>2009</v>
      </c>
      <c r="C853" s="16">
        <v>3.7999999999999999E-2</v>
      </c>
      <c r="D853" s="1">
        <v>67367934</v>
      </c>
      <c r="E853" s="29">
        <f>Table13[[#This Row],[Ávöxtun]]*Table13[[#This Row],[Eignir]]/SUMIFS(Table13[Eignir],Table13[Year],Table13[[#This Row],[Year]])</f>
        <v>1.8643563337687622E-3</v>
      </c>
      <c r="F853" s="23">
        <f>IF(B853=1997, 100, IF(COUNTIF(A$1:A852,A853)=0, "NEW", F852*(1+Table13[[#This Row],[Ávöxtun]])))</f>
        <v>164.26275091567683</v>
      </c>
      <c r="G853" s="18" cm="1">
        <f t="array" ref="G853">IFERROR(_xlfn.IFS(ISNUMBER(Table13[[#This Row],[Column3]]),Table13[[#This Row],[Column3]],Table13[[#This Row],[Column3]]="NEW",Table13[[#This Row],[Column3]]),"")</f>
        <v>164.26275091567683</v>
      </c>
      <c r="H853" s="15" cm="1">
        <f t="array" ref="H853">_xlfn.IFS(Table13[[#This Row],[Column4]]="NEW",AVERAGEIFS(Table13[Column4],Table13[Year],Table13[[#This Row],[Year]]),ISNUMBER(Table13[[#This Row],[Column4]]),Table13[[#This Row],[Column4]],Table13[[#This Row],[Column4]]="",H852*(1+Table13[[#This Row],[Ávöxtun]]))</f>
        <v>164.26275091567683</v>
      </c>
      <c r="I853" cm="1">
        <f t="array" ref="I853">_xlfn.IFS(Table13[[#This Row],[Column4]]="NEW",_xlfn.XLOOKUP(Table13[[#This Row],[Year]],$N$2:$N$27,$P$2:$P$27),ISNUMBER(Table13[[#This Row],[Column4]]),Table13[[#This Row],[Column4]],Table13[[#This Row],[Column4]]="",I852*(1+Table13[[#This Row],[Ávöxtun]]))</f>
        <v>164.26275091567683</v>
      </c>
      <c r="L853" s="33">
        <v>164.26275091567683</v>
      </c>
      <c r="M853" s="33">
        <v>164.26275091567683</v>
      </c>
    </row>
    <row r="854" spans="1:13">
      <c r="A854" t="s">
        <v>133</v>
      </c>
      <c r="B854">
        <v>2010</v>
      </c>
      <c r="C854" s="16">
        <v>3.6600000000000001E-2</v>
      </c>
      <c r="D854" s="1">
        <v>79051184</v>
      </c>
      <c r="E854" s="29">
        <f>Table13[[#This Row],[Ávöxtun]]*Table13[[#This Row],[Eignir]]/SUMIFS(Table13[Eignir],Table13[Year],Table13[[#This Row],[Year]])</f>
        <v>1.9752697109787914E-3</v>
      </c>
      <c r="F854" s="23">
        <f>IF(B854=1997, 100, IF(COUNTIF(A$1:A853,A854)=0, "NEW", F853*(1+Table13[[#This Row],[Ávöxtun]])))</f>
        <v>170.2747675991906</v>
      </c>
      <c r="G854" s="18" cm="1">
        <f t="array" ref="G854">IFERROR(_xlfn.IFS(ISNUMBER(Table13[[#This Row],[Column3]]),Table13[[#This Row],[Column3]],Table13[[#This Row],[Column3]]="NEW",Table13[[#This Row],[Column3]]),"")</f>
        <v>170.2747675991906</v>
      </c>
      <c r="H854" s="15" cm="1">
        <f t="array" ref="H854">_xlfn.IFS(Table13[[#This Row],[Column4]]="NEW",AVERAGEIFS(Table13[Column4],Table13[Year],Table13[[#This Row],[Year]]),ISNUMBER(Table13[[#This Row],[Column4]]),Table13[[#This Row],[Column4]],Table13[[#This Row],[Column4]]="",H853*(1+Table13[[#This Row],[Ávöxtun]]))</f>
        <v>170.2747675991906</v>
      </c>
      <c r="I854" cm="1">
        <f t="array" ref="I854">_xlfn.IFS(Table13[[#This Row],[Column4]]="NEW",_xlfn.XLOOKUP(Table13[[#This Row],[Year]],$N$2:$N$27,$P$2:$P$27),ISNUMBER(Table13[[#This Row],[Column4]]),Table13[[#This Row],[Column4]],Table13[[#This Row],[Column4]]="",I853*(1+Table13[[#This Row],[Ávöxtun]]))</f>
        <v>170.2747675991906</v>
      </c>
      <c r="L854" s="33">
        <v>170.2747675991906</v>
      </c>
      <c r="M854" s="33">
        <v>170.2747675991906</v>
      </c>
    </row>
    <row r="855" spans="1:13">
      <c r="A855" t="s">
        <v>133</v>
      </c>
      <c r="B855">
        <v>2011</v>
      </c>
      <c r="C855" s="16">
        <v>0.03</v>
      </c>
      <c r="D855" s="1">
        <v>86463951</v>
      </c>
      <c r="E855" s="29">
        <f>Table13[[#This Row],[Ávöxtun]]*Table13[[#This Row],[Eignir]]/SUMIFS(Table13[Eignir],Table13[Year],Table13[[#This Row],[Year]])</f>
        <v>1.633575054027185E-3</v>
      </c>
      <c r="F855" s="23">
        <f>IF(B855=1997, 100, IF(COUNTIF(A$1:A854,A855)=0, "NEW", F854*(1+Table13[[#This Row],[Ávöxtun]])))</f>
        <v>175.38301062716633</v>
      </c>
      <c r="G855" s="18" cm="1">
        <f t="array" ref="G855">IFERROR(_xlfn.IFS(ISNUMBER(Table13[[#This Row],[Column3]]),Table13[[#This Row],[Column3]],Table13[[#This Row],[Column3]]="NEW",Table13[[#This Row],[Column3]]),"")</f>
        <v>175.38301062716633</v>
      </c>
      <c r="H855" s="15" cm="1">
        <f t="array" ref="H855">_xlfn.IFS(Table13[[#This Row],[Column4]]="NEW",AVERAGEIFS(Table13[Column4],Table13[Year],Table13[[#This Row],[Year]]),ISNUMBER(Table13[[#This Row],[Column4]]),Table13[[#This Row],[Column4]],Table13[[#This Row],[Column4]]="",H854*(1+Table13[[#This Row],[Ávöxtun]]))</f>
        <v>175.38301062716633</v>
      </c>
      <c r="I855" cm="1">
        <f t="array" ref="I855">_xlfn.IFS(Table13[[#This Row],[Column4]]="NEW",_xlfn.XLOOKUP(Table13[[#This Row],[Year]],$N$2:$N$27,$P$2:$P$27),ISNUMBER(Table13[[#This Row],[Column4]]),Table13[[#This Row],[Column4]],Table13[[#This Row],[Column4]]="",I854*(1+Table13[[#This Row],[Ávöxtun]]))</f>
        <v>175.38301062716633</v>
      </c>
      <c r="L855" s="33">
        <v>175.38301062716633</v>
      </c>
      <c r="M855" s="33">
        <v>175.38301062716633</v>
      </c>
    </row>
    <row r="856" spans="1:13">
      <c r="A856" t="s">
        <v>133</v>
      </c>
      <c r="B856">
        <v>2012</v>
      </c>
      <c r="C856" s="16">
        <v>7.2999999999999995E-2</v>
      </c>
      <c r="D856" s="1">
        <v>106641295</v>
      </c>
      <c r="E856" s="29">
        <f>Table13[[#This Row],[Ávöxtun]]*Table13[[#This Row],[Eignir]]/SUMIFS(Table13[Eignir],Table13[Year],Table13[[#This Row],[Year]])</f>
        <v>4.3372584540911398E-3</v>
      </c>
      <c r="F856" s="23">
        <f>IF(B856=1997, 100, IF(COUNTIF(A$1:A855,A856)=0, "NEW", F855*(1+Table13[[#This Row],[Ávöxtun]])))</f>
        <v>188.18597040294947</v>
      </c>
      <c r="G856" s="18" cm="1">
        <f t="array" ref="G856">IFERROR(_xlfn.IFS(ISNUMBER(Table13[[#This Row],[Column3]]),Table13[[#This Row],[Column3]],Table13[[#This Row],[Column3]]="NEW",Table13[[#This Row],[Column3]]),"")</f>
        <v>188.18597040294947</v>
      </c>
      <c r="H856" s="15" cm="1">
        <f t="array" ref="H856">_xlfn.IFS(Table13[[#This Row],[Column4]]="NEW",AVERAGEIFS(Table13[Column4],Table13[Year],Table13[[#This Row],[Year]]),ISNUMBER(Table13[[#This Row],[Column4]]),Table13[[#This Row],[Column4]],Table13[[#This Row],[Column4]]="",H855*(1+Table13[[#This Row],[Ávöxtun]]))</f>
        <v>188.18597040294947</v>
      </c>
      <c r="I856" cm="1">
        <f t="array" ref="I856">_xlfn.IFS(Table13[[#This Row],[Column4]]="NEW",_xlfn.XLOOKUP(Table13[[#This Row],[Year]],$N$2:$N$27,$P$2:$P$27),ISNUMBER(Table13[[#This Row],[Column4]]),Table13[[#This Row],[Column4]],Table13[[#This Row],[Column4]]="",I855*(1+Table13[[#This Row],[Ávöxtun]]))</f>
        <v>188.18597040294947</v>
      </c>
      <c r="L856" s="33">
        <v>188.18597040294947</v>
      </c>
      <c r="M856" s="33">
        <v>188.18597040294947</v>
      </c>
    </row>
    <row r="857" spans="1:13">
      <c r="A857" t="s">
        <v>133</v>
      </c>
      <c r="B857">
        <v>2013</v>
      </c>
      <c r="C857" s="16">
        <v>6.2000000000000006E-2</v>
      </c>
      <c r="D857" s="1">
        <v>117739653</v>
      </c>
      <c r="E857" s="29">
        <f>Table13[[#This Row],[Ávöxtun]]*Table13[[#This Row],[Eignir]]/SUMIFS(Table13[Eignir],Table13[Year],Table13[[#This Row],[Year]])</f>
        <v>3.6981651769227961E-3</v>
      </c>
      <c r="F857" s="23">
        <f>IF(B857=1997, 100, IF(COUNTIF(A$1:A856,A857)=0, "NEW", F856*(1+Table13[[#This Row],[Ávöxtun]])))</f>
        <v>199.85350056793234</v>
      </c>
      <c r="G857" s="18" cm="1">
        <f t="array" ref="G857">IFERROR(_xlfn.IFS(ISNUMBER(Table13[[#This Row],[Column3]]),Table13[[#This Row],[Column3]],Table13[[#This Row],[Column3]]="NEW",Table13[[#This Row],[Column3]]),"")</f>
        <v>199.85350056793234</v>
      </c>
      <c r="H857" s="15" cm="1">
        <f t="array" ref="H857">_xlfn.IFS(Table13[[#This Row],[Column4]]="NEW",AVERAGEIFS(Table13[Column4],Table13[Year],Table13[[#This Row],[Year]]),ISNUMBER(Table13[[#This Row],[Column4]]),Table13[[#This Row],[Column4]],Table13[[#This Row],[Column4]]="",H856*(1+Table13[[#This Row],[Ávöxtun]]))</f>
        <v>199.85350056793234</v>
      </c>
      <c r="I857" cm="1">
        <f t="array" ref="I857">_xlfn.IFS(Table13[[#This Row],[Column4]]="NEW",_xlfn.XLOOKUP(Table13[[#This Row],[Year]],$N$2:$N$27,$P$2:$P$27),ISNUMBER(Table13[[#This Row],[Column4]]),Table13[[#This Row],[Column4]],Table13[[#This Row],[Column4]]="",I856*(1+Table13[[#This Row],[Ávöxtun]]))</f>
        <v>199.85350056793234</v>
      </c>
      <c r="L857" s="33">
        <v>199.85350056793234</v>
      </c>
      <c r="M857" s="33">
        <v>199.85350056793234</v>
      </c>
    </row>
    <row r="858" spans="1:13">
      <c r="A858" t="s">
        <v>133</v>
      </c>
      <c r="B858">
        <v>2014</v>
      </c>
      <c r="C858" s="16">
        <v>6.7000000000000004E-2</v>
      </c>
      <c r="D858" s="1">
        <v>126928532</v>
      </c>
      <c r="E858" s="29">
        <f>Table13[[#This Row],[Ávöxtun]]*Table13[[#This Row],[Eignir]]/SUMIFS(Table13[Eignir],Table13[Year],Table13[[#This Row],[Year]])</f>
        <v>3.9508464714605824E-3</v>
      </c>
      <c r="F858" s="23">
        <f>IF(B858=1997, 100, IF(COUNTIF(A$1:A857,A858)=0, "NEW", F857*(1+Table13[[#This Row],[Ávöxtun]])))</f>
        <v>213.24368510598379</v>
      </c>
      <c r="G858" s="18" cm="1">
        <f t="array" ref="G858">IFERROR(_xlfn.IFS(ISNUMBER(Table13[[#This Row],[Column3]]),Table13[[#This Row],[Column3]],Table13[[#This Row],[Column3]]="NEW",Table13[[#This Row],[Column3]]),"")</f>
        <v>213.24368510598379</v>
      </c>
      <c r="H858" s="15" cm="1">
        <f t="array" ref="H858">_xlfn.IFS(Table13[[#This Row],[Column4]]="NEW",AVERAGEIFS(Table13[Column4],Table13[Year],Table13[[#This Row],[Year]]),ISNUMBER(Table13[[#This Row],[Column4]]),Table13[[#This Row],[Column4]],Table13[[#This Row],[Column4]]="",H857*(1+Table13[[#This Row],[Ávöxtun]]))</f>
        <v>213.24368510598379</v>
      </c>
      <c r="I858" cm="1">
        <f t="array" ref="I858">_xlfn.IFS(Table13[[#This Row],[Column4]]="NEW",_xlfn.XLOOKUP(Table13[[#This Row],[Year]],$N$2:$N$27,$P$2:$P$27),ISNUMBER(Table13[[#This Row],[Column4]]),Table13[[#This Row],[Column4]],Table13[[#This Row],[Column4]]="",I857*(1+Table13[[#This Row],[Ávöxtun]]))</f>
        <v>213.24368510598379</v>
      </c>
      <c r="L858" s="33">
        <v>213.24368510598379</v>
      </c>
      <c r="M858" s="33">
        <v>213.24368510598379</v>
      </c>
    </row>
    <row r="859" spans="1:13">
      <c r="A859" t="s">
        <v>133</v>
      </c>
      <c r="B859">
        <v>2015</v>
      </c>
      <c r="C859" s="16">
        <v>6.3E-2</v>
      </c>
      <c r="D859" s="1">
        <v>137550117</v>
      </c>
      <c r="E859" s="29">
        <f>Table13[[#This Row],[Ávöxtun]]*Table13[[#This Row],[Eignir]]/SUMIFS(Table13[Eignir],Table13[Year],Table13[[#This Row],[Year]])</f>
        <v>3.6291949397306848E-3</v>
      </c>
      <c r="F859" s="23">
        <f>IF(B859=1997, 100, IF(COUNTIF(A$1:A858,A859)=0, "NEW", F858*(1+Table13[[#This Row],[Ávöxtun]])))</f>
        <v>226.67803726766076</v>
      </c>
      <c r="G859" s="18" cm="1">
        <f t="array" ref="G859">IFERROR(_xlfn.IFS(ISNUMBER(Table13[[#This Row],[Column3]]),Table13[[#This Row],[Column3]],Table13[[#This Row],[Column3]]="NEW",Table13[[#This Row],[Column3]]),"")</f>
        <v>226.67803726766076</v>
      </c>
      <c r="H859" s="15" cm="1">
        <f t="array" ref="H859">_xlfn.IFS(Table13[[#This Row],[Column4]]="NEW",AVERAGEIFS(Table13[Column4],Table13[Year],Table13[[#This Row],[Year]]),ISNUMBER(Table13[[#This Row],[Column4]]),Table13[[#This Row],[Column4]],Table13[[#This Row],[Column4]]="",H858*(1+Table13[[#This Row],[Ávöxtun]]))</f>
        <v>226.67803726766076</v>
      </c>
      <c r="I859" cm="1">
        <f t="array" ref="I859">_xlfn.IFS(Table13[[#This Row],[Column4]]="NEW",_xlfn.XLOOKUP(Table13[[#This Row],[Year]],$N$2:$N$27,$P$2:$P$27),ISNUMBER(Table13[[#This Row],[Column4]]),Table13[[#This Row],[Column4]],Table13[[#This Row],[Column4]]="",I858*(1+Table13[[#This Row],[Ávöxtun]]))</f>
        <v>226.67803726766076</v>
      </c>
      <c r="L859" s="33">
        <v>226.67803726766076</v>
      </c>
      <c r="M859" s="33">
        <v>226.67803726766076</v>
      </c>
    </row>
    <row r="860" spans="1:13">
      <c r="A860" t="s">
        <v>133</v>
      </c>
      <c r="B860">
        <v>2016</v>
      </c>
      <c r="C860" s="16">
        <v>-2E-3</v>
      </c>
      <c r="D860" s="1">
        <v>140617353.77000001</v>
      </c>
      <c r="E860" s="29">
        <f>Table13[[#This Row],[Ávöxtun]]*Table13[[#This Row],[Eignir]]/SUMIFS(Table13[Eignir],Table13[Year],Table13[[#This Row],[Year]])</f>
        <v>-1.0783747883540518E-4</v>
      </c>
      <c r="F860" s="23">
        <f>IF(B860=1997, 100, IF(COUNTIF(A$1:A859,A860)=0, "NEW", F859*(1+Table13[[#This Row],[Ávöxtun]])))</f>
        <v>226.22468119312543</v>
      </c>
      <c r="G860" s="18" cm="1">
        <f t="array" ref="G860">IFERROR(_xlfn.IFS(ISNUMBER(Table13[[#This Row],[Column3]]),Table13[[#This Row],[Column3]],Table13[[#This Row],[Column3]]="NEW",Table13[[#This Row],[Column3]]),"")</f>
        <v>226.22468119312543</v>
      </c>
      <c r="H860" s="15" cm="1">
        <f t="array" ref="H860">_xlfn.IFS(Table13[[#This Row],[Column4]]="NEW",AVERAGEIFS(Table13[Column4],Table13[Year],Table13[[#This Row],[Year]]),ISNUMBER(Table13[[#This Row],[Column4]]),Table13[[#This Row],[Column4]],Table13[[#This Row],[Column4]]="",H859*(1+Table13[[#This Row],[Ávöxtun]]))</f>
        <v>226.22468119312543</v>
      </c>
      <c r="I860" cm="1">
        <f t="array" ref="I860">_xlfn.IFS(Table13[[#This Row],[Column4]]="NEW",_xlfn.XLOOKUP(Table13[[#This Row],[Year]],$N$2:$N$27,$P$2:$P$27),ISNUMBER(Table13[[#This Row],[Column4]]),Table13[[#This Row],[Column4]],Table13[[#This Row],[Column4]]="",I859*(1+Table13[[#This Row],[Ávöxtun]]))</f>
        <v>226.22468119312543</v>
      </c>
      <c r="L860" s="33">
        <v>226.22468119312543</v>
      </c>
      <c r="M860" s="33">
        <v>226.22468119312543</v>
      </c>
    </row>
    <row r="861" spans="1:13">
      <c r="A861" t="s">
        <v>133</v>
      </c>
      <c r="B861">
        <v>2017</v>
      </c>
      <c r="C861" s="16">
        <v>5.2999999999999999E-2</v>
      </c>
      <c r="D861" s="1">
        <v>150849042</v>
      </c>
      <c r="E861" s="29">
        <f>Table13[[#This Row],[Ávöxtun]]*Table13[[#This Row],[Eignir]]/SUMIFS(Table13[Eignir],Table13[Year],Table13[[#This Row],[Year]])</f>
        <v>2.7510900485663752E-3</v>
      </c>
      <c r="F861" s="23">
        <f>IF(B861=1997, 100, IF(COUNTIF(A$1:A860,A861)=0, "NEW", F860*(1+Table13[[#This Row],[Ávöxtun]])))</f>
        <v>238.21458929636105</v>
      </c>
      <c r="G861" s="18" cm="1">
        <f t="array" ref="G861">IFERROR(_xlfn.IFS(ISNUMBER(Table13[[#This Row],[Column3]]),Table13[[#This Row],[Column3]],Table13[[#This Row],[Column3]]="NEW",Table13[[#This Row],[Column3]]),"")</f>
        <v>238.21458929636105</v>
      </c>
      <c r="H861" s="15" cm="1">
        <f t="array" ref="H861">_xlfn.IFS(Table13[[#This Row],[Column4]]="NEW",AVERAGEIFS(Table13[Column4],Table13[Year],Table13[[#This Row],[Year]]),ISNUMBER(Table13[[#This Row],[Column4]]),Table13[[#This Row],[Column4]],Table13[[#This Row],[Column4]]="",H860*(1+Table13[[#This Row],[Ávöxtun]]))</f>
        <v>238.21458929636105</v>
      </c>
      <c r="I861" cm="1">
        <f t="array" ref="I861">_xlfn.IFS(Table13[[#This Row],[Column4]]="NEW",_xlfn.XLOOKUP(Table13[[#This Row],[Year]],$N$2:$N$27,$P$2:$P$27),ISNUMBER(Table13[[#This Row],[Column4]]),Table13[[#This Row],[Column4]],Table13[[#This Row],[Column4]]="",I860*(1+Table13[[#This Row],[Ávöxtun]]))</f>
        <v>238.21458929636105</v>
      </c>
      <c r="L861" s="33">
        <v>238.21458929636105</v>
      </c>
      <c r="M861" s="33">
        <v>238.21458929636105</v>
      </c>
    </row>
    <row r="862" spans="1:13">
      <c r="A862" t="s">
        <v>133</v>
      </c>
      <c r="B862">
        <v>2018</v>
      </c>
      <c r="C862" s="16">
        <v>2.2000000000000002E-2</v>
      </c>
      <c r="D862" s="1">
        <v>159444084</v>
      </c>
      <c r="E862" s="29">
        <f>Table13[[#This Row],[Ávöxtun]]*Table13[[#This Row],[Eignir]]/SUMIFS(Table13[Eignir],Table13[Year],Table13[[#This Row],[Year]])</f>
        <v>1.1246744690611727E-3</v>
      </c>
      <c r="F862" s="23">
        <f>IF(B862=1997, 100, IF(COUNTIF(A$1:A861,A862)=0, "NEW", F861*(1+Table13[[#This Row],[Ávöxtun]])))</f>
        <v>243.45531026088099</v>
      </c>
      <c r="G862" s="18" cm="1">
        <f t="array" ref="G862">IFERROR(_xlfn.IFS(ISNUMBER(Table13[[#This Row],[Column3]]),Table13[[#This Row],[Column3]],Table13[[#This Row],[Column3]]="NEW",Table13[[#This Row],[Column3]]),"")</f>
        <v>243.45531026088099</v>
      </c>
      <c r="H862" s="15" cm="1">
        <f t="array" ref="H862">_xlfn.IFS(Table13[[#This Row],[Column4]]="NEW",AVERAGEIFS(Table13[Column4],Table13[Year],Table13[[#This Row],[Year]]),ISNUMBER(Table13[[#This Row],[Column4]]),Table13[[#This Row],[Column4]],Table13[[#This Row],[Column4]]="",H861*(1+Table13[[#This Row],[Ávöxtun]]))</f>
        <v>243.45531026088099</v>
      </c>
      <c r="I862" cm="1">
        <f t="array" ref="I862">_xlfn.IFS(Table13[[#This Row],[Column4]]="NEW",_xlfn.XLOOKUP(Table13[[#This Row],[Year]],$N$2:$N$27,$P$2:$P$27),ISNUMBER(Table13[[#This Row],[Column4]]),Table13[[#This Row],[Column4]],Table13[[#This Row],[Column4]]="",I861*(1+Table13[[#This Row],[Ávöxtun]]))</f>
        <v>243.45531026088099</v>
      </c>
      <c r="L862" s="33">
        <v>243.45531026088099</v>
      </c>
      <c r="M862" s="33">
        <v>243.45531026088099</v>
      </c>
    </row>
    <row r="863" spans="1:13">
      <c r="A863" t="s">
        <v>133</v>
      </c>
      <c r="B863">
        <v>2019</v>
      </c>
      <c r="C863" s="16">
        <v>0.107</v>
      </c>
      <c r="D863" s="1">
        <v>181285248.5</v>
      </c>
      <c r="E863" s="29">
        <f>Table13[[#This Row],[Ávöxtun]]*Table13[[#This Row],[Eignir]]/SUMIFS(Table13[Eignir],Table13[Year],Table13[[#This Row],[Year]])</f>
        <v>5.4237167550649059E-3</v>
      </c>
      <c r="F863" s="23">
        <f>IF(B863=1997, 100, IF(COUNTIF(A$1:A862,A863)=0, "NEW", F862*(1+Table13[[#This Row],[Ávöxtun]])))</f>
        <v>269.50502845879527</v>
      </c>
      <c r="G863" s="18" cm="1">
        <f t="array" ref="G863">IFERROR(_xlfn.IFS(ISNUMBER(Table13[[#This Row],[Column3]]),Table13[[#This Row],[Column3]],Table13[[#This Row],[Column3]]="NEW",Table13[[#This Row],[Column3]]),"")</f>
        <v>269.50502845879527</v>
      </c>
      <c r="H863" s="15" cm="1">
        <f t="array" ref="H863">_xlfn.IFS(Table13[[#This Row],[Column4]]="NEW",AVERAGEIFS(Table13[Column4],Table13[Year],Table13[[#This Row],[Year]]),ISNUMBER(Table13[[#This Row],[Column4]]),Table13[[#This Row],[Column4]],Table13[[#This Row],[Column4]]="",H862*(1+Table13[[#This Row],[Ávöxtun]]))</f>
        <v>269.50502845879527</v>
      </c>
      <c r="I863" cm="1">
        <f t="array" ref="I863">_xlfn.IFS(Table13[[#This Row],[Column4]]="NEW",_xlfn.XLOOKUP(Table13[[#This Row],[Year]],$N$2:$N$27,$P$2:$P$27),ISNUMBER(Table13[[#This Row],[Column4]]),Table13[[#This Row],[Column4]],Table13[[#This Row],[Column4]]="",I862*(1+Table13[[#This Row],[Ávöxtun]]))</f>
        <v>269.50502845879527</v>
      </c>
      <c r="L863" s="33">
        <v>269.50502845879527</v>
      </c>
      <c r="M863" s="33">
        <v>269.50502845879527</v>
      </c>
    </row>
    <row r="864" spans="1:13">
      <c r="A864" t="s">
        <v>133</v>
      </c>
      <c r="B864">
        <v>2020</v>
      </c>
      <c r="C864" s="16">
        <v>9.6999999999999989E-2</v>
      </c>
      <c r="D864" s="1">
        <v>205138515.94999999</v>
      </c>
      <c r="E864" s="29">
        <f>Table13[[#This Row],[Ávöxtun]]*Table13[[#This Row],[Eignir]]/SUMIFS(Table13[Eignir],Table13[Year],Table13[[#This Row],[Year]])</f>
        <v>4.8015740770312359E-3</v>
      </c>
      <c r="F864" s="23">
        <f>IF(B864=1997, 100, IF(COUNTIF(A$1:A863,A864)=0, "NEW", F863*(1+Table13[[#This Row],[Ávöxtun]])))</f>
        <v>295.64701621929839</v>
      </c>
      <c r="G864" s="18" cm="1">
        <f t="array" ref="G864">IFERROR(_xlfn.IFS(ISNUMBER(Table13[[#This Row],[Column3]]),Table13[[#This Row],[Column3]],Table13[[#This Row],[Column3]]="NEW",Table13[[#This Row],[Column3]]),"")</f>
        <v>295.64701621929839</v>
      </c>
      <c r="H864" s="15" cm="1">
        <f t="array" ref="H864">_xlfn.IFS(Table13[[#This Row],[Column4]]="NEW",AVERAGEIFS(Table13[Column4],Table13[Year],Table13[[#This Row],[Year]]),ISNUMBER(Table13[[#This Row],[Column4]]),Table13[[#This Row],[Column4]],Table13[[#This Row],[Column4]]="",H863*(1+Table13[[#This Row],[Ávöxtun]]))</f>
        <v>295.64701621929839</v>
      </c>
      <c r="I864" cm="1">
        <f t="array" ref="I864">_xlfn.IFS(Table13[[#This Row],[Column4]]="NEW",_xlfn.XLOOKUP(Table13[[#This Row],[Year]],$N$2:$N$27,$P$2:$P$27),ISNUMBER(Table13[[#This Row],[Column4]]),Table13[[#This Row],[Column4]],Table13[[#This Row],[Column4]]="",I863*(1+Table13[[#This Row],[Ávöxtun]]))</f>
        <v>295.64701621929839</v>
      </c>
      <c r="L864" s="33">
        <v>295.64701621929839</v>
      </c>
      <c r="M864" s="33">
        <v>295.64701621929839</v>
      </c>
    </row>
    <row r="865" spans="1:13">
      <c r="A865" t="s">
        <v>133</v>
      </c>
      <c r="B865">
        <v>2021</v>
      </c>
      <c r="C865" s="16">
        <v>0.11699999999999999</v>
      </c>
      <c r="D865" s="1">
        <v>239022427.03</v>
      </c>
      <c r="E865" s="29">
        <f>Table13[[#This Row],[Ávöxtun]]*Table13[[#This Row],[Eignir]]/SUMIFS(Table13[Eignir],Table13[Year],Table13[[#This Row],[Year]])</f>
        <v>5.7497535129574255E-3</v>
      </c>
      <c r="F865" s="23">
        <f>IF(B865=1997, 100, IF(COUNTIF(A$1:A864,A865)=0, "NEW", F864*(1+Table13[[#This Row],[Ávöxtun]])))</f>
        <v>330.23771711695628</v>
      </c>
      <c r="G865" s="18" cm="1">
        <f t="array" ref="G865">IFERROR(_xlfn.IFS(ISNUMBER(Table13[[#This Row],[Column3]]),Table13[[#This Row],[Column3]],Table13[[#This Row],[Column3]]="NEW",Table13[[#This Row],[Column3]]),"")</f>
        <v>330.23771711695628</v>
      </c>
      <c r="H865" s="15" cm="1">
        <f t="array" ref="H865">_xlfn.IFS(Table13[[#This Row],[Column4]]="NEW",AVERAGEIFS(Table13[Column4],Table13[Year],Table13[[#This Row],[Year]]),ISNUMBER(Table13[[#This Row],[Column4]]),Table13[[#This Row],[Column4]],Table13[[#This Row],[Column4]]="",H864*(1+Table13[[#This Row],[Ávöxtun]]))</f>
        <v>330.23771711695628</v>
      </c>
      <c r="I865" cm="1">
        <f t="array" ref="I865">_xlfn.IFS(Table13[[#This Row],[Column4]]="NEW",_xlfn.XLOOKUP(Table13[[#This Row],[Year]],$N$2:$N$27,$P$2:$P$27),ISNUMBER(Table13[[#This Row],[Column4]]),Table13[[#This Row],[Column4]],Table13[[#This Row],[Column4]]="",I864*(1+Table13[[#This Row],[Ávöxtun]]))</f>
        <v>330.23771711695628</v>
      </c>
      <c r="L865" s="33">
        <v>330.23771711695628</v>
      </c>
      <c r="M865" s="33">
        <v>330.23771711695628</v>
      </c>
    </row>
    <row r="866" spans="1:13">
      <c r="A866" t="s">
        <v>130</v>
      </c>
      <c r="B866">
        <v>2006</v>
      </c>
      <c r="C866" s="16">
        <v>8.9900000000000008E-2</v>
      </c>
      <c r="D866" s="1">
        <v>71929667</v>
      </c>
      <c r="E866" s="29">
        <f>Table13[[#This Row],[Ávöxtun]]*Table13[[#This Row],[Eignir]]/SUMIFS(Table13[Eignir],Table13[Year],Table13[[#This Row],[Year]])</f>
        <v>5.6842544757448009E-3</v>
      </c>
      <c r="F866" s="23" t="str">
        <f>IF(B866=1997, 100, IF(COUNTIF(A$1:A865,A866)=0, "NEW", F865*(1+Table13[[#This Row],[Ávöxtun]])))</f>
        <v>NEW</v>
      </c>
      <c r="G866" s="18" t="str" cm="1">
        <f t="array" ref="G866">IFERROR(_xlfn.IFS(ISNUMBER(Table13[[#This Row],[Column3]]),Table13[[#This Row],[Column3]],Table13[[#This Row],[Column3]]="NEW",Table13[[#This Row],[Column3]]),"")</f>
        <v>NEW</v>
      </c>
      <c r="H866" s="15" cm="1">
        <f t="array" ref="H866">_xlfn.IFS(Table13[[#This Row],[Column4]]="NEW",AVERAGEIFS(Table13[Column4],Table13[Year],Table13[[#This Row],[Year]]),ISNUMBER(Table13[[#This Row],[Column4]]),Table13[[#This Row],[Column4]],Table13[[#This Row],[Column4]]="",H865*(1+Table13[[#This Row],[Ávöxtun]]))</f>
        <v>175.35326856001882</v>
      </c>
      <c r="I866" cm="1">
        <f t="array" ref="I866">_xlfn.IFS(Table13[[#This Row],[Column4]]="NEW",_xlfn.XLOOKUP(Table13[[#This Row],[Year]],$N$2:$N$27,$P$2:$P$27),ISNUMBER(Table13[[#This Row],[Column4]]),Table13[[#This Row],[Column4]],Table13[[#This Row],[Column4]]="",I865*(1+Table13[[#This Row],[Ávöxtun]]))</f>
        <v>206.34771607465271</v>
      </c>
      <c r="L866" s="33">
        <v>173.57107422928632</v>
      </c>
      <c r="M866" s="33">
        <v>219.26690788715638</v>
      </c>
    </row>
    <row r="867" spans="1:13">
      <c r="A867" t="s">
        <v>130</v>
      </c>
      <c r="B867">
        <v>2007</v>
      </c>
      <c r="C867" s="16">
        <v>8.8000000000000005E-3</v>
      </c>
      <c r="D867" s="1">
        <v>79226222</v>
      </c>
      <c r="E867" s="29">
        <f>Table13[[#This Row],[Ávöxtun]]*Table13[[#This Row],[Eignir]]/SUMIFS(Table13[Eignir],Table13[Year],Table13[[#This Row],[Year]])</f>
        <v>5.4321187820797231E-4</v>
      </c>
      <c r="F867" s="23" t="e">
        <f>IF(B867=1997, 100, IF(COUNTIF(A$1:A866,A867)=0, "NEW", F866*(1+Table13[[#This Row],[Ávöxtun]])))</f>
        <v>#VALUE!</v>
      </c>
      <c r="G867" s="18" t="str" cm="1">
        <f t="array" ref="G867">IFERROR(_xlfn.IFS(ISNUMBER(Table13[[#This Row],[Column3]]),Table13[[#This Row],[Column3]],Table13[[#This Row],[Column3]]="NEW",Table13[[#This Row],[Column3]]),"")</f>
        <v/>
      </c>
      <c r="H867" s="15" cm="1">
        <f t="array" ref="H867">_xlfn.IFS(Table13[[#This Row],[Column4]]="NEW",AVERAGEIFS(Table13[Column4],Table13[Year],Table13[[#This Row],[Year]]),ISNUMBER(Table13[[#This Row],[Column4]]),Table13[[#This Row],[Column4]],Table13[[#This Row],[Column4]]="",H866*(1+Table13[[#This Row],[Ávöxtun]]))</f>
        <v>176.89637732334697</v>
      </c>
      <c r="I867" cm="1">
        <f t="array" ref="I867">_xlfn.IFS(Table13[[#This Row],[Column4]]="NEW",_xlfn.XLOOKUP(Table13[[#This Row],[Year]],$N$2:$N$27,$P$2:$P$27),ISNUMBER(Table13[[#This Row],[Column4]]),Table13[[#This Row],[Column4]],Table13[[#This Row],[Column4]]="",I866*(1+Table13[[#This Row],[Ávöxtun]]))</f>
        <v>208.16357597610963</v>
      </c>
      <c r="L867" s="33">
        <v>175.09849968250404</v>
      </c>
      <c r="M867" s="33">
        <v>221.19645667656334</v>
      </c>
    </row>
    <row r="868" spans="1:13">
      <c r="A868" t="s">
        <v>130</v>
      </c>
      <c r="B868">
        <v>2008</v>
      </c>
      <c r="C868" s="16">
        <v>-0.23300000000000001</v>
      </c>
      <c r="D868" s="1">
        <v>74164112</v>
      </c>
      <c r="E868" s="29">
        <f>Table13[[#This Row],[Ávöxtun]]*Table13[[#This Row],[Eignir]]/SUMIFS(Table13[Eignir],Table13[Year],Table13[[#This Row],[Year]])</f>
        <v>-1.3946972200261896E-2</v>
      </c>
      <c r="F868" s="23" t="e">
        <f>IF(B868=1997, 100, IF(COUNTIF(A$1:A867,A868)=0, "NEW", F867*(1+Table13[[#This Row],[Ávöxtun]])))</f>
        <v>#VALUE!</v>
      </c>
      <c r="G868" s="18" t="str" cm="1">
        <f t="array" ref="G868">IFERROR(_xlfn.IFS(ISNUMBER(Table13[[#This Row],[Column3]]),Table13[[#This Row],[Column3]],Table13[[#This Row],[Column3]]="NEW",Table13[[#This Row],[Column3]]),"")</f>
        <v/>
      </c>
      <c r="H868" s="15" cm="1">
        <f t="array" ref="H868">_xlfn.IFS(Table13[[#This Row],[Column4]]="NEW",AVERAGEIFS(Table13[Column4],Table13[Year],Table13[[#This Row],[Year]]),ISNUMBER(Table13[[#This Row],[Column4]]),Table13[[#This Row],[Column4]],Table13[[#This Row],[Column4]]="",H867*(1+Table13[[#This Row],[Ávöxtun]]))</f>
        <v>135.67952140700712</v>
      </c>
      <c r="I868" cm="1">
        <f t="array" ref="I868">_xlfn.IFS(Table13[[#This Row],[Column4]]="NEW",_xlfn.XLOOKUP(Table13[[#This Row],[Year]],$N$2:$N$27,$P$2:$P$27),ISNUMBER(Table13[[#This Row],[Column4]]),Table13[[#This Row],[Column4]],Table13[[#This Row],[Column4]]="",I867*(1+Table13[[#This Row],[Ávöxtun]]))</f>
        <v>159.66146277367608</v>
      </c>
      <c r="L868" s="33">
        <v>134.30054925648059</v>
      </c>
      <c r="M868" s="33">
        <v>169.65768227092408</v>
      </c>
    </row>
    <row r="869" spans="1:13">
      <c r="A869" t="s">
        <v>130</v>
      </c>
      <c r="B869">
        <v>2009</v>
      </c>
      <c r="C869" s="16">
        <v>-4.9000000000000002E-2</v>
      </c>
      <c r="D869" s="1">
        <v>77244833</v>
      </c>
      <c r="E869" s="29">
        <f>Table13[[#This Row],[Ávöxtun]]*Table13[[#This Row],[Eignir]]/SUMIFS(Table13[Eignir],Table13[Year],Table13[[#This Row],[Year]])</f>
        <v>-2.7564975805960063E-3</v>
      </c>
      <c r="F869" s="23" t="e">
        <f>IF(B869=1997, 100, IF(COUNTIF(A$1:A868,A869)=0, "NEW", F868*(1+Table13[[#This Row],[Ávöxtun]])))</f>
        <v>#VALUE!</v>
      </c>
      <c r="G869" s="18" t="str" cm="1">
        <f t="array" ref="G869">IFERROR(_xlfn.IFS(ISNUMBER(Table13[[#This Row],[Column3]]),Table13[[#This Row],[Column3]],Table13[[#This Row],[Column3]]="NEW",Table13[[#This Row],[Column3]]),"")</f>
        <v/>
      </c>
      <c r="H869" s="15" cm="1">
        <f t="array" ref="H869">_xlfn.IFS(Table13[[#This Row],[Column4]]="NEW",AVERAGEIFS(Table13[Column4],Table13[Year],Table13[[#This Row],[Year]]),ISNUMBER(Table13[[#This Row],[Column4]]),Table13[[#This Row],[Column4]],Table13[[#This Row],[Column4]]="",H868*(1+Table13[[#This Row],[Ávöxtun]]))</f>
        <v>129.03122485806375</v>
      </c>
      <c r="I869" cm="1">
        <f t="array" ref="I869">_xlfn.IFS(Table13[[#This Row],[Column4]]="NEW",_xlfn.XLOOKUP(Table13[[#This Row],[Year]],$N$2:$N$27,$P$2:$P$27),ISNUMBER(Table13[[#This Row],[Column4]]),Table13[[#This Row],[Column4]],Table13[[#This Row],[Column4]]="",I868*(1+Table13[[#This Row],[Ávöxtun]]))</f>
        <v>151.83805109776594</v>
      </c>
      <c r="L869" s="33">
        <v>127.71982234291303</v>
      </c>
      <c r="M869" s="33">
        <v>161.34445583964879</v>
      </c>
    </row>
    <row r="870" spans="1:13">
      <c r="A870" t="s">
        <v>130</v>
      </c>
      <c r="B870">
        <v>2010</v>
      </c>
      <c r="C870" s="16">
        <v>8.0000000000000004E-4</v>
      </c>
      <c r="D870" s="1">
        <v>81970653</v>
      </c>
      <c r="E870" s="29">
        <f>Table13[[#This Row],[Ávöxtun]]*Table13[[#This Row],[Eignir]]/SUMIFS(Table13[Eignir],Table13[Year],Table13[[#This Row],[Year]])</f>
        <v>4.476981725437432E-5</v>
      </c>
      <c r="F870" s="23" t="e">
        <f>IF(B870=1997, 100, IF(COUNTIF(A$1:A869,A870)=0, "NEW", F869*(1+Table13[[#This Row],[Ávöxtun]])))</f>
        <v>#VALUE!</v>
      </c>
      <c r="G870" s="18" t="str" cm="1">
        <f t="array" ref="G870">IFERROR(_xlfn.IFS(ISNUMBER(Table13[[#This Row],[Column3]]),Table13[[#This Row],[Column3]],Table13[[#This Row],[Column3]]="NEW",Table13[[#This Row],[Column3]]),"")</f>
        <v/>
      </c>
      <c r="H870" s="15" cm="1">
        <f t="array" ref="H870">_xlfn.IFS(Table13[[#This Row],[Column4]]="NEW",AVERAGEIFS(Table13[Column4],Table13[Year],Table13[[#This Row],[Year]]),ISNUMBER(Table13[[#This Row],[Column4]]),Table13[[#This Row],[Column4]],Table13[[#This Row],[Column4]]="",H869*(1+Table13[[#This Row],[Ávöxtun]]))</f>
        <v>129.1344498379502</v>
      </c>
      <c r="I870" cm="1">
        <f t="array" ref="I870">_xlfn.IFS(Table13[[#This Row],[Column4]]="NEW",_xlfn.XLOOKUP(Table13[[#This Row],[Year]],$N$2:$N$27,$P$2:$P$27),ISNUMBER(Table13[[#This Row],[Column4]]),Table13[[#This Row],[Column4]],Table13[[#This Row],[Column4]]="",I869*(1+Table13[[#This Row],[Ávöxtun]]))</f>
        <v>151.95952153864414</v>
      </c>
      <c r="L870" s="33">
        <v>127.82199820078735</v>
      </c>
      <c r="M870" s="33">
        <v>161.47353140432048</v>
      </c>
    </row>
    <row r="871" spans="1:13">
      <c r="A871" t="s">
        <v>130</v>
      </c>
      <c r="B871">
        <v>2011</v>
      </c>
      <c r="C871" s="16">
        <v>2.2000000000000002E-2</v>
      </c>
      <c r="D871" s="1">
        <v>89691783</v>
      </c>
      <c r="E871" s="29">
        <f>Table13[[#This Row],[Ávöxtun]]*Table13[[#This Row],[Eignir]]/SUMIFS(Table13[Eignir],Table13[Year],Table13[[#This Row],[Year]])</f>
        <v>1.2426765399298917E-3</v>
      </c>
      <c r="F871" s="23" t="e">
        <f>IF(B871=1997, 100, IF(COUNTIF(A$1:A870,A871)=0, "NEW", F870*(1+Table13[[#This Row],[Ávöxtun]])))</f>
        <v>#VALUE!</v>
      </c>
      <c r="G871" s="18" t="str" cm="1">
        <f t="array" ref="G871">IFERROR(_xlfn.IFS(ISNUMBER(Table13[[#This Row],[Column3]]),Table13[[#This Row],[Column3]],Table13[[#This Row],[Column3]]="NEW",Table13[[#This Row],[Column3]]),"")</f>
        <v/>
      </c>
      <c r="H871" s="15" cm="1">
        <f t="array" ref="H871">_xlfn.IFS(Table13[[#This Row],[Column4]]="NEW",AVERAGEIFS(Table13[Column4],Table13[Year],Table13[[#This Row],[Year]]),ISNUMBER(Table13[[#This Row],[Column4]]),Table13[[#This Row],[Column4]],Table13[[#This Row],[Column4]]="",H870*(1+Table13[[#This Row],[Ávöxtun]]))</f>
        <v>131.9754077343851</v>
      </c>
      <c r="I871" cm="1">
        <f t="array" ref="I871">_xlfn.IFS(Table13[[#This Row],[Column4]]="NEW",_xlfn.XLOOKUP(Table13[[#This Row],[Year]],$N$2:$N$27,$P$2:$P$27),ISNUMBER(Table13[[#This Row],[Column4]]),Table13[[#This Row],[Column4]],Table13[[#This Row],[Column4]]="",I870*(1+Table13[[#This Row],[Ávöxtun]]))</f>
        <v>155.30263101249432</v>
      </c>
      <c r="L871" s="33">
        <v>130.63408216120467</v>
      </c>
      <c r="M871" s="33">
        <v>165.02594909521554</v>
      </c>
    </row>
    <row r="872" spans="1:13">
      <c r="A872" t="s">
        <v>130</v>
      </c>
      <c r="B872">
        <v>2012</v>
      </c>
      <c r="C872" s="16">
        <v>0.06</v>
      </c>
      <c r="D872" s="1">
        <v>99280705</v>
      </c>
      <c r="E872" s="29">
        <f>Table13[[#This Row],[Ávöxtun]]*Table13[[#This Row],[Eignir]]/SUMIFS(Table13[Eignir],Table13[Year],Table13[[#This Row],[Year]])</f>
        <v>3.3188156903679804E-3</v>
      </c>
      <c r="F872" s="23" t="e">
        <f>IF(B872=1997, 100, IF(COUNTIF(A$1:A871,A872)=0, "NEW", F871*(1+Table13[[#This Row],[Ávöxtun]])))</f>
        <v>#VALUE!</v>
      </c>
      <c r="G872" s="18" t="str" cm="1">
        <f t="array" ref="G872">IFERROR(_xlfn.IFS(ISNUMBER(Table13[[#This Row],[Column3]]),Table13[[#This Row],[Column3]],Table13[[#This Row],[Column3]]="NEW",Table13[[#This Row],[Column3]]),"")</f>
        <v/>
      </c>
      <c r="H872" s="15" cm="1">
        <f t="array" ref="H872">_xlfn.IFS(Table13[[#This Row],[Column4]]="NEW",AVERAGEIFS(Table13[Column4],Table13[Year],Table13[[#This Row],[Year]]),ISNUMBER(Table13[[#This Row],[Column4]]),Table13[[#This Row],[Column4]],Table13[[#This Row],[Column4]]="",H871*(1+Table13[[#This Row],[Ávöxtun]]))</f>
        <v>139.89393219844823</v>
      </c>
      <c r="I872" cm="1">
        <f t="array" ref="I872">_xlfn.IFS(Table13[[#This Row],[Column4]]="NEW",_xlfn.XLOOKUP(Table13[[#This Row],[Year]],$N$2:$N$27,$P$2:$P$27),ISNUMBER(Table13[[#This Row],[Column4]]),Table13[[#This Row],[Column4]],Table13[[#This Row],[Column4]]="",I871*(1+Table13[[#This Row],[Ávöxtun]]))</f>
        <v>164.62078887324398</v>
      </c>
      <c r="L872" s="33">
        <v>138.47212709087697</v>
      </c>
      <c r="M872" s="33">
        <v>174.92750604092848</v>
      </c>
    </row>
    <row r="873" spans="1:13">
      <c r="A873" t="s">
        <v>130</v>
      </c>
      <c r="B873">
        <v>2013</v>
      </c>
      <c r="C873" s="16">
        <v>4.9000000000000002E-2</v>
      </c>
      <c r="D873" s="1">
        <v>109519758</v>
      </c>
      <c r="E873" s="29">
        <f>Table13[[#This Row],[Ávöxtun]]*Table13[[#This Row],[Eignir]]/SUMIFS(Table13[Eignir],Table13[Year],Table13[[#This Row],[Year]])</f>
        <v>2.7186945670072508E-3</v>
      </c>
      <c r="F873" s="23" t="e">
        <f>IF(B873=1997, 100, IF(COUNTIF(A$1:A872,A873)=0, "NEW", F872*(1+Table13[[#This Row],[Ávöxtun]])))</f>
        <v>#VALUE!</v>
      </c>
      <c r="G873" s="18" t="str" cm="1">
        <f t="array" ref="G873">IFERROR(_xlfn.IFS(ISNUMBER(Table13[[#This Row],[Column3]]),Table13[[#This Row],[Column3]],Table13[[#This Row],[Column3]]="NEW",Table13[[#This Row],[Column3]]),"")</f>
        <v/>
      </c>
      <c r="H873" s="15" cm="1">
        <f t="array" ref="H873">_xlfn.IFS(Table13[[#This Row],[Column4]]="NEW",AVERAGEIFS(Table13[Column4],Table13[Year],Table13[[#This Row],[Year]]),ISNUMBER(Table13[[#This Row],[Column4]]),Table13[[#This Row],[Column4]],Table13[[#This Row],[Column4]]="",H872*(1+Table13[[#This Row],[Ávöxtun]]))</f>
        <v>146.74873487617219</v>
      </c>
      <c r="I873" cm="1">
        <f t="array" ref="I873">_xlfn.IFS(Table13[[#This Row],[Column4]]="NEW",_xlfn.XLOOKUP(Table13[[#This Row],[Year]],$N$2:$N$27,$P$2:$P$27),ISNUMBER(Table13[[#This Row],[Column4]]),Table13[[#This Row],[Column4]],Table13[[#This Row],[Column4]]="",I872*(1+Table13[[#This Row],[Ávöxtun]]))</f>
        <v>172.68720752803293</v>
      </c>
      <c r="L873" s="33">
        <v>145.25726131832994</v>
      </c>
      <c r="M873" s="33">
        <v>183.49895383693396</v>
      </c>
    </row>
    <row r="874" spans="1:13">
      <c r="A874" t="s">
        <v>130</v>
      </c>
      <c r="B874">
        <v>2014</v>
      </c>
      <c r="C874" s="16">
        <v>7.400000000000001E-2</v>
      </c>
      <c r="D874" s="1">
        <v>119847017</v>
      </c>
      <c r="E874" s="29">
        <f>Table13[[#This Row],[Ávöxtun]]*Table13[[#This Row],[Eignir]]/SUMIFS(Table13[Eignir],Table13[Year],Table13[[#This Row],[Year]])</f>
        <v>4.1201691138185595E-3</v>
      </c>
      <c r="F874" s="23" t="e">
        <f>IF(B874=1997, 100, IF(COUNTIF(A$1:A873,A874)=0, "NEW", F873*(1+Table13[[#This Row],[Ávöxtun]])))</f>
        <v>#VALUE!</v>
      </c>
      <c r="G874" s="18" t="str" cm="1">
        <f t="array" ref="G874">IFERROR(_xlfn.IFS(ISNUMBER(Table13[[#This Row],[Column3]]),Table13[[#This Row],[Column3]],Table13[[#This Row],[Column3]]="NEW",Table13[[#This Row],[Column3]]),"")</f>
        <v/>
      </c>
      <c r="H874" s="15" cm="1">
        <f t="array" ref="H874">_xlfn.IFS(Table13[[#This Row],[Column4]]="NEW",AVERAGEIFS(Table13[Column4],Table13[Year],Table13[[#This Row],[Year]]),ISNUMBER(Table13[[#This Row],[Column4]]),Table13[[#This Row],[Column4]],Table13[[#This Row],[Column4]]="",H873*(1+Table13[[#This Row],[Ávöxtun]]))</f>
        <v>157.60814125700895</v>
      </c>
      <c r="I874" cm="1">
        <f t="array" ref="I874">_xlfn.IFS(Table13[[#This Row],[Column4]]="NEW",_xlfn.XLOOKUP(Table13[[#This Row],[Year]],$N$2:$N$27,$P$2:$P$27),ISNUMBER(Table13[[#This Row],[Column4]]),Table13[[#This Row],[Column4]],Table13[[#This Row],[Column4]]="",I873*(1+Table13[[#This Row],[Ávöxtun]]))</f>
        <v>185.46606088510737</v>
      </c>
      <c r="L874" s="33">
        <v>156.00629865588635</v>
      </c>
      <c r="M874" s="33">
        <v>197.07787642086709</v>
      </c>
    </row>
    <row r="875" spans="1:13">
      <c r="A875" t="s">
        <v>130</v>
      </c>
      <c r="B875">
        <v>2015</v>
      </c>
      <c r="C875" s="16">
        <v>9.6999999999999989E-2</v>
      </c>
      <c r="D875" s="1">
        <v>135157003</v>
      </c>
      <c r="E875" s="29">
        <f>Table13[[#This Row],[Ávöxtun]]*Table13[[#This Row],[Eignir]]/SUMIFS(Table13[Eignir],Table13[Year],Table13[[#This Row],[Year]])</f>
        <v>5.4905907035781654E-3</v>
      </c>
      <c r="F875" s="23" t="e">
        <f>IF(B875=1997, 100, IF(COUNTIF(A$1:A874,A875)=0, "NEW", F874*(1+Table13[[#This Row],[Ávöxtun]])))</f>
        <v>#VALUE!</v>
      </c>
      <c r="G875" s="18" t="str" cm="1">
        <f t="array" ref="G875">IFERROR(_xlfn.IFS(ISNUMBER(Table13[[#This Row],[Column3]]),Table13[[#This Row],[Column3]],Table13[[#This Row],[Column3]]="NEW",Table13[[#This Row],[Column3]]),"")</f>
        <v/>
      </c>
      <c r="H875" s="15" cm="1">
        <f t="array" ref="H875">_xlfn.IFS(Table13[[#This Row],[Column4]]="NEW",AVERAGEIFS(Table13[Column4],Table13[Year],Table13[[#This Row],[Year]]),ISNUMBER(Table13[[#This Row],[Column4]]),Table13[[#This Row],[Column4]],Table13[[#This Row],[Column4]]="",H874*(1+Table13[[#This Row],[Ávöxtun]]))</f>
        <v>172.89613095893881</v>
      </c>
      <c r="I875" cm="1">
        <f t="array" ref="I875">_xlfn.IFS(Table13[[#This Row],[Column4]]="NEW",_xlfn.XLOOKUP(Table13[[#This Row],[Year]],$N$2:$N$27,$P$2:$P$27),ISNUMBER(Table13[[#This Row],[Column4]]),Table13[[#This Row],[Column4]],Table13[[#This Row],[Column4]]="",I874*(1+Table13[[#This Row],[Ávöxtun]]))</f>
        <v>203.45626879096278</v>
      </c>
      <c r="L875" s="33">
        <v>171.13890962550732</v>
      </c>
      <c r="M875" s="33">
        <v>216.1944304336912</v>
      </c>
    </row>
    <row r="876" spans="1:13">
      <c r="A876" t="s">
        <v>131</v>
      </c>
      <c r="B876">
        <v>2007</v>
      </c>
      <c r="C876" s="16">
        <v>-5.6999999999999993E-3</v>
      </c>
      <c r="D876" s="1">
        <v>89507279</v>
      </c>
      <c r="E876" s="29">
        <f>Table13[[#This Row],[Ávöxtun]]*Table13[[#This Row],[Eignir]]/SUMIFS(Table13[Eignir],Table13[Year],Table13[[#This Row],[Year]])</f>
        <v>-3.9751255486470853E-4</v>
      </c>
      <c r="F876" s="23" t="str">
        <f>IF(B876=1997, 100, IF(COUNTIF(A$1:A875,A876)=0, "NEW", F875*(1+Table13[[#This Row],[Ávöxtun]])))</f>
        <v>NEW</v>
      </c>
      <c r="G876" s="18" t="str" cm="1">
        <f t="array" ref="G876">IFERROR(_xlfn.IFS(ISNUMBER(Table13[[#This Row],[Column3]]),Table13[[#This Row],[Column3]],Table13[[#This Row],[Column3]]="NEW",Table13[[#This Row],[Column3]]),"")</f>
        <v>NEW</v>
      </c>
      <c r="H876" s="15" cm="1">
        <f t="array" ref="H876">_xlfn.IFS(Table13[[#This Row],[Column4]]="NEW",AVERAGEIFS(Table13[Column4],Table13[Year],Table13[[#This Row],[Year]]),ISNUMBER(Table13[[#This Row],[Column4]]),Table13[[#This Row],[Column4]],Table13[[#This Row],[Column4]]="",H875*(1+Table13[[#This Row],[Ávöxtun]]))</f>
        <v>181.28886909669129</v>
      </c>
      <c r="I876" cm="1">
        <f t="array" ref="I876">_xlfn.IFS(Table13[[#This Row],[Column4]]="NEW",_xlfn.XLOOKUP(Table13[[#This Row],[Year]],$N$2:$N$27,$P$2:$P$27),ISNUMBER(Table13[[#This Row],[Column4]]),Table13[[#This Row],[Column4]],Table13[[#This Row],[Column4]]="",I875*(1+Table13[[#This Row],[Ávöxtun]]))</f>
        <v>207.65019104512325</v>
      </c>
      <c r="L876" s="33">
        <v>178.53851178563048</v>
      </c>
      <c r="M876" s="33">
        <v>220.80682239490886</v>
      </c>
    </row>
    <row r="877" spans="1:13">
      <c r="A877" t="s">
        <v>131</v>
      </c>
      <c r="B877">
        <v>2008</v>
      </c>
      <c r="C877" s="16">
        <v>-0.13880000000000001</v>
      </c>
      <c r="D877" s="1">
        <v>97960752</v>
      </c>
      <c r="E877" s="29">
        <f>Table13[[#This Row],[Ávöxtun]]*Table13[[#This Row],[Eignir]]/SUMIFS(Table13[Eignir],Table13[Year],Table13[[#This Row],[Year]])</f>
        <v>-1.0974172680095698E-2</v>
      </c>
      <c r="F877" s="23" t="e">
        <f>IF(B877=1997, 100, IF(COUNTIF(A$1:A876,A877)=0, "NEW", F876*(1+Table13[[#This Row],[Ávöxtun]])))</f>
        <v>#VALUE!</v>
      </c>
      <c r="G877" s="18" t="str" cm="1">
        <f t="array" ref="G877">IFERROR(_xlfn.IFS(ISNUMBER(Table13[[#This Row],[Column3]]),Table13[[#This Row],[Column3]],Table13[[#This Row],[Column3]]="NEW",Table13[[#This Row],[Column3]]),"")</f>
        <v/>
      </c>
      <c r="H877" s="15" cm="1">
        <f t="array" ref="H877">_xlfn.IFS(Table13[[#This Row],[Column4]]="NEW",AVERAGEIFS(Table13[Column4],Table13[Year],Table13[[#This Row],[Year]]),ISNUMBER(Table13[[#This Row],[Column4]]),Table13[[#This Row],[Column4]],Table13[[#This Row],[Column4]]="",H876*(1+Table13[[#This Row],[Ávöxtun]]))</f>
        <v>156.12597406607054</v>
      </c>
      <c r="I877" cm="1">
        <f t="array" ref="I877">_xlfn.IFS(Table13[[#This Row],[Column4]]="NEW",_xlfn.XLOOKUP(Table13[[#This Row],[Year]],$N$2:$N$27,$P$2:$P$27),ISNUMBER(Table13[[#This Row],[Column4]]),Table13[[#This Row],[Column4]],Table13[[#This Row],[Column4]]="",I876*(1+Table13[[#This Row],[Ávöxtun]]))</f>
        <v>178.82834452806014</v>
      </c>
      <c r="L877" s="33">
        <v>153.75736634978497</v>
      </c>
      <c r="M877" s="33">
        <v>190.15883544649552</v>
      </c>
    </row>
    <row r="878" spans="1:13">
      <c r="A878" t="s">
        <v>131</v>
      </c>
      <c r="B878">
        <v>2009</v>
      </c>
      <c r="C878" s="16">
        <v>-6.1699999999999998E-2</v>
      </c>
      <c r="D878" s="1">
        <v>101919842</v>
      </c>
      <c r="E878" s="29">
        <f>Table13[[#This Row],[Ávöxtun]]*Table13[[#This Row],[Eignir]]/SUMIFS(Table13[Eignir],Table13[Year],Table13[[#This Row],[Year]])</f>
        <v>-4.579689169570249E-3</v>
      </c>
      <c r="F878" s="23" t="e">
        <f>IF(B878=1997, 100, IF(COUNTIF(A$1:A877,A878)=0, "NEW", F877*(1+Table13[[#This Row],[Ávöxtun]])))</f>
        <v>#VALUE!</v>
      </c>
      <c r="G878" s="18" t="str" cm="1">
        <f t="array" ref="G878">IFERROR(_xlfn.IFS(ISNUMBER(Table13[[#This Row],[Column3]]),Table13[[#This Row],[Column3]],Table13[[#This Row],[Column3]]="NEW",Table13[[#This Row],[Column3]]),"")</f>
        <v/>
      </c>
      <c r="H878" s="15" cm="1">
        <f t="array" ref="H878">_xlfn.IFS(Table13[[#This Row],[Column4]]="NEW",AVERAGEIFS(Table13[Column4],Table13[Year],Table13[[#This Row],[Year]]),ISNUMBER(Table13[[#This Row],[Column4]]),Table13[[#This Row],[Column4]],Table13[[#This Row],[Column4]]="",H877*(1+Table13[[#This Row],[Ávöxtun]]))</f>
        <v>146.49300146619399</v>
      </c>
      <c r="I878" cm="1">
        <f t="array" ref="I878">_xlfn.IFS(Table13[[#This Row],[Column4]]="NEW",_xlfn.XLOOKUP(Table13[[#This Row],[Year]],$N$2:$N$27,$P$2:$P$27),ISNUMBER(Table13[[#This Row],[Column4]]),Table13[[#This Row],[Column4]],Table13[[#This Row],[Column4]]="",I877*(1+Table13[[#This Row],[Ávöxtun]]))</f>
        <v>167.79463567067884</v>
      </c>
      <c r="L878" s="33">
        <v>144.27053684600324</v>
      </c>
      <c r="M878" s="33">
        <v>178.42603529944674</v>
      </c>
    </row>
    <row r="879" spans="1:13">
      <c r="A879" t="s">
        <v>131</v>
      </c>
      <c r="B879">
        <v>2010</v>
      </c>
      <c r="C879" s="16">
        <v>3.4700000000000002E-2</v>
      </c>
      <c r="D879" s="1">
        <v>111264997</v>
      </c>
      <c r="E879" s="29">
        <f>Table13[[#This Row],[Ávöxtun]]*Table13[[#This Row],[Eignir]]/SUMIFS(Table13[Eignir],Table13[Year],Table13[[#This Row],[Year]])</f>
        <v>2.6358759962650628E-3</v>
      </c>
      <c r="F879" s="23" t="e">
        <f>IF(B879=1997, 100, IF(COUNTIF(A$1:A878,A879)=0, "NEW", F878*(1+Table13[[#This Row],[Ávöxtun]])))</f>
        <v>#VALUE!</v>
      </c>
      <c r="G879" s="18" t="str" cm="1">
        <f t="array" ref="G879">IFERROR(_xlfn.IFS(ISNUMBER(Table13[[#This Row],[Column3]]),Table13[[#This Row],[Column3]],Table13[[#This Row],[Column3]]="NEW",Table13[[#This Row],[Column3]]),"")</f>
        <v/>
      </c>
      <c r="H879" s="15" cm="1">
        <f t="array" ref="H879">_xlfn.IFS(Table13[[#This Row],[Column4]]="NEW",AVERAGEIFS(Table13[Column4],Table13[Year],Table13[[#This Row],[Year]]),ISNUMBER(Table13[[#This Row],[Column4]]),Table13[[#This Row],[Column4]],Table13[[#This Row],[Column4]]="",H878*(1+Table13[[#This Row],[Ávöxtun]]))</f>
        <v>151.57630861707091</v>
      </c>
      <c r="I879" cm="1">
        <f t="array" ref="I879">_xlfn.IFS(Table13[[#This Row],[Column4]]="NEW",_xlfn.XLOOKUP(Table13[[#This Row],[Year]],$N$2:$N$27,$P$2:$P$27),ISNUMBER(Table13[[#This Row],[Column4]]),Table13[[#This Row],[Column4]],Table13[[#This Row],[Column4]]="",I878*(1+Table13[[#This Row],[Ávöxtun]]))</f>
        <v>173.61710952845138</v>
      </c>
      <c r="L879" s="33">
        <v>149.27672447455956</v>
      </c>
      <c r="M879" s="33">
        <v>184.61741872433754</v>
      </c>
    </row>
    <row r="880" spans="1:13">
      <c r="A880" t="s">
        <v>131</v>
      </c>
      <c r="B880">
        <v>2011</v>
      </c>
      <c r="C880" s="16">
        <v>0</v>
      </c>
      <c r="D880" s="1">
        <v>114699867</v>
      </c>
      <c r="E880" s="29">
        <f>Table13[[#This Row],[Ávöxtun]]*Table13[[#This Row],[Eignir]]/SUMIFS(Table13[Eignir],Table13[Year],Table13[[#This Row],[Year]])</f>
        <v>0</v>
      </c>
      <c r="F880" s="23" t="e">
        <f>IF(B880=1997, 100, IF(COUNTIF(A$1:A879,A880)=0, "NEW", F879*(1+Table13[[#This Row],[Ávöxtun]])))</f>
        <v>#VALUE!</v>
      </c>
      <c r="G880" s="18" t="str" cm="1">
        <f t="array" ref="G880">IFERROR(_xlfn.IFS(ISNUMBER(Table13[[#This Row],[Column3]]),Table13[[#This Row],[Column3]],Table13[[#This Row],[Column3]]="NEW",Table13[[#This Row],[Column3]]),"")</f>
        <v/>
      </c>
      <c r="H880" s="15" cm="1">
        <f t="array" ref="H880">_xlfn.IFS(Table13[[#This Row],[Column4]]="NEW",AVERAGEIFS(Table13[Column4],Table13[Year],Table13[[#This Row],[Year]]),ISNUMBER(Table13[[#This Row],[Column4]]),Table13[[#This Row],[Column4]],Table13[[#This Row],[Column4]]="",H879*(1+Table13[[#This Row],[Ávöxtun]]))</f>
        <v>151.57630861707091</v>
      </c>
      <c r="I880" cm="1">
        <f t="array" ref="I880">_xlfn.IFS(Table13[[#This Row],[Column4]]="NEW",_xlfn.XLOOKUP(Table13[[#This Row],[Year]],$N$2:$N$27,$P$2:$P$27),ISNUMBER(Table13[[#This Row],[Column4]]),Table13[[#This Row],[Column4]],Table13[[#This Row],[Column4]]="",I879*(1+Table13[[#This Row],[Ávöxtun]]))</f>
        <v>173.61710952845138</v>
      </c>
      <c r="L880" s="33">
        <v>149.27672447455956</v>
      </c>
      <c r="M880" s="33">
        <v>184.61741872433754</v>
      </c>
    </row>
    <row r="881" spans="1:13">
      <c r="A881" t="s">
        <v>131</v>
      </c>
      <c r="B881">
        <v>2012</v>
      </c>
      <c r="C881" s="16">
        <v>5.2999999999999999E-2</v>
      </c>
      <c r="D881" s="1">
        <v>128997144</v>
      </c>
      <c r="E881" s="29">
        <f>Table13[[#This Row],[Ávöxtun]]*Table13[[#This Row],[Eignir]]/SUMIFS(Table13[Eignir],Table13[Year],Table13[[#This Row],[Year]])</f>
        <v>3.8091054571903747E-3</v>
      </c>
      <c r="F881" s="23" t="e">
        <f>IF(B881=1997, 100, IF(COUNTIF(A$1:A880,A881)=0, "NEW", F880*(1+Table13[[#This Row],[Ávöxtun]])))</f>
        <v>#VALUE!</v>
      </c>
      <c r="G881" s="18" t="str" cm="1">
        <f t="array" ref="G881">IFERROR(_xlfn.IFS(ISNUMBER(Table13[[#This Row],[Column3]]),Table13[[#This Row],[Column3]],Table13[[#This Row],[Column3]]="NEW",Table13[[#This Row],[Column3]]),"")</f>
        <v/>
      </c>
      <c r="H881" s="15" cm="1">
        <f t="array" ref="H881">_xlfn.IFS(Table13[[#This Row],[Column4]]="NEW",AVERAGEIFS(Table13[Column4],Table13[Year],Table13[[#This Row],[Year]]),ISNUMBER(Table13[[#This Row],[Column4]]),Table13[[#This Row],[Column4]],Table13[[#This Row],[Column4]]="",H880*(1+Table13[[#This Row],[Ávöxtun]]))</f>
        <v>159.60985297377565</v>
      </c>
      <c r="I881" cm="1">
        <f t="array" ref="I881">_xlfn.IFS(Table13[[#This Row],[Column4]]="NEW",_xlfn.XLOOKUP(Table13[[#This Row],[Year]],$N$2:$N$27,$P$2:$P$27),ISNUMBER(Table13[[#This Row],[Column4]]),Table13[[#This Row],[Column4]],Table13[[#This Row],[Column4]]="",I880*(1+Table13[[#This Row],[Ávöxtun]]))</f>
        <v>182.8188163334593</v>
      </c>
      <c r="L881" s="33">
        <v>157.18839087171119</v>
      </c>
      <c r="M881" s="33">
        <v>194.40214191672743</v>
      </c>
    </row>
    <row r="882" spans="1:13">
      <c r="A882" t="s">
        <v>131</v>
      </c>
      <c r="B882">
        <v>2013</v>
      </c>
      <c r="C882" s="16">
        <v>0.03</v>
      </c>
      <c r="D882" s="1">
        <v>140207162</v>
      </c>
      <c r="E882" s="29">
        <f>Table13[[#This Row],[Ávöxtun]]*Table13[[#This Row],[Eignir]]/SUMIFS(Table13[Eignir],Table13[Year],Table13[[#This Row],[Year]])</f>
        <v>2.1309012156523043E-3</v>
      </c>
      <c r="F882" s="23" t="e">
        <f>IF(B882=1997, 100, IF(COUNTIF(A$1:A881,A882)=0, "NEW", F881*(1+Table13[[#This Row],[Ávöxtun]])))</f>
        <v>#VALUE!</v>
      </c>
      <c r="G882" s="18" t="str" cm="1">
        <f t="array" ref="G882">IFERROR(_xlfn.IFS(ISNUMBER(Table13[[#This Row],[Column3]]),Table13[[#This Row],[Column3]],Table13[[#This Row],[Column3]]="NEW",Table13[[#This Row],[Column3]]),"")</f>
        <v/>
      </c>
      <c r="H882" s="15" cm="1">
        <f t="array" ref="H882">_xlfn.IFS(Table13[[#This Row],[Column4]]="NEW",AVERAGEIFS(Table13[Column4],Table13[Year],Table13[[#This Row],[Year]]),ISNUMBER(Table13[[#This Row],[Column4]]),Table13[[#This Row],[Column4]],Table13[[#This Row],[Column4]]="",H881*(1+Table13[[#This Row],[Ávöxtun]]))</f>
        <v>164.39814856298892</v>
      </c>
      <c r="I882" cm="1">
        <f t="array" ref="I882">_xlfn.IFS(Table13[[#This Row],[Column4]]="NEW",_xlfn.XLOOKUP(Table13[[#This Row],[Year]],$N$2:$N$27,$P$2:$P$27),ISNUMBER(Table13[[#This Row],[Column4]]),Table13[[#This Row],[Column4]],Table13[[#This Row],[Column4]]="",I881*(1+Table13[[#This Row],[Ávöxtun]]))</f>
        <v>188.30338082346307</v>
      </c>
      <c r="L882" s="33">
        <v>161.90404259786254</v>
      </c>
      <c r="M882" s="33">
        <v>200.23420617422926</v>
      </c>
    </row>
    <row r="883" spans="1:13">
      <c r="A883" t="s">
        <v>131</v>
      </c>
      <c r="B883">
        <v>2014</v>
      </c>
      <c r="C883" s="16">
        <v>6.2000000000000006E-2</v>
      </c>
      <c r="D883" s="1">
        <v>153236792</v>
      </c>
      <c r="E883" s="29">
        <f>Table13[[#This Row],[Ávöxtun]]*Table13[[#This Row],[Eignir]]/SUMIFS(Table13[Eignir],Table13[Year],Table13[[#This Row],[Year]])</f>
        <v>4.4137815458406794E-3</v>
      </c>
      <c r="F883" s="23" t="e">
        <f>IF(B883=1997, 100, IF(COUNTIF(A$1:A882,A883)=0, "NEW", F882*(1+Table13[[#This Row],[Ávöxtun]])))</f>
        <v>#VALUE!</v>
      </c>
      <c r="G883" s="18" t="str" cm="1">
        <f t="array" ref="G883">IFERROR(_xlfn.IFS(ISNUMBER(Table13[[#This Row],[Column3]]),Table13[[#This Row],[Column3]],Table13[[#This Row],[Column3]]="NEW",Table13[[#This Row],[Column3]]),"")</f>
        <v/>
      </c>
      <c r="H883" s="15" cm="1">
        <f t="array" ref="H883">_xlfn.IFS(Table13[[#This Row],[Column4]]="NEW",AVERAGEIFS(Table13[Column4],Table13[Year],Table13[[#This Row],[Year]]),ISNUMBER(Table13[[#This Row],[Column4]]),Table13[[#This Row],[Column4]],Table13[[#This Row],[Column4]]="",H882*(1+Table13[[#This Row],[Ávöxtun]]))</f>
        <v>174.59083377389425</v>
      </c>
      <c r="I883" cm="1">
        <f t="array" ref="I883">_xlfn.IFS(Table13[[#This Row],[Column4]]="NEW",_xlfn.XLOOKUP(Table13[[#This Row],[Year]],$N$2:$N$27,$P$2:$P$27),ISNUMBER(Table13[[#This Row],[Column4]]),Table13[[#This Row],[Column4]],Table13[[#This Row],[Column4]]="",I882*(1+Table13[[#This Row],[Ávöxtun]]))</f>
        <v>199.97819043451778</v>
      </c>
      <c r="L883" s="33">
        <v>171.94209323893003</v>
      </c>
      <c r="M883" s="33">
        <v>212.64872695703147</v>
      </c>
    </row>
    <row r="884" spans="1:13">
      <c r="A884" t="s">
        <v>131</v>
      </c>
      <c r="B884">
        <v>2015</v>
      </c>
      <c r="C884" s="16">
        <v>9.1799999999999993E-2</v>
      </c>
      <c r="D884" s="1">
        <v>174550785</v>
      </c>
      <c r="E884" s="29">
        <f>Table13[[#This Row],[Ávöxtun]]*Table13[[#This Row],[Eignir]]/SUMIFS(Table13[Eignir],Table13[Year],Table13[[#This Row],[Year]])</f>
        <v>6.7107841569066492E-3</v>
      </c>
      <c r="F884" s="23" t="e">
        <f>IF(B884=1997, 100, IF(COUNTIF(A$1:A883,A884)=0, "NEW", F883*(1+Table13[[#This Row],[Ávöxtun]])))</f>
        <v>#VALUE!</v>
      </c>
      <c r="G884" s="18" t="str" cm="1">
        <f t="array" ref="G884">IFERROR(_xlfn.IFS(ISNUMBER(Table13[[#This Row],[Column3]]),Table13[[#This Row],[Column3]],Table13[[#This Row],[Column3]]="NEW",Table13[[#This Row],[Column3]]),"")</f>
        <v/>
      </c>
      <c r="H884" s="15" cm="1">
        <f t="array" ref="H884">_xlfn.IFS(Table13[[#This Row],[Column4]]="NEW",AVERAGEIFS(Table13[Column4],Table13[Year],Table13[[#This Row],[Year]]),ISNUMBER(Table13[[#This Row],[Column4]]),Table13[[#This Row],[Column4]],Table13[[#This Row],[Column4]]="",H883*(1+Table13[[#This Row],[Ávöxtun]]))</f>
        <v>190.61827231433776</v>
      </c>
      <c r="I884" cm="1">
        <f t="array" ref="I884">_xlfn.IFS(Table13[[#This Row],[Column4]]="NEW",_xlfn.XLOOKUP(Table13[[#This Row],[Year]],$N$2:$N$27,$P$2:$P$27),ISNUMBER(Table13[[#This Row],[Column4]]),Table13[[#This Row],[Column4]],Table13[[#This Row],[Column4]]="",I883*(1+Table13[[#This Row],[Ávöxtun]]))</f>
        <v>218.33618831640655</v>
      </c>
      <c r="L884" s="33">
        <v>187.72637739826382</v>
      </c>
      <c r="M884" s="33">
        <v>232.16988009168699</v>
      </c>
    </row>
    <row r="885" spans="1:13">
      <c r="A885" t="s">
        <v>131</v>
      </c>
      <c r="B885">
        <v>2016</v>
      </c>
      <c r="C885" s="16">
        <v>-1.3000000000000002E-3</v>
      </c>
      <c r="D885" s="1">
        <v>182176040.52000001</v>
      </c>
      <c r="E885" s="29">
        <f>Table13[[#This Row],[Ávöxtun]]*Table13[[#This Row],[Eignir]]/SUMIFS(Table13[Eignir],Table13[Year],Table13[[#This Row],[Year]])</f>
        <v>-9.0810364806872312E-5</v>
      </c>
      <c r="F885" s="23" t="e">
        <f>IF(B885=1997, 100, IF(COUNTIF(A$1:A884,A885)=0, "NEW", F884*(1+Table13[[#This Row],[Ávöxtun]])))</f>
        <v>#VALUE!</v>
      </c>
      <c r="G885" s="18" t="str" cm="1">
        <f t="array" ref="G885">IFERROR(_xlfn.IFS(ISNUMBER(Table13[[#This Row],[Column3]]),Table13[[#This Row],[Column3]],Table13[[#This Row],[Column3]]="NEW",Table13[[#This Row],[Column3]]),"")</f>
        <v/>
      </c>
      <c r="H885" s="15" cm="1">
        <f t="array" ref="H885">_xlfn.IFS(Table13[[#This Row],[Column4]]="NEW",AVERAGEIFS(Table13[Column4],Table13[Year],Table13[[#This Row],[Year]]),ISNUMBER(Table13[[#This Row],[Column4]]),Table13[[#This Row],[Column4]],Table13[[#This Row],[Column4]]="",H884*(1+Table13[[#This Row],[Ávöxtun]]))</f>
        <v>190.37046856032913</v>
      </c>
      <c r="I885" cm="1">
        <f t="array" ref="I885">_xlfn.IFS(Table13[[#This Row],[Column4]]="NEW",_xlfn.XLOOKUP(Table13[[#This Row],[Year]],$N$2:$N$27,$P$2:$P$27),ISNUMBER(Table13[[#This Row],[Column4]]),Table13[[#This Row],[Column4]],Table13[[#This Row],[Column4]]="",I884*(1+Table13[[#This Row],[Ávöxtun]]))</f>
        <v>218.05235127159523</v>
      </c>
      <c r="L885" s="33">
        <v>187.48233310764607</v>
      </c>
      <c r="M885" s="33">
        <v>231.8680592475678</v>
      </c>
    </row>
    <row r="886" spans="1:13">
      <c r="A886" t="s">
        <v>131</v>
      </c>
      <c r="B886">
        <v>2017</v>
      </c>
      <c r="C886" s="16">
        <v>5.2000000000000005E-2</v>
      </c>
      <c r="D886" s="1">
        <v>199479231</v>
      </c>
      <c r="E886" s="29">
        <f>Table13[[#This Row],[Ávöxtun]]*Table13[[#This Row],[Eignir]]/SUMIFS(Table13[Eignir],Table13[Year],Table13[[#This Row],[Year]])</f>
        <v>3.5693358076615538E-3</v>
      </c>
      <c r="F886" s="23" t="e">
        <f>IF(B886=1997, 100, IF(COUNTIF(A$1:A885,A886)=0, "NEW", F885*(1+Table13[[#This Row],[Ávöxtun]])))</f>
        <v>#VALUE!</v>
      </c>
      <c r="G886" s="18" t="str" cm="1">
        <f t="array" ref="G886">IFERROR(_xlfn.IFS(ISNUMBER(Table13[[#This Row],[Column3]]),Table13[[#This Row],[Column3]],Table13[[#This Row],[Column3]]="NEW",Table13[[#This Row],[Column3]]),"")</f>
        <v/>
      </c>
      <c r="H886" s="15" cm="1">
        <f t="array" ref="H886">_xlfn.IFS(Table13[[#This Row],[Column4]]="NEW",AVERAGEIFS(Table13[Column4],Table13[Year],Table13[[#This Row],[Year]]),ISNUMBER(Table13[[#This Row],[Column4]]),Table13[[#This Row],[Column4]],Table13[[#This Row],[Column4]]="",H885*(1+Table13[[#This Row],[Ávöxtun]]))</f>
        <v>200.26973292546626</v>
      </c>
      <c r="I886" cm="1">
        <f t="array" ref="I886">_xlfn.IFS(Table13[[#This Row],[Column4]]="NEW",_xlfn.XLOOKUP(Table13[[#This Row],[Year]],$N$2:$N$27,$P$2:$P$27),ISNUMBER(Table13[[#This Row],[Column4]]),Table13[[#This Row],[Column4]],Table13[[#This Row],[Column4]]="",I885*(1+Table13[[#This Row],[Ávöxtun]]))</f>
        <v>229.3910735377182</v>
      </c>
      <c r="L886" s="33">
        <v>197.23141442924367</v>
      </c>
      <c r="M886" s="33">
        <v>243.92519832844133</v>
      </c>
    </row>
    <row r="887" spans="1:13">
      <c r="A887" t="s">
        <v>131</v>
      </c>
      <c r="B887">
        <v>2018</v>
      </c>
      <c r="C887" s="16">
        <v>1.4999999999999999E-2</v>
      </c>
      <c r="D887" s="1">
        <v>215276198</v>
      </c>
      <c r="E887" s="29">
        <f>Table13[[#This Row],[Ávöxtun]]*Table13[[#This Row],[Eignir]]/SUMIFS(Table13[Eignir],Table13[Year],Table13[[#This Row],[Year]])</f>
        <v>1.035340062968512E-3</v>
      </c>
      <c r="F887" s="23" t="e">
        <f>IF(B887=1997, 100, IF(COUNTIF(A$1:A886,A887)=0, "NEW", F886*(1+Table13[[#This Row],[Ávöxtun]])))</f>
        <v>#VALUE!</v>
      </c>
      <c r="G887" s="18" t="str" cm="1">
        <f t="array" ref="G887">IFERROR(_xlfn.IFS(ISNUMBER(Table13[[#This Row],[Column3]]),Table13[[#This Row],[Column3]],Table13[[#This Row],[Column3]]="NEW",Table13[[#This Row],[Column3]]),"")</f>
        <v/>
      </c>
      <c r="H887" s="15" cm="1">
        <f t="array" ref="H887">_xlfn.IFS(Table13[[#This Row],[Column4]]="NEW",AVERAGEIFS(Table13[Column4],Table13[Year],Table13[[#This Row],[Year]]),ISNUMBER(Table13[[#This Row],[Column4]]),Table13[[#This Row],[Column4]],Table13[[#This Row],[Column4]]="",H886*(1+Table13[[#This Row],[Ávöxtun]]))</f>
        <v>203.27377891934825</v>
      </c>
      <c r="I887" cm="1">
        <f t="array" ref="I887">_xlfn.IFS(Table13[[#This Row],[Column4]]="NEW",_xlfn.XLOOKUP(Table13[[#This Row],[Year]],$N$2:$N$27,$P$2:$P$27),ISNUMBER(Table13[[#This Row],[Column4]]),Table13[[#This Row],[Column4]],Table13[[#This Row],[Column4]]="",I886*(1+Table13[[#This Row],[Ávöxtun]]))</f>
        <v>232.83193964078396</v>
      </c>
      <c r="L887" s="33">
        <v>200.1898856456823</v>
      </c>
      <c r="M887" s="33">
        <v>247.58407630336791</v>
      </c>
    </row>
    <row r="888" spans="1:13">
      <c r="A888" t="s">
        <v>131</v>
      </c>
      <c r="B888">
        <v>2019</v>
      </c>
      <c r="C888" s="16">
        <v>9.98E-2</v>
      </c>
      <c r="D888" s="1">
        <v>249839841.91</v>
      </c>
      <c r="E888" s="29">
        <f>Table13[[#This Row],[Ávöxtun]]*Table13[[#This Row],[Eignir]]/SUMIFS(Table13[Eignir],Table13[Year],Table13[[#This Row],[Year]])</f>
        <v>6.9717690960517864E-3</v>
      </c>
      <c r="F888" s="23" t="e">
        <f>IF(B888=1997, 100, IF(COUNTIF(A$1:A887,A888)=0, "NEW", F887*(1+Table13[[#This Row],[Ávöxtun]])))</f>
        <v>#VALUE!</v>
      </c>
      <c r="G888" s="18" t="str" cm="1">
        <f t="array" ref="G888">IFERROR(_xlfn.IFS(ISNUMBER(Table13[[#This Row],[Column3]]),Table13[[#This Row],[Column3]],Table13[[#This Row],[Column3]]="NEW",Table13[[#This Row],[Column3]]),"")</f>
        <v/>
      </c>
      <c r="H888" s="15" cm="1">
        <f t="array" ref="H888">_xlfn.IFS(Table13[[#This Row],[Column4]]="NEW",AVERAGEIFS(Table13[Column4],Table13[Year],Table13[[#This Row],[Year]]),ISNUMBER(Table13[[#This Row],[Column4]]),Table13[[#This Row],[Column4]],Table13[[#This Row],[Column4]]="",H887*(1+Table13[[#This Row],[Ávöxtun]]))</f>
        <v>223.56050205549923</v>
      </c>
      <c r="I888" cm="1">
        <f t="array" ref="I888">_xlfn.IFS(Table13[[#This Row],[Column4]]="NEW",_xlfn.XLOOKUP(Table13[[#This Row],[Year]],$N$2:$N$27,$P$2:$P$27),ISNUMBER(Table13[[#This Row],[Column4]]),Table13[[#This Row],[Column4]],Table13[[#This Row],[Column4]]="",I887*(1+Table13[[#This Row],[Ávöxtun]]))</f>
        <v>256.06856721693424</v>
      </c>
      <c r="L888" s="33">
        <v>220.1688362331214</v>
      </c>
      <c r="M888" s="33">
        <v>272.29296711844404</v>
      </c>
    </row>
    <row r="889" spans="1:13">
      <c r="A889" t="s">
        <v>131</v>
      </c>
      <c r="B889">
        <v>2020</v>
      </c>
      <c r="C889" s="16">
        <v>9.1500000000000012E-2</v>
      </c>
      <c r="D889" s="1">
        <v>288411567.56999999</v>
      </c>
      <c r="E889" s="29">
        <f>Table13[[#This Row],[Ávöxtun]]*Table13[[#This Row],[Eignir]]/SUMIFS(Table13[Eignir],Table13[Year],Table13[[#This Row],[Year]])</f>
        <v>6.3679326119749826E-3</v>
      </c>
      <c r="F889" s="23" t="e">
        <f>IF(B889=1997, 100, IF(COUNTIF(A$1:A888,A889)=0, "NEW", F888*(1+Table13[[#This Row],[Ávöxtun]])))</f>
        <v>#VALUE!</v>
      </c>
      <c r="G889" s="18" t="str" cm="1">
        <f t="array" ref="G889">IFERROR(_xlfn.IFS(ISNUMBER(Table13[[#This Row],[Column3]]),Table13[[#This Row],[Column3]],Table13[[#This Row],[Column3]]="NEW",Table13[[#This Row],[Column3]]),"")</f>
        <v/>
      </c>
      <c r="H889" s="15" cm="1">
        <f t="array" ref="H889">_xlfn.IFS(Table13[[#This Row],[Column4]]="NEW",AVERAGEIFS(Table13[Column4],Table13[Year],Table13[[#This Row],[Year]]),ISNUMBER(Table13[[#This Row],[Column4]]),Table13[[#This Row],[Column4]],Table13[[#This Row],[Column4]]="",H888*(1+Table13[[#This Row],[Ávöxtun]]))</f>
        <v>244.01628799357738</v>
      </c>
      <c r="I889" cm="1">
        <f t="array" ref="I889">_xlfn.IFS(Table13[[#This Row],[Column4]]="NEW",_xlfn.XLOOKUP(Table13[[#This Row],[Year]],$N$2:$N$27,$P$2:$P$27),ISNUMBER(Table13[[#This Row],[Column4]]),Table13[[#This Row],[Column4]],Table13[[#This Row],[Column4]]="",I888*(1+Table13[[#This Row],[Ávöxtun]]))</f>
        <v>279.49884111728369</v>
      </c>
      <c r="L889" s="33">
        <v>240.314284748452</v>
      </c>
      <c r="M889" s="33">
        <v>297.20777360978167</v>
      </c>
    </row>
    <row r="890" spans="1:13">
      <c r="A890" t="s">
        <v>131</v>
      </c>
      <c r="B890">
        <v>2021</v>
      </c>
      <c r="C890" s="16">
        <v>0.12770000000000001</v>
      </c>
      <c r="D890" s="1">
        <v>348755833.67000002</v>
      </c>
      <c r="E890" s="29">
        <f>Table13[[#This Row],[Ávöxtun]]*Table13[[#This Row],[Eignir]]/SUMIFS(Table13[Eignir],Table13[Year],Table13[[#This Row],[Year]])</f>
        <v>9.1566600671891263E-3</v>
      </c>
      <c r="F890" s="23" t="e">
        <f>IF(B890=1997, 100, IF(COUNTIF(A$1:A889,A890)=0, "NEW", F889*(1+Table13[[#This Row],[Ávöxtun]])))</f>
        <v>#VALUE!</v>
      </c>
      <c r="G890" s="18" t="str" cm="1">
        <f t="array" ref="G890">IFERROR(_xlfn.IFS(ISNUMBER(Table13[[#This Row],[Column3]]),Table13[[#This Row],[Column3]],Table13[[#This Row],[Column3]]="NEW",Table13[[#This Row],[Column3]]),"")</f>
        <v/>
      </c>
      <c r="H890" s="15" cm="1">
        <f t="array" ref="H890">_xlfn.IFS(Table13[[#This Row],[Column4]]="NEW",AVERAGEIFS(Table13[Column4],Table13[Year],Table13[[#This Row],[Year]]),ISNUMBER(Table13[[#This Row],[Column4]]),Table13[[#This Row],[Column4]],Table13[[#This Row],[Column4]]="",H889*(1+Table13[[#This Row],[Ávöxtun]]))</f>
        <v>275.17716797035717</v>
      </c>
      <c r="I890" cm="1">
        <f t="array" ref="I890">_xlfn.IFS(Table13[[#This Row],[Column4]]="NEW",_xlfn.XLOOKUP(Table13[[#This Row],[Year]],$N$2:$N$27,$P$2:$P$27),ISNUMBER(Table13[[#This Row],[Column4]]),Table13[[#This Row],[Column4]],Table13[[#This Row],[Column4]]="",I889*(1+Table13[[#This Row],[Ávöxtun]]))</f>
        <v>315.19084312796082</v>
      </c>
      <c r="L890" s="33">
        <v>271.00241891082931</v>
      </c>
      <c r="M890" s="33">
        <v>335.16120629975075</v>
      </c>
    </row>
    <row r="891" spans="1:13">
      <c r="A891" t="s">
        <v>134</v>
      </c>
      <c r="B891">
        <v>1999</v>
      </c>
      <c r="C891" s="16">
        <v>0.05</v>
      </c>
      <c r="D891" s="1">
        <v>106690.08</v>
      </c>
      <c r="E891" s="29">
        <f>Table13[[#This Row],[Ávöxtun]]*Table13[[#This Row],[Eignir]]/SUMIFS(Table13[Eignir],Table13[Year],Table13[[#This Row],[Year]])</f>
        <v>1.2016705067386833E-5</v>
      </c>
      <c r="F891" s="23" t="str">
        <f>IF(B891=1997, 100, IF(COUNTIF(A$1:A890,A891)=0, "NEW", F890*(1+Table13[[#This Row],[Ávöxtun]])))</f>
        <v>NEW</v>
      </c>
      <c r="G891" s="18" t="str" cm="1">
        <f t="array" ref="G891">IFERROR(_xlfn.IFS(ISNUMBER(Table13[[#This Row],[Column3]]),Table13[[#This Row],[Column3]],Table13[[#This Row],[Column3]]="NEW",Table13[[#This Row],[Column3]]),"")</f>
        <v>NEW</v>
      </c>
      <c r="H891" s="15" cm="1">
        <f t="array" ref="H891">_xlfn.IFS(Table13[[#This Row],[Column4]]="NEW",AVERAGEIFS(Table13[Column4],Table13[Year],Table13[[#This Row],[Year]]),ISNUMBER(Table13[[#This Row],[Column4]]),Table13[[#This Row],[Column4]],Table13[[#This Row],[Column4]]="",H890*(1+Table13[[#This Row],[Ávöxtun]]))</f>
        <v>117.24765957446809</v>
      </c>
      <c r="I891" cm="1">
        <f t="array" ref="I891">_xlfn.IFS(Table13[[#This Row],[Column4]]="NEW",_xlfn.XLOOKUP(Table13[[#This Row],[Year]],$N$2:$N$27,$P$2:$P$27),ISNUMBER(Table13[[#This Row],[Column4]]),Table13[[#This Row],[Column4]],Table13[[#This Row],[Column4]]="",I890*(1+Table13[[#This Row],[Ávöxtun]]))</f>
        <v>119.85237726478729</v>
      </c>
      <c r="L891" s="33">
        <v>117.05306122448981</v>
      </c>
      <c r="M891" s="33">
        <v>129.26988390123572</v>
      </c>
    </row>
    <row r="892" spans="1:13">
      <c r="A892" t="s">
        <v>134</v>
      </c>
      <c r="B892">
        <v>2000</v>
      </c>
      <c r="C892" s="16">
        <v>0.05</v>
      </c>
      <c r="D892" s="1">
        <v>84365.35</v>
      </c>
      <c r="E892" s="29">
        <f>Table13[[#This Row],[Ávöxtun]]*Table13[[#This Row],[Eignir]]/SUMIFS(Table13[Eignir],Table13[Year],Table13[[#This Row],[Year]])</f>
        <v>6.7548305151152074E-6</v>
      </c>
      <c r="F892" s="23" t="e">
        <f>IF(B892=1997, 100, IF(COUNTIF(A$1:A891,A892)=0, "NEW", F891*(1+Table13[[#This Row],[Ávöxtun]])))</f>
        <v>#VALUE!</v>
      </c>
      <c r="G892" s="18" t="str" cm="1">
        <f t="array" ref="G892">IFERROR(_xlfn.IFS(ISNUMBER(Table13[[#This Row],[Column3]]),Table13[[#This Row],[Column3]],Table13[[#This Row],[Column3]]="NEW",Table13[[#This Row],[Column3]]),"")</f>
        <v/>
      </c>
      <c r="H892" s="15" cm="1">
        <f t="array" ref="H892">_xlfn.IFS(Table13[[#This Row],[Column4]]="NEW",AVERAGEIFS(Table13[Column4],Table13[Year],Table13[[#This Row],[Year]]),ISNUMBER(Table13[[#This Row],[Column4]]),Table13[[#This Row],[Column4]],Table13[[#This Row],[Column4]]="",H891*(1+Table13[[#This Row],[Ávöxtun]]))</f>
        <v>123.11004255319149</v>
      </c>
      <c r="I892" cm="1">
        <f t="array" ref="I892">_xlfn.IFS(Table13[[#This Row],[Column4]]="NEW",_xlfn.XLOOKUP(Table13[[#This Row],[Year]],$N$2:$N$27,$P$2:$P$27),ISNUMBER(Table13[[#This Row],[Column4]]),Table13[[#This Row],[Column4]],Table13[[#This Row],[Column4]]="",I891*(1+Table13[[#This Row],[Ávöxtun]]))</f>
        <v>125.84499612802666</v>
      </c>
      <c r="L892" s="33">
        <v>122.90571428571431</v>
      </c>
      <c r="M892" s="33">
        <v>135.73337809629751</v>
      </c>
    </row>
    <row r="893" spans="1:13">
      <c r="A893" t="s">
        <v>134</v>
      </c>
      <c r="B893">
        <v>2001</v>
      </c>
      <c r="C893" s="16">
        <v>0</v>
      </c>
      <c r="D893" s="1">
        <v>0</v>
      </c>
      <c r="E893" s="29">
        <f>Table13[[#This Row],[Ávöxtun]]*Table13[[#This Row],[Eignir]]/SUMIFS(Table13[Eignir],Table13[Year],Table13[[#This Row],[Year]])</f>
        <v>0</v>
      </c>
      <c r="F893" s="23" t="e">
        <f>IF(B893=1997, 100, IF(COUNTIF(A$1:A892,A893)=0, "NEW", F892*(1+Table13[[#This Row],[Ávöxtun]])))</f>
        <v>#VALUE!</v>
      </c>
      <c r="G893" s="18" t="str" cm="1">
        <f t="array" ref="G893">IFERROR(_xlfn.IFS(ISNUMBER(Table13[[#This Row],[Column3]]),Table13[[#This Row],[Column3]],Table13[[#This Row],[Column3]]="NEW",Table13[[#This Row],[Column3]]),"")</f>
        <v/>
      </c>
      <c r="H893" s="15" cm="1">
        <f t="array" ref="H893">_xlfn.IFS(Table13[[#This Row],[Column4]]="NEW",AVERAGEIFS(Table13[Column4],Table13[Year],Table13[[#This Row],[Year]]),ISNUMBER(Table13[[#This Row],[Column4]]),Table13[[#This Row],[Column4]],Table13[[#This Row],[Column4]]="",H892*(1+Table13[[#This Row],[Ávöxtun]]))</f>
        <v>123.11004255319149</v>
      </c>
      <c r="I893" cm="1">
        <f t="array" ref="I893">_xlfn.IFS(Table13[[#This Row],[Column4]]="NEW",_xlfn.XLOOKUP(Table13[[#This Row],[Year]],$N$2:$N$27,$P$2:$P$27),ISNUMBER(Table13[[#This Row],[Column4]]),Table13[[#This Row],[Column4]],Table13[[#This Row],[Column4]]="",I892*(1+Table13[[#This Row],[Ávöxtun]]))</f>
        <v>125.84499612802666</v>
      </c>
      <c r="L893" s="33">
        <v>122.90571428571431</v>
      </c>
      <c r="M893" s="33">
        <v>135.73337809629751</v>
      </c>
    </row>
    <row r="894" spans="1:13">
      <c r="A894" t="s">
        <v>146</v>
      </c>
      <c r="C894" s="19"/>
      <c r="D894" s="21">
        <f>SUBTOTAL(109,Table13[Eignir])</f>
        <v>43121238847.087036</v>
      </c>
      <c r="E894" s="31"/>
      <c r="F894" s="21"/>
      <c r="G894" s="21"/>
      <c r="H894" s="20">
        <f>SUBTOTAL(109,Table13[Vísitalan án Eignavigtun])</f>
        <v>137197.14162494207</v>
      </c>
      <c r="I894" s="24"/>
      <c r="L894" s="34"/>
    </row>
  </sheetData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17188-B126-F84A-AEC3-E74B8380CCAE}">
  <dimension ref="A1:DF940"/>
  <sheetViews>
    <sheetView tabSelected="1" topLeftCell="D1" zoomScale="68" workbookViewId="0">
      <selection activeCell="T51" sqref="T51"/>
    </sheetView>
  </sheetViews>
  <sheetFormatPr baseColWidth="10" defaultRowHeight="16"/>
  <cols>
    <col min="1" max="1" width="47.33203125" bestFit="1" customWidth="1"/>
    <col min="3" max="3" width="11" customWidth="1"/>
    <col min="4" max="4" width="16.83203125" style="1" customWidth="1"/>
    <col min="5" max="5" width="15" style="29" customWidth="1"/>
    <col min="6" max="7" width="15" style="1" customWidth="1"/>
    <col min="8" max="8" width="26.6640625" style="15" bestFit="1" customWidth="1"/>
    <col min="12" max="12" width="10.83203125" style="33"/>
    <col min="24" max="24" width="19.83203125" bestFit="1" customWidth="1"/>
    <col min="25" max="25" width="15" customWidth="1"/>
    <col min="26" max="26" width="12.83203125" bestFit="1" customWidth="1"/>
    <col min="28" max="28" width="13.5" bestFit="1" customWidth="1"/>
  </cols>
  <sheetData>
    <row r="1" spans="1:110">
      <c r="A1" t="s">
        <v>144</v>
      </c>
      <c r="B1" t="s">
        <v>142</v>
      </c>
      <c r="C1" t="s">
        <v>143</v>
      </c>
      <c r="D1" s="1" t="s">
        <v>137</v>
      </c>
      <c r="E1" s="29" t="s">
        <v>145</v>
      </c>
      <c r="F1" s="1" t="s">
        <v>147</v>
      </c>
      <c r="G1" s="1" t="s">
        <v>148</v>
      </c>
      <c r="H1" s="15" t="s">
        <v>149</v>
      </c>
      <c r="I1" t="s">
        <v>150</v>
      </c>
      <c r="L1" s="33" t="s">
        <v>150</v>
      </c>
      <c r="N1" t="s">
        <v>154</v>
      </c>
    </row>
    <row r="2" spans="1:110">
      <c r="A2" t="s">
        <v>54</v>
      </c>
      <c r="B2">
        <v>2003</v>
      </c>
      <c r="C2" s="16">
        <v>0.13</v>
      </c>
      <c r="D2" s="1">
        <v>4920402</v>
      </c>
      <c r="E2" s="29">
        <f>Table14[[#This Row],[Ávöxtun]]*Table14[[#This Row],[Eignir]]/SUMIFS(Table14[Eignir],Table14[Year],Table14[[#This Row],[Year]])</f>
        <v>8.4176800042515265E-4</v>
      </c>
      <c r="F2" s="23" t="str">
        <f>IFERROR(IF(B2=1997, 100, IF(COUNTIF(A$1:A1,A2)=0, "NEW", "")),"")</f>
        <v>NEW</v>
      </c>
      <c r="G2" s="18" t="str" cm="1">
        <f t="array" ref="G2">IFERROR(_xlfn.IFS(ISNUMBER(Table14[[#This Row],[Column3]]),Table14[[#This Row],[Column3]],Table14[[#This Row],[Column3]]="NEW",Table14[[#This Row],[Column3]]),"")</f>
        <v>NEW</v>
      </c>
      <c r="H2" s="30" cm="1">
        <f t="array" ref="H2">_xlfn.IFS(Table14[[#This Row],[Column4]]="NEW",AVERAGEIFS(Table14[Column4],Table14[Year],Table14[[#This Row],[Year]]),ISNUMBER(Table14[[#This Row],[Column4]]),Table14[[#This Row],[Column4]],Table14[[#This Row],[Column4]]="",H1*(1+Table14[[#This Row],[Ávöxtun]]))</f>
        <v>126.12287587932381</v>
      </c>
      <c r="I2" s="30" cm="1">
        <f t="array" ref="I2">_xlfn.IFS(Table14[[#This Row],[Column4]]="NEW",_xlfn.XLOOKUP(Table14[[#This Row],[Year]],$M$2:$M$27,$O$2:$O$27),ISNUMBER(Table14[[#This Row],[Column4]]),Table14[[#This Row],[Column4]],Table14[[#This Row],[Column4]]="",I1*(1+Table14[[#This Row],[Ávöxtun]]))</f>
        <v>133.19193086756502</v>
      </c>
      <c r="L2" s="33">
        <v>133.19193086756502</v>
      </c>
      <c r="M2" t="s">
        <v>4</v>
      </c>
      <c r="N2" t="s">
        <v>154</v>
      </c>
      <c r="O2" t="s">
        <v>155</v>
      </c>
      <c r="P2" t="s">
        <v>151</v>
      </c>
      <c r="Q2" t="s">
        <v>152</v>
      </c>
      <c r="R2" t="s">
        <v>156</v>
      </c>
      <c r="S2" t="s">
        <v>157</v>
      </c>
      <c r="T2" t="s">
        <v>158</v>
      </c>
      <c r="U2" t="s">
        <v>159</v>
      </c>
      <c r="Y2" t="s">
        <v>163</v>
      </c>
      <c r="Z2" t="s">
        <v>54</v>
      </c>
      <c r="AA2" t="s">
        <v>55</v>
      </c>
      <c r="AB2" t="s">
        <v>56</v>
      </c>
      <c r="AC2" t="s">
        <v>57</v>
      </c>
      <c r="AD2" t="s">
        <v>58</v>
      </c>
      <c r="AE2" t="s">
        <v>59</v>
      </c>
      <c r="AF2" t="s">
        <v>60</v>
      </c>
      <c r="AG2" t="s">
        <v>61</v>
      </c>
      <c r="AH2" t="s">
        <v>62</v>
      </c>
      <c r="AI2" t="s">
        <v>63</v>
      </c>
      <c r="AJ2" t="s">
        <v>64</v>
      </c>
      <c r="AK2" t="s">
        <v>65</v>
      </c>
      <c r="AL2" t="s">
        <v>66</v>
      </c>
      <c r="AM2" t="s">
        <v>67</v>
      </c>
      <c r="AN2" t="s">
        <v>68</v>
      </c>
      <c r="AO2" t="s">
        <v>69</v>
      </c>
      <c r="AP2" t="s">
        <v>70</v>
      </c>
      <c r="AQ2" t="s">
        <v>71</v>
      </c>
      <c r="AR2" t="s">
        <v>72</v>
      </c>
      <c r="AS2" t="s">
        <v>135</v>
      </c>
      <c r="AT2" t="s">
        <v>136</v>
      </c>
      <c r="AU2" t="s">
        <v>73</v>
      </c>
      <c r="AV2" t="s">
        <v>74</v>
      </c>
      <c r="AW2" t="s">
        <v>75</v>
      </c>
      <c r="AX2" t="s">
        <v>77</v>
      </c>
      <c r="AY2" t="s">
        <v>76</v>
      </c>
      <c r="AZ2" t="s">
        <v>78</v>
      </c>
      <c r="BA2" t="s">
        <v>79</v>
      </c>
      <c r="BB2" t="s">
        <v>80</v>
      </c>
      <c r="BC2" t="s">
        <v>81</v>
      </c>
      <c r="BD2" t="s">
        <v>82</v>
      </c>
      <c r="BE2" t="s">
        <v>83</v>
      </c>
      <c r="BF2" t="s">
        <v>84</v>
      </c>
      <c r="BG2" t="s">
        <v>85</v>
      </c>
      <c r="BH2" t="s">
        <v>86</v>
      </c>
      <c r="BI2" t="s">
        <v>87</v>
      </c>
      <c r="BJ2" t="s">
        <v>88</v>
      </c>
      <c r="BK2" t="s">
        <v>90</v>
      </c>
      <c r="BL2" t="s">
        <v>89</v>
      </c>
      <c r="BM2" t="s">
        <v>91</v>
      </c>
      <c r="BN2" t="s">
        <v>140</v>
      </c>
      <c r="BO2" t="s">
        <v>92</v>
      </c>
      <c r="BP2" t="s">
        <v>93</v>
      </c>
      <c r="BQ2" t="s">
        <v>108</v>
      </c>
      <c r="BR2" t="s">
        <v>106</v>
      </c>
      <c r="BS2" t="s">
        <v>107</v>
      </c>
      <c r="BT2" t="s">
        <v>95</v>
      </c>
      <c r="BU2" t="s">
        <v>94</v>
      </c>
      <c r="BV2" t="s">
        <v>109</v>
      </c>
      <c r="BW2" t="s">
        <v>96</v>
      </c>
      <c r="BX2" t="s">
        <v>110</v>
      </c>
      <c r="BY2" t="s">
        <v>97</v>
      </c>
      <c r="BZ2" t="s">
        <v>98</v>
      </c>
      <c r="CA2" t="s">
        <v>141</v>
      </c>
      <c r="CB2" t="s">
        <v>99</v>
      </c>
      <c r="CC2" t="s">
        <v>111</v>
      </c>
      <c r="CD2" t="s">
        <v>112</v>
      </c>
      <c r="CE2" t="s">
        <v>113</v>
      </c>
      <c r="CF2" t="s">
        <v>114</v>
      </c>
      <c r="CG2" t="s">
        <v>115</v>
      </c>
      <c r="CH2" t="s">
        <v>116</v>
      </c>
      <c r="CI2" t="s">
        <v>117</v>
      </c>
      <c r="CJ2" t="s">
        <v>118</v>
      </c>
      <c r="CK2" t="s">
        <v>119</v>
      </c>
      <c r="CL2" t="s">
        <v>100</v>
      </c>
      <c r="CM2" t="s">
        <v>102</v>
      </c>
      <c r="CN2" t="s">
        <v>101</v>
      </c>
      <c r="CO2" t="s">
        <v>120</v>
      </c>
      <c r="CP2" t="s">
        <v>121</v>
      </c>
      <c r="CQ2" t="s">
        <v>122</v>
      </c>
      <c r="CR2" t="s">
        <v>123</v>
      </c>
      <c r="CS2" t="s">
        <v>103</v>
      </c>
      <c r="CT2" t="s">
        <v>104</v>
      </c>
      <c r="CU2" t="s">
        <v>105</v>
      </c>
      <c r="CV2" t="s">
        <v>124</v>
      </c>
      <c r="CW2" t="s">
        <v>125</v>
      </c>
      <c r="CX2" t="s">
        <v>126</v>
      </c>
      <c r="CY2" t="s">
        <v>127</v>
      </c>
      <c r="CZ2" t="s">
        <v>128</v>
      </c>
      <c r="DA2" t="s">
        <v>129</v>
      </c>
      <c r="DB2" t="s">
        <v>132</v>
      </c>
      <c r="DC2" t="s">
        <v>133</v>
      </c>
      <c r="DD2" t="s">
        <v>130</v>
      </c>
      <c r="DE2" t="s">
        <v>131</v>
      </c>
      <c r="DF2" t="s">
        <v>134</v>
      </c>
    </row>
    <row r="3" spans="1:110">
      <c r="A3" t="s">
        <v>54</v>
      </c>
      <c r="B3">
        <v>2004</v>
      </c>
      <c r="C3" s="16">
        <v>0.08</v>
      </c>
      <c r="D3" s="1">
        <v>6646067</v>
      </c>
      <c r="E3" s="29">
        <f>Table14[[#This Row],[Ávöxtun]]*Table14[[#This Row],[Eignir]]/SUMIFS(Table14[Eignir],Table14[Year],Table14[[#This Row],[Year]])</f>
        <v>5.8576917933510523E-4</v>
      </c>
      <c r="F3" s="23" t="e">
        <f>IF(B3=1997, 100, IF(COUNTIF(A$1:A2,A3)=0, "NEW", F2*(1+Table14[[#This Row],[Ávöxtun]])))</f>
        <v>#VALUE!</v>
      </c>
      <c r="G3" s="18" t="str" cm="1">
        <f t="array" ref="G3">IFERROR(_xlfn.IFS(ISNUMBER(Table14[[#This Row],[Column3]]),Table14[[#This Row],[Column3]],Table14[[#This Row],[Column3]]="NEW",Table14[[#This Row],[Column3]]),"")</f>
        <v/>
      </c>
      <c r="H3" s="15" cm="1">
        <f t="array" ref="H3">_xlfn.IFS(Table14[[#This Row],[Column4]]="NEW",AVERAGEIFS(Table14[Column4],Table14[Year],Table14[[#This Row],[Year]]),ISNUMBER(Table14[[#This Row],[Column4]]),Table14[[#This Row],[Column4]],Table14[[#This Row],[Column4]]="",H2*(1+Table14[[#This Row],[Ávöxtun]]))</f>
        <v>136.21270594966973</v>
      </c>
      <c r="I3" cm="1">
        <f t="array" ref="I3">_xlfn.IFS(Table14[[#This Row],[Column4]]="NEW",_xlfn.XLOOKUP(Table14[[#This Row],[Year]],$M$2:$M$27,$O$2:$O$27),ISNUMBER(Table14[[#This Row],[Column4]]),Table14[[#This Row],[Column4]],Table14[[#This Row],[Column4]]="",I2*(1+Table14[[#This Row],[Ávöxtun]]))</f>
        <v>143.84728533697023</v>
      </c>
      <c r="K3" s="25"/>
      <c r="L3" s="33">
        <v>143.84728533697023</v>
      </c>
      <c r="M3">
        <v>1997</v>
      </c>
      <c r="N3" s="27">
        <f>SUMIFS(Table14[Column2],Table14[Year],M3)</f>
        <v>7.7066562556927135E-2</v>
      </c>
      <c r="O3">
        <v>100</v>
      </c>
      <c r="P3" s="26" cm="1">
        <f t="array" ref="P3">_xlfn.QUARTILE.EXC(IF($B$2:$B$939 = M3, $I$2:$I$939), 3)</f>
        <v>100</v>
      </c>
      <c r="Q3" s="26" cm="1">
        <f t="array" ref="Q3">_xlfn.QUARTILE.EXC(IF($B$2:$B$939 = M3, $I$2:$I$939), 1)</f>
        <v>100</v>
      </c>
      <c r="R3" s="26" cm="1">
        <f t="array" ref="R3">_xlfn.QUARTILE.EXC(IF($B$2:$B$939 = M3, $I$2:$I$939), 2)</f>
        <v>100</v>
      </c>
      <c r="S3" s="17" cm="1">
        <f t="array" ref="S3">_xlfn.QUARTILE.EXC(IF($B$2:$B$939 = M3, $C$2:$C$939), 3)</f>
        <v>0.08</v>
      </c>
      <c r="T3" s="17" cm="1">
        <f t="array" ref="T3">_xlfn.QUARTILE.EXC(IF($B$2:$B$939 = M3, $C$2:$C$939), 1)</f>
        <v>5.7499999999999996E-2</v>
      </c>
      <c r="U3" s="17" cm="1">
        <f t="array" ref="U3">_xlfn.QUARTILE.EXC(IF($B$2:$B$939 = M3, $C$2:$C$939), 2)</f>
        <v>0.06</v>
      </c>
      <c r="X3">
        <v>1997</v>
      </c>
      <c r="Y3">
        <f>O3</f>
        <v>100</v>
      </c>
      <c r="Z3" t="str" cm="1">
        <f t="array" ref="Z3">_xlfn.IFNA(INDEX(Table14[Vigtuð vísitala],MATCH(1,(Z$2=Table14[Column1])*($X3=Table14[Year]),0)),"")</f>
        <v/>
      </c>
      <c r="AA3" t="str" cm="1">
        <f t="array" ref="AA3">_xlfn.IFNA(INDEX(Table14[Vigtuð vísitala],MATCH(1,(AA$2=Table14[Column1])*($X3=Table14[Year]),0)),"")</f>
        <v/>
      </c>
      <c r="AB3" t="str" cm="1">
        <f t="array" ref="AB3">_xlfn.IFNA(INDEX(Table14[Vigtuð vísitala],MATCH(1,(AB$2=Table14[Column1])*($X3=Table14[Year]),0)),"")</f>
        <v/>
      </c>
      <c r="AC3" t="str" cm="1">
        <f t="array" ref="AC3">_xlfn.IFNA(INDEX(Table14[Vigtuð vísitala],MATCH(1,(AC$2=Table14[Column1])*($X3=Table14[Year]),0)),"")</f>
        <v/>
      </c>
      <c r="AD3" t="str" cm="1">
        <f t="array" ref="AD3">_xlfn.IFNA(INDEX(Table14[Vigtuð vísitala],MATCH(1,(AD$2=Table14[Column1])*($X3=Table14[Year]),0)),"")</f>
        <v/>
      </c>
      <c r="AE3" t="str" cm="1">
        <f t="array" ref="AE3">_xlfn.IFNA(INDEX(Table14[Vigtuð vísitala],MATCH(1,(AE$2=Table14[Column1])*($X3=Table14[Year]),0)),"")</f>
        <v/>
      </c>
      <c r="AF3" cm="1">
        <f t="array" ref="AF3">_xlfn.IFNA(INDEX(Table14[Vigtuð vísitala],MATCH(1,(AF$2=Table14[Column1])*($X3=Table14[Year]),0)),"")</f>
        <v>100</v>
      </c>
      <c r="AG3" cm="1">
        <f t="array" ref="AG3">_xlfn.IFNA(INDEX(Table14[Vigtuð vísitala],MATCH(1,(AG$2=Table14[Column1])*($X3=Table14[Year]),0)),"")</f>
        <v>100</v>
      </c>
      <c r="AH3" cm="1">
        <f t="array" ref="AH3">_xlfn.IFNA(INDEX(Table14[Vigtuð vísitala],MATCH(1,(AH$2=Table14[Column1])*($X3=Table14[Year]),0)),"")</f>
        <v>100</v>
      </c>
      <c r="AI3" t="str" cm="1">
        <f t="array" ref="AI3">_xlfn.IFNA(INDEX(Table14[Vigtuð vísitala],MATCH(1,(AI$2=Table14[Column1])*($X3=Table14[Year]),0)),"")</f>
        <v/>
      </c>
      <c r="AJ3" cm="1">
        <f t="array" ref="AJ3">_xlfn.IFNA(INDEX(Table14[Vigtuð vísitala],MATCH(1,(AJ$2=Table14[Column1])*($X3=Table14[Year]),0)),"")</f>
        <v>100</v>
      </c>
      <c r="AK3" cm="1">
        <f t="array" ref="AK3">_xlfn.IFNA(INDEX(Table14[Vigtuð vísitala],MATCH(1,(AK$2=Table14[Column1])*($X3=Table14[Year]),0)),"")</f>
        <v>100</v>
      </c>
      <c r="AL3" cm="1">
        <f t="array" ref="AL3">_xlfn.IFNA(INDEX(Table14[Vigtuð vísitala],MATCH(1,(AL$2=Table14[Column1])*($X3=Table14[Year]),0)),"")</f>
        <v>100</v>
      </c>
      <c r="AM3" cm="1">
        <f t="array" ref="AM3">_xlfn.IFNA(INDEX(Table14[Vigtuð vísitala],MATCH(1,(AM$2=Table14[Column1])*($X3=Table14[Year]),0)),"")</f>
        <v>100</v>
      </c>
      <c r="AN3" cm="1">
        <f t="array" ref="AN3">_xlfn.IFNA(INDEX(Table14[Vigtuð vísitala],MATCH(1,(AN$2=Table14[Column1])*($X3=Table14[Year]),0)),"")</f>
        <v>100</v>
      </c>
      <c r="AO3" cm="1">
        <f t="array" ref="AO3">_xlfn.IFNA(INDEX(Table14[Vigtuð vísitala],MATCH(1,(AO$2=Table14[Column1])*($X3=Table14[Year]),0)),"")</f>
        <v>100</v>
      </c>
      <c r="AP3" t="str" cm="1">
        <f t="array" ref="AP3">_xlfn.IFNA(INDEX(Table14[Vigtuð vísitala],MATCH(1,(AP$2=Table14[Column1])*($X3=Table14[Year]),0)),"")</f>
        <v/>
      </c>
      <c r="AQ3" t="str" cm="1">
        <f t="array" ref="AQ3">_xlfn.IFNA(INDEX(Table14[Vigtuð vísitala],MATCH(1,(AQ$2=Table14[Column1])*($X3=Table14[Year]),0)),"")</f>
        <v/>
      </c>
      <c r="AR3" t="str" cm="1">
        <f t="array" ref="AR3">_xlfn.IFNA(INDEX(Table14[Vigtuð vísitala],MATCH(1,(AR$2=Table14[Column1])*($X3=Table14[Year]),0)),"")</f>
        <v/>
      </c>
      <c r="AS3" t="str" cm="1">
        <f t="array" ref="AS3">_xlfn.IFNA(INDEX(Table14[Vigtuð vísitala],MATCH(1,(AS$2=Table14[Column1])*($X3=Table14[Year]),0)),"")</f>
        <v/>
      </c>
      <c r="AT3" t="str" cm="1">
        <f t="array" ref="AT3">_xlfn.IFNA(INDEX(Table14[Vigtuð vísitala],MATCH(1,(AT$2=Table14[Column1])*($X3=Table14[Year]),0)),"")</f>
        <v/>
      </c>
      <c r="AU3" t="str" cm="1">
        <f t="array" ref="AU3">_xlfn.IFNA(INDEX(Table14[Vigtuð vísitala],MATCH(1,(AU$2=Table14[Column1])*($X3=Table14[Year]),0)),"")</f>
        <v/>
      </c>
      <c r="AV3" t="str" cm="1">
        <f t="array" ref="AV3">_xlfn.IFNA(INDEX(Table14[Vigtuð vísitala],MATCH(1,(AV$2=Table14[Column1])*($X3=Table14[Year]),0)),"")</f>
        <v/>
      </c>
      <c r="AW3" t="str" cm="1">
        <f t="array" ref="AW3">_xlfn.IFNA(INDEX(Table14[Vigtuð vísitala],MATCH(1,(AW$2=Table14[Column1])*($X3=Table14[Year]),0)),"")</f>
        <v/>
      </c>
      <c r="AX3" cm="1">
        <f t="array" ref="AX3">_xlfn.IFNA(INDEX(Table14[Vigtuð vísitala],MATCH(1,(AX$2=Table14[Column1])*($X3=Table14[Year]),0)),"")</f>
        <v>100</v>
      </c>
      <c r="AY3" t="str" cm="1">
        <f t="array" ref="AY3">_xlfn.IFNA(INDEX(Table14[Vigtuð vísitala],MATCH(1,(AY$2=Table14[Column1])*($X3=Table14[Year]),0)),"")</f>
        <v/>
      </c>
      <c r="AZ3" cm="1">
        <f t="array" ref="AZ3">_xlfn.IFNA(INDEX(Table14[Vigtuð vísitala],MATCH(1,(AZ$2=Table14[Column1])*($X3=Table14[Year]),0)),"")</f>
        <v>100</v>
      </c>
      <c r="BA3" t="str" cm="1">
        <f t="array" ref="BA3">_xlfn.IFNA(INDEX(Table14[Vigtuð vísitala],MATCH(1,(BA$2=Table14[Column1])*($X3=Table14[Year]),0)),"")</f>
        <v/>
      </c>
      <c r="BB3" cm="1">
        <f t="array" ref="BB3">_xlfn.IFNA(INDEX(Table14[Vigtuð vísitala],MATCH(1,(BB$2=Table14[Column1])*($X3=Table14[Year]),0)),"")</f>
        <v>100</v>
      </c>
      <c r="BC3" cm="1">
        <f t="array" ref="BC3">_xlfn.IFNA(INDEX(Table14[Vigtuð vísitala],MATCH(1,(BC$2=Table14[Column1])*($X3=Table14[Year]),0)),"")</f>
        <v>100</v>
      </c>
      <c r="BD3" cm="1">
        <f t="array" ref="BD3">_xlfn.IFNA(INDEX(Table14[Vigtuð vísitala],MATCH(1,(BD$2=Table14[Column1])*($X3=Table14[Year]),0)),"")</f>
        <v>100</v>
      </c>
      <c r="BE3" cm="1">
        <f t="array" ref="BE3">_xlfn.IFNA(INDEX(Table14[Vigtuð vísitala],MATCH(1,(BE$2=Table14[Column1])*($X3=Table14[Year]),0)),"")</f>
        <v>100</v>
      </c>
      <c r="BF3" t="str" cm="1">
        <f t="array" ref="BF3">_xlfn.IFNA(INDEX(Table14[Vigtuð vísitala],MATCH(1,(BF$2=Table14[Column1])*($X3=Table14[Year]),0)),"")</f>
        <v/>
      </c>
      <c r="BG3" cm="1">
        <f t="array" ref="BG3">_xlfn.IFNA(INDEX(Table14[Vigtuð vísitala],MATCH(1,(BG$2=Table14[Column1])*($X3=Table14[Year]),0)),"")</f>
        <v>100</v>
      </c>
      <c r="BH3" cm="1">
        <f t="array" ref="BH3">_xlfn.IFNA(INDEX(Table14[Vigtuð vísitala],MATCH(1,(BH$2=Table14[Column1])*($X3=Table14[Year]),0)),"")</f>
        <v>100</v>
      </c>
      <c r="BI3" cm="1">
        <f t="array" ref="BI3">_xlfn.IFNA(INDEX(Table14[Vigtuð vísitala],MATCH(1,(BI$2=Table14[Column1])*($X3=Table14[Year]),0)),"")</f>
        <v>100</v>
      </c>
      <c r="BJ3" cm="1">
        <f t="array" ref="BJ3">_xlfn.IFNA(INDEX(Table14[Vigtuð vísitala],MATCH(1,(BJ$2=Table14[Column1])*($X3=Table14[Year]),0)),"")</f>
        <v>100</v>
      </c>
      <c r="BK3" t="str" cm="1">
        <f t="array" ref="BK3">_xlfn.IFNA(INDEX(Table14[Vigtuð vísitala],MATCH(1,(BK$2=Table14[Column1])*($X3=Table14[Year]),0)),"")</f>
        <v/>
      </c>
      <c r="BL3" cm="1">
        <f t="array" ref="BL3">_xlfn.IFNA(INDEX(Table14[Vigtuð vísitala],MATCH(1,(BL$2=Table14[Column1])*($X3=Table14[Year]),0)),"")</f>
        <v>100</v>
      </c>
      <c r="BM3" cm="1">
        <f t="array" ref="BM3">_xlfn.IFNA(INDEX(Table14[Vigtuð vísitala],MATCH(1,(BM$2=Table14[Column1])*($X3=Table14[Year]),0)),"")</f>
        <v>100</v>
      </c>
      <c r="BN3" cm="1">
        <f t="array" ref="BN3">_xlfn.IFNA(INDEX(Table14[Vigtuð vísitala],MATCH(1,(BN$2=Table14[Column1])*($X3=Table14[Year]),0)),"")</f>
        <v>100</v>
      </c>
      <c r="BO3" cm="1">
        <f t="array" ref="BO3">_xlfn.IFNA(INDEX(Table14[Vigtuð vísitala],MATCH(1,(BO$2=Table14[Column1])*($X3=Table14[Year]),0)),"")</f>
        <v>100</v>
      </c>
      <c r="BP3" cm="1">
        <f t="array" ref="BP3">_xlfn.IFNA(INDEX(Table14[Vigtuð vísitala],MATCH(1,(BP$2=Table14[Column1])*($X3=Table14[Year]),0)),"")</f>
        <v>100</v>
      </c>
      <c r="BQ3" cm="1">
        <f t="array" ref="BQ3">_xlfn.IFNA(INDEX(Table14[Vigtuð vísitala],MATCH(1,(BQ$2=Table14[Column1])*($X3=Table14[Year]),0)),"")</f>
        <v>100</v>
      </c>
      <c r="BR3" t="str" cm="1">
        <f t="array" ref="BR3">_xlfn.IFNA(INDEX(Table14[Vigtuð vísitala],MATCH(1,(BR$2=Table14[Column1])*($X3=Table14[Year]),0)),"")</f>
        <v/>
      </c>
      <c r="BS3" cm="1">
        <f t="array" ref="BS3">_xlfn.IFNA(INDEX(Table14[Vigtuð vísitala],MATCH(1,(BS$2=Table14[Column1])*($X3=Table14[Year]),0)),"")</f>
        <v>100</v>
      </c>
      <c r="BT3" t="str" cm="1">
        <f t="array" ref="BT3">_xlfn.IFNA(INDEX(Table14[Vigtuð vísitala],MATCH(1,(BT$2=Table14[Column1])*($X3=Table14[Year]),0)),"")</f>
        <v/>
      </c>
      <c r="BU3" cm="1">
        <f t="array" ref="BU3">_xlfn.IFNA(INDEX(Table14[Vigtuð vísitala],MATCH(1,(BU$2=Table14[Column1])*($X3=Table14[Year]),0)),"")</f>
        <v>100</v>
      </c>
      <c r="BV3" cm="1">
        <f t="array" ref="BV3">_xlfn.IFNA(INDEX(Table14[Vigtuð vísitala],MATCH(1,(BV$2=Table14[Column1])*($X3=Table14[Year]),0)),"")</f>
        <v>100</v>
      </c>
      <c r="BW3" t="str" cm="1">
        <f t="array" ref="BW3">_xlfn.IFNA(INDEX(Table14[Vigtuð vísitala],MATCH(1,(BW$2=Table14[Column1])*($X3=Table14[Year]),0)),"")</f>
        <v/>
      </c>
      <c r="BX3" cm="1">
        <f t="array" ref="BX3">_xlfn.IFNA(INDEX(Table14[Vigtuð vísitala],MATCH(1,(BX$2=Table14[Column1])*($X3=Table14[Year]),0)),"")</f>
        <v>100</v>
      </c>
      <c r="BY3" cm="1">
        <f t="array" ref="BY3">_xlfn.IFNA(INDEX(Table14[Vigtuð vísitala],MATCH(1,(BY$2=Table14[Column1])*($X3=Table14[Year]),0)),"")</f>
        <v>100</v>
      </c>
      <c r="BZ3" cm="1">
        <f t="array" ref="BZ3">_xlfn.IFNA(INDEX(Table14[Vigtuð vísitala],MATCH(1,(BZ$2=Table14[Column1])*($X3=Table14[Year]),0)),"")</f>
        <v>100</v>
      </c>
      <c r="CA3" cm="1">
        <f t="array" ref="CA3">_xlfn.IFNA(INDEX(Table14[Vigtuð vísitala],MATCH(1,(CA$2=Table14[Column1])*($X3=Table14[Year]),0)),"")</f>
        <v>100</v>
      </c>
      <c r="CB3" cm="1">
        <f t="array" ref="CB3">_xlfn.IFNA(INDEX(Table14[Vigtuð vísitala],MATCH(1,(CB$2=Table14[Column1])*($X3=Table14[Year]),0)),"")</f>
        <v>100</v>
      </c>
      <c r="CC3" cm="1">
        <f t="array" ref="CC3">_xlfn.IFNA(INDEX(Table14[Vigtuð vísitala],MATCH(1,(CC$2=Table14[Column1])*($X3=Table14[Year]),0)),"")</f>
        <v>100</v>
      </c>
      <c r="CD3" cm="1">
        <f t="array" ref="CD3">_xlfn.IFNA(INDEX(Table14[Vigtuð vísitala],MATCH(1,(CD$2=Table14[Column1])*($X3=Table14[Year]),0)),"")</f>
        <v>100</v>
      </c>
      <c r="CE3" cm="1">
        <f t="array" ref="CE3">_xlfn.IFNA(INDEX(Table14[Vigtuð vísitala],MATCH(1,(CE$2=Table14[Column1])*($X3=Table14[Year]),0)),"")</f>
        <v>100</v>
      </c>
      <c r="CF3" cm="1">
        <f t="array" ref="CF3">_xlfn.IFNA(INDEX(Table14[Vigtuð vísitala],MATCH(1,(CF$2=Table14[Column1])*($X3=Table14[Year]),0)),"")</f>
        <v>100</v>
      </c>
      <c r="CG3" cm="1">
        <f t="array" ref="CG3">_xlfn.IFNA(INDEX(Table14[Vigtuð vísitala],MATCH(1,(CG$2=Table14[Column1])*($X3=Table14[Year]),0)),"")</f>
        <v>100</v>
      </c>
      <c r="CH3" cm="1">
        <f t="array" ref="CH3">_xlfn.IFNA(INDEX(Table14[Vigtuð vísitala],MATCH(1,(CH$2=Table14[Column1])*($X3=Table14[Year]),0)),"")</f>
        <v>100</v>
      </c>
      <c r="CI3" cm="1">
        <f t="array" ref="CI3">_xlfn.IFNA(INDEX(Table14[Vigtuð vísitala],MATCH(1,(CI$2=Table14[Column1])*($X3=Table14[Year]),0)),"")</f>
        <v>100</v>
      </c>
      <c r="CJ3" t="str" cm="1">
        <f t="array" ref="CJ3">_xlfn.IFNA(INDEX(Table14[Vigtuð vísitala],MATCH(1,(CJ$2=Table14[Column1])*($X3=Table14[Year]),0)),"")</f>
        <v/>
      </c>
      <c r="CK3" cm="1">
        <f t="array" ref="CK3">_xlfn.IFNA(INDEX(Table14[Vigtuð vísitala],MATCH(1,(CK$2=Table14[Column1])*($X3=Table14[Year]),0)),"")</f>
        <v>100</v>
      </c>
      <c r="CL3" cm="1">
        <f t="array" ref="CL3">_xlfn.IFNA(INDEX(Table14[Vigtuð vísitala],MATCH(1,(CL$2=Table14[Column1])*($X3=Table14[Year]),0)),"")</f>
        <v>100</v>
      </c>
      <c r="CM3" t="str" cm="1">
        <f t="array" ref="CM3">_xlfn.IFNA(INDEX(Table14[Vigtuð vísitala],MATCH(1,(CM$2=Table14[Column1])*($X3=Table14[Year]),0)),"")</f>
        <v/>
      </c>
      <c r="CN3" t="str" cm="1">
        <f t="array" ref="CN3">_xlfn.IFNA(INDEX(Table14[Vigtuð vísitala],MATCH(1,(CN$2=Table14[Column1])*($X3=Table14[Year]),0)),"")</f>
        <v/>
      </c>
      <c r="CO3" cm="1">
        <f t="array" ref="CO3">_xlfn.IFNA(INDEX(Table14[Vigtuð vísitala],MATCH(1,(CO$2=Table14[Column1])*($X3=Table14[Year]),0)),"")</f>
        <v>100</v>
      </c>
      <c r="CP3" cm="1">
        <f t="array" ref="CP3">_xlfn.IFNA(INDEX(Table14[Vigtuð vísitala],MATCH(1,(CP$2=Table14[Column1])*($X3=Table14[Year]),0)),"")</f>
        <v>100</v>
      </c>
      <c r="CQ3" cm="1">
        <f t="array" ref="CQ3">_xlfn.IFNA(INDEX(Table14[Vigtuð vísitala],MATCH(1,(CQ$2=Table14[Column1])*($X3=Table14[Year]),0)),"")</f>
        <v>100</v>
      </c>
      <c r="CR3" cm="1">
        <f t="array" ref="CR3">_xlfn.IFNA(INDEX(Table14[Vigtuð vísitala],MATCH(1,(CR$2=Table14[Column1])*($X3=Table14[Year]),0)),"")</f>
        <v>100</v>
      </c>
      <c r="CS3" cm="1">
        <f t="array" ref="CS3">_xlfn.IFNA(INDEX(Table14[Vigtuð vísitala],MATCH(1,(CS$2=Table14[Column1])*($X3=Table14[Year]),0)),"")</f>
        <v>100</v>
      </c>
      <c r="CT3" cm="1">
        <f t="array" ref="CT3">_xlfn.IFNA(INDEX(Table14[Vigtuð vísitala],MATCH(1,(CT$2=Table14[Column1])*($X3=Table14[Year]),0)),"")</f>
        <v>100</v>
      </c>
      <c r="CU3" cm="1">
        <f t="array" ref="CU3">_xlfn.IFNA(INDEX(Table14[Vigtuð vísitala],MATCH(1,(CU$2=Table14[Column1])*($X3=Table14[Year]),0)),"")</f>
        <v>100</v>
      </c>
      <c r="CV3" cm="1">
        <f t="array" ref="CV3">_xlfn.IFNA(INDEX(Table14[Vigtuð vísitala],MATCH(1,(CV$2=Table14[Column1])*($X3=Table14[Year]),0)),"")</f>
        <v>100</v>
      </c>
      <c r="CW3" cm="1">
        <f t="array" ref="CW3">_xlfn.IFNA(INDEX(Table14[Vigtuð vísitala],MATCH(1,(CW$2=Table14[Column1])*($X3=Table14[Year]),0)),"")</f>
        <v>100</v>
      </c>
      <c r="CX3" t="str" cm="1">
        <f t="array" ref="CX3">_xlfn.IFNA(INDEX(Table14[Vigtuð vísitala],MATCH(1,(CX$2=Table14[Column1])*($X3=Table14[Year]),0)),"")</f>
        <v/>
      </c>
      <c r="CY3" t="str" cm="1">
        <f t="array" ref="CY3">_xlfn.IFNA(INDEX(Table14[Vigtuð vísitala],MATCH(1,(CY$2=Table14[Column1])*($X3=Table14[Year]),0)),"")</f>
        <v/>
      </c>
      <c r="CZ3" cm="1">
        <f t="array" ref="CZ3">_xlfn.IFNA(INDEX(Table14[Vigtuð vísitala],MATCH(1,(CZ$2=Table14[Column1])*($X3=Table14[Year]),0)),"")</f>
        <v>100</v>
      </c>
      <c r="DA3" cm="1">
        <f t="array" ref="DA3">_xlfn.IFNA(INDEX(Table14[Vigtuð vísitala],MATCH(1,(DA$2=Table14[Column1])*($X3=Table14[Year]),0)),"")</f>
        <v>100</v>
      </c>
      <c r="DB3" t="str" cm="1">
        <f t="array" ref="DB3">_xlfn.IFNA(INDEX(Table14[Vigtuð vísitala],MATCH(1,(DB$2=Table14[Column1])*($X3=Table14[Year]),0)),"")</f>
        <v/>
      </c>
      <c r="DC3" cm="1">
        <f t="array" ref="DC3">_xlfn.IFNA(INDEX(Table14[Vigtuð vísitala],MATCH(1,(DC$2=Table14[Column1])*($X3=Table14[Year]),0)),"")</f>
        <v>100</v>
      </c>
      <c r="DD3" t="str" cm="1">
        <f t="array" ref="DD3">_xlfn.IFNA(INDEX(Table14[Vigtuð vísitala],MATCH(1,(DD$2=Table14[Column1])*($X3=Table14[Year]),0)),"")</f>
        <v/>
      </c>
      <c r="DE3" t="str" cm="1">
        <f t="array" ref="DE3">_xlfn.IFNA(INDEX(Table14[Vigtuð vísitala],MATCH(1,(DE$2=Table14[Column1])*($X3=Table14[Year]),0)),"")</f>
        <v/>
      </c>
      <c r="DF3" t="str" cm="1">
        <f t="array" ref="DF3">_xlfn.IFNA(INDEX(Table14[Vigtuð vísitala],MATCH(1,(DF$2=Table14[Column1])*($X3=Table14[Year]),0)),"")</f>
        <v/>
      </c>
    </row>
    <row r="4" spans="1:110">
      <c r="A4" t="s">
        <v>54</v>
      </c>
      <c r="B4">
        <v>2005</v>
      </c>
      <c r="C4" s="16">
        <v>0.1</v>
      </c>
      <c r="D4" s="1">
        <v>8442599</v>
      </c>
      <c r="E4" s="29">
        <f>Table14[[#This Row],[Ávöxtun]]*Table14[[#This Row],[Eignir]]/SUMIFS(Table14[Eignir],Table14[Year],Table14[[#This Row],[Year]])</f>
        <v>7.529042046217902E-4</v>
      </c>
      <c r="F4" s="23" t="e">
        <f>IF(B4=1997, 100, IF(COUNTIF(A$1:A3,A4)=0, "NEW", F3*(1+Table14[[#This Row],[Ávöxtun]])))</f>
        <v>#VALUE!</v>
      </c>
      <c r="G4" s="18" t="str" cm="1">
        <f t="array" ref="G4">IFERROR(_xlfn.IFS(ISNUMBER(Table14[[#This Row],[Column3]]),Table14[[#This Row],[Column3]],Table14[[#This Row],[Column3]]="NEW",Table14[[#This Row],[Column3]]),"")</f>
        <v/>
      </c>
      <c r="H4" s="15" cm="1">
        <f t="array" ref="H4">_xlfn.IFS(Table14[[#This Row],[Column4]]="NEW",AVERAGEIFS(Table14[Column4],Table14[Year],Table14[[#This Row],[Year]]),ISNUMBER(Table14[[#This Row],[Column4]]),Table14[[#This Row],[Column4]],Table14[[#This Row],[Column4]]="",H3*(1+Table14[[#This Row],[Ávöxtun]]))</f>
        <v>149.8339765446367</v>
      </c>
      <c r="I4" cm="1">
        <f t="array" ref="I4">_xlfn.IFS(Table14[[#This Row],[Column4]]="NEW",_xlfn.XLOOKUP(Table14[[#This Row],[Year]],$M$2:$M$27,$O$2:$O$27),ISNUMBER(Table14[[#This Row],[Column4]]),Table14[[#This Row],[Column4]],Table14[[#This Row],[Column4]]="",I3*(1+Table14[[#This Row],[Ávöxtun]]))</f>
        <v>158.23201387066726</v>
      </c>
      <c r="K4" s="25"/>
      <c r="L4" s="33">
        <v>158.23201387066726</v>
      </c>
      <c r="M4">
        <v>1998</v>
      </c>
      <c r="N4" s="27">
        <f>SUMIFS(Table14[Column2],Table14[Year],M4)</f>
        <v>7.1118656567369598E-2</v>
      </c>
      <c r="O4">
        <f t="shared" ref="O4:O26" si="0">O3*(1+N4)</f>
        <v>107.11186565673697</v>
      </c>
      <c r="P4" s="26" cm="1">
        <f t="array" ref="P4">_xlfn.QUARTILE.EXC(IF($B$2:$B$939 = M4, $I$2:$I$939), 3)</f>
        <v>108</v>
      </c>
      <c r="Q4" s="26" cm="1">
        <f t="array" ref="Q4">_xlfn.QUARTILE.EXC(IF($B$2:$B$939 = M4, $I$2:$I$939), 1)</f>
        <v>106</v>
      </c>
      <c r="R4" s="26" cm="1">
        <f t="array" ref="R4">_xlfn.QUARTILE.EXC(IF($B$2:$B$939 = M4, $I$2:$I$939), 2)</f>
        <v>107</v>
      </c>
      <c r="S4" s="17" cm="1">
        <f t="array" ref="S4">_xlfn.QUARTILE.EXC(IF($B$2:$B$939 = M4, $C$2:$C$939), 3)</f>
        <v>0.08</v>
      </c>
      <c r="T4" s="17" cm="1">
        <f t="array" ref="T4">_xlfn.QUARTILE.EXC(IF($B$2:$B$939 = M4, $C$2:$C$939), 1)</f>
        <v>0.05</v>
      </c>
      <c r="U4" s="17" cm="1">
        <f t="array" ref="U4">_xlfn.QUARTILE.EXC(IF($B$2:$B$939 = M4, $C$2:$C$939), 2)</f>
        <v>7.0000000000000007E-2</v>
      </c>
      <c r="X4">
        <v>1998</v>
      </c>
      <c r="Y4">
        <f t="shared" ref="Y4:Y27" si="1">O4</f>
        <v>107.11186565673697</v>
      </c>
      <c r="Z4" t="str" cm="1">
        <f t="array" ref="Z4">_xlfn.IFNA(INDEX(Table14[Vigtuð vísitala],MATCH(1,(Z$2=Table14[Column1])*($X4=Table14[Year]),0)),"")</f>
        <v/>
      </c>
      <c r="AA4" t="str" cm="1">
        <f t="array" ref="AA4">_xlfn.IFNA(INDEX(Table14[Vigtuð vísitala],MATCH(1,(AA$2=Table14[Column1])*($X4=Table14[Year]),0)),"")</f>
        <v/>
      </c>
      <c r="AB4" t="str" cm="1">
        <f t="array" ref="AB4">_xlfn.IFNA(INDEX(Table14[Vigtuð vísitala],MATCH(1,(AB$2=Table14[Column1])*($X4=Table14[Year]),0)),"")</f>
        <v/>
      </c>
      <c r="AC4" t="str" cm="1">
        <f t="array" ref="AC4">_xlfn.IFNA(INDEX(Table14[Vigtuð vísitala],MATCH(1,(AC$2=Table14[Column1])*($X4=Table14[Year]),0)),"")</f>
        <v/>
      </c>
      <c r="AD4" t="str" cm="1">
        <f t="array" ref="AD4">_xlfn.IFNA(INDEX(Table14[Vigtuð vísitala],MATCH(1,(AD$2=Table14[Column1])*($X4=Table14[Year]),0)),"")</f>
        <v/>
      </c>
      <c r="AE4" t="str" cm="1">
        <f t="array" ref="AE4">_xlfn.IFNA(INDEX(Table14[Vigtuð vísitala],MATCH(1,(AE$2=Table14[Column1])*($X4=Table14[Year]),0)),"")</f>
        <v/>
      </c>
      <c r="AF4" t="str" cm="1">
        <f t="array" ref="AF4">_xlfn.IFNA(INDEX(Table14[Vigtuð vísitala],MATCH(1,(AF$2=Table14[Column1])*($X4=Table14[Year]),0)),"")</f>
        <v/>
      </c>
      <c r="AG4" cm="1">
        <f t="array" ref="AG4">_xlfn.IFNA(INDEX(Table14[Vigtuð vísitala],MATCH(1,(AG$2=Table14[Column1])*($X4=Table14[Year]),0)),"")</f>
        <v>107</v>
      </c>
      <c r="AH4" cm="1">
        <f t="array" ref="AH4">_xlfn.IFNA(INDEX(Table14[Vigtuð vísitala],MATCH(1,(AH$2=Table14[Column1])*($X4=Table14[Year]),0)),"")</f>
        <v>110.00000000000001</v>
      </c>
      <c r="AI4" t="str" cm="1">
        <f t="array" ref="AI4">_xlfn.IFNA(INDEX(Table14[Vigtuð vísitala],MATCH(1,(AI$2=Table14[Column1])*($X4=Table14[Year]),0)),"")</f>
        <v/>
      </c>
      <c r="AJ4" cm="1">
        <f t="array" ref="AJ4">_xlfn.IFNA(INDEX(Table14[Vigtuð vísitala],MATCH(1,(AJ$2=Table14[Column1])*($X4=Table14[Year]),0)),"")</f>
        <v>108</v>
      </c>
      <c r="AK4" cm="1">
        <f t="array" ref="AK4">_xlfn.IFNA(INDEX(Table14[Vigtuð vísitala],MATCH(1,(AK$2=Table14[Column1])*($X4=Table14[Year]),0)),"")</f>
        <v>106</v>
      </c>
      <c r="AL4" cm="1">
        <f t="array" ref="AL4">_xlfn.IFNA(INDEX(Table14[Vigtuð vísitala],MATCH(1,(AL$2=Table14[Column1])*($X4=Table14[Year]),0)),"")</f>
        <v>107</v>
      </c>
      <c r="AM4" cm="1">
        <f t="array" ref="AM4">_xlfn.IFNA(INDEX(Table14[Vigtuð vísitala],MATCH(1,(AM$2=Table14[Column1])*($X4=Table14[Year]),0)),"")</f>
        <v>106</v>
      </c>
      <c r="AN4" cm="1">
        <f t="array" ref="AN4">_xlfn.IFNA(INDEX(Table14[Vigtuð vísitala],MATCH(1,(AN$2=Table14[Column1])*($X4=Table14[Year]),0)),"")</f>
        <v>111.00000000000001</v>
      </c>
      <c r="AO4" cm="1">
        <f t="array" ref="AO4">_xlfn.IFNA(INDEX(Table14[Vigtuð vísitala],MATCH(1,(AO$2=Table14[Column1])*($X4=Table14[Year]),0)),"")</f>
        <v>104</v>
      </c>
      <c r="AP4" t="str" cm="1">
        <f t="array" ref="AP4">_xlfn.IFNA(INDEX(Table14[Vigtuð vísitala],MATCH(1,(AP$2=Table14[Column1])*($X4=Table14[Year]),0)),"")</f>
        <v/>
      </c>
      <c r="AQ4" t="str" cm="1">
        <f t="array" ref="AQ4">_xlfn.IFNA(INDEX(Table14[Vigtuð vísitala],MATCH(1,(AQ$2=Table14[Column1])*($X4=Table14[Year]),0)),"")</f>
        <v/>
      </c>
      <c r="AR4" t="str" cm="1">
        <f t="array" ref="AR4">_xlfn.IFNA(INDEX(Table14[Vigtuð vísitala],MATCH(1,(AR$2=Table14[Column1])*($X4=Table14[Year]),0)),"")</f>
        <v/>
      </c>
      <c r="AS4" t="str" cm="1">
        <f t="array" ref="AS4">_xlfn.IFNA(INDEX(Table14[Vigtuð vísitala],MATCH(1,(AS$2=Table14[Column1])*($X4=Table14[Year]),0)),"")</f>
        <v/>
      </c>
      <c r="AT4" t="str" cm="1">
        <f t="array" ref="AT4">_xlfn.IFNA(INDEX(Table14[Vigtuð vísitala],MATCH(1,(AT$2=Table14[Column1])*($X4=Table14[Year]),0)),"")</f>
        <v/>
      </c>
      <c r="AU4" t="str" cm="1">
        <f t="array" ref="AU4">_xlfn.IFNA(INDEX(Table14[Vigtuð vísitala],MATCH(1,(AU$2=Table14[Column1])*($X4=Table14[Year]),0)),"")</f>
        <v/>
      </c>
      <c r="AV4" t="str" cm="1">
        <f t="array" ref="AV4">_xlfn.IFNA(INDEX(Table14[Vigtuð vísitala],MATCH(1,(AV$2=Table14[Column1])*($X4=Table14[Year]),0)),"")</f>
        <v/>
      </c>
      <c r="AW4" t="str" cm="1">
        <f t="array" ref="AW4">_xlfn.IFNA(INDEX(Table14[Vigtuð vísitala],MATCH(1,(AW$2=Table14[Column1])*($X4=Table14[Year]),0)),"")</f>
        <v/>
      </c>
      <c r="AX4" cm="1">
        <f t="array" ref="AX4">_xlfn.IFNA(INDEX(Table14[Vigtuð vísitala],MATCH(1,(AX$2=Table14[Column1])*($X4=Table14[Year]),0)),"")</f>
        <v>108</v>
      </c>
      <c r="AY4" cm="1">
        <f t="array" ref="AY4">_xlfn.IFNA(INDEX(Table14[Vigtuð vísitala],MATCH(1,(AY$2=Table14[Column1])*($X4=Table14[Year]),0)),"")</f>
        <v>107.11186565673697</v>
      </c>
      <c r="AZ4" cm="1">
        <f t="array" ref="AZ4">_xlfn.IFNA(INDEX(Table14[Vigtuð vísitala],MATCH(1,(AZ$2=Table14[Column1])*($X4=Table14[Year]),0)),"")</f>
        <v>108</v>
      </c>
      <c r="BA4" t="str" cm="1">
        <f t="array" ref="BA4">_xlfn.IFNA(INDEX(Table14[Vigtuð vísitala],MATCH(1,(BA$2=Table14[Column1])*($X4=Table14[Year]),0)),"")</f>
        <v/>
      </c>
      <c r="BB4" cm="1">
        <f t="array" ref="BB4">_xlfn.IFNA(INDEX(Table14[Vigtuð vísitala],MATCH(1,(BB$2=Table14[Column1])*($X4=Table14[Year]),0)),"")</f>
        <v>102</v>
      </c>
      <c r="BC4" cm="1">
        <f t="array" ref="BC4">_xlfn.IFNA(INDEX(Table14[Vigtuð vísitala],MATCH(1,(BC$2=Table14[Column1])*($X4=Table14[Year]),0)),"")</f>
        <v>106</v>
      </c>
      <c r="BD4" cm="1">
        <f t="array" ref="BD4">_xlfn.IFNA(INDEX(Table14[Vigtuð vísitala],MATCH(1,(BD$2=Table14[Column1])*($X4=Table14[Year]),0)),"")</f>
        <v>107</v>
      </c>
      <c r="BE4" cm="1">
        <f t="array" ref="BE4">_xlfn.IFNA(INDEX(Table14[Vigtuð vísitala],MATCH(1,(BE$2=Table14[Column1])*($X4=Table14[Year]),0)),"")</f>
        <v>111.00000000000001</v>
      </c>
      <c r="BF4" t="str" cm="1">
        <f t="array" ref="BF4">_xlfn.IFNA(INDEX(Table14[Vigtuð vísitala],MATCH(1,(BF$2=Table14[Column1])*($X4=Table14[Year]),0)),"")</f>
        <v/>
      </c>
      <c r="BG4" cm="1">
        <f t="array" ref="BG4">_xlfn.IFNA(INDEX(Table14[Vigtuð vísitala],MATCH(1,(BG$2=Table14[Column1])*($X4=Table14[Year]),0)),"")</f>
        <v>103</v>
      </c>
      <c r="BH4" cm="1">
        <f t="array" ref="BH4">_xlfn.IFNA(INDEX(Table14[Vigtuð vísitala],MATCH(1,(BH$2=Table14[Column1])*($X4=Table14[Year]),0)),"")</f>
        <v>105</v>
      </c>
      <c r="BI4" cm="1">
        <f t="array" ref="BI4">_xlfn.IFNA(INDEX(Table14[Vigtuð vísitala],MATCH(1,(BI$2=Table14[Column1])*($X4=Table14[Year]),0)),"")</f>
        <v>108</v>
      </c>
      <c r="BJ4" cm="1">
        <f t="array" ref="BJ4">_xlfn.IFNA(INDEX(Table14[Vigtuð vísitala],MATCH(1,(BJ$2=Table14[Column1])*($X4=Table14[Year]),0)),"")</f>
        <v>104</v>
      </c>
      <c r="BK4" cm="1">
        <f t="array" ref="BK4">_xlfn.IFNA(INDEX(Table14[Vigtuð vísitala],MATCH(1,(BK$2=Table14[Column1])*($X4=Table14[Year]),0)),"")</f>
        <v>107.11186565673697</v>
      </c>
      <c r="BL4" cm="1">
        <f t="array" ref="BL4">_xlfn.IFNA(INDEX(Table14[Vigtuð vísitala],MATCH(1,(BL$2=Table14[Column1])*($X4=Table14[Year]),0)),"")</f>
        <v>106</v>
      </c>
      <c r="BM4" cm="1">
        <f t="array" ref="BM4">_xlfn.IFNA(INDEX(Table14[Vigtuð vísitala],MATCH(1,(BM$2=Table14[Column1])*($X4=Table14[Year]),0)),"")</f>
        <v>107</v>
      </c>
      <c r="BN4" cm="1">
        <f t="array" ref="BN4">_xlfn.IFNA(INDEX(Table14[Vigtuð vísitala],MATCH(1,(BN$2=Table14[Column1])*($X4=Table14[Year]),0)),"")</f>
        <v>100</v>
      </c>
      <c r="BO4" t="str" cm="1">
        <f t="array" ref="BO4">_xlfn.IFNA(INDEX(Table14[Vigtuð vísitala],MATCH(1,(BO$2=Table14[Column1])*($X4=Table14[Year]),0)),"")</f>
        <v/>
      </c>
      <c r="BP4" cm="1">
        <f t="array" ref="BP4">_xlfn.IFNA(INDEX(Table14[Vigtuð vísitala],MATCH(1,(BP$2=Table14[Column1])*($X4=Table14[Year]),0)),"")</f>
        <v>102</v>
      </c>
      <c r="BQ4" cm="1">
        <f t="array" ref="BQ4">_xlfn.IFNA(INDEX(Table14[Vigtuð vísitala],MATCH(1,(BQ$2=Table14[Column1])*($X4=Table14[Year]),0)),"")</f>
        <v>109.00000000000001</v>
      </c>
      <c r="BR4" cm="1">
        <f t="array" ref="BR4">_xlfn.IFNA(INDEX(Table14[Vigtuð vísitala],MATCH(1,(BR$2=Table14[Column1])*($X4=Table14[Year]),0)),"")</f>
        <v>107.11186565673697</v>
      </c>
      <c r="BS4" cm="1">
        <f t="array" ref="BS4">_xlfn.IFNA(INDEX(Table14[Vigtuð vísitala],MATCH(1,(BS$2=Table14[Column1])*($X4=Table14[Year]),0)),"")</f>
        <v>111.00000000000001</v>
      </c>
      <c r="BT4" t="str" cm="1">
        <f t="array" ref="BT4">_xlfn.IFNA(INDEX(Table14[Vigtuð vísitala],MATCH(1,(BT$2=Table14[Column1])*($X4=Table14[Year]),0)),"")</f>
        <v/>
      </c>
      <c r="BU4" cm="1">
        <f t="array" ref="BU4">_xlfn.IFNA(INDEX(Table14[Vigtuð vísitala],MATCH(1,(BU$2=Table14[Column1])*($X4=Table14[Year]),0)),"")</f>
        <v>107</v>
      </c>
      <c r="BV4" cm="1">
        <f t="array" ref="BV4">_xlfn.IFNA(INDEX(Table14[Vigtuð vísitala],MATCH(1,(BV$2=Table14[Column1])*($X4=Table14[Year]),0)),"")</f>
        <v>107</v>
      </c>
      <c r="BW4" t="str" cm="1">
        <f t="array" ref="BW4">_xlfn.IFNA(INDEX(Table14[Vigtuð vísitala],MATCH(1,(BW$2=Table14[Column1])*($X4=Table14[Year]),0)),"")</f>
        <v/>
      </c>
      <c r="BX4" cm="1">
        <f t="array" ref="BX4">_xlfn.IFNA(INDEX(Table14[Vigtuð vísitala],MATCH(1,(BX$2=Table14[Column1])*($X4=Table14[Year]),0)),"")</f>
        <v>106</v>
      </c>
      <c r="BY4" cm="1">
        <f t="array" ref="BY4">_xlfn.IFNA(INDEX(Table14[Vigtuð vísitala],MATCH(1,(BY$2=Table14[Column1])*($X4=Table14[Year]),0)),"")</f>
        <v>106</v>
      </c>
      <c r="BZ4" cm="1">
        <f t="array" ref="BZ4">_xlfn.IFNA(INDEX(Table14[Vigtuð vísitala],MATCH(1,(BZ$2=Table14[Column1])*($X4=Table14[Year]),0)),"")</f>
        <v>110.00000000000001</v>
      </c>
      <c r="CA4" cm="1">
        <f t="array" ref="CA4">_xlfn.IFNA(INDEX(Table14[Vigtuð vísitala],MATCH(1,(CA$2=Table14[Column1])*($X4=Table14[Year]),0)),"")</f>
        <v>100</v>
      </c>
      <c r="CB4" cm="1">
        <f t="array" ref="CB4">_xlfn.IFNA(INDEX(Table14[Vigtuð vísitala],MATCH(1,(CB$2=Table14[Column1])*($X4=Table14[Year]),0)),"")</f>
        <v>106</v>
      </c>
      <c r="CC4" cm="1">
        <f t="array" ref="CC4">_xlfn.IFNA(INDEX(Table14[Vigtuð vísitala],MATCH(1,(CC$2=Table14[Column1])*($X4=Table14[Year]),0)),"")</f>
        <v>108</v>
      </c>
      <c r="CD4" cm="1">
        <f t="array" ref="CD4">_xlfn.IFNA(INDEX(Table14[Vigtuð vísitala],MATCH(1,(CD$2=Table14[Column1])*($X4=Table14[Year]),0)),"")</f>
        <v>105</v>
      </c>
      <c r="CE4" cm="1">
        <f t="array" ref="CE4">_xlfn.IFNA(INDEX(Table14[Vigtuð vísitala],MATCH(1,(CE$2=Table14[Column1])*($X4=Table14[Year]),0)),"")</f>
        <v>107</v>
      </c>
      <c r="CF4" cm="1">
        <f t="array" ref="CF4">_xlfn.IFNA(INDEX(Table14[Vigtuð vísitala],MATCH(1,(CF$2=Table14[Column1])*($X4=Table14[Year]),0)),"")</f>
        <v>110.00000000000001</v>
      </c>
      <c r="CG4" cm="1">
        <f t="array" ref="CG4">_xlfn.IFNA(INDEX(Table14[Vigtuð vísitala],MATCH(1,(CG$2=Table14[Column1])*($X4=Table14[Year]),0)),"")</f>
        <v>108</v>
      </c>
      <c r="CH4" cm="1">
        <f t="array" ref="CH4">_xlfn.IFNA(INDEX(Table14[Vigtuð vísitala],MATCH(1,(CH$2=Table14[Column1])*($X4=Table14[Year]),0)),"")</f>
        <v>105</v>
      </c>
      <c r="CI4" cm="1">
        <f t="array" ref="CI4">_xlfn.IFNA(INDEX(Table14[Vigtuð vísitala],MATCH(1,(CI$2=Table14[Column1])*($X4=Table14[Year]),0)),"")</f>
        <v>106</v>
      </c>
      <c r="CJ4" cm="1">
        <f t="array" ref="CJ4">_xlfn.IFNA(INDEX(Table14[Vigtuð vísitala],MATCH(1,(CJ$2=Table14[Column1])*($X4=Table14[Year]),0)),"")</f>
        <v>107.11186565673697</v>
      </c>
      <c r="CK4" cm="1">
        <f t="array" ref="CK4">_xlfn.IFNA(INDEX(Table14[Vigtuð vísitala],MATCH(1,(CK$2=Table14[Column1])*($X4=Table14[Year]),0)),"")</f>
        <v>107</v>
      </c>
      <c r="CL4" cm="1">
        <f t="array" ref="CL4">_xlfn.IFNA(INDEX(Table14[Vigtuð vísitala],MATCH(1,(CL$2=Table14[Column1])*($X4=Table14[Year]),0)),"")</f>
        <v>109.00000000000001</v>
      </c>
      <c r="CM4" t="str" cm="1">
        <f t="array" ref="CM4">_xlfn.IFNA(INDEX(Table14[Vigtuð vísitala],MATCH(1,(CM$2=Table14[Column1])*($X4=Table14[Year]),0)),"")</f>
        <v/>
      </c>
      <c r="CN4" t="str" cm="1">
        <f t="array" ref="CN4">_xlfn.IFNA(INDEX(Table14[Vigtuð vísitala],MATCH(1,(CN$2=Table14[Column1])*($X4=Table14[Year]),0)),"")</f>
        <v/>
      </c>
      <c r="CO4" cm="1">
        <f t="array" ref="CO4">_xlfn.IFNA(INDEX(Table14[Vigtuð vísitala],MATCH(1,(CO$2=Table14[Column1])*($X4=Table14[Year]),0)),"")</f>
        <v>105</v>
      </c>
      <c r="CP4" t="str" cm="1">
        <f t="array" ref="CP4">_xlfn.IFNA(INDEX(Table14[Vigtuð vísitala],MATCH(1,(CP$2=Table14[Column1])*($X4=Table14[Year]),0)),"")</f>
        <v/>
      </c>
      <c r="CQ4" cm="1">
        <f t="array" ref="CQ4">_xlfn.IFNA(INDEX(Table14[Vigtuð vísitala],MATCH(1,(CQ$2=Table14[Column1])*($X4=Table14[Year]),0)),"")</f>
        <v>111.00000000000001</v>
      </c>
      <c r="CR4" cm="1">
        <f t="array" ref="CR4">_xlfn.IFNA(INDEX(Table14[Vigtuð vísitala],MATCH(1,(CR$2=Table14[Column1])*($X4=Table14[Year]),0)),"")</f>
        <v>108</v>
      </c>
      <c r="CS4" cm="1">
        <f t="array" ref="CS4">_xlfn.IFNA(INDEX(Table14[Vigtuð vísitala],MATCH(1,(CS$2=Table14[Column1])*($X4=Table14[Year]),0)),"")</f>
        <v>108</v>
      </c>
      <c r="CT4" cm="1">
        <f t="array" ref="CT4">_xlfn.IFNA(INDEX(Table14[Vigtuð vísitala],MATCH(1,(CT$2=Table14[Column1])*($X4=Table14[Year]),0)),"")</f>
        <v>107</v>
      </c>
      <c r="CU4" cm="1">
        <f t="array" ref="CU4">_xlfn.IFNA(INDEX(Table14[Vigtuð vísitala],MATCH(1,(CU$2=Table14[Column1])*($X4=Table14[Year]),0)),"")</f>
        <v>107</v>
      </c>
      <c r="CV4" cm="1">
        <f t="array" ref="CV4">_xlfn.IFNA(INDEX(Table14[Vigtuð vísitala],MATCH(1,(CV$2=Table14[Column1])*($X4=Table14[Year]),0)),"")</f>
        <v>108</v>
      </c>
      <c r="CW4" cm="1">
        <f t="array" ref="CW4">_xlfn.IFNA(INDEX(Table14[Vigtuð vísitala],MATCH(1,(CW$2=Table14[Column1])*($X4=Table14[Year]),0)),"")</f>
        <v>105</v>
      </c>
      <c r="CX4" t="str" cm="1">
        <f t="array" ref="CX4">_xlfn.IFNA(INDEX(Table14[Vigtuð vísitala],MATCH(1,(CX$2=Table14[Column1])*($X4=Table14[Year]),0)),"")</f>
        <v/>
      </c>
      <c r="CY4" t="str" cm="1">
        <f t="array" ref="CY4">_xlfn.IFNA(INDEX(Table14[Vigtuð vísitala],MATCH(1,(CY$2=Table14[Column1])*($X4=Table14[Year]),0)),"")</f>
        <v/>
      </c>
      <c r="CZ4" cm="1">
        <f t="array" ref="CZ4">_xlfn.IFNA(INDEX(Table14[Vigtuð vísitala],MATCH(1,(CZ$2=Table14[Column1])*($X4=Table14[Year]),0)),"")</f>
        <v>107</v>
      </c>
      <c r="DA4" cm="1">
        <f t="array" ref="DA4">_xlfn.IFNA(INDEX(Table14[Vigtuð vísitala],MATCH(1,(DA$2=Table14[Column1])*($X4=Table14[Year]),0)),"")</f>
        <v>107</v>
      </c>
      <c r="DB4" t="str" cm="1">
        <f t="array" ref="DB4">_xlfn.IFNA(INDEX(Table14[Vigtuð vísitala],MATCH(1,(DB$2=Table14[Column1])*($X4=Table14[Year]),0)),"")</f>
        <v/>
      </c>
      <c r="DC4" cm="1">
        <f t="array" ref="DC4">_xlfn.IFNA(INDEX(Table14[Vigtuð vísitala],MATCH(1,(DC$2=Table14[Column1])*($X4=Table14[Year]),0)),"")</f>
        <v>106</v>
      </c>
      <c r="DD4" t="str" cm="1">
        <f t="array" ref="DD4">_xlfn.IFNA(INDEX(Table14[Vigtuð vísitala],MATCH(1,(DD$2=Table14[Column1])*($X4=Table14[Year]),0)),"")</f>
        <v/>
      </c>
      <c r="DE4" t="str" cm="1">
        <f t="array" ref="DE4">_xlfn.IFNA(INDEX(Table14[Vigtuð vísitala],MATCH(1,(DE$2=Table14[Column1])*($X4=Table14[Year]),0)),"")</f>
        <v/>
      </c>
      <c r="DF4" t="str" cm="1">
        <f t="array" ref="DF4">_xlfn.IFNA(INDEX(Table14[Vigtuð vísitala],MATCH(1,(DF$2=Table14[Column1])*($X4=Table14[Year]),0)),"")</f>
        <v/>
      </c>
    </row>
    <row r="5" spans="1:110">
      <c r="A5" t="s">
        <v>54</v>
      </c>
      <c r="B5">
        <v>2006</v>
      </c>
      <c r="C5" s="16">
        <v>0.26400000000000001</v>
      </c>
      <c r="D5" s="1">
        <v>36287972</v>
      </c>
      <c r="E5" s="29">
        <f>Table14[[#This Row],[Ávöxtun]]*Table14[[#This Row],[Eignir]]/SUMIFS(Table14[Eignir],Table14[Year],Table14[[#This Row],[Year]])</f>
        <v>6.9790883795388114E-3</v>
      </c>
      <c r="F5" s="23" t="e">
        <f>IF(B5=1997, 100, IF(COUNTIF(A$1:A4,A5)=0, "NEW", F4*(1+Table14[[#This Row],[Ávöxtun]])))</f>
        <v>#VALUE!</v>
      </c>
      <c r="G5" s="18" t="str" cm="1">
        <f t="array" ref="G5">IFERROR(_xlfn.IFS(ISNUMBER(Table14[[#This Row],[Column3]]),Table14[[#This Row],[Column3]],Table14[[#This Row],[Column3]]="NEW",Table14[[#This Row],[Column3]]),"")</f>
        <v/>
      </c>
      <c r="H5" s="15" cm="1">
        <f t="array" ref="H5">_xlfn.IFS(Table14[[#This Row],[Column4]]="NEW",AVERAGEIFS(Table14[Column4],Table14[Year],Table14[[#This Row],[Year]]),ISNUMBER(Table14[[#This Row],[Column4]]),Table14[[#This Row],[Column4]],Table14[[#This Row],[Column4]]="",H4*(1+Table14[[#This Row],[Ávöxtun]]))</f>
        <v>189.3901463524208</v>
      </c>
      <c r="I5" cm="1">
        <f t="array" ref="I5">_xlfn.IFS(Table14[[#This Row],[Column4]]="NEW",_xlfn.XLOOKUP(Table14[[#This Row],[Year]],$M$2:$M$27,$O$2:$O$27),ISNUMBER(Table14[[#This Row],[Column4]]),Table14[[#This Row],[Column4]],Table14[[#This Row],[Column4]]="",I4*(1+Table14[[#This Row],[Ávöxtun]]))</f>
        <v>200.00526553252342</v>
      </c>
      <c r="K5" s="25"/>
      <c r="L5" s="33">
        <v>200.00526553252342</v>
      </c>
      <c r="M5">
        <v>1999</v>
      </c>
      <c r="N5" s="27">
        <f>SUMIFS(Table14[Column2],Table14[Year],M5)</f>
        <v>0.12051385644059291</v>
      </c>
      <c r="O5">
        <f t="shared" si="0"/>
        <v>120.02032965757705</v>
      </c>
      <c r="P5" s="26" cm="1">
        <f t="array" ref="P5">_xlfn.QUARTILE.EXC(IF($B$2:$B$939 = M5, $I$2:$I$939), 3)</f>
        <v>120.68758241439426</v>
      </c>
      <c r="Q5" s="26" cm="1">
        <f t="array" ref="Q5">_xlfn.QUARTILE.EXC(IF($B$2:$B$939 = M5, $I$2:$I$939), 1)</f>
        <v>113.42</v>
      </c>
      <c r="R5" s="26" cm="1">
        <f t="array" ref="R5">_xlfn.QUARTILE.EXC(IF($B$2:$B$939 = M5, $I$2:$I$939), 2)</f>
        <v>116.64000000000001</v>
      </c>
      <c r="S5" s="17" cm="1">
        <f t="array" ref="S5">_xlfn.QUARTILE.EXC(IF($B$2:$B$939 = M5, $C$2:$C$939), 3)</f>
        <v>0.1275</v>
      </c>
      <c r="T5" s="17" cm="1">
        <f t="array" ref="T5">_xlfn.QUARTILE.EXC(IF($B$2:$B$939 = M5, $C$2:$C$939), 1)</f>
        <v>0.06</v>
      </c>
      <c r="U5" s="17" cm="1">
        <f t="array" ref="U5">_xlfn.QUARTILE.EXC(IF($B$2:$B$939 = M5, $C$2:$C$939), 2)</f>
        <v>0.08</v>
      </c>
      <c r="X5">
        <v>1999</v>
      </c>
      <c r="Y5">
        <f t="shared" si="1"/>
        <v>120.02032965757705</v>
      </c>
      <c r="Z5" t="str" cm="1">
        <f t="array" ref="Z5">_xlfn.IFNA(INDEX(Table14[Vigtuð vísitala],MATCH(1,(Z$2=Table14[Column1])*($X5=Table14[Year]),0)),"")</f>
        <v/>
      </c>
      <c r="AA5" cm="1">
        <f t="array" ref="AA5">_xlfn.IFNA(INDEX(Table14[Vigtuð vísitala],MATCH(1,(AA$2=Table14[Column1])*($X5=Table14[Year]),0)),"")</f>
        <v>120.02032965757705</v>
      </c>
      <c r="AB5" t="str" cm="1">
        <f t="array" ref="AB5">_xlfn.IFNA(INDEX(Table14[Vigtuð vísitala],MATCH(1,(AB$2=Table14[Column1])*($X5=Table14[Year]),0)),"")</f>
        <v/>
      </c>
      <c r="AC5" t="str" cm="1">
        <f t="array" ref="AC5">_xlfn.IFNA(INDEX(Table14[Vigtuð vísitala],MATCH(1,(AC$2=Table14[Column1])*($X5=Table14[Year]),0)),"")</f>
        <v/>
      </c>
      <c r="AD5" t="str" cm="1">
        <f t="array" ref="AD5">_xlfn.IFNA(INDEX(Table14[Vigtuð vísitala],MATCH(1,(AD$2=Table14[Column1])*($X5=Table14[Year]),0)),"")</f>
        <v/>
      </c>
      <c r="AE5" t="str" cm="1">
        <f t="array" ref="AE5">_xlfn.IFNA(INDEX(Table14[Vigtuð vísitala],MATCH(1,(AE$2=Table14[Column1])*($X5=Table14[Year]),0)),"")</f>
        <v/>
      </c>
      <c r="AF5" t="str" cm="1">
        <f t="array" ref="AF5">_xlfn.IFNA(INDEX(Table14[Vigtuð vísitala],MATCH(1,(AF$2=Table14[Column1])*($X5=Table14[Year]),0)),"")</f>
        <v/>
      </c>
      <c r="AG5" cm="1">
        <f t="array" ref="AG5">_xlfn.IFNA(INDEX(Table14[Vigtuð vísitala],MATCH(1,(AG$2=Table14[Column1])*($X5=Table14[Year]),0)),"")</f>
        <v>115.56</v>
      </c>
      <c r="AH5" cm="1">
        <f t="array" ref="AH5">_xlfn.IFNA(INDEX(Table14[Vigtuð vísitala],MATCH(1,(AH$2=Table14[Column1])*($X5=Table14[Year]),0)),"")</f>
        <v>116.60000000000002</v>
      </c>
      <c r="AI5" t="str" cm="1">
        <f t="array" ref="AI5">_xlfn.IFNA(INDEX(Table14[Vigtuð vísitala],MATCH(1,(AI$2=Table14[Column1])*($X5=Table14[Year]),0)),"")</f>
        <v/>
      </c>
      <c r="AJ5" cm="1">
        <f t="array" ref="AJ5">_xlfn.IFNA(INDEX(Table14[Vigtuð vísitala],MATCH(1,(AJ$2=Table14[Column1])*($X5=Table14[Year]),0)),"")</f>
        <v>116.64000000000001</v>
      </c>
      <c r="AK5" cm="1">
        <f t="array" ref="AK5">_xlfn.IFNA(INDEX(Table14[Vigtuð vísitala],MATCH(1,(AK$2=Table14[Column1])*($X5=Table14[Year]),0)),"")</f>
        <v>113.42</v>
      </c>
      <c r="AL5" cm="1">
        <f t="array" ref="AL5">_xlfn.IFNA(INDEX(Table14[Vigtuð vísitala],MATCH(1,(AL$2=Table14[Column1])*($X5=Table14[Year]),0)),"")</f>
        <v>115.56</v>
      </c>
      <c r="AM5" cm="1">
        <f t="array" ref="AM5">_xlfn.IFNA(INDEX(Table14[Vigtuð vísitala],MATCH(1,(AM$2=Table14[Column1])*($X5=Table14[Year]),0)),"")</f>
        <v>112.36</v>
      </c>
      <c r="AN5" cm="1">
        <f t="array" ref="AN5">_xlfn.IFNA(INDEX(Table14[Vigtuð vísitala],MATCH(1,(AN$2=Table14[Column1])*($X5=Table14[Year]),0)),"")</f>
        <v>119.88000000000002</v>
      </c>
      <c r="AO5" cm="1">
        <f t="array" ref="AO5">_xlfn.IFNA(INDEX(Table14[Vigtuð vísitala],MATCH(1,(AO$2=Table14[Column1])*($X5=Table14[Year]),0)),"")</f>
        <v>104</v>
      </c>
      <c r="AP5" t="str" cm="1">
        <f t="array" ref="AP5">_xlfn.IFNA(INDEX(Table14[Vigtuð vísitala],MATCH(1,(AP$2=Table14[Column1])*($X5=Table14[Year]),0)),"")</f>
        <v/>
      </c>
      <c r="AQ5" cm="1">
        <f t="array" ref="AQ5">_xlfn.IFNA(INDEX(Table14[Vigtuð vísitala],MATCH(1,(AQ$2=Table14[Column1])*($X5=Table14[Year]),0)),"")</f>
        <v>120.02032965757705</v>
      </c>
      <c r="AR5" t="str" cm="1">
        <f t="array" ref="AR5">_xlfn.IFNA(INDEX(Table14[Vigtuð vísitala],MATCH(1,(AR$2=Table14[Column1])*($X5=Table14[Year]),0)),"")</f>
        <v/>
      </c>
      <c r="AS5" t="str" cm="1">
        <f t="array" ref="AS5">_xlfn.IFNA(INDEX(Table14[Vigtuð vísitala],MATCH(1,(AS$2=Table14[Column1])*($X5=Table14[Year]),0)),"")</f>
        <v/>
      </c>
      <c r="AT5" cm="1">
        <f t="array" ref="AT5">_xlfn.IFNA(INDEX(Table14[Vigtuð vísitala],MATCH(1,(AT$2=Table14[Column1])*($X5=Table14[Year]),0)),"")</f>
        <v>120.02032965757705</v>
      </c>
      <c r="AU5" t="str" cm="1">
        <f t="array" ref="AU5">_xlfn.IFNA(INDEX(Table14[Vigtuð vísitala],MATCH(1,(AU$2=Table14[Column1])*($X5=Table14[Year]),0)),"")</f>
        <v/>
      </c>
      <c r="AV5" t="str" cm="1">
        <f t="array" ref="AV5">_xlfn.IFNA(INDEX(Table14[Vigtuð vísitala],MATCH(1,(AV$2=Table14[Column1])*($X5=Table14[Year]),0)),"")</f>
        <v/>
      </c>
      <c r="AW5" t="str" cm="1">
        <f t="array" ref="AW5">_xlfn.IFNA(INDEX(Table14[Vigtuð vísitala],MATCH(1,(AW$2=Table14[Column1])*($X5=Table14[Year]),0)),"")</f>
        <v/>
      </c>
      <c r="AX5" cm="1">
        <f t="array" ref="AX5">_xlfn.IFNA(INDEX(Table14[Vigtuð vísitala],MATCH(1,(AX$2=Table14[Column1])*($X5=Table14[Year]),0)),"")</f>
        <v>125.27999999999999</v>
      </c>
      <c r="AY5" cm="1">
        <f t="array" ref="AY5">_xlfn.IFNA(INDEX(Table14[Vigtuð vísitala],MATCH(1,(AY$2=Table14[Column1])*($X5=Table14[Year]),0)),"")</f>
        <v>122.10752684868015</v>
      </c>
      <c r="AZ5" cm="1">
        <f t="array" ref="AZ5">_xlfn.IFNA(INDEX(Table14[Vigtuð vísitala],MATCH(1,(AZ$2=Table14[Column1])*($X5=Table14[Year]),0)),"")</f>
        <v>115.56</v>
      </c>
      <c r="BA5" cm="1">
        <f t="array" ref="BA5">_xlfn.IFNA(INDEX(Table14[Vigtuð vísitala],MATCH(1,(BA$2=Table14[Column1])*($X5=Table14[Year]),0)),"")</f>
        <v>120.02032965757705</v>
      </c>
      <c r="BB5" cm="1">
        <f t="array" ref="BB5">_xlfn.IFNA(INDEX(Table14[Vigtuð vísitala],MATCH(1,(BB$2=Table14[Column1])*($X5=Table14[Year]),0)),"")</f>
        <v>124.44</v>
      </c>
      <c r="BC5" cm="1">
        <f t="array" ref="BC5">_xlfn.IFNA(INDEX(Table14[Vigtuð vísitala],MATCH(1,(BC$2=Table14[Column1])*($X5=Table14[Year]),0)),"")</f>
        <v>111.30000000000001</v>
      </c>
      <c r="BD5" cm="1">
        <f t="array" ref="BD5">_xlfn.IFNA(INDEX(Table14[Vigtuð vísitala],MATCH(1,(BD$2=Table14[Column1])*($X5=Table14[Year]),0)),"")</f>
        <v>115.56</v>
      </c>
      <c r="BE5" cm="1">
        <f t="array" ref="BE5">_xlfn.IFNA(INDEX(Table14[Vigtuð vísitala],MATCH(1,(BE$2=Table14[Column1])*($X5=Table14[Year]),0)),"")</f>
        <v>128.76000000000002</v>
      </c>
      <c r="BF5" t="str" cm="1">
        <f t="array" ref="BF5">_xlfn.IFNA(INDEX(Table14[Vigtuð vísitala],MATCH(1,(BF$2=Table14[Column1])*($X5=Table14[Year]),0)),"")</f>
        <v/>
      </c>
      <c r="BG5" cm="1">
        <f t="array" ref="BG5">_xlfn.IFNA(INDEX(Table14[Vigtuð vísitala],MATCH(1,(BG$2=Table14[Column1])*($X5=Table14[Year]),0)),"")</f>
        <v>107.12</v>
      </c>
      <c r="BH5" cm="1">
        <f t="array" ref="BH5">_xlfn.IFNA(INDEX(Table14[Vigtuð vísitala],MATCH(1,(BH$2=Table14[Column1])*($X5=Table14[Year]),0)),"")</f>
        <v>110.25</v>
      </c>
      <c r="BI5" cm="1">
        <f t="array" ref="BI5">_xlfn.IFNA(INDEX(Table14[Vigtuð vísitala],MATCH(1,(BI$2=Table14[Column1])*($X5=Table14[Year]),0)),"")</f>
        <v>109.08</v>
      </c>
      <c r="BJ5" cm="1">
        <f t="array" ref="BJ5">_xlfn.IFNA(INDEX(Table14[Vigtuð vísitala],MATCH(1,(BJ$2=Table14[Column1])*($X5=Table14[Year]),0)),"")</f>
        <v>107.12</v>
      </c>
      <c r="BK5" cm="1">
        <f t="array" ref="BK5">_xlfn.IFNA(INDEX(Table14[Vigtuð vísitala],MATCH(1,(BK$2=Table14[Column1])*($X5=Table14[Year]),0)),"")</f>
        <v>116.7519335658433</v>
      </c>
      <c r="BL5" cm="1">
        <f t="array" ref="BL5">_xlfn.IFNA(INDEX(Table14[Vigtuð vísitala],MATCH(1,(BL$2=Table14[Column1])*($X5=Table14[Year]),0)),"")</f>
        <v>114.48</v>
      </c>
      <c r="BM5" cm="1">
        <f t="array" ref="BM5">_xlfn.IFNA(INDEX(Table14[Vigtuð vísitala],MATCH(1,(BM$2=Table14[Column1])*($X5=Table14[Year]),0)),"")</f>
        <v>114.49000000000001</v>
      </c>
      <c r="BN5" t="str" cm="1">
        <f t="array" ref="BN5">_xlfn.IFNA(INDEX(Table14[Vigtuð vísitala],MATCH(1,(BN$2=Table14[Column1])*($X5=Table14[Year]),0)),"")</f>
        <v/>
      </c>
      <c r="BO5" t="str" cm="1">
        <f t="array" ref="BO5">_xlfn.IFNA(INDEX(Table14[Vigtuð vísitala],MATCH(1,(BO$2=Table14[Column1])*($X5=Table14[Year]),0)),"")</f>
        <v/>
      </c>
      <c r="BP5" cm="1">
        <f t="array" ref="BP5">_xlfn.IFNA(INDEX(Table14[Vigtuð vísitala],MATCH(1,(BP$2=Table14[Column1])*($X5=Table14[Year]),0)),"")</f>
        <v>110.16000000000001</v>
      </c>
      <c r="BQ5" cm="1">
        <f t="array" ref="BQ5">_xlfn.IFNA(INDEX(Table14[Vigtuð vísitala],MATCH(1,(BQ$2=Table14[Column1])*($X5=Table14[Year]),0)),"")</f>
        <v>119.90000000000002</v>
      </c>
      <c r="BR5" cm="1">
        <f t="array" ref="BR5">_xlfn.IFNA(INDEX(Table14[Vigtuð vísitala],MATCH(1,(BR$2=Table14[Column1])*($X5=Table14[Year]),0)),"")</f>
        <v>114.60969625270856</v>
      </c>
      <c r="BS5" cm="1">
        <f t="array" ref="BS5">_xlfn.IFNA(INDEX(Table14[Vigtuð vísitala],MATCH(1,(BS$2=Table14[Column1])*($X5=Table14[Year]),0)),"")</f>
        <v>117.66000000000003</v>
      </c>
      <c r="BT5" t="str" cm="1">
        <f t="array" ref="BT5">_xlfn.IFNA(INDEX(Table14[Vigtuð vísitala],MATCH(1,(BT$2=Table14[Column1])*($X5=Table14[Year]),0)),"")</f>
        <v/>
      </c>
      <c r="BU5" cm="1">
        <f t="array" ref="BU5">_xlfn.IFNA(INDEX(Table14[Vigtuð vísitala],MATCH(1,(BU$2=Table14[Column1])*($X5=Table14[Year]),0)),"")</f>
        <v>117.7</v>
      </c>
      <c r="BV5" cm="1">
        <f t="array" ref="BV5">_xlfn.IFNA(INDEX(Table14[Vigtuð vísitala],MATCH(1,(BV$2=Table14[Column1])*($X5=Table14[Year]),0)),"")</f>
        <v>116.63000000000001</v>
      </c>
      <c r="BW5" t="str" cm="1">
        <f t="array" ref="BW5">_xlfn.IFNA(INDEX(Table14[Vigtuð vísitala],MATCH(1,(BW$2=Table14[Column1])*($X5=Table14[Year]),0)),"")</f>
        <v/>
      </c>
      <c r="BX5" cm="1">
        <f t="array" ref="BX5">_xlfn.IFNA(INDEX(Table14[Vigtuð vísitala],MATCH(1,(BX$2=Table14[Column1])*($X5=Table14[Year]),0)),"")</f>
        <v>112.36</v>
      </c>
      <c r="BY5" cm="1">
        <f t="array" ref="BY5">_xlfn.IFNA(INDEX(Table14[Vigtuð vísitala],MATCH(1,(BY$2=Table14[Column1])*($X5=Table14[Year]),0)),"")</f>
        <v>115.54</v>
      </c>
      <c r="BZ5" cm="1">
        <f t="array" ref="BZ5">_xlfn.IFNA(INDEX(Table14[Vigtuð vísitala],MATCH(1,(BZ$2=Table14[Column1])*($X5=Table14[Year]),0)),"")</f>
        <v>127.60000000000001</v>
      </c>
      <c r="CA5" t="str" cm="1">
        <f t="array" ref="CA5">_xlfn.IFNA(INDEX(Table14[Vigtuð vísitala],MATCH(1,(CA$2=Table14[Column1])*($X5=Table14[Year]),0)),"")</f>
        <v/>
      </c>
      <c r="CB5" cm="1">
        <f t="array" ref="CB5">_xlfn.IFNA(INDEX(Table14[Vigtuð vísitala],MATCH(1,(CB$2=Table14[Column1])*($X5=Table14[Year]),0)),"")</f>
        <v>111.30000000000001</v>
      </c>
      <c r="CC5" cm="1">
        <f t="array" ref="CC5">_xlfn.IFNA(INDEX(Table14[Vigtuð vísitala],MATCH(1,(CC$2=Table14[Column1])*($X5=Table14[Year]),0)),"")</f>
        <v>120.96000000000001</v>
      </c>
      <c r="CD5" cm="1">
        <f t="array" ref="CD5">_xlfn.IFNA(INDEX(Table14[Vigtuð vísitala],MATCH(1,(CD$2=Table14[Column1])*($X5=Table14[Year]),0)),"")</f>
        <v>111.30000000000001</v>
      </c>
      <c r="CE5" cm="1">
        <f t="array" ref="CE5">_xlfn.IFNA(INDEX(Table14[Vigtuð vísitala],MATCH(1,(CE$2=Table14[Column1])*($X5=Table14[Year]),0)),"")</f>
        <v>116.63000000000001</v>
      </c>
      <c r="CF5" cm="1">
        <f t="array" ref="CF5">_xlfn.IFNA(INDEX(Table14[Vigtuð vísitala],MATCH(1,(CF$2=Table14[Column1])*($X5=Table14[Year]),0)),"")</f>
        <v>125.40000000000003</v>
      </c>
      <c r="CG5" cm="1">
        <f t="array" ref="CG5">_xlfn.IFNA(INDEX(Table14[Vigtuð vísitala],MATCH(1,(CG$2=Table14[Column1])*($X5=Table14[Year]),0)),"")</f>
        <v>116.64000000000001</v>
      </c>
      <c r="CH5" cm="1">
        <f t="array" ref="CH5">_xlfn.IFNA(INDEX(Table14[Vigtuð vísitala],MATCH(1,(CH$2=Table14[Column1])*($X5=Table14[Year]),0)),"")</f>
        <v>109.2</v>
      </c>
      <c r="CI5" cm="1">
        <f t="array" ref="CI5">_xlfn.IFNA(INDEX(Table14[Vigtuð vísitala],MATCH(1,(CI$2=Table14[Column1])*($X5=Table14[Year]),0)),"")</f>
        <v>114.48</v>
      </c>
      <c r="CJ5" cm="1">
        <f t="array" ref="CJ5">_xlfn.IFNA(INDEX(Table14[Vigtuð vísitala],MATCH(1,(CJ$2=Table14[Column1])*($X5=Table14[Year]),0)),"")</f>
        <v>107.11186565673697</v>
      </c>
      <c r="CK5" cm="1">
        <f t="array" ref="CK5">_xlfn.IFNA(INDEX(Table14[Vigtuð vísitala],MATCH(1,(CK$2=Table14[Column1])*($X5=Table14[Year]),0)),"")</f>
        <v>113.42</v>
      </c>
      <c r="CL5" cm="1">
        <f t="array" ref="CL5">_xlfn.IFNA(INDEX(Table14[Vigtuð vísitala],MATCH(1,(CL$2=Table14[Column1])*($X5=Table14[Year]),0)),"")</f>
        <v>118.81000000000003</v>
      </c>
      <c r="CM5" t="str" cm="1">
        <f t="array" ref="CM5">_xlfn.IFNA(INDEX(Table14[Vigtuð vísitala],MATCH(1,(CM$2=Table14[Column1])*($X5=Table14[Year]),0)),"")</f>
        <v/>
      </c>
      <c r="CN5" cm="1">
        <f t="array" ref="CN5">_xlfn.IFNA(INDEX(Table14[Vigtuð vísitala],MATCH(1,(CN$2=Table14[Column1])*($X5=Table14[Year]),0)),"")</f>
        <v>120.02032965757705</v>
      </c>
      <c r="CO5" cm="1">
        <f t="array" ref="CO5">_xlfn.IFNA(INDEX(Table14[Vigtuð vísitala],MATCH(1,(CO$2=Table14[Column1])*($X5=Table14[Year]),0)),"")</f>
        <v>110.25</v>
      </c>
      <c r="CP5" t="str" cm="1">
        <f t="array" ref="CP5">_xlfn.IFNA(INDEX(Table14[Vigtuð vísitala],MATCH(1,(CP$2=Table14[Column1])*($X5=Table14[Year]),0)),"")</f>
        <v/>
      </c>
      <c r="CQ5" cm="1">
        <f t="array" ref="CQ5">_xlfn.IFNA(INDEX(Table14[Vigtuð vísitala],MATCH(1,(CQ$2=Table14[Column1])*($X5=Table14[Year]),0)),"")</f>
        <v>135.42000000000002</v>
      </c>
      <c r="CR5" cm="1">
        <f t="array" ref="CR5">_xlfn.IFNA(INDEX(Table14[Vigtuð vísitala],MATCH(1,(CR$2=Table14[Column1])*($X5=Table14[Year]),0)),"")</f>
        <v>120.96000000000001</v>
      </c>
      <c r="CS5" cm="1">
        <f t="array" ref="CS5">_xlfn.IFNA(INDEX(Table14[Vigtuð vísitala],MATCH(1,(CS$2=Table14[Column1])*($X5=Table14[Year]),0)),"")</f>
        <v>123.12000000000002</v>
      </c>
      <c r="CT5" cm="1">
        <f t="array" ref="CT5">_xlfn.IFNA(INDEX(Table14[Vigtuð vísitala],MATCH(1,(CT$2=Table14[Column1])*($X5=Table14[Year]),0)),"")</f>
        <v>120.90999999999998</v>
      </c>
      <c r="CU5" cm="1">
        <f t="array" ref="CU5">_xlfn.IFNA(INDEX(Table14[Vigtuð vísitala],MATCH(1,(CU$2=Table14[Column1])*($X5=Table14[Year]),0)),"")</f>
        <v>124.11999999999999</v>
      </c>
      <c r="CV5" cm="1">
        <f t="array" ref="CV5">_xlfn.IFNA(INDEX(Table14[Vigtuð vísitala],MATCH(1,(CV$2=Table14[Column1])*($X5=Table14[Year]),0)),"")</f>
        <v>124.19999999999999</v>
      </c>
      <c r="CW5" cm="1">
        <f t="array" ref="CW5">_xlfn.IFNA(INDEX(Table14[Vigtuð vísitala],MATCH(1,(CW$2=Table14[Column1])*($X5=Table14[Year]),0)),"")</f>
        <v>119.70000000000002</v>
      </c>
      <c r="CX5" t="str" cm="1">
        <f t="array" ref="CX5">_xlfn.IFNA(INDEX(Table14[Vigtuð vísitala],MATCH(1,(CX$2=Table14[Column1])*($X5=Table14[Year]),0)),"")</f>
        <v/>
      </c>
      <c r="CY5" t="str" cm="1">
        <f t="array" ref="CY5">_xlfn.IFNA(INDEX(Table14[Vigtuð vísitala],MATCH(1,(CY$2=Table14[Column1])*($X5=Table14[Year]),0)),"")</f>
        <v/>
      </c>
      <c r="CZ5" cm="1">
        <f t="array" ref="CZ5">_xlfn.IFNA(INDEX(Table14[Vigtuð vísitala],MATCH(1,(CZ$2=Table14[Column1])*($X5=Table14[Year]),0)),"")</f>
        <v>126.25999999999999</v>
      </c>
      <c r="DA5" cm="1">
        <f t="array" ref="DA5">_xlfn.IFNA(INDEX(Table14[Vigtuð vísitala],MATCH(1,(DA$2=Table14[Column1])*($X5=Table14[Year]),0)),"")</f>
        <v>120.90999999999998</v>
      </c>
      <c r="DB5" cm="1">
        <f t="array" ref="DB5">_xlfn.IFNA(INDEX(Table14[Vigtuð vísitala],MATCH(1,(DB$2=Table14[Column1])*($X5=Table14[Year]),0)),"")</f>
        <v>120.02032965757705</v>
      </c>
      <c r="DC5" cm="1">
        <f t="array" ref="DC5">_xlfn.IFNA(INDEX(Table14[Vigtuð vísitala],MATCH(1,(DC$2=Table14[Column1])*($X5=Table14[Year]),0)),"")</f>
        <v>116.60000000000001</v>
      </c>
      <c r="DD5" t="str" cm="1">
        <f t="array" ref="DD5">_xlfn.IFNA(INDEX(Table14[Vigtuð vísitala],MATCH(1,(DD$2=Table14[Column1])*($X5=Table14[Year]),0)),"")</f>
        <v/>
      </c>
      <c r="DE5" t="str" cm="1">
        <f t="array" ref="DE5">_xlfn.IFNA(INDEX(Table14[Vigtuð vísitala],MATCH(1,(DE$2=Table14[Column1])*($X5=Table14[Year]),0)),"")</f>
        <v/>
      </c>
      <c r="DF5" cm="1">
        <f t="array" ref="DF5">_xlfn.IFNA(INDEX(Table14[Vigtuð vísitala],MATCH(1,(DF$2=Table14[Column1])*($X5=Table14[Year]),0)),"")</f>
        <v>120.02032965757705</v>
      </c>
    </row>
    <row r="6" spans="1:110">
      <c r="A6" t="s">
        <v>54</v>
      </c>
      <c r="B6">
        <v>2007</v>
      </c>
      <c r="C6" s="16">
        <v>2.2000000000000002E-2</v>
      </c>
      <c r="D6" s="1">
        <v>39961749</v>
      </c>
      <c r="E6" s="29">
        <f>Table14[[#This Row],[Ávöxtun]]*Table14[[#This Row],[Eignir]]/SUMIFS(Table14[Eignir],Table14[Year],Table14[[#This Row],[Year]])</f>
        <v>5.6851650812363272E-4</v>
      </c>
      <c r="F6" s="23" t="e">
        <f>IF(B6=1997, 100, IF(COUNTIF(A$1:A5,A6)=0, "NEW", F5*(1+Table14[[#This Row],[Ávöxtun]])))</f>
        <v>#VALUE!</v>
      </c>
      <c r="G6" s="18" t="str" cm="1">
        <f t="array" ref="G6">IFERROR(_xlfn.IFS(ISNUMBER(Table14[[#This Row],[Column3]]),Table14[[#This Row],[Column3]],Table14[[#This Row],[Column3]]="NEW",Table14[[#This Row],[Column3]]),"")</f>
        <v/>
      </c>
      <c r="H6" s="15" cm="1">
        <f t="array" ref="H6">_xlfn.IFS(Table14[[#This Row],[Column4]]="NEW",AVERAGEIFS(Table14[Column4],Table14[Year],Table14[[#This Row],[Year]]),ISNUMBER(Table14[[#This Row],[Column4]]),Table14[[#This Row],[Column4]],Table14[[#This Row],[Column4]]="",H5*(1+Table14[[#This Row],[Ávöxtun]]))</f>
        <v>193.55672957217405</v>
      </c>
      <c r="I6" cm="1">
        <f t="array" ref="I6">_xlfn.IFS(Table14[[#This Row],[Column4]]="NEW",_xlfn.XLOOKUP(Table14[[#This Row],[Year]],$M$2:$M$27,$O$2:$O$27),ISNUMBER(Table14[[#This Row],[Column4]]),Table14[[#This Row],[Column4]],Table14[[#This Row],[Column4]]="",I5*(1+Table14[[#This Row],[Ávöxtun]]))</f>
        <v>204.40538137423894</v>
      </c>
      <c r="K6" s="25"/>
      <c r="L6" s="33">
        <v>204.40538137423894</v>
      </c>
      <c r="M6">
        <v>2000</v>
      </c>
      <c r="N6" s="27">
        <f>SUMIFS(Table14[Column2],Table14[Year],M6)</f>
        <v>2.3923047182192883E-3</v>
      </c>
      <c r="O6">
        <f t="shared" si="0"/>
        <v>120.3074548584991</v>
      </c>
      <c r="P6" s="26" cm="1">
        <f t="array" ref="P6">_xlfn.QUARTILE.EXC(IF($B$2:$B$939 = M6, $I$2:$I$939), 3)</f>
        <v>120.233825</v>
      </c>
      <c r="Q6" s="26" cm="1">
        <f t="array" ref="Q6">_xlfn.QUARTILE.EXC(IF($B$2:$B$939 = M6, $I$2:$I$939), 1)</f>
        <v>111.73464399196239</v>
      </c>
      <c r="R6" s="26" cm="1">
        <f t="array" ref="R6">_xlfn.QUARTILE.EXC(IF($B$2:$B$939 = M6, $I$2:$I$939), 2)</f>
        <v>117.64915000000002</v>
      </c>
      <c r="S6" s="17" cm="1">
        <f t="array" ref="S6">_xlfn.QUARTILE.EXC(IF($B$2:$B$939 = M6, $C$2:$C$939), 3)</f>
        <v>2.75E-2</v>
      </c>
      <c r="T6" s="17" cm="1">
        <f t="array" ref="T6">_xlfn.QUARTILE.EXC(IF($B$2:$B$939 = M6, $C$2:$C$939), 1)</f>
        <v>-0.04</v>
      </c>
      <c r="U6" s="17" cm="1">
        <f t="array" ref="U6">_xlfn.QUARTILE.EXC(IF($B$2:$B$939 = M6, $C$2:$C$939), 2)</f>
        <v>-5.0000000000000001E-3</v>
      </c>
      <c r="X6">
        <v>2000</v>
      </c>
      <c r="Y6">
        <f t="shared" si="1"/>
        <v>120.3074548584991</v>
      </c>
      <c r="Z6" t="str" cm="1">
        <f t="array" ref="Z6">_xlfn.IFNA(INDEX(Table14[Vigtuð vísitala],MATCH(1,(Z$2=Table14[Column1])*($X6=Table14[Year]),0)),"")</f>
        <v/>
      </c>
      <c r="AA6" cm="1">
        <f t="array" ref="AA6">_xlfn.IFNA(INDEX(Table14[Vigtuð vísitala],MATCH(1,(AA$2=Table14[Column1])*($X6=Table14[Year]),0)),"")</f>
        <v>116.41971976784974</v>
      </c>
      <c r="AB6" t="str" cm="1">
        <f t="array" ref="AB6">_xlfn.IFNA(INDEX(Table14[Vigtuð vísitala],MATCH(1,(AB$2=Table14[Column1])*($X6=Table14[Year]),0)),"")</f>
        <v/>
      </c>
      <c r="AC6" t="str" cm="1">
        <f t="array" ref="AC6">_xlfn.IFNA(INDEX(Table14[Vigtuð vísitala],MATCH(1,(AC$2=Table14[Column1])*($X6=Table14[Year]),0)),"")</f>
        <v/>
      </c>
      <c r="AD6" t="str" cm="1">
        <f t="array" ref="AD6">_xlfn.IFNA(INDEX(Table14[Vigtuð vísitala],MATCH(1,(AD$2=Table14[Column1])*($X6=Table14[Year]),0)),"")</f>
        <v/>
      </c>
      <c r="AE6" t="str" cm="1">
        <f t="array" ref="AE6">_xlfn.IFNA(INDEX(Table14[Vigtuð vísitala],MATCH(1,(AE$2=Table14[Column1])*($X6=Table14[Year]),0)),"")</f>
        <v/>
      </c>
      <c r="AF6" t="str" cm="1">
        <f t="array" ref="AF6">_xlfn.IFNA(INDEX(Table14[Vigtuð vísitala],MATCH(1,(AF$2=Table14[Column1])*($X6=Table14[Year]),0)),"")</f>
        <v/>
      </c>
      <c r="AG6" cm="1">
        <f t="array" ref="AG6">_xlfn.IFNA(INDEX(Table14[Vigtuð vísitala],MATCH(1,(AG$2=Table14[Column1])*($X6=Table14[Year]),0)),"")</f>
        <v>113.2488</v>
      </c>
      <c r="AH6" cm="1">
        <f t="array" ref="AH6">_xlfn.IFNA(INDEX(Table14[Vigtuð vísitala],MATCH(1,(AH$2=Table14[Column1])*($X6=Table14[Year]),0)),"")</f>
        <v>113.10200000000002</v>
      </c>
      <c r="AI6" t="str" cm="1">
        <f t="array" ref="AI6">_xlfn.IFNA(INDEX(Table14[Vigtuð vísitala],MATCH(1,(AI$2=Table14[Column1])*($X6=Table14[Year]),0)),"")</f>
        <v/>
      </c>
      <c r="AJ6" cm="1">
        <f t="array" ref="AJ6">_xlfn.IFNA(INDEX(Table14[Vigtuð vísitala],MATCH(1,(AJ$2=Table14[Column1])*($X6=Table14[Year]),0)),"")</f>
        <v>104.97600000000001</v>
      </c>
      <c r="AK6" cm="1">
        <f t="array" ref="AK6">_xlfn.IFNA(INDEX(Table14[Vigtuð vísitala],MATCH(1,(AK$2=Table14[Column1])*($X6=Table14[Year]),0)),"")</f>
        <v>116.82260000000001</v>
      </c>
      <c r="AL6" cm="1">
        <f t="array" ref="AL6">_xlfn.IFNA(INDEX(Table14[Vigtuð vísitala],MATCH(1,(AL$2=Table14[Column1])*($X6=Table14[Year]),0)),"")</f>
        <v>119.02680000000001</v>
      </c>
      <c r="AM6" cm="1">
        <f t="array" ref="AM6">_xlfn.IFNA(INDEX(Table14[Vigtuð vísitala],MATCH(1,(AM$2=Table14[Column1])*($X6=Table14[Year]),0)),"")</f>
        <v>112.36</v>
      </c>
      <c r="AN6" cm="1">
        <f t="array" ref="AN6">_xlfn.IFNA(INDEX(Table14[Vigtuð vísitala],MATCH(1,(AN$2=Table14[Column1])*($X6=Table14[Year]),0)),"")</f>
        <v>112.68720000000002</v>
      </c>
      <c r="AO6" cm="1">
        <f t="array" ref="AO6">_xlfn.IFNA(INDEX(Table14[Vigtuð vísitala],MATCH(1,(AO$2=Table14[Column1])*($X6=Table14[Year]),0)),"")</f>
        <v>106.08</v>
      </c>
      <c r="AP6" t="str" cm="1">
        <f t="array" ref="AP6">_xlfn.IFNA(INDEX(Table14[Vigtuð vísitala],MATCH(1,(AP$2=Table14[Column1])*($X6=Table14[Year]),0)),"")</f>
        <v/>
      </c>
      <c r="AQ6" cm="1">
        <f t="array" ref="AQ6">_xlfn.IFNA(INDEX(Table14[Vigtuð vísitala],MATCH(1,(AQ$2=Table14[Column1])*($X6=Table14[Year]),0)),"")</f>
        <v>118.82012636100129</v>
      </c>
      <c r="AR6" t="str" cm="1">
        <f t="array" ref="AR6">_xlfn.IFNA(INDEX(Table14[Vigtuð vísitala],MATCH(1,(AR$2=Table14[Column1])*($X6=Table14[Year]),0)),"")</f>
        <v/>
      </c>
      <c r="AS6" t="str" cm="1">
        <f t="array" ref="AS6">_xlfn.IFNA(INDEX(Table14[Vigtuð vísitala],MATCH(1,(AS$2=Table14[Column1])*($X6=Table14[Year]),0)),"")</f>
        <v/>
      </c>
      <c r="AT6" cm="1">
        <f t="array" ref="AT6">_xlfn.IFNA(INDEX(Table14[Vigtuð vísitala],MATCH(1,(AT$2=Table14[Column1])*($X6=Table14[Year]),0)),"")</f>
        <v>114.0193131746982</v>
      </c>
      <c r="AU6" t="str" cm="1">
        <f t="array" ref="AU6">_xlfn.IFNA(INDEX(Table14[Vigtuð vísitala],MATCH(1,(AU$2=Table14[Column1])*($X6=Table14[Year]),0)),"")</f>
        <v/>
      </c>
      <c r="AV6" t="str" cm="1">
        <f t="array" ref="AV6">_xlfn.IFNA(INDEX(Table14[Vigtuð vísitala],MATCH(1,(AV$2=Table14[Column1])*($X6=Table14[Year]),0)),"")</f>
        <v/>
      </c>
      <c r="AW6" t="str" cm="1">
        <f t="array" ref="AW6">_xlfn.IFNA(INDEX(Table14[Vigtuð vísitala],MATCH(1,(AW$2=Table14[Column1])*($X6=Table14[Year]),0)),"")</f>
        <v/>
      </c>
      <c r="AX6" cm="1">
        <f t="array" ref="AX6">_xlfn.IFNA(INDEX(Table14[Vigtuð vísitala],MATCH(1,(AX$2=Table14[Column1])*($X6=Table14[Year]),0)),"")</f>
        <v>120.26879999999998</v>
      </c>
      <c r="AY6" cm="1">
        <f t="array" ref="AY6">_xlfn.IFNA(INDEX(Table14[Vigtuð vísitala],MATCH(1,(AY$2=Table14[Column1])*($X6=Table14[Year]),0)),"")</f>
        <v>119.66537631170655</v>
      </c>
      <c r="AZ6" cm="1">
        <f t="array" ref="AZ6">_xlfn.IFNA(INDEX(Table14[Vigtuð vísitala],MATCH(1,(AZ$2=Table14[Column1])*($X6=Table14[Year]),0)),"")</f>
        <v>123.64920000000001</v>
      </c>
      <c r="BA6" cm="1">
        <f t="array" ref="BA6">_xlfn.IFNA(INDEX(Table14[Vigtuð vísitala],MATCH(1,(BA$2=Table14[Column1])*($X6=Table14[Year]),0)),"")</f>
        <v>111.61890658154665</v>
      </c>
      <c r="BB6" cm="1">
        <f t="array" ref="BB6">_xlfn.IFNA(INDEX(Table14[Vigtuð vísitala],MATCH(1,(BB$2=Table14[Column1])*($X6=Table14[Year]),0)),"")</f>
        <v>129.41759999999999</v>
      </c>
      <c r="BC6" cm="1">
        <f t="array" ref="BC6">_xlfn.IFNA(INDEX(Table14[Vigtuð vísitala],MATCH(1,(BC$2=Table14[Column1])*($X6=Table14[Year]),0)),"")</f>
        <v>117.97800000000002</v>
      </c>
      <c r="BD6" cm="1">
        <f t="array" ref="BD6">_xlfn.IFNA(INDEX(Table14[Vigtuð vísitala],MATCH(1,(BD$2=Table14[Column1])*($X6=Table14[Year]),0)),"")</f>
        <v>108.62639999999999</v>
      </c>
      <c r="BE6" cm="1">
        <f t="array" ref="BE6">_xlfn.IFNA(INDEX(Table14[Vigtuð vísitala],MATCH(1,(BE$2=Table14[Column1])*($X6=Table14[Year]),0)),"")</f>
        <v>108.15840000000001</v>
      </c>
      <c r="BF6" t="str" cm="1">
        <f t="array" ref="BF6">_xlfn.IFNA(INDEX(Table14[Vigtuð vísitala],MATCH(1,(BF$2=Table14[Column1])*($X6=Table14[Year]),0)),"")</f>
        <v/>
      </c>
      <c r="BG6" cm="1">
        <f t="array" ref="BG6">_xlfn.IFNA(INDEX(Table14[Vigtuð vísitala],MATCH(1,(BG$2=Table14[Column1])*($X6=Table14[Year]),0)),"")</f>
        <v>107.12</v>
      </c>
      <c r="BH6" cm="1">
        <f t="array" ref="BH6">_xlfn.IFNA(INDEX(Table14[Vigtuð vísitala],MATCH(1,(BH$2=Table14[Column1])*($X6=Table14[Year]),0)),"")</f>
        <v>113.5575</v>
      </c>
      <c r="BI6" cm="1">
        <f t="array" ref="BI6">_xlfn.IFNA(INDEX(Table14[Vigtuð vísitala],MATCH(1,(BI$2=Table14[Column1])*($X6=Table14[Year]),0)),"")</f>
        <v>105.80759999999999</v>
      </c>
      <c r="BJ6" cm="1">
        <f t="array" ref="BJ6">_xlfn.IFNA(INDEX(Table14[Vigtuð vísitala],MATCH(1,(BJ$2=Table14[Column1])*($X6=Table14[Year]),0)),"")</f>
        <v>110.3336</v>
      </c>
      <c r="BK6" cm="1">
        <f t="array" ref="BK6">_xlfn.IFNA(INDEX(Table14[Vigtuð vísitala],MATCH(1,(BK$2=Table14[Column1])*($X6=Table14[Year]),0)),"")</f>
        <v>112.08185622320957</v>
      </c>
      <c r="BL6" cm="1">
        <f t="array" ref="BL6">_xlfn.IFNA(INDEX(Table14[Vigtuð vísitala],MATCH(1,(BL$2=Table14[Column1])*($X6=Table14[Year]),0)),"")</f>
        <v>119.0592</v>
      </c>
      <c r="BM6" cm="1">
        <f t="array" ref="BM6">_xlfn.IFNA(INDEX(Table14[Vigtuð vísitala],MATCH(1,(BM$2=Table14[Column1])*($X6=Table14[Year]),0)),"")</f>
        <v>117.92470000000002</v>
      </c>
      <c r="BN6" t="str" cm="1">
        <f t="array" ref="BN6">_xlfn.IFNA(INDEX(Table14[Vigtuð vísitala],MATCH(1,(BN$2=Table14[Column1])*($X6=Table14[Year]),0)),"")</f>
        <v/>
      </c>
      <c r="BO6" t="str" cm="1">
        <f t="array" ref="BO6">_xlfn.IFNA(INDEX(Table14[Vigtuð vísitala],MATCH(1,(BO$2=Table14[Column1])*($X6=Table14[Year]),0)),"")</f>
        <v/>
      </c>
      <c r="BP6" cm="1">
        <f t="array" ref="BP6">_xlfn.IFNA(INDEX(Table14[Vigtuð vísitala],MATCH(1,(BP$2=Table14[Column1])*($X6=Table14[Year]),0)),"")</f>
        <v>105.75360000000001</v>
      </c>
      <c r="BQ6" cm="1">
        <f t="array" ref="BQ6">_xlfn.IFNA(INDEX(Table14[Vigtuð vísitala],MATCH(1,(BQ$2=Table14[Column1])*($X6=Table14[Year]),0)),"")</f>
        <v>117.50200000000002</v>
      </c>
      <c r="BR6" cm="1">
        <f t="array" ref="BR6">_xlfn.IFNA(INDEX(Table14[Vigtuð vísitala],MATCH(1,(BR$2=Table14[Column1])*($X6=Table14[Year]),0)),"")</f>
        <v>105.44092055249187</v>
      </c>
      <c r="BS6" t="str" cm="1">
        <f t="array" ref="BS6">_xlfn.IFNA(INDEX(Table14[Vigtuð vísitala],MATCH(1,(BS$2=Table14[Column1])*($X6=Table14[Year]),0)),"")</f>
        <v/>
      </c>
      <c r="BT6" t="str" cm="1">
        <f t="array" ref="BT6">_xlfn.IFNA(INDEX(Table14[Vigtuð vísitala],MATCH(1,(BT$2=Table14[Column1])*($X6=Table14[Year]),0)),"")</f>
        <v/>
      </c>
      <c r="BU6" cm="1">
        <f t="array" ref="BU6">_xlfn.IFNA(INDEX(Table14[Vigtuð vísitala],MATCH(1,(BU$2=Table14[Column1])*($X6=Table14[Year]),0)),"")</f>
        <v>120.054</v>
      </c>
      <c r="BV6" cm="1">
        <f t="array" ref="BV6">_xlfn.IFNA(INDEX(Table14[Vigtuð vísitala],MATCH(1,(BV$2=Table14[Column1])*($X6=Table14[Year]),0)),"")</f>
        <v>117.79630000000002</v>
      </c>
      <c r="BW6" t="str" cm="1">
        <f t="array" ref="BW6">_xlfn.IFNA(INDEX(Table14[Vigtuð vísitala],MATCH(1,(BW$2=Table14[Column1])*($X6=Table14[Year]),0)),"")</f>
        <v/>
      </c>
      <c r="BX6" t="str" cm="1">
        <f t="array" ref="BX6">_xlfn.IFNA(INDEX(Table14[Vigtuð vísitala],MATCH(1,(BX$2=Table14[Column1])*($X6=Table14[Year]),0)),"")</f>
        <v/>
      </c>
      <c r="BY6" cm="1">
        <f t="array" ref="BY6">_xlfn.IFNA(INDEX(Table14[Vigtuð vísitala],MATCH(1,(BY$2=Table14[Column1])*($X6=Table14[Year]),0)),"")</f>
        <v>119.00620000000001</v>
      </c>
      <c r="BZ6" cm="1">
        <f t="array" ref="BZ6">_xlfn.IFNA(INDEX(Table14[Vigtuð vísitala],MATCH(1,(BZ$2=Table14[Column1])*($X6=Table14[Year]),0)),"")</f>
        <v>123.77200000000001</v>
      </c>
      <c r="CA6" t="str" cm="1">
        <f t="array" ref="CA6">_xlfn.IFNA(INDEX(Table14[Vigtuð vísitala],MATCH(1,(CA$2=Table14[Column1])*($X6=Table14[Year]),0)),"")</f>
        <v/>
      </c>
      <c r="CB6" cm="1">
        <f t="array" ref="CB6">_xlfn.IFNA(INDEX(Table14[Vigtuð vísitala],MATCH(1,(CB$2=Table14[Column1])*($X6=Table14[Year]),0)),"")</f>
        <v>114.63900000000001</v>
      </c>
      <c r="CC6" cm="1">
        <f t="array" ref="CC6">_xlfn.IFNA(INDEX(Table14[Vigtuð vísitala],MATCH(1,(CC$2=Table14[Column1])*($X6=Table14[Year]),0)),"")</f>
        <v>119.75040000000001</v>
      </c>
      <c r="CD6" t="str" cm="1">
        <f t="array" ref="CD6">_xlfn.IFNA(INDEX(Table14[Vigtuð vísitala],MATCH(1,(CD$2=Table14[Column1])*($X6=Table14[Year]),0)),"")</f>
        <v/>
      </c>
      <c r="CE6" cm="1">
        <f t="array" ref="CE6">_xlfn.IFNA(INDEX(Table14[Vigtuð vísitala],MATCH(1,(CE$2=Table14[Column1])*($X6=Table14[Year]),0)),"")</f>
        <v>120.12890000000002</v>
      </c>
      <c r="CF6" cm="1">
        <f t="array" ref="CF6">_xlfn.IFNA(INDEX(Table14[Vigtuð vísitala],MATCH(1,(CF$2=Table14[Column1])*($X6=Table14[Year]),0)),"")</f>
        <v>124.14600000000003</v>
      </c>
      <c r="CG6" cm="1">
        <f t="array" ref="CG6">_xlfn.IFNA(INDEX(Table14[Vigtuð vísitala],MATCH(1,(CG$2=Table14[Column1])*($X6=Table14[Year]),0)),"")</f>
        <v>118.97280000000002</v>
      </c>
      <c r="CH6" cm="1">
        <f t="array" ref="CH6">_xlfn.IFNA(INDEX(Table14[Vigtuð vísitala],MATCH(1,(CH$2=Table14[Column1])*($X6=Table14[Year]),0)),"")</f>
        <v>109.2</v>
      </c>
      <c r="CI6" cm="1">
        <f t="array" ref="CI6">_xlfn.IFNA(INDEX(Table14[Vigtuð vísitala],MATCH(1,(CI$2=Table14[Column1])*($X6=Table14[Year]),0)),"")</f>
        <v>122.49360000000001</v>
      </c>
      <c r="CJ6" cm="1">
        <f t="array" ref="CJ6">_xlfn.IFNA(INDEX(Table14[Vigtuð vísitala],MATCH(1,(CJ$2=Table14[Column1])*($X6=Table14[Year]),0)),"")</f>
        <v>76.049424616283247</v>
      </c>
      <c r="CK6" cm="1">
        <f t="array" ref="CK6">_xlfn.IFNA(INDEX(Table14[Vigtuð vísitala],MATCH(1,(CK$2=Table14[Column1])*($X6=Table14[Year]),0)),"")</f>
        <v>113.42</v>
      </c>
      <c r="CL6" cm="1">
        <f t="array" ref="CL6">_xlfn.IFNA(INDEX(Table14[Vigtuð vísitala],MATCH(1,(CL$2=Table14[Column1])*($X6=Table14[Year]),0)),"")</f>
        <v>114.05760000000002</v>
      </c>
      <c r="CM6" t="str" cm="1">
        <f t="array" ref="CM6">_xlfn.IFNA(INDEX(Table14[Vigtuð vísitala],MATCH(1,(CM$2=Table14[Column1])*($X6=Table14[Year]),0)),"")</f>
        <v/>
      </c>
      <c r="CN6" cm="1">
        <f t="array" ref="CN6">_xlfn.IFNA(INDEX(Table14[Vigtuð vísitala],MATCH(1,(CN$2=Table14[Column1])*($X6=Table14[Year]),0)),"")</f>
        <v>109.21849998839512</v>
      </c>
      <c r="CO6" t="str" cm="1">
        <f t="array" ref="CO6">_xlfn.IFNA(INDEX(Table14[Vigtuð vísitala],MATCH(1,(CO$2=Table14[Column1])*($X6=Table14[Year]),0)),"")</f>
        <v/>
      </c>
      <c r="CP6" t="str" cm="1">
        <f t="array" ref="CP6">_xlfn.IFNA(INDEX(Table14[Vigtuð vísitala],MATCH(1,(CP$2=Table14[Column1])*($X6=Table14[Year]),0)),"")</f>
        <v/>
      </c>
      <c r="CQ6" cm="1">
        <f t="array" ref="CQ6">_xlfn.IFNA(INDEX(Table14[Vigtuð vísitala],MATCH(1,(CQ$2=Table14[Column1])*($X6=Table14[Year]),0)),"")</f>
        <v>124.58640000000003</v>
      </c>
      <c r="CR6" cm="1">
        <f t="array" ref="CR6">_xlfn.IFNA(INDEX(Table14[Vigtuð vísitala],MATCH(1,(CR$2=Table14[Column1])*($X6=Table14[Year]),0)),"")</f>
        <v>122.1696</v>
      </c>
      <c r="CS6" cm="1">
        <f t="array" ref="CS6">_xlfn.IFNA(INDEX(Table14[Vigtuð vísitala],MATCH(1,(CS$2=Table14[Column1])*($X6=Table14[Year]),0)),"")</f>
        <v>116.96400000000001</v>
      </c>
      <c r="CT6" cm="1">
        <f t="array" ref="CT6">_xlfn.IFNA(INDEX(Table14[Vigtuð vísitala],MATCH(1,(CT$2=Table14[Column1])*($X6=Table14[Year]),0)),"")</f>
        <v>120.90999999999998</v>
      </c>
      <c r="CU6" cm="1">
        <f t="array" ref="CU6">_xlfn.IFNA(INDEX(Table14[Vigtuð vísitala],MATCH(1,(CU$2=Table14[Column1])*($X6=Table14[Year]),0)),"")</f>
        <v>120.39639999999999</v>
      </c>
      <c r="CV6" cm="1">
        <f t="array" ref="CV6">_xlfn.IFNA(INDEX(Table14[Vigtuð vísitala],MATCH(1,(CV$2=Table14[Column1])*($X6=Table14[Year]),0)),"")</f>
        <v>122.95799999999998</v>
      </c>
      <c r="CW6" cm="1">
        <f t="array" ref="CW6">_xlfn.IFNA(INDEX(Table14[Vigtuð vísitala],MATCH(1,(CW$2=Table14[Column1])*($X6=Table14[Year]),0)),"")</f>
        <v>119.70000000000002</v>
      </c>
      <c r="CX6" t="str" cm="1">
        <f t="array" ref="CX6">_xlfn.IFNA(INDEX(Table14[Vigtuð vísitala],MATCH(1,(CX$2=Table14[Column1])*($X6=Table14[Year]),0)),"")</f>
        <v/>
      </c>
      <c r="CY6" t="str" cm="1">
        <f t="array" ref="CY6">_xlfn.IFNA(INDEX(Table14[Vigtuð vísitala],MATCH(1,(CY$2=Table14[Column1])*($X6=Table14[Year]),0)),"")</f>
        <v/>
      </c>
      <c r="CZ6" cm="1">
        <f t="array" ref="CZ6">_xlfn.IFNA(INDEX(Table14[Vigtuð vísitala],MATCH(1,(CZ$2=Table14[Column1])*($X6=Table14[Year]),0)),"")</f>
        <v>126.25999999999999</v>
      </c>
      <c r="DA6" cm="1">
        <f t="array" ref="DA6">_xlfn.IFNA(INDEX(Table14[Vigtuð vísitala],MATCH(1,(DA$2=Table14[Column1])*($X6=Table14[Year]),0)),"")</f>
        <v>123.32819999999998</v>
      </c>
      <c r="DB6" cm="1">
        <f t="array" ref="DB6">_xlfn.IFNA(INDEX(Table14[Vigtuð vísitala],MATCH(1,(DB$2=Table14[Column1])*($X6=Table14[Year]),0)),"")</f>
        <v>109.21849998839512</v>
      </c>
      <c r="DC6" cm="1">
        <f t="array" ref="DC6">_xlfn.IFNA(INDEX(Table14[Vigtuð vísitala],MATCH(1,(DC$2=Table14[Column1])*($X6=Table14[Year]),0)),"")</f>
        <v>118.93200000000002</v>
      </c>
      <c r="DD6" t="str" cm="1">
        <f t="array" ref="DD6">_xlfn.IFNA(INDEX(Table14[Vigtuð vísitala],MATCH(1,(DD$2=Table14[Column1])*($X6=Table14[Year]),0)),"")</f>
        <v/>
      </c>
      <c r="DE6" t="str" cm="1">
        <f t="array" ref="DE6">_xlfn.IFNA(INDEX(Table14[Vigtuð vísitala],MATCH(1,(DE$2=Table14[Column1])*($X6=Table14[Year]),0)),"")</f>
        <v/>
      </c>
      <c r="DF6" cm="1">
        <f t="array" ref="DF6">_xlfn.IFNA(INDEX(Table14[Vigtuð vísitala],MATCH(1,(DF$2=Table14[Column1])*($X6=Table14[Year]),0)),"")</f>
        <v>126.0213461404559</v>
      </c>
    </row>
    <row r="7" spans="1:110">
      <c r="A7" t="s">
        <v>54</v>
      </c>
      <c r="B7">
        <v>2008</v>
      </c>
      <c r="C7" s="16">
        <v>-0.45900000000000002</v>
      </c>
      <c r="D7" s="1">
        <v>38610698</v>
      </c>
      <c r="E7" s="29">
        <f>Table14[[#This Row],[Ávöxtun]]*Table14[[#This Row],[Eignir]]/SUMIFS(Table14[Eignir],Table14[Year],Table14[[#This Row],[Year]])</f>
        <v>-1.1836037195793842E-2</v>
      </c>
      <c r="F7" s="23" t="e">
        <f>IF(B7=1997, 100, IF(COUNTIF(A$1:A6,A7)=0, "NEW", F6*(1+Table14[[#This Row],[Ávöxtun]])))</f>
        <v>#VALUE!</v>
      </c>
      <c r="G7" s="18" t="str" cm="1">
        <f t="array" ref="G7">IFERROR(_xlfn.IFS(ISNUMBER(Table14[[#This Row],[Column3]]),Table14[[#This Row],[Column3]],Table14[[#This Row],[Column3]]="NEW",Table14[[#This Row],[Column3]]),"")</f>
        <v/>
      </c>
      <c r="H7" s="15" cm="1">
        <f t="array" ref="H7">_xlfn.IFS(Table14[[#This Row],[Column4]]="NEW",AVERAGEIFS(Table14[Column4],Table14[Year],Table14[[#This Row],[Year]]),ISNUMBER(Table14[[#This Row],[Column4]]),Table14[[#This Row],[Column4]],Table14[[#This Row],[Column4]]="",H6*(1+Table14[[#This Row],[Ávöxtun]]))</f>
        <v>104.71419069854615</v>
      </c>
      <c r="I7" cm="1">
        <f t="array" ref="I7">_xlfn.IFS(Table14[[#This Row],[Column4]]="NEW",_xlfn.XLOOKUP(Table14[[#This Row],[Year]],$M$2:$M$27,$O$2:$O$27),ISNUMBER(Table14[[#This Row],[Column4]]),Table14[[#This Row],[Column4]],Table14[[#This Row],[Column4]]="",I6*(1+Table14[[#This Row],[Ávöxtun]]))</f>
        <v>110.58331132346325</v>
      </c>
      <c r="K7" s="25"/>
      <c r="L7" s="33">
        <v>110.58331132346325</v>
      </c>
      <c r="M7">
        <v>2001</v>
      </c>
      <c r="N7" s="27">
        <f>SUMIFS(Table14[Column2],Table14[Year],M7)</f>
        <v>-2.7250195392976701E-2</v>
      </c>
      <c r="O7">
        <f t="shared" si="0"/>
        <v>117.02905320637328</v>
      </c>
      <c r="P7" s="26" cm="1">
        <f t="array" ref="P7">_xlfn.QUARTILE.EXC(IF($B$2:$B$939 = M7, $I$2:$I$939), 3)</f>
        <v>119.826881</v>
      </c>
      <c r="Q7" s="26" cm="1">
        <f t="array" ref="Q7">_xlfn.QUARTILE.EXC(IF($B$2:$B$939 = M7, $I$2:$I$939), 1)</f>
        <v>107.69922000000003</v>
      </c>
      <c r="R7" s="26" cm="1">
        <f t="array" ref="R7">_xlfn.QUARTILE.EXC(IF($B$2:$B$939 = M7, $I$2:$I$939), 2)</f>
        <v>113.42803002147562</v>
      </c>
      <c r="S7" s="17" cm="1">
        <f t="array" ref="S7">_xlfn.QUARTILE.EXC(IF($B$2:$B$939 = M7, $C$2:$C$939), 3)</f>
        <v>0.01</v>
      </c>
      <c r="T7" s="17" cm="1">
        <f t="array" ref="T7">_xlfn.QUARTILE.EXC(IF($B$2:$B$939 = M7, $C$2:$C$939), 1)</f>
        <v>-0.05</v>
      </c>
      <c r="U7" s="17" cm="1">
        <f t="array" ref="U7">_xlfn.QUARTILE.EXC(IF($B$2:$B$939 = M7, $C$2:$C$939), 2)</f>
        <v>-0.02</v>
      </c>
      <c r="X7">
        <v>2001</v>
      </c>
      <c r="Y7">
        <f t="shared" si="1"/>
        <v>117.02905320637328</v>
      </c>
      <c r="Z7" t="str" cm="1">
        <f t="array" ref="Z7">_xlfn.IFNA(INDEX(Table14[Vigtuð vísitala],MATCH(1,(Z$2=Table14[Column1])*($X7=Table14[Year]),0)),"")</f>
        <v/>
      </c>
      <c r="AA7" cm="1">
        <f t="array" ref="AA7">_xlfn.IFNA(INDEX(Table14[Vigtuð vísitala],MATCH(1,(AA$2=Table14[Column1])*($X7=Table14[Year]),0)),"")</f>
        <v>116.41971976784974</v>
      </c>
      <c r="AB7" t="str" cm="1">
        <f t="array" ref="AB7">_xlfn.IFNA(INDEX(Table14[Vigtuð vísitala],MATCH(1,(AB$2=Table14[Column1])*($X7=Table14[Year]),0)),"")</f>
        <v/>
      </c>
      <c r="AC7" t="str" cm="1">
        <f t="array" ref="AC7">_xlfn.IFNA(INDEX(Table14[Vigtuð vísitala],MATCH(1,(AC$2=Table14[Column1])*($X7=Table14[Year]),0)),"")</f>
        <v/>
      </c>
      <c r="AD7" t="str" cm="1">
        <f t="array" ref="AD7">_xlfn.IFNA(INDEX(Table14[Vigtuð vísitala],MATCH(1,(AD$2=Table14[Column1])*($X7=Table14[Year]),0)),"")</f>
        <v/>
      </c>
      <c r="AE7" t="str" cm="1">
        <f t="array" ref="AE7">_xlfn.IFNA(INDEX(Table14[Vigtuð vísitala],MATCH(1,(AE$2=Table14[Column1])*($X7=Table14[Year]),0)),"")</f>
        <v/>
      </c>
      <c r="AF7" t="str" cm="1">
        <f t="array" ref="AF7">_xlfn.IFNA(INDEX(Table14[Vigtuð vísitala],MATCH(1,(AF$2=Table14[Column1])*($X7=Table14[Year]),0)),"")</f>
        <v/>
      </c>
      <c r="AG7" cm="1">
        <f t="array" ref="AG7">_xlfn.IFNA(INDEX(Table14[Vigtuð vísitala],MATCH(1,(AG$2=Table14[Column1])*($X7=Table14[Year]),0)),"")</f>
        <v>104.18889600000001</v>
      </c>
      <c r="AH7" cm="1">
        <f t="array" ref="AH7">_xlfn.IFNA(INDEX(Table14[Vigtuð vísitala],MATCH(1,(AH$2=Table14[Column1])*($X7=Table14[Year]),0)),"")</f>
        <v>111.97098000000001</v>
      </c>
      <c r="AI7" t="str" cm="1">
        <f t="array" ref="AI7">_xlfn.IFNA(INDEX(Table14[Vigtuð vísitala],MATCH(1,(AI$2=Table14[Column1])*($X7=Table14[Year]),0)),"")</f>
        <v/>
      </c>
      <c r="AJ7" cm="1">
        <f t="array" ref="AJ7">_xlfn.IFNA(INDEX(Table14[Vigtuð vísitala],MATCH(1,(AJ$2=Table14[Column1])*($X7=Table14[Year]),0)),"")</f>
        <v>107.07552000000001</v>
      </c>
      <c r="AK7" cm="1">
        <f t="array" ref="AK7">_xlfn.IFNA(INDEX(Table14[Vigtuð vísitala],MATCH(1,(AK$2=Table14[Column1])*($X7=Table14[Year]),0)),"")</f>
        <v>121.49550400000001</v>
      </c>
      <c r="AL7" cm="1">
        <f t="array" ref="AL7">_xlfn.IFNA(INDEX(Table14[Vigtuð vísitala],MATCH(1,(AL$2=Table14[Column1])*($X7=Table14[Year]),0)),"")</f>
        <v>127.35867600000002</v>
      </c>
      <c r="AM7" cm="1">
        <f t="array" ref="AM7">_xlfn.IFNA(INDEX(Table14[Vigtuð vísitala],MATCH(1,(AM$2=Table14[Column1])*($X7=Table14[Year]),0)),"")</f>
        <v>110.11279999999999</v>
      </c>
      <c r="AN7" cm="1">
        <f t="array" ref="AN7">_xlfn.IFNA(INDEX(Table14[Vigtuð vísitala],MATCH(1,(AN$2=Table14[Column1])*($X7=Table14[Year]),0)),"")</f>
        <v>104.79909600000001</v>
      </c>
      <c r="AO7" cm="1">
        <f t="array" ref="AO7">_xlfn.IFNA(INDEX(Table14[Vigtuð vísitala],MATCH(1,(AO$2=Table14[Column1])*($X7=Table14[Year]),0)),"")</f>
        <v>106.08</v>
      </c>
      <c r="AP7" t="str" cm="1">
        <f t="array" ref="AP7">_xlfn.IFNA(INDEX(Table14[Vigtuð vísitala],MATCH(1,(AP$2=Table14[Column1])*($X7=Table14[Year]),0)),"")</f>
        <v/>
      </c>
      <c r="AQ7" cm="1">
        <f t="array" ref="AQ7">_xlfn.IFNA(INDEX(Table14[Vigtuð vísitala],MATCH(1,(AQ$2=Table14[Column1])*($X7=Table14[Year]),0)),"")</f>
        <v>112.87912004295121</v>
      </c>
      <c r="AR7" t="str" cm="1">
        <f t="array" ref="AR7">_xlfn.IFNA(INDEX(Table14[Vigtuð vísitala],MATCH(1,(AR$2=Table14[Column1])*($X7=Table14[Year]),0)),"")</f>
        <v/>
      </c>
      <c r="AS7" t="str" cm="1">
        <f t="array" ref="AS7">_xlfn.IFNA(INDEX(Table14[Vigtuð vísitala],MATCH(1,(AS$2=Table14[Column1])*($X7=Table14[Year]),0)),"")</f>
        <v/>
      </c>
      <c r="AT7" cm="1">
        <f t="array" ref="AT7">_xlfn.IFNA(INDEX(Table14[Vigtuð vísitala],MATCH(1,(AT$2=Table14[Column1])*($X7=Table14[Year]),0)),"")</f>
        <v>108.31834751596328</v>
      </c>
      <c r="AU7" t="str" cm="1">
        <f t="array" ref="AU7">_xlfn.IFNA(INDEX(Table14[Vigtuð vísitala],MATCH(1,(AU$2=Table14[Column1])*($X7=Table14[Year]),0)),"")</f>
        <v/>
      </c>
      <c r="AV7" t="str" cm="1">
        <f t="array" ref="AV7">_xlfn.IFNA(INDEX(Table14[Vigtuð vísitala],MATCH(1,(AV$2=Table14[Column1])*($X7=Table14[Year]),0)),"")</f>
        <v/>
      </c>
      <c r="AW7" t="str" cm="1">
        <f t="array" ref="AW7">_xlfn.IFNA(INDEX(Table14[Vigtuð vísitala],MATCH(1,(AW$2=Table14[Column1])*($X7=Table14[Year]),0)),"")</f>
        <v/>
      </c>
      <c r="AX7" cm="1">
        <f t="array" ref="AX7">_xlfn.IFNA(INDEX(Table14[Vigtuð vísitala],MATCH(1,(AX$2=Table14[Column1])*($X7=Table14[Year]),0)),"")</f>
        <v>116.66073599999999</v>
      </c>
      <c r="AY7" cm="1">
        <f t="array" ref="AY7">_xlfn.IFNA(INDEX(Table14[Vigtuð vísitala],MATCH(1,(AY$2=Table14[Column1])*($X7=Table14[Year]),0)),"")</f>
        <v>112.48545373300415</v>
      </c>
      <c r="AZ7" cm="1">
        <f t="array" ref="AZ7">_xlfn.IFNA(INDEX(Table14[Vigtuð vísitala],MATCH(1,(AZ$2=Table14[Column1])*($X7=Table14[Year]),0)),"")</f>
        <v>131.06815200000003</v>
      </c>
      <c r="BA7" cm="1">
        <f t="array" ref="BA7">_xlfn.IFNA(INDEX(Table14[Vigtuð vísitala],MATCH(1,(BA$2=Table14[Column1])*($X7=Table14[Year]),0)),"")</f>
        <v>102.68939405502293</v>
      </c>
      <c r="BB7" cm="1">
        <f t="array" ref="BB7">_xlfn.IFNA(INDEX(Table14[Vigtuð vísitala],MATCH(1,(BB$2=Table14[Column1])*($X7=Table14[Year]),0)),"")</f>
        <v>99.651551999999995</v>
      </c>
      <c r="BC7" cm="1">
        <f t="array" ref="BC7">_xlfn.IFNA(INDEX(Table14[Vigtuð vísitala],MATCH(1,(BC$2=Table14[Column1])*($X7=Table14[Year]),0)),"")</f>
        <v>122.69712000000003</v>
      </c>
      <c r="BD7" cm="1">
        <f t="array" ref="BD7">_xlfn.IFNA(INDEX(Table14[Vigtuð vísitala],MATCH(1,(BD$2=Table14[Column1])*($X7=Table14[Year]),0)),"")</f>
        <v>104.28134399999999</v>
      </c>
      <c r="BE7" cm="1">
        <f t="array" ref="BE7">_xlfn.IFNA(INDEX(Table14[Vigtuð vísitala],MATCH(1,(BE$2=Table14[Column1])*($X7=Table14[Year]),0)),"")</f>
        <v>104.91364800000001</v>
      </c>
      <c r="BF7" t="str" cm="1">
        <f t="array" ref="BF7">_xlfn.IFNA(INDEX(Table14[Vigtuð vísitala],MATCH(1,(BF$2=Table14[Column1])*($X7=Table14[Year]),0)),"")</f>
        <v/>
      </c>
      <c r="BG7" cm="1">
        <f t="array" ref="BG7">_xlfn.IFNA(INDEX(Table14[Vigtuð vísitala],MATCH(1,(BG$2=Table14[Column1])*($X7=Table14[Year]),0)),"")</f>
        <v>110.3336</v>
      </c>
      <c r="BH7" cm="1">
        <f t="array" ref="BH7">_xlfn.IFNA(INDEX(Table14[Vigtuð vísitala],MATCH(1,(BH$2=Table14[Column1])*($X7=Table14[Year]),0)),"")</f>
        <v>118.0998</v>
      </c>
      <c r="BI7" cm="1">
        <f t="array" ref="BI7">_xlfn.IFNA(INDEX(Table14[Vigtuð vísitala],MATCH(1,(BI$2=Table14[Column1])*($X7=Table14[Year]),0)),"")</f>
        <v>112.15605599999999</v>
      </c>
      <c r="BJ7" cm="1">
        <f t="array" ref="BJ7">_xlfn.IFNA(INDEX(Table14[Vigtuð vísitala],MATCH(1,(BJ$2=Table14[Column1])*($X7=Table14[Year]),0)),"")</f>
        <v>108.12692800000001</v>
      </c>
      <c r="BK7" cm="1">
        <f t="array" ref="BK7">_xlfn.IFNA(INDEX(Table14[Vigtuð vísitala],MATCH(1,(BK$2=Table14[Column1])*($X7=Table14[Year]),0)),"")</f>
        <v>112.08185622320957</v>
      </c>
      <c r="BL7" t="str" cm="1">
        <f t="array" ref="BL7">_xlfn.IFNA(INDEX(Table14[Vigtuð vísitala],MATCH(1,(BL$2=Table14[Column1])*($X7=Table14[Year]),0)),"")</f>
        <v/>
      </c>
      <c r="BM7" t="str" cm="1">
        <f t="array" ref="BM7">_xlfn.IFNA(INDEX(Table14[Vigtuð vísitala],MATCH(1,(BM$2=Table14[Column1])*($X7=Table14[Year]),0)),"")</f>
        <v/>
      </c>
      <c r="BN7" t="str" cm="1">
        <f t="array" ref="BN7">_xlfn.IFNA(INDEX(Table14[Vigtuð vísitala],MATCH(1,(BN$2=Table14[Column1])*($X7=Table14[Year]),0)),"")</f>
        <v/>
      </c>
      <c r="BO7" t="str" cm="1">
        <f t="array" ref="BO7">_xlfn.IFNA(INDEX(Table14[Vigtuð vísitala],MATCH(1,(BO$2=Table14[Column1])*($X7=Table14[Year]),0)),"")</f>
        <v/>
      </c>
      <c r="BP7" cm="1">
        <f t="array" ref="BP7">_xlfn.IFNA(INDEX(Table14[Vigtuð vísitala],MATCH(1,(BP$2=Table14[Column1])*($X7=Table14[Year]),0)),"")</f>
        <v>95.178240000000002</v>
      </c>
      <c r="BQ7" cm="1">
        <f t="array" ref="BQ7">_xlfn.IFNA(INDEX(Table14[Vigtuð vísitala],MATCH(1,(BQ$2=Table14[Column1])*($X7=Table14[Year]),0)),"")</f>
        <v>113.97694000000001</v>
      </c>
      <c r="BR7" cm="1">
        <f t="array" ref="BR7">_xlfn.IFNA(INDEX(Table14[Vigtuð vísitala],MATCH(1,(BR$2=Table14[Column1])*($X7=Table14[Year]),0)),"")</f>
        <v>105.44092055249187</v>
      </c>
      <c r="BS7" t="str" cm="1">
        <f t="array" ref="BS7">_xlfn.IFNA(INDEX(Table14[Vigtuð vísitala],MATCH(1,(BS$2=Table14[Column1])*($X7=Table14[Year]),0)),"")</f>
        <v/>
      </c>
      <c r="BT7" t="str" cm="1">
        <f t="array" ref="BT7">_xlfn.IFNA(INDEX(Table14[Vigtuð vísitala],MATCH(1,(BT$2=Table14[Column1])*($X7=Table14[Year]),0)),"")</f>
        <v/>
      </c>
      <c r="BU7" cm="1">
        <f t="array" ref="BU7">_xlfn.IFNA(INDEX(Table14[Vigtuð vísitala],MATCH(1,(BU$2=Table14[Column1])*($X7=Table14[Year]),0)),"")</f>
        <v>121.25454000000001</v>
      </c>
      <c r="BV7" cm="1">
        <f t="array" ref="BV7">_xlfn.IFNA(INDEX(Table14[Vigtuð vísitala],MATCH(1,(BV$2=Table14[Column1])*($X7=Table14[Year]),0)),"")</f>
        <v>116.61833700000001</v>
      </c>
      <c r="BW7" t="str" cm="1">
        <f t="array" ref="BW7">_xlfn.IFNA(INDEX(Table14[Vigtuð vísitala],MATCH(1,(BW$2=Table14[Column1])*($X7=Table14[Year]),0)),"")</f>
        <v/>
      </c>
      <c r="BX7" t="str" cm="1">
        <f t="array" ref="BX7">_xlfn.IFNA(INDEX(Table14[Vigtuð vísitala],MATCH(1,(BX$2=Table14[Column1])*($X7=Table14[Year]),0)),"")</f>
        <v/>
      </c>
      <c r="BY7" cm="1">
        <f t="array" ref="BY7">_xlfn.IFNA(INDEX(Table14[Vigtuð vísitala],MATCH(1,(BY$2=Table14[Column1])*($X7=Table14[Year]),0)),"")</f>
        <v>122.57638600000001</v>
      </c>
      <c r="BZ7" cm="1">
        <f t="array" ref="BZ7">_xlfn.IFNA(INDEX(Table14[Vigtuð vísitala],MATCH(1,(BZ$2=Table14[Column1])*($X7=Table14[Year]),0)),"")</f>
        <v>118.82112000000001</v>
      </c>
      <c r="CA7" t="str" cm="1">
        <f t="array" ref="CA7">_xlfn.IFNA(INDEX(Table14[Vigtuð vísitala],MATCH(1,(CA$2=Table14[Column1])*($X7=Table14[Year]),0)),"")</f>
        <v/>
      </c>
      <c r="CB7" cm="1">
        <f t="array" ref="CB7">_xlfn.IFNA(INDEX(Table14[Vigtuð vísitala],MATCH(1,(CB$2=Table14[Column1])*($X7=Table14[Year]),0)),"")</f>
        <v>119.22456000000001</v>
      </c>
      <c r="CC7" cm="1">
        <f t="array" ref="CC7">_xlfn.IFNA(INDEX(Table14[Vigtuð vísitala],MATCH(1,(CC$2=Table14[Column1])*($X7=Table14[Year]),0)),"")</f>
        <v>116.15788800000001</v>
      </c>
      <c r="CD7" t="str" cm="1">
        <f t="array" ref="CD7">_xlfn.IFNA(INDEX(Table14[Vigtuð vísitala],MATCH(1,(CD$2=Table14[Column1])*($X7=Table14[Year]),0)),"")</f>
        <v/>
      </c>
      <c r="CE7" cm="1">
        <f t="array" ref="CE7">_xlfn.IFNA(INDEX(Table14[Vigtuð vísitala],MATCH(1,(CE$2=Table14[Column1])*($X7=Table14[Year]),0)),"")</f>
        <v>120.12890000000002</v>
      </c>
      <c r="CF7" cm="1">
        <f t="array" ref="CF7">_xlfn.IFNA(INDEX(Table14[Vigtuð vísitala],MATCH(1,(CF$2=Table14[Column1])*($X7=Table14[Year]),0)),"")</f>
        <v>121.66308000000002</v>
      </c>
      <c r="CG7" cm="1">
        <f t="array" ref="CG7">_xlfn.IFNA(INDEX(Table14[Vigtuð vísitala],MATCH(1,(CG$2=Table14[Column1])*($X7=Table14[Year]),0)),"")</f>
        <v>120.16252800000002</v>
      </c>
      <c r="CH7" cm="1">
        <f t="array" ref="CH7">_xlfn.IFNA(INDEX(Table14[Vigtuð vísitala],MATCH(1,(CH$2=Table14[Column1])*($X7=Table14[Year]),0)),"")</f>
        <v>110.292</v>
      </c>
      <c r="CI7" cm="1">
        <f t="array" ref="CI7">_xlfn.IFNA(INDEX(Table14[Vigtuð vísitala],MATCH(1,(CI$2=Table14[Column1])*($X7=Table14[Year]),0)),"")</f>
        <v>123.71853600000001</v>
      </c>
      <c r="CJ7" cm="1">
        <f t="array" ref="CJ7">_xlfn.IFNA(INDEX(Table14[Vigtuð vísitala],MATCH(1,(CJ$2=Table14[Column1])*($X7=Table14[Year]),0)),"")</f>
        <v>66.923493662329264</v>
      </c>
      <c r="CK7" cm="1">
        <f t="array" ref="CK7">_xlfn.IFNA(INDEX(Table14[Vigtuð vísitala],MATCH(1,(CK$2=Table14[Column1])*($X7=Table14[Year]),0)),"")</f>
        <v>115.6884</v>
      </c>
      <c r="CL7" cm="1">
        <f t="array" ref="CL7">_xlfn.IFNA(INDEX(Table14[Vigtuð vísitala],MATCH(1,(CL$2=Table14[Column1])*($X7=Table14[Year]),0)),"")</f>
        <v>108.35472000000001</v>
      </c>
      <c r="CM7" t="str" cm="1">
        <f t="array" ref="CM7">_xlfn.IFNA(INDEX(Table14[Vigtuð vísitala],MATCH(1,(CM$2=Table14[Column1])*($X7=Table14[Year]),0)),"")</f>
        <v/>
      </c>
      <c r="CN7" cm="1">
        <f t="array" ref="CN7">_xlfn.IFNA(INDEX(Table14[Vigtuð vísitala],MATCH(1,(CN$2=Table14[Column1])*($X7=Table14[Year]),0)),"")</f>
        <v>103.75757498897536</v>
      </c>
      <c r="CO7" t="str" cm="1">
        <f t="array" ref="CO7">_xlfn.IFNA(INDEX(Table14[Vigtuð vísitala],MATCH(1,(CO$2=Table14[Column1])*($X7=Table14[Year]),0)),"")</f>
        <v/>
      </c>
      <c r="CP7" t="str" cm="1">
        <f t="array" ref="CP7">_xlfn.IFNA(INDEX(Table14[Vigtuð vísitala],MATCH(1,(CP$2=Table14[Column1])*($X7=Table14[Year]),0)),"")</f>
        <v/>
      </c>
      <c r="CQ7" cm="1">
        <f t="array" ref="CQ7">_xlfn.IFNA(INDEX(Table14[Vigtuð vísitala],MATCH(1,(CQ$2=Table14[Column1])*($X7=Table14[Year]),0)),"")</f>
        <v>112.12776000000002</v>
      </c>
      <c r="CR7" cm="1">
        <f t="array" ref="CR7">_xlfn.IFNA(INDEX(Table14[Vigtuð vísitala],MATCH(1,(CR$2=Table14[Column1])*($X7=Table14[Year]),0)),"")</f>
        <v>119.726208</v>
      </c>
      <c r="CS7" cm="1">
        <f t="array" ref="CS7">_xlfn.IFNA(INDEX(Table14[Vigtuð vísitala],MATCH(1,(CS$2=Table14[Column1])*($X7=Table14[Year]),0)),"")</f>
        <v>107.60688000000002</v>
      </c>
      <c r="CT7" cm="1">
        <f t="array" ref="CT7">_xlfn.IFNA(INDEX(Table14[Vigtuð vísitala],MATCH(1,(CT$2=Table14[Column1])*($X7=Table14[Year]),0)),"")</f>
        <v>116.07359999999998</v>
      </c>
      <c r="CU7" cm="1">
        <f t="array" ref="CU7">_xlfn.IFNA(INDEX(Table14[Vigtuð vísitala],MATCH(1,(CU$2=Table14[Column1])*($X7=Table14[Year]),0)),"")</f>
        <v>116.78450799999999</v>
      </c>
      <c r="CV7" cm="1">
        <f t="array" ref="CV7">_xlfn.IFNA(INDEX(Table14[Vigtuð vísitala],MATCH(1,(CV$2=Table14[Column1])*($X7=Table14[Year]),0)),"")</f>
        <v>116.81009999999998</v>
      </c>
      <c r="CW7" cm="1">
        <f t="array" ref="CW7">_xlfn.IFNA(INDEX(Table14[Vigtuð vísitala],MATCH(1,(CW$2=Table14[Column1])*($X7=Table14[Year]),0)),"")</f>
        <v>107.73000000000002</v>
      </c>
      <c r="CX7" t="str" cm="1">
        <f t="array" ref="CX7">_xlfn.IFNA(INDEX(Table14[Vigtuð vísitala],MATCH(1,(CX$2=Table14[Column1])*($X7=Table14[Year]),0)),"")</f>
        <v/>
      </c>
      <c r="CY7" t="str" cm="1">
        <f t="array" ref="CY7">_xlfn.IFNA(INDEX(Table14[Vigtuð vísitala],MATCH(1,(CY$2=Table14[Column1])*($X7=Table14[Year]),0)),"")</f>
        <v/>
      </c>
      <c r="CZ7" cm="1">
        <f t="array" ref="CZ7">_xlfn.IFNA(INDEX(Table14[Vigtuð vísitala],MATCH(1,(CZ$2=Table14[Column1])*($X7=Table14[Year]),0)),"")</f>
        <v>118.68439999999998</v>
      </c>
      <c r="DA7" cm="1">
        <f t="array" ref="DA7">_xlfn.IFNA(INDEX(Table14[Vigtuð vísitala],MATCH(1,(DA$2=Table14[Column1])*($X7=Table14[Year]),0)),"")</f>
        <v>123.32819999999998</v>
      </c>
      <c r="DB7" cm="1">
        <f t="array" ref="DB7">_xlfn.IFNA(INDEX(Table14[Vigtuð vísitala],MATCH(1,(DB$2=Table14[Column1])*($X7=Table14[Year]),0)),"")</f>
        <v>109.21849998839512</v>
      </c>
      <c r="DC7" cm="1">
        <f t="array" ref="DC7">_xlfn.IFNA(INDEX(Table14[Vigtuð vísitala],MATCH(1,(DC$2=Table14[Column1])*($X7=Table14[Year]),0)),"")</f>
        <v>121.31064000000002</v>
      </c>
      <c r="DD7" t="str" cm="1">
        <f t="array" ref="DD7">_xlfn.IFNA(INDEX(Table14[Vigtuð vísitala],MATCH(1,(DD$2=Table14[Column1])*($X7=Table14[Year]),0)),"")</f>
        <v/>
      </c>
      <c r="DE7" t="str" cm="1">
        <f t="array" ref="DE7">_xlfn.IFNA(INDEX(Table14[Vigtuð vísitala],MATCH(1,(DE$2=Table14[Column1])*($X7=Table14[Year]),0)),"")</f>
        <v/>
      </c>
      <c r="DF7" cm="1">
        <f t="array" ref="DF7">_xlfn.IFNA(INDEX(Table14[Vigtuð vísitala],MATCH(1,(DF$2=Table14[Column1])*($X7=Table14[Year]),0)),"")</f>
        <v>126.0213461404559</v>
      </c>
    </row>
    <row r="8" spans="1:110">
      <c r="A8" t="s">
        <v>54</v>
      </c>
      <c r="B8">
        <v>2009</v>
      </c>
      <c r="C8" s="16">
        <v>0</v>
      </c>
      <c r="D8" s="1">
        <v>42395259</v>
      </c>
      <c r="E8" s="29">
        <f>Table14[[#This Row],[Ávöxtun]]*Table14[[#This Row],[Eignir]]/SUMIFS(Table14[Eignir],Table14[Year],Table14[[#This Row],[Year]])</f>
        <v>0</v>
      </c>
      <c r="F8" s="23" t="e">
        <f>IF(B8=1997, 100, IF(COUNTIF(A$1:A7,A8)=0, "NEW", F7*(1+Table14[[#This Row],[Ávöxtun]])))</f>
        <v>#VALUE!</v>
      </c>
      <c r="G8" s="18" t="str" cm="1">
        <f t="array" ref="G8">IFERROR(_xlfn.IFS(ISNUMBER(Table14[[#This Row],[Column3]]),Table14[[#This Row],[Column3]],Table14[[#This Row],[Column3]]="NEW",Table14[[#This Row],[Column3]]),"")</f>
        <v/>
      </c>
      <c r="H8" s="15" cm="1">
        <f t="array" ref="H8">_xlfn.IFS(Table14[[#This Row],[Column4]]="NEW",AVERAGEIFS(Table14[Column4],Table14[Year],Table14[[#This Row],[Year]]),ISNUMBER(Table14[[#This Row],[Column4]]),Table14[[#This Row],[Column4]],Table14[[#This Row],[Column4]]="",H7*(1+Table14[[#This Row],[Ávöxtun]]))</f>
        <v>104.71419069854615</v>
      </c>
      <c r="I8" cm="1">
        <f t="array" ref="I8">_xlfn.IFS(Table14[[#This Row],[Column4]]="NEW",_xlfn.XLOOKUP(Table14[[#This Row],[Year]],$M$2:$M$27,$O$2:$O$27),ISNUMBER(Table14[[#This Row],[Column4]]),Table14[[#This Row],[Column4]],Table14[[#This Row],[Column4]]="",I7*(1+Table14[[#This Row],[Ávöxtun]]))</f>
        <v>110.58331132346325</v>
      </c>
      <c r="K8" s="25"/>
      <c r="L8" s="33">
        <v>110.58331132346325</v>
      </c>
      <c r="M8">
        <v>2002</v>
      </c>
      <c r="N8" s="27">
        <f>SUMIFS(Table14[Column2],Table14[Year],M8)</f>
        <v>-1.3712975398049009E-2</v>
      </c>
      <c r="O8">
        <f t="shared" si="0"/>
        <v>115.4242366788973</v>
      </c>
      <c r="P8" s="26" cm="1">
        <f t="array" ref="P8">_xlfn.QUARTILE.EXC(IF($B$2:$B$939 = M8, $I$2:$I$939), 3)</f>
        <v>121.12854048</v>
      </c>
      <c r="Q8" s="26" cm="1">
        <f t="array" ref="Q8">_xlfn.QUARTILE.EXC(IF($B$2:$B$939 = M8, $I$2:$I$939), 1)</f>
        <v>104.93400960000001</v>
      </c>
      <c r="R8" s="26" cm="1">
        <f t="array" ref="R8">_xlfn.QUARTILE.EXC(IF($B$2:$B$939 = M8, $I$2:$I$939), 2)</f>
        <v>111.99430655999998</v>
      </c>
      <c r="S8" s="17" cm="1">
        <f t="array" ref="S8">_xlfn.QUARTILE.EXC(IF($B$2:$B$939 = M8, $C$2:$C$939), 3)</f>
        <v>0.03</v>
      </c>
      <c r="T8" s="17" cm="1">
        <f t="array" ref="T8">_xlfn.QUARTILE.EXC(IF($B$2:$B$939 = M8, $C$2:$C$939), 1)</f>
        <v>-0.04</v>
      </c>
      <c r="U8" s="17" cm="1">
        <f t="array" ref="U8">_xlfn.QUARTILE.EXC(IF($B$2:$B$939 = M8, $C$2:$C$939), 2)</f>
        <v>-0.02</v>
      </c>
      <c r="X8">
        <v>2002</v>
      </c>
      <c r="Y8">
        <f t="shared" si="1"/>
        <v>115.4242366788973</v>
      </c>
      <c r="Z8" t="str" cm="1">
        <f t="array" ref="Z8">_xlfn.IFNA(INDEX(Table14[Vigtuð vísitala],MATCH(1,(Z$2=Table14[Column1])*($X8=Table14[Year]),0)),"")</f>
        <v/>
      </c>
      <c r="AA8" cm="1">
        <f t="array" ref="AA8">_xlfn.IFNA(INDEX(Table14[Vigtuð vísitala],MATCH(1,(AA$2=Table14[Column1])*($X8=Table14[Year]),0)),"")</f>
        <v>108.27033938410025</v>
      </c>
      <c r="AB8" t="str" cm="1">
        <f t="array" ref="AB8">_xlfn.IFNA(INDEX(Table14[Vigtuð vísitala],MATCH(1,(AB$2=Table14[Column1])*($X8=Table14[Year]),0)),"")</f>
        <v/>
      </c>
      <c r="AC8" t="str" cm="1">
        <f t="array" ref="AC8">_xlfn.IFNA(INDEX(Table14[Vigtuð vísitala],MATCH(1,(AC$2=Table14[Column1])*($X8=Table14[Year]),0)),"")</f>
        <v/>
      </c>
      <c r="AD8" t="str" cm="1">
        <f t="array" ref="AD8">_xlfn.IFNA(INDEX(Table14[Vigtuð vísitala],MATCH(1,(AD$2=Table14[Column1])*($X8=Table14[Year]),0)),"")</f>
        <v/>
      </c>
      <c r="AE8" t="str" cm="1">
        <f t="array" ref="AE8">_xlfn.IFNA(INDEX(Table14[Vigtuð vísitala],MATCH(1,(AE$2=Table14[Column1])*($X8=Table14[Year]),0)),"")</f>
        <v/>
      </c>
      <c r="AF8" t="str" cm="1">
        <f t="array" ref="AF8">_xlfn.IFNA(INDEX(Table14[Vigtuð vísitala],MATCH(1,(AF$2=Table14[Column1])*($X8=Table14[Year]),0)),"")</f>
        <v/>
      </c>
      <c r="AG8" cm="1">
        <f t="array" ref="AG8">_xlfn.IFNA(INDEX(Table14[Vigtuð vísitala],MATCH(1,(AG$2=Table14[Column1])*($X8=Table14[Year]),0)),"")</f>
        <v>107.31456288000001</v>
      </c>
      <c r="AH8" cm="1">
        <f t="array" ref="AH8">_xlfn.IFNA(INDEX(Table14[Vigtuð vísitala],MATCH(1,(AH$2=Table14[Column1])*($X8=Table14[Year]),0)),"")</f>
        <v>108.61185060000001</v>
      </c>
      <c r="AI8" t="str" cm="1">
        <f t="array" ref="AI8">_xlfn.IFNA(INDEX(Table14[Vigtuð vísitala],MATCH(1,(AI$2=Table14[Column1])*($X8=Table14[Year]),0)),"")</f>
        <v/>
      </c>
      <c r="AJ8" cm="1">
        <f t="array" ref="AJ8">_xlfn.IFNA(INDEX(Table14[Vigtuð vísitala],MATCH(1,(AJ$2=Table14[Column1])*($X8=Table14[Year]),0)),"")</f>
        <v>104.93400960000001</v>
      </c>
      <c r="AK8" cm="1">
        <f t="array" ref="AK8">_xlfn.IFNA(INDEX(Table14[Vigtuð vísitala],MATCH(1,(AK$2=Table14[Column1])*($X8=Table14[Year]),0)),"")</f>
        <v>128.78523424000002</v>
      </c>
      <c r="AL8" cm="1">
        <f t="array" ref="AL8">_xlfn.IFNA(INDEX(Table14[Vigtuð vísitala],MATCH(1,(AL$2=Table14[Column1])*($X8=Table14[Year]),0)),"")</f>
        <v>122.26432896000001</v>
      </c>
      <c r="AM8" cm="1">
        <f t="array" ref="AM8">_xlfn.IFNA(INDEX(Table14[Vigtuð vísitala],MATCH(1,(AM$2=Table14[Column1])*($X8=Table14[Year]),0)),"")</f>
        <v>105.708288</v>
      </c>
      <c r="AN8" cm="1">
        <f t="array" ref="AN8">_xlfn.IFNA(INDEX(Table14[Vigtuð vísitala],MATCH(1,(AN$2=Table14[Column1])*($X8=Table14[Year]),0)),"")</f>
        <v>101.65512312</v>
      </c>
      <c r="AO8" cm="1">
        <f t="array" ref="AO8">_xlfn.IFNA(INDEX(Table14[Vigtuð vísitala],MATCH(1,(AO$2=Table14[Column1])*($X8=Table14[Year]),0)),"")</f>
        <v>108.2016</v>
      </c>
      <c r="AP8" t="str" cm="1">
        <f t="array" ref="AP8">_xlfn.IFNA(INDEX(Table14[Vigtuð vísitala],MATCH(1,(AP$2=Table14[Column1])*($X8=Table14[Year]),0)),"")</f>
        <v/>
      </c>
      <c r="AQ8" cm="1">
        <f t="array" ref="AQ8">_xlfn.IFNA(INDEX(Table14[Vigtuð vísitala],MATCH(1,(AQ$2=Table14[Column1])*($X8=Table14[Year]),0)),"")</f>
        <v>102.71999923908561</v>
      </c>
      <c r="AR8" t="str" cm="1">
        <f t="array" ref="AR8">_xlfn.IFNA(INDEX(Table14[Vigtuð vísitala],MATCH(1,(AR$2=Table14[Column1])*($X8=Table14[Year]),0)),"")</f>
        <v/>
      </c>
      <c r="AS8" t="str" cm="1">
        <f t="array" ref="AS8">_xlfn.IFNA(INDEX(Table14[Vigtuð vísitala],MATCH(1,(AS$2=Table14[Column1])*($X8=Table14[Year]),0)),"")</f>
        <v/>
      </c>
      <c r="AT8" cm="1">
        <f t="array" ref="AT8">_xlfn.IFNA(INDEX(Table14[Vigtuð vísitala],MATCH(1,(AT$2=Table14[Column1])*($X8=Table14[Year]),0)),"")</f>
        <v>106.15198056564401</v>
      </c>
      <c r="AU8" t="str" cm="1">
        <f t="array" ref="AU8">_xlfn.IFNA(INDEX(Table14[Vigtuð vísitala],MATCH(1,(AU$2=Table14[Column1])*($X8=Table14[Year]),0)),"")</f>
        <v/>
      </c>
      <c r="AV8" t="str" cm="1">
        <f t="array" ref="AV8">_xlfn.IFNA(INDEX(Table14[Vigtuð vísitala],MATCH(1,(AV$2=Table14[Column1])*($X8=Table14[Year]),0)),"")</f>
        <v/>
      </c>
      <c r="AW8" t="str" cm="1">
        <f t="array" ref="AW8">_xlfn.IFNA(INDEX(Table14[Vigtuð vísitala],MATCH(1,(AW$2=Table14[Column1])*($X8=Table14[Year]),0)),"")</f>
        <v/>
      </c>
      <c r="AX8" cm="1">
        <f t="array" ref="AX8">_xlfn.IFNA(INDEX(Table14[Vigtuð vísitala],MATCH(1,(AX$2=Table14[Column1])*($X8=Table14[Year]),0)),"")</f>
        <v>111.99430655999998</v>
      </c>
      <c r="AY8" cm="1">
        <f t="array" ref="AY8">_xlfn.IFNA(INDEX(Table14[Vigtuð vísitala],MATCH(1,(AY$2=Table14[Column1])*($X8=Table14[Year]),0)),"")</f>
        <v>106.86118104635393</v>
      </c>
      <c r="AZ8" cm="1">
        <f t="array" ref="AZ8">_xlfn.IFNA(INDEX(Table14[Vigtuð vísitala],MATCH(1,(AZ$2=Table14[Column1])*($X8=Table14[Year]),0)),"")</f>
        <v>140.24292264000005</v>
      </c>
      <c r="BA8" t="str" cm="1">
        <f t="array" ref="BA8">_xlfn.IFNA(INDEX(Table14[Vigtuð vísitala],MATCH(1,(BA$2=Table14[Column1])*($X8=Table14[Year]),0)),"")</f>
        <v/>
      </c>
      <c r="BB8" t="str" cm="1">
        <f t="array" ref="BB8">_xlfn.IFNA(INDEX(Table14[Vigtuð vísitala],MATCH(1,(BB$2=Table14[Column1])*($X8=Table14[Year]),0)),"")</f>
        <v/>
      </c>
      <c r="BC8" cm="1">
        <f t="array" ref="BC8">_xlfn.IFNA(INDEX(Table14[Vigtuð vísitala],MATCH(1,(BC$2=Table14[Column1])*($X8=Table14[Year]),0)),"")</f>
        <v>117.78923520000002</v>
      </c>
      <c r="BD8" cm="1">
        <f t="array" ref="BD8">_xlfn.IFNA(INDEX(Table14[Vigtuð vísitala],MATCH(1,(BD$2=Table14[Column1])*($X8=Table14[Year]),0)),"")</f>
        <v>95.938836479999992</v>
      </c>
      <c r="BE8" cm="1">
        <f t="array" ref="BE8">_xlfn.IFNA(INDEX(Table14[Vigtuð vísitala],MATCH(1,(BE$2=Table14[Column1])*($X8=Table14[Year]),0)),"")</f>
        <v>113.30673984000002</v>
      </c>
      <c r="BF8" t="str" cm="1">
        <f t="array" ref="BF8">_xlfn.IFNA(INDEX(Table14[Vigtuð vísitala],MATCH(1,(BF$2=Table14[Column1])*($X8=Table14[Year]),0)),"")</f>
        <v/>
      </c>
      <c r="BG8" cm="1">
        <f t="array" ref="BG8">_xlfn.IFNA(INDEX(Table14[Vigtuð vísitala],MATCH(1,(BG$2=Table14[Column1])*($X8=Table14[Year]),0)),"")</f>
        <v>114.74694400000001</v>
      </c>
      <c r="BH8" cm="1">
        <f t="array" ref="BH8">_xlfn.IFNA(INDEX(Table14[Vigtuð vísitala],MATCH(1,(BH$2=Table14[Column1])*($X8=Table14[Year]),0)),"")</f>
        <v>124.00479000000001</v>
      </c>
      <c r="BI8" cm="1">
        <f t="array" ref="BI8">_xlfn.IFNA(INDEX(Table14[Vigtuð vísitala],MATCH(1,(BI$2=Table14[Column1])*($X8=Table14[Year]),0)),"")</f>
        <v>121.12854048</v>
      </c>
      <c r="BJ8" cm="1">
        <f t="array" ref="BJ8">_xlfn.IFNA(INDEX(Table14[Vigtuð vísitala],MATCH(1,(BJ$2=Table14[Column1])*($X8=Table14[Year]),0)),"")</f>
        <v>110.28946656000001</v>
      </c>
      <c r="BK8" cm="1">
        <f t="array" ref="BK8">_xlfn.IFNA(INDEX(Table14[Vigtuð vísitala],MATCH(1,(BK$2=Table14[Column1])*($X8=Table14[Year]),0)),"")</f>
        <v>104.2361262875849</v>
      </c>
      <c r="BL8" t="str" cm="1">
        <f t="array" ref="BL8">_xlfn.IFNA(INDEX(Table14[Vigtuð vísitala],MATCH(1,(BL$2=Table14[Column1])*($X8=Table14[Year]),0)),"")</f>
        <v/>
      </c>
      <c r="BM8" t="str" cm="1">
        <f t="array" ref="BM8">_xlfn.IFNA(INDEX(Table14[Vigtuð vísitala],MATCH(1,(BM$2=Table14[Column1])*($X8=Table14[Year]),0)),"")</f>
        <v/>
      </c>
      <c r="BN8" t="str" cm="1">
        <f t="array" ref="BN8">_xlfn.IFNA(INDEX(Table14[Vigtuð vísitala],MATCH(1,(BN$2=Table14[Column1])*($X8=Table14[Year]),0)),"")</f>
        <v/>
      </c>
      <c r="BO8" t="str" cm="1">
        <f t="array" ref="BO8">_xlfn.IFNA(INDEX(Table14[Vigtuð vísitala],MATCH(1,(BO$2=Table14[Column1])*($X8=Table14[Year]),0)),"")</f>
        <v/>
      </c>
      <c r="BP8" cm="1">
        <f t="array" ref="BP8">_xlfn.IFNA(INDEX(Table14[Vigtuð vísitala],MATCH(1,(BP$2=Table14[Column1])*($X8=Table14[Year]),0)),"")</f>
        <v>84.708633599999999</v>
      </c>
      <c r="BQ8" cm="1">
        <f t="array" ref="BQ8">_xlfn.IFNA(INDEX(Table14[Vigtuð vísitala],MATCH(1,(BQ$2=Table14[Column1])*($X8=Table14[Year]),0)),"")</f>
        <v>108.27809300000001</v>
      </c>
      <c r="BR8" cm="1">
        <f t="array" ref="BR8">_xlfn.IFNA(INDEX(Table14[Vigtuð vísitala],MATCH(1,(BR$2=Table14[Column1])*($X8=Table14[Year]),0)),"")</f>
        <v>105.44092055249187</v>
      </c>
      <c r="BS8" t="str" cm="1">
        <f t="array" ref="BS8">_xlfn.IFNA(INDEX(Table14[Vigtuð vísitala],MATCH(1,(BS$2=Table14[Column1])*($X8=Table14[Year]),0)),"")</f>
        <v/>
      </c>
      <c r="BT8" t="str" cm="1">
        <f t="array" ref="BT8">_xlfn.IFNA(INDEX(Table14[Vigtuð vísitala],MATCH(1,(BT$2=Table14[Column1])*($X8=Table14[Year]),0)),"")</f>
        <v/>
      </c>
      <c r="BU8" cm="1">
        <f t="array" ref="BU8">_xlfn.IFNA(INDEX(Table14[Vigtuð vísitala],MATCH(1,(BU$2=Table14[Column1])*($X8=Table14[Year]),0)),"")</f>
        <v>124.89217620000001</v>
      </c>
      <c r="BV8" cm="1">
        <f t="array" ref="BV8">_xlfn.IFNA(INDEX(Table14[Vigtuð vísitala],MATCH(1,(BV$2=Table14[Column1])*($X8=Table14[Year]),0)),"")</f>
        <v>113.11978689000001</v>
      </c>
      <c r="BW8" t="str" cm="1">
        <f t="array" ref="BW8">_xlfn.IFNA(INDEX(Table14[Vigtuð vísitala],MATCH(1,(BW$2=Table14[Column1])*($X8=Table14[Year]),0)),"")</f>
        <v/>
      </c>
      <c r="BX8" t="str" cm="1">
        <f t="array" ref="BX8">_xlfn.IFNA(INDEX(Table14[Vigtuð vísitala],MATCH(1,(BX$2=Table14[Column1])*($X8=Table14[Year]),0)),"")</f>
        <v/>
      </c>
      <c r="BY8" cm="1">
        <f t="array" ref="BY8">_xlfn.IFNA(INDEX(Table14[Vigtuð vísitala],MATCH(1,(BY$2=Table14[Column1])*($X8=Table14[Year]),0)),"")</f>
        <v>126.25367758000002</v>
      </c>
      <c r="BZ8" cm="1">
        <f t="array" ref="BZ8">_xlfn.IFNA(INDEX(Table14[Vigtuð vísitala],MATCH(1,(BZ$2=Table14[Column1])*($X8=Table14[Year]),0)),"")</f>
        <v>116.44469760000001</v>
      </c>
      <c r="CA8" t="str" cm="1">
        <f t="array" ref="CA8">_xlfn.IFNA(INDEX(Table14[Vigtuð vísitala],MATCH(1,(CA$2=Table14[Column1])*($X8=Table14[Year]),0)),"")</f>
        <v/>
      </c>
      <c r="CB8" cm="1">
        <f t="array" ref="CB8">_xlfn.IFNA(INDEX(Table14[Vigtuð vísitala],MATCH(1,(CB$2=Table14[Column1])*($X8=Table14[Year]),0)),"")</f>
        <v>123.99354240000001</v>
      </c>
      <c r="CC8" cm="1">
        <f t="array" ref="CC8">_xlfn.IFNA(INDEX(Table14[Vigtuð vísitala],MATCH(1,(CC$2=Table14[Column1])*($X8=Table14[Year]),0)),"")</f>
        <v>116.15788800000001</v>
      </c>
      <c r="CD8" t="str" cm="1">
        <f t="array" ref="CD8">_xlfn.IFNA(INDEX(Table14[Vigtuð vísitala],MATCH(1,(CD$2=Table14[Column1])*($X8=Table14[Year]),0)),"")</f>
        <v/>
      </c>
      <c r="CE8" cm="1">
        <f t="array" ref="CE8">_xlfn.IFNA(INDEX(Table14[Vigtuð vísitala],MATCH(1,(CE$2=Table14[Column1])*($X8=Table14[Year]),0)),"")</f>
        <v>117.72632200000001</v>
      </c>
      <c r="CF8" cm="1">
        <f t="array" ref="CF8">_xlfn.IFNA(INDEX(Table14[Vigtuð vísitala],MATCH(1,(CF$2=Table14[Column1])*($X8=Table14[Year]),0)),"")</f>
        <v>127.74623400000003</v>
      </c>
      <c r="CG8" cm="1">
        <f t="array" ref="CG8">_xlfn.IFNA(INDEX(Table14[Vigtuð vísitala],MATCH(1,(CG$2=Table14[Column1])*($X8=Table14[Year]),0)),"")</f>
        <v>110.54952576000002</v>
      </c>
      <c r="CH8" cm="1">
        <f t="array" ref="CH8">_xlfn.IFNA(INDEX(Table14[Vigtuð vísitala],MATCH(1,(CH$2=Table14[Column1])*($X8=Table14[Year]),0)),"")</f>
        <v>113.60076000000001</v>
      </c>
      <c r="CI8" cm="1">
        <f t="array" ref="CI8">_xlfn.IFNA(INDEX(Table14[Vigtuð vísitala],MATCH(1,(CI$2=Table14[Column1])*($X8=Table14[Year]),0)),"")</f>
        <v>134.85320424000003</v>
      </c>
      <c r="CJ8" cm="1">
        <f t="array" ref="CJ8">_xlfn.IFNA(INDEX(Table14[Vigtuð vísitala],MATCH(1,(CJ$2=Table14[Column1])*($X8=Table14[Year]),0)),"")</f>
        <v>63.577318979212798</v>
      </c>
      <c r="CK8" cm="1">
        <f t="array" ref="CK8">_xlfn.IFNA(INDEX(Table14[Vigtuð vísitala],MATCH(1,(CK$2=Table14[Column1])*($X8=Table14[Year]),0)),"")</f>
        <v>123.78658800000001</v>
      </c>
      <c r="CL8" cm="1">
        <f t="array" ref="CL8">_xlfn.IFNA(INDEX(Table14[Vigtuð vísitala],MATCH(1,(CL$2=Table14[Column1])*($X8=Table14[Year]),0)),"")</f>
        <v>104.02053120000001</v>
      </c>
      <c r="CM8" t="str" cm="1">
        <f t="array" ref="CM8">_xlfn.IFNA(INDEX(Table14[Vigtuð vísitala],MATCH(1,(CM$2=Table14[Column1])*($X8=Table14[Year]),0)),"")</f>
        <v/>
      </c>
      <c r="CN8" cm="1">
        <f t="array" ref="CN8">_xlfn.IFNA(INDEX(Table14[Vigtuð vísitala],MATCH(1,(CN$2=Table14[Column1])*($X8=Table14[Year]),0)),"")</f>
        <v>104.79515073886512</v>
      </c>
      <c r="CO8" t="str" cm="1">
        <f t="array" ref="CO8">_xlfn.IFNA(INDEX(Table14[Vigtuð vísitala],MATCH(1,(CO$2=Table14[Column1])*($X8=Table14[Year]),0)),"")</f>
        <v/>
      </c>
      <c r="CP8" t="str" cm="1">
        <f t="array" ref="CP8">_xlfn.IFNA(INDEX(Table14[Vigtuð vísitala],MATCH(1,(CP$2=Table14[Column1])*($X8=Table14[Year]),0)),"")</f>
        <v/>
      </c>
      <c r="CQ8" cm="1">
        <f t="array" ref="CQ8">_xlfn.IFNA(INDEX(Table14[Vigtuð vísitala],MATCH(1,(CQ$2=Table14[Column1])*($X8=Table14[Year]),0)),"")</f>
        <v>99.793706400000019</v>
      </c>
      <c r="CR8" cm="1">
        <f t="array" ref="CR8">_xlfn.IFNA(INDEX(Table14[Vigtuð vísitala],MATCH(1,(CR$2=Table14[Column1])*($X8=Table14[Year]),0)),"")</f>
        <v>116.13442176</v>
      </c>
      <c r="CS8" cm="1">
        <f t="array" ref="CS8">_xlfn.IFNA(INDEX(Table14[Vigtuð vísitala],MATCH(1,(CS$2=Table14[Column1])*($X8=Table14[Year]),0)),"")</f>
        <v>109.75901760000002</v>
      </c>
      <c r="CT8" cm="1">
        <f t="array" ref="CT8">_xlfn.IFNA(INDEX(Table14[Vigtuð vísitala],MATCH(1,(CT$2=Table14[Column1])*($X8=Table14[Year]),0)),"")</f>
        <v>116.07359999999998</v>
      </c>
      <c r="CU8" cm="1">
        <f t="array" ref="CU8">_xlfn.IFNA(INDEX(Table14[Vigtuð vísitala],MATCH(1,(CU$2=Table14[Column1])*($X8=Table14[Year]),0)),"")</f>
        <v>116.78450799999999</v>
      </c>
      <c r="CV8" cm="1">
        <f t="array" ref="CV8">_xlfn.IFNA(INDEX(Table14[Vigtuð vísitala],MATCH(1,(CV$2=Table14[Column1])*($X8=Table14[Year]),0)),"")</f>
        <v>115.64199899999997</v>
      </c>
      <c r="CW8" cm="1">
        <f t="array" ref="CW8">_xlfn.IFNA(INDEX(Table14[Vigtuð vísitala],MATCH(1,(CW$2=Table14[Column1])*($X8=Table14[Year]),0)),"")</f>
        <v>103.42080000000001</v>
      </c>
      <c r="CX8" t="str" cm="1">
        <f t="array" ref="CX8">_xlfn.IFNA(INDEX(Table14[Vigtuð vísitala],MATCH(1,(CX$2=Table14[Column1])*($X8=Table14[Year]),0)),"")</f>
        <v/>
      </c>
      <c r="CY8" t="str" cm="1">
        <f t="array" ref="CY8">_xlfn.IFNA(INDEX(Table14[Vigtuð vísitala],MATCH(1,(CY$2=Table14[Column1])*($X8=Table14[Year]),0)),"")</f>
        <v/>
      </c>
      <c r="CZ8" cm="1">
        <f t="array" ref="CZ8">_xlfn.IFNA(INDEX(Table14[Vigtuð vísitala],MATCH(1,(CZ$2=Table14[Column1])*($X8=Table14[Year]),0)),"")</f>
        <v>96.134363999999991</v>
      </c>
      <c r="DA8" cm="1">
        <f t="array" ref="DA8">_xlfn.IFNA(INDEX(Table14[Vigtuð vísitala],MATCH(1,(DA$2=Table14[Column1])*($X8=Table14[Year]),0)),"")</f>
        <v>125.79476399999999</v>
      </c>
      <c r="DB8" cm="1">
        <f t="array" ref="DB8">_xlfn.IFNA(INDEX(Table14[Vigtuð vísitala],MATCH(1,(DB$2=Table14[Column1])*($X8=Table14[Year]),0)),"")</f>
        <v>104.84975998885932</v>
      </c>
      <c r="DC8" cm="1">
        <f t="array" ref="DC8">_xlfn.IFNA(INDEX(Table14[Vigtuð vísitala],MATCH(1,(DC$2=Table14[Column1])*($X8=Table14[Year]),0)),"")</f>
        <v>121.31064000000002</v>
      </c>
      <c r="DD8" t="str" cm="1">
        <f t="array" ref="DD8">_xlfn.IFNA(INDEX(Table14[Vigtuð vísitala],MATCH(1,(DD$2=Table14[Column1])*($X8=Table14[Year]),0)),"")</f>
        <v/>
      </c>
      <c r="DE8" t="str" cm="1">
        <f t="array" ref="DE8">_xlfn.IFNA(INDEX(Table14[Vigtuð vísitala],MATCH(1,(DE$2=Table14[Column1])*($X8=Table14[Year]),0)),"")</f>
        <v/>
      </c>
      <c r="DF8" t="str" cm="1">
        <f t="array" ref="DF8">_xlfn.IFNA(INDEX(Table14[Vigtuð vísitala],MATCH(1,(DF$2=Table14[Column1])*($X8=Table14[Year]),0)),"")</f>
        <v/>
      </c>
    </row>
    <row r="9" spans="1:110">
      <c r="A9" t="s">
        <v>54</v>
      </c>
      <c r="B9">
        <v>2010</v>
      </c>
      <c r="C9" s="16">
        <v>1.4999999999999999E-2</v>
      </c>
      <c r="D9" s="1">
        <v>46597920</v>
      </c>
      <c r="E9" s="29">
        <f>Table14[[#This Row],[Ávöxtun]]*Table14[[#This Row],[Eignir]]/SUMIFS(Table14[Eignir],Table14[Year],Table14[[#This Row],[Year]])</f>
        <v>3.909688192258078E-4</v>
      </c>
      <c r="F9" s="23" t="e">
        <f>IF(B9=1997, 100, IF(COUNTIF(A$1:A8,A9)=0, "NEW", F8*(1+Table14[[#This Row],[Ávöxtun]])))</f>
        <v>#VALUE!</v>
      </c>
      <c r="G9" s="18" t="str" cm="1">
        <f t="array" ref="G9">IFERROR(_xlfn.IFS(ISNUMBER(Table14[[#This Row],[Column3]]),Table14[[#This Row],[Column3]],Table14[[#This Row],[Column3]]="NEW",Table14[[#This Row],[Column3]]),"")</f>
        <v/>
      </c>
      <c r="H9" s="15" cm="1">
        <f t="array" ref="H9">_xlfn.IFS(Table14[[#This Row],[Column4]]="NEW",AVERAGEIFS(Table14[Column4],Table14[Year],Table14[[#This Row],[Year]]),ISNUMBER(Table14[[#This Row],[Column4]]),Table14[[#This Row],[Column4]],Table14[[#This Row],[Column4]]="",H8*(1+Table14[[#This Row],[Ávöxtun]]))</f>
        <v>106.28490355902433</v>
      </c>
      <c r="I9" cm="1">
        <f t="array" ref="I9">_xlfn.IFS(Table14[[#This Row],[Column4]]="NEW",_xlfn.XLOOKUP(Table14[[#This Row],[Year]],$M$2:$M$27,$O$2:$O$27),ISNUMBER(Table14[[#This Row],[Column4]]),Table14[[#This Row],[Column4]],Table14[[#This Row],[Column4]]="",I8*(1+Table14[[#This Row],[Ávöxtun]]))</f>
        <v>112.24206099331519</v>
      </c>
      <c r="K9" s="25"/>
      <c r="L9" s="33">
        <v>112.24206099331519</v>
      </c>
      <c r="M9">
        <v>2003</v>
      </c>
      <c r="N9" s="27">
        <f>SUMIFS(Table14[Column2],Table14[Year],M9)</f>
        <v>0.15393382447133958</v>
      </c>
      <c r="O9">
        <f t="shared" si="0"/>
        <v>133.19193086756502</v>
      </c>
      <c r="P9" s="26" cm="1">
        <f t="array" ref="P9">_xlfn.QUARTILE.EXC(IF($B$2:$B$939 = M9, $I$2:$I$939), 3)</f>
        <v>133.25437415067378</v>
      </c>
      <c r="Q9" s="26" cm="1">
        <f t="array" ref="Q9">_xlfn.QUARTILE.EXC(IF($B$2:$B$939 = M9, $I$2:$I$939), 1)</f>
        <v>114.72558279120003</v>
      </c>
      <c r="R9" s="26" cm="1">
        <f t="array" ref="R9">_xlfn.QUARTILE.EXC(IF($B$2:$B$939 = M9, $I$2:$I$939), 2)</f>
        <v>125.36712871200002</v>
      </c>
      <c r="S9" s="17" cm="1">
        <f t="array" ref="S9">_xlfn.QUARTILE.EXC(IF($B$2:$B$939 = M9, $C$2:$C$939), 3)</f>
        <v>0.13</v>
      </c>
      <c r="T9" s="17" cm="1">
        <f t="array" ref="T9">_xlfn.QUARTILE.EXC(IF($B$2:$B$939 = M9, $C$2:$C$939), 1)</f>
        <v>8.7499999999999994E-2</v>
      </c>
      <c r="U9" s="17" cm="1">
        <f t="array" ref="U9">_xlfn.QUARTILE.EXC(IF($B$2:$B$939 = M9, $C$2:$C$939), 2)</f>
        <v>0.1</v>
      </c>
      <c r="X9">
        <v>2003</v>
      </c>
      <c r="Y9">
        <f t="shared" si="1"/>
        <v>133.19193086756502</v>
      </c>
      <c r="Z9" cm="1">
        <f t="array" ref="Z9">_xlfn.IFNA(INDEX(Table14[Vigtuð vísitala],MATCH(1,(Z$2=Table14[Column1])*($X9=Table14[Year]),0)),"")</f>
        <v>133.19193086756502</v>
      </c>
      <c r="AA9" t="str" cm="1">
        <f t="array" ref="AA9">_xlfn.IFNA(INDEX(Table14[Vigtuð vísitala],MATCH(1,(AA$2=Table14[Column1])*($X9=Table14[Year]),0)),"")</f>
        <v/>
      </c>
      <c r="AB9" t="str" cm="1">
        <f t="array" ref="AB9">_xlfn.IFNA(INDEX(Table14[Vigtuð vísitala],MATCH(1,(AB$2=Table14[Column1])*($X9=Table14[Year]),0)),"")</f>
        <v/>
      </c>
      <c r="AC9" t="str" cm="1">
        <f t="array" ref="AC9">_xlfn.IFNA(INDEX(Table14[Vigtuð vísitala],MATCH(1,(AC$2=Table14[Column1])*($X9=Table14[Year]),0)),"")</f>
        <v/>
      </c>
      <c r="AD9" t="str" cm="1">
        <f t="array" ref="AD9">_xlfn.IFNA(INDEX(Table14[Vigtuð vísitala],MATCH(1,(AD$2=Table14[Column1])*($X9=Table14[Year]),0)),"")</f>
        <v/>
      </c>
      <c r="AE9" t="str" cm="1">
        <f t="array" ref="AE9">_xlfn.IFNA(INDEX(Table14[Vigtuð vísitala],MATCH(1,(AE$2=Table14[Column1])*($X9=Table14[Year]),0)),"")</f>
        <v/>
      </c>
      <c r="AF9" t="str" cm="1">
        <f t="array" ref="AF9">_xlfn.IFNA(INDEX(Table14[Vigtuð vísitala],MATCH(1,(AF$2=Table14[Column1])*($X9=Table14[Year]),0)),"")</f>
        <v/>
      </c>
      <c r="AG9" cm="1">
        <f t="array" ref="AG9">_xlfn.IFNA(INDEX(Table14[Vigtuð vísitala],MATCH(1,(AG$2=Table14[Column1])*($X9=Table14[Year]),0)),"")</f>
        <v>114.82658228160003</v>
      </c>
      <c r="AH9" cm="1">
        <f t="array" ref="AH9">_xlfn.IFNA(INDEX(Table14[Vigtuð vísitala],MATCH(1,(AH$2=Table14[Column1])*($X9=Table14[Year]),0)),"")</f>
        <v>118.38691715400002</v>
      </c>
      <c r="AI9" t="str" cm="1">
        <f t="array" ref="AI9">_xlfn.IFNA(INDEX(Table14[Vigtuð vísitala],MATCH(1,(AI$2=Table14[Column1])*($X9=Table14[Year]),0)),"")</f>
        <v/>
      </c>
      <c r="AJ9" cm="1">
        <f t="array" ref="AJ9">_xlfn.IFNA(INDEX(Table14[Vigtuð vísitala],MATCH(1,(AJ$2=Table14[Column1])*($X9=Table14[Year]),0)),"")</f>
        <v>113.32873036800002</v>
      </c>
      <c r="AK9" cm="1">
        <f t="array" ref="AK9">_xlfn.IFNA(INDEX(Table14[Vigtuð vísitala],MATCH(1,(AK$2=Table14[Column1])*($X9=Table14[Year]),0)),"")</f>
        <v>140.37590532160004</v>
      </c>
      <c r="AL9" cm="1">
        <f t="array" ref="AL9">_xlfn.IFNA(INDEX(Table14[Vigtuð vísitala],MATCH(1,(AL$2=Table14[Column1])*($X9=Table14[Year]),0)),"")</f>
        <v>134.49076185600003</v>
      </c>
      <c r="AM9" cm="1">
        <f t="array" ref="AM9">_xlfn.IFNA(INDEX(Table14[Vigtuð vísitala],MATCH(1,(AM$2=Table14[Column1])*($X9=Table14[Year]),0)),"")</f>
        <v>114.16495104000001</v>
      </c>
      <c r="AN9" cm="1">
        <f t="array" ref="AN9">_xlfn.IFNA(INDEX(Table14[Vigtuð vísitala],MATCH(1,(AN$2=Table14[Column1])*($X9=Table14[Year]),0)),"")</f>
        <v>108.77098173840001</v>
      </c>
      <c r="AO9" cm="1">
        <f t="array" ref="AO9">_xlfn.IFNA(INDEX(Table14[Vigtuð vísitala],MATCH(1,(AO$2=Table14[Column1])*($X9=Table14[Year]),0)),"")</f>
        <v>109.28361599999999</v>
      </c>
      <c r="AP9" t="str" cm="1">
        <f t="array" ref="AP9">_xlfn.IFNA(INDEX(Table14[Vigtuð vísitala],MATCH(1,(AP$2=Table14[Column1])*($X9=Table14[Year]),0)),"")</f>
        <v/>
      </c>
      <c r="AQ9" cm="1">
        <f t="array" ref="AQ9">_xlfn.IFNA(INDEX(Table14[Vigtuð vísitala],MATCH(1,(AQ$2=Table14[Column1])*($X9=Table14[Year]),0)),"")</f>
        <v>119.15519911733929</v>
      </c>
      <c r="AR9" t="str" cm="1">
        <f t="array" ref="AR9">_xlfn.IFNA(INDEX(Table14[Vigtuð vísitala],MATCH(1,(AR$2=Table14[Column1])*($X9=Table14[Year]),0)),"")</f>
        <v/>
      </c>
      <c r="AS9" t="str" cm="1">
        <f t="array" ref="AS9">_xlfn.IFNA(INDEX(Table14[Vigtuð vísitala],MATCH(1,(AS$2=Table14[Column1])*($X9=Table14[Year]),0)),"")</f>
        <v/>
      </c>
      <c r="AT9" cm="1">
        <f t="array" ref="AT9">_xlfn.IFNA(INDEX(Table14[Vigtuð vísitala],MATCH(1,(AT$2=Table14[Column1])*($X9=Table14[Year]),0)),"")</f>
        <v>116.76717862220842</v>
      </c>
      <c r="AU9" t="str" cm="1">
        <f t="array" ref="AU9">_xlfn.IFNA(INDEX(Table14[Vigtuð vísitala],MATCH(1,(AU$2=Table14[Column1])*($X9=Table14[Year]),0)),"")</f>
        <v/>
      </c>
      <c r="AV9" t="str" cm="1">
        <f t="array" ref="AV9">_xlfn.IFNA(INDEX(Table14[Vigtuð vísitala],MATCH(1,(AV$2=Table14[Column1])*($X9=Table14[Year]),0)),"")</f>
        <v/>
      </c>
      <c r="AW9" t="str" cm="1">
        <f t="array" ref="AW9">_xlfn.IFNA(INDEX(Table14[Vigtuð vísitala],MATCH(1,(AW$2=Table14[Column1])*($X9=Table14[Year]),0)),"")</f>
        <v/>
      </c>
      <c r="AX9" cm="1">
        <f t="array" ref="AX9">_xlfn.IFNA(INDEX(Table14[Vigtuð vísitala],MATCH(1,(AX$2=Table14[Column1])*($X9=Table14[Year]),0)),"")</f>
        <v>126.55356641279997</v>
      </c>
      <c r="AY9" cm="1">
        <f t="array" ref="AY9">_xlfn.IFNA(INDEX(Table14[Vigtuð vísitala],MATCH(1,(AY$2=Table14[Column1])*($X9=Table14[Year]),0)),"")</f>
        <v>118.61591096145288</v>
      </c>
      <c r="AZ9" cm="1">
        <f t="array" ref="AZ9">_xlfn.IFNA(INDEX(Table14[Vigtuð vísitala],MATCH(1,(AZ$2=Table14[Column1])*($X9=Table14[Year]),0)),"")</f>
        <v>151.46235645120007</v>
      </c>
      <c r="BA9" t="str" cm="1">
        <f t="array" ref="BA9">_xlfn.IFNA(INDEX(Table14[Vigtuð vísitala],MATCH(1,(BA$2=Table14[Column1])*($X9=Table14[Year]),0)),"")</f>
        <v/>
      </c>
      <c r="BB9" t="str" cm="1">
        <f t="array" ref="BB9">_xlfn.IFNA(INDEX(Table14[Vigtuð vísitala],MATCH(1,(BB$2=Table14[Column1])*($X9=Table14[Year]),0)),"")</f>
        <v/>
      </c>
      <c r="BC9" cm="1">
        <f t="array" ref="BC9">_xlfn.IFNA(INDEX(Table14[Vigtuð vísitala],MATCH(1,(BC$2=Table14[Column1])*($X9=Table14[Year]),0)),"")</f>
        <v>133.101835776</v>
      </c>
      <c r="BD9" cm="1">
        <f t="array" ref="BD9">_xlfn.IFNA(INDEX(Table14[Vigtuð vísitala],MATCH(1,(BD$2=Table14[Column1])*($X9=Table14[Year]),0)),"")</f>
        <v>104.5733317632</v>
      </c>
      <c r="BE9" cm="1">
        <f t="array" ref="BE9">_xlfn.IFNA(INDEX(Table14[Vigtuð vísitala],MATCH(1,(BE$2=Table14[Column1])*($X9=Table14[Year]),0)),"")</f>
        <v>124.63741382400003</v>
      </c>
      <c r="BF9" t="str" cm="1">
        <f t="array" ref="BF9">_xlfn.IFNA(INDEX(Table14[Vigtuð vísitala],MATCH(1,(BF$2=Table14[Column1])*($X9=Table14[Year]),0)),"")</f>
        <v/>
      </c>
      <c r="BG9" cm="1">
        <f t="array" ref="BG9">_xlfn.IFNA(INDEX(Table14[Vigtuð vísitala],MATCH(1,(BG$2=Table14[Column1])*($X9=Table14[Year]),0)),"")</f>
        <v>120.48429120000002</v>
      </c>
      <c r="BH9" cm="1">
        <f t="array" ref="BH9">_xlfn.IFNA(INDEX(Table14[Vigtuð vísitala],MATCH(1,(BH$2=Table14[Column1])*($X9=Table14[Year]),0)),"")</f>
        <v>130.20502950000002</v>
      </c>
      <c r="BI9" cm="1">
        <f t="array" ref="BI9">_xlfn.IFNA(INDEX(Table14[Vigtuð vísitala],MATCH(1,(BI$2=Table14[Column1])*($X9=Table14[Year]),0)),"")</f>
        <v>123.5511112896</v>
      </c>
      <c r="BJ9" cm="1">
        <f t="array" ref="BJ9">_xlfn.IFNA(INDEX(Table14[Vigtuð vísitala],MATCH(1,(BJ$2=Table14[Column1])*($X9=Table14[Year]),0)),"")</f>
        <v>105.8778878976</v>
      </c>
      <c r="BK9" t="str" cm="1">
        <f t="array" ref="BK9">_xlfn.IFNA(INDEX(Table14[Vigtuð vísitala],MATCH(1,(BK$2=Table14[Column1])*($X9=Table14[Year]),0)),"")</f>
        <v/>
      </c>
      <c r="BL9" t="str" cm="1">
        <f t="array" ref="BL9">_xlfn.IFNA(INDEX(Table14[Vigtuð vísitala],MATCH(1,(BL$2=Table14[Column1])*($X9=Table14[Year]),0)),"")</f>
        <v/>
      </c>
      <c r="BM9" t="str" cm="1">
        <f t="array" ref="BM9">_xlfn.IFNA(INDEX(Table14[Vigtuð vísitala],MATCH(1,(BM$2=Table14[Column1])*($X9=Table14[Year]),0)),"")</f>
        <v/>
      </c>
      <c r="BN9" t="str" cm="1">
        <f t="array" ref="BN9">_xlfn.IFNA(INDEX(Table14[Vigtuð vísitala],MATCH(1,(BN$2=Table14[Column1])*($X9=Table14[Year]),0)),"")</f>
        <v/>
      </c>
      <c r="BO9" t="str" cm="1">
        <f t="array" ref="BO9">_xlfn.IFNA(INDEX(Table14[Vigtuð vísitala],MATCH(1,(BO$2=Table14[Column1])*($X9=Table14[Year]),0)),"")</f>
        <v/>
      </c>
      <c r="BP9" cm="1">
        <f t="array" ref="BP9">_xlfn.IFNA(INDEX(Table14[Vigtuð vísitala],MATCH(1,(BP$2=Table14[Column1])*($X9=Table14[Year]),0)),"")</f>
        <v>94.026583296000013</v>
      </c>
      <c r="BQ9" cm="1">
        <f t="array" ref="BQ9">_xlfn.IFNA(INDEX(Table14[Vigtuð vísitala],MATCH(1,(BQ$2=Table14[Column1])*($X9=Table14[Year]),0)),"")</f>
        <v>120.18868323000002</v>
      </c>
      <c r="BR9" cm="1">
        <f t="array" ref="BR9">_xlfn.IFNA(INDEX(Table14[Vigtuð vísitala],MATCH(1,(BR$2=Table14[Column1])*($X9=Table14[Year]),0)),"")</f>
        <v>124.42028625194041</v>
      </c>
      <c r="BS9" t="str" cm="1">
        <f t="array" ref="BS9">_xlfn.IFNA(INDEX(Table14[Vigtuð vísitala],MATCH(1,(BS$2=Table14[Column1])*($X9=Table14[Year]),0)),"")</f>
        <v/>
      </c>
      <c r="BT9" t="str" cm="1">
        <f t="array" ref="BT9">_xlfn.IFNA(INDEX(Table14[Vigtuð vísitala],MATCH(1,(BT$2=Table14[Column1])*($X9=Table14[Year]),0)),"")</f>
        <v/>
      </c>
      <c r="BU9" cm="1">
        <f t="array" ref="BU9">_xlfn.IFNA(INDEX(Table14[Vigtuð vísitala],MATCH(1,(BU$2=Table14[Column1])*($X9=Table14[Year]),0)),"")</f>
        <v>136.13247205800002</v>
      </c>
      <c r="BV9" cm="1">
        <f t="array" ref="BV9">_xlfn.IFNA(INDEX(Table14[Vigtuð vísitala],MATCH(1,(BV$2=Table14[Column1])*($X9=Table14[Year]),0)),"")</f>
        <v>126.69416131680003</v>
      </c>
      <c r="BW9" t="str" cm="1">
        <f t="array" ref="BW9">_xlfn.IFNA(INDEX(Table14[Vigtuð vísitala],MATCH(1,(BW$2=Table14[Column1])*($X9=Table14[Year]),0)),"")</f>
        <v/>
      </c>
      <c r="BX9" t="str" cm="1">
        <f t="array" ref="BX9">_xlfn.IFNA(INDEX(Table14[Vigtuð vísitala],MATCH(1,(BX$2=Table14[Column1])*($X9=Table14[Year]),0)),"")</f>
        <v/>
      </c>
      <c r="BY9" cm="1">
        <f t="array" ref="BY9">_xlfn.IFNA(INDEX(Table14[Vigtuð vísitala],MATCH(1,(BY$2=Table14[Column1])*($X9=Table14[Year]),0)),"")</f>
        <v>141.40411888960003</v>
      </c>
      <c r="BZ9" cm="1">
        <f t="array" ref="BZ9">_xlfn.IFNA(INDEX(Table14[Vigtuð vísitala],MATCH(1,(BZ$2=Table14[Column1])*($X9=Table14[Year]),0)),"")</f>
        <v>126.92472038400003</v>
      </c>
      <c r="CA9" t="str" cm="1">
        <f t="array" ref="CA9">_xlfn.IFNA(INDEX(Table14[Vigtuð vísitala],MATCH(1,(CA$2=Table14[Column1])*($X9=Table14[Year]),0)),"")</f>
        <v/>
      </c>
      <c r="CB9" cm="1">
        <f t="array" ref="CB9">_xlfn.IFNA(INDEX(Table14[Vigtuð vísitala],MATCH(1,(CB$2=Table14[Column1])*($X9=Table14[Year]),0)),"")</f>
        <v>132.673090368</v>
      </c>
      <c r="CC9" cm="1">
        <f t="array" ref="CC9">_xlfn.IFNA(INDEX(Table14[Vigtuð vísitala],MATCH(1,(CC$2=Table14[Column1])*($X9=Table14[Year]),0)),"")</f>
        <v>133.58157120000001</v>
      </c>
      <c r="CD9" t="str" cm="1">
        <f t="array" ref="CD9">_xlfn.IFNA(INDEX(Table14[Vigtuð vísitala],MATCH(1,(CD$2=Table14[Column1])*($X9=Table14[Year]),0)),"")</f>
        <v/>
      </c>
      <c r="CE9" cm="1">
        <f t="array" ref="CE9">_xlfn.IFNA(INDEX(Table14[Vigtuð vísitala],MATCH(1,(CE$2=Table14[Column1])*($X9=Table14[Year]),0)),"")</f>
        <v>127.14442776000001</v>
      </c>
      <c r="CF9" cm="1">
        <f t="array" ref="CF9">_xlfn.IFNA(INDEX(Table14[Vigtuð vísitala],MATCH(1,(CF$2=Table14[Column1])*($X9=Table14[Year]),0)),"")</f>
        <v>141.79831974000004</v>
      </c>
      <c r="CG9" cm="1">
        <f t="array" ref="CG9">_xlfn.IFNA(INDEX(Table14[Vigtuð vísitala],MATCH(1,(CG$2=Table14[Column1])*($X9=Table14[Year]),0)),"")</f>
        <v>122.70997359360004</v>
      </c>
      <c r="CH9" cm="1">
        <f t="array" ref="CH9">_xlfn.IFNA(INDEX(Table14[Vigtuð vísitala],MATCH(1,(CH$2=Table14[Column1])*($X9=Table14[Year]),0)),"")</f>
        <v>126.09684360000001</v>
      </c>
      <c r="CI9" cm="1">
        <f t="array" ref="CI9">_xlfn.IFNA(INDEX(Table14[Vigtuð vísitala],MATCH(1,(CI$2=Table14[Column1])*($X9=Table14[Year]),0)),"")</f>
        <v>169.91503734240004</v>
      </c>
      <c r="CJ9" cm="1">
        <f t="array" ref="CJ9">_xlfn.IFNA(INDEX(Table14[Vigtuð vísitala],MATCH(1,(CJ$2=Table14[Column1])*($X9=Table14[Year]),0)),"")</f>
        <v>75.657009585263225</v>
      </c>
      <c r="CK9" cm="1">
        <f t="array" ref="CK9">_xlfn.IFNA(INDEX(Table14[Vigtuð vísitala],MATCH(1,(CK$2=Table14[Column1])*($X9=Table14[Year]),0)),"")</f>
        <v>134.92738092000002</v>
      </c>
      <c r="CL9" cm="1">
        <f t="array" ref="CL9">_xlfn.IFNA(INDEX(Table14[Vigtuð vísitala],MATCH(1,(CL$2=Table14[Column1])*($X9=Table14[Year]),0)),"")</f>
        <v>114.42258432000001</v>
      </c>
      <c r="CM9" t="str" cm="1">
        <f t="array" ref="CM9">_xlfn.IFNA(INDEX(Table14[Vigtuð vísitala],MATCH(1,(CM$2=Table14[Column1])*($X9=Table14[Year]),0)),"")</f>
        <v/>
      </c>
      <c r="CN9" cm="1">
        <f t="array" ref="CN9">_xlfn.IFNA(INDEX(Table14[Vigtuð vísitala],MATCH(1,(CN$2=Table14[Column1])*($X9=Table14[Year]),0)),"")</f>
        <v>118.41852033491757</v>
      </c>
      <c r="CO9" t="str" cm="1">
        <f t="array" ref="CO9">_xlfn.IFNA(INDEX(Table14[Vigtuð vísitala],MATCH(1,(CO$2=Table14[Column1])*($X9=Table14[Year]),0)),"")</f>
        <v/>
      </c>
      <c r="CP9" t="str" cm="1">
        <f t="array" ref="CP9">_xlfn.IFNA(INDEX(Table14[Vigtuð vísitala],MATCH(1,(CP$2=Table14[Column1])*($X9=Table14[Year]),0)),"")</f>
        <v/>
      </c>
      <c r="CQ9" cm="1">
        <f t="array" ref="CQ9">_xlfn.IFNA(INDEX(Table14[Vigtuð vísitala],MATCH(1,(CQ$2=Table14[Column1])*($X9=Table14[Year]),0)),"")</f>
        <v>109.77307704000003</v>
      </c>
      <c r="CR9" cm="1">
        <f t="array" ref="CR9">_xlfn.IFNA(INDEX(Table14[Vigtuð vísitala],MATCH(1,(CR$2=Table14[Column1])*($X9=Table14[Year]),0)),"")</f>
        <v>130.07055237119999</v>
      </c>
      <c r="CS9" cm="1">
        <f t="array" ref="CS9">_xlfn.IFNA(INDEX(Table14[Vigtuð vísitala],MATCH(1,(CS$2=Table14[Column1])*($X9=Table14[Year]),0)),"")</f>
        <v>135.00359164800003</v>
      </c>
      <c r="CT9" cm="1">
        <f t="array" ref="CT9">_xlfn.IFNA(INDEX(Table14[Vigtuð vísitala],MATCH(1,(CT$2=Table14[Column1])*($X9=Table14[Year]),0)),"")</f>
        <v>126.520224</v>
      </c>
      <c r="CU9" cm="1">
        <f t="array" ref="CU9">_xlfn.IFNA(INDEX(Table14[Vigtuð vísitala],MATCH(1,(CU$2=Table14[Column1])*($X9=Table14[Year]),0)),"")</f>
        <v>128.4629588</v>
      </c>
      <c r="CV9" cm="1">
        <f t="array" ref="CV9">_xlfn.IFNA(INDEX(Table14[Vigtuð vísitala],MATCH(1,(CV$2=Table14[Column1])*($X9=Table14[Year]),0)),"")</f>
        <v>131.83187885999999</v>
      </c>
      <c r="CW9" cm="1">
        <f t="array" ref="CW9">_xlfn.IFNA(INDEX(Table14[Vigtuð vísitala],MATCH(1,(CW$2=Table14[Column1])*($X9=Table14[Year]),0)),"")</f>
        <v>113.76288000000002</v>
      </c>
      <c r="CX9" t="str" cm="1">
        <f t="array" ref="CX9">_xlfn.IFNA(INDEX(Table14[Vigtuð vísitala],MATCH(1,(CX$2=Table14[Column1])*($X9=Table14[Year]),0)),"")</f>
        <v/>
      </c>
      <c r="CY9" t="str" cm="1">
        <f t="array" ref="CY9">_xlfn.IFNA(INDEX(Table14[Vigtuð vísitala],MATCH(1,(CY$2=Table14[Column1])*($X9=Table14[Year]),0)),"")</f>
        <v/>
      </c>
      <c r="CZ9" cm="1">
        <f t="array" ref="CZ9">_xlfn.IFNA(INDEX(Table14[Vigtuð vísitala],MATCH(1,(CZ$2=Table14[Column1])*($X9=Table14[Year]),0)),"")</f>
        <v>109.59317496</v>
      </c>
      <c r="DA9" cm="1">
        <f t="array" ref="DA9">_xlfn.IFNA(INDEX(Table14[Vigtuð vísitala],MATCH(1,(DA$2=Table14[Column1])*($X9=Table14[Year]),0)),"")</f>
        <v>155.98550735999999</v>
      </c>
      <c r="DB9" cm="1">
        <f t="array" ref="DB9">_xlfn.IFNA(INDEX(Table14[Vigtuð vísitala],MATCH(1,(DB$2=Table14[Column1])*($X9=Table14[Year]),0)),"")</f>
        <v>117.43173118752244</v>
      </c>
      <c r="DC9" cm="1">
        <f t="array" ref="DC9">_xlfn.IFNA(INDEX(Table14[Vigtuð vísitala],MATCH(1,(DC$2=Table14[Column1])*($X9=Table14[Year]),0)),"")</f>
        <v>133.44170400000004</v>
      </c>
      <c r="DD9" t="str" cm="1">
        <f t="array" ref="DD9">_xlfn.IFNA(INDEX(Table14[Vigtuð vísitala],MATCH(1,(DD$2=Table14[Column1])*($X9=Table14[Year]),0)),"")</f>
        <v/>
      </c>
      <c r="DE9" t="str" cm="1">
        <f t="array" ref="DE9">_xlfn.IFNA(INDEX(Table14[Vigtuð vísitala],MATCH(1,(DE$2=Table14[Column1])*($X9=Table14[Year]),0)),"")</f>
        <v/>
      </c>
      <c r="DF9" t="str" cm="1">
        <f t="array" ref="DF9">_xlfn.IFNA(INDEX(Table14[Vigtuð vísitala],MATCH(1,(DF$2=Table14[Column1])*($X9=Table14[Year]),0)),"")</f>
        <v/>
      </c>
    </row>
    <row r="10" spans="1:110">
      <c r="A10" t="s">
        <v>54</v>
      </c>
      <c r="B10">
        <v>2011</v>
      </c>
      <c r="C10" s="16">
        <v>4.2000000000000003E-2</v>
      </c>
      <c r="D10" s="1">
        <v>53278550</v>
      </c>
      <c r="E10" s="29">
        <f>Table14[[#This Row],[Ávöxtun]]*Table14[[#This Row],[Eignir]]/SUMIFS(Table14[Eignir],Table14[Year],Table14[[#This Row],[Year]])</f>
        <v>1.1472092286610633E-3</v>
      </c>
      <c r="F10" s="23" t="e">
        <f>IF(B10=1997, 100, IF(COUNTIF(A$1:A9,A10)=0, "NEW", F9*(1+Table14[[#This Row],[Ávöxtun]])))</f>
        <v>#VALUE!</v>
      </c>
      <c r="G10" s="18" t="str" cm="1">
        <f t="array" ref="G10">IFERROR(_xlfn.IFS(ISNUMBER(Table14[[#This Row],[Column3]]),Table14[[#This Row],[Column3]],Table14[[#This Row],[Column3]]="NEW",Table14[[#This Row],[Column3]]),"")</f>
        <v/>
      </c>
      <c r="H10" s="15" cm="1">
        <f t="array" ref="H10">_xlfn.IFS(Table14[[#This Row],[Column4]]="NEW",AVERAGEIFS(Table14[Column4],Table14[Year],Table14[[#This Row],[Year]]),ISNUMBER(Table14[[#This Row],[Column4]]),Table14[[#This Row],[Column4]],Table14[[#This Row],[Column4]]="",H9*(1+Table14[[#This Row],[Ávöxtun]]))</f>
        <v>110.74886950850336</v>
      </c>
      <c r="I10" cm="1">
        <f t="array" ref="I10">_xlfn.IFS(Table14[[#This Row],[Column4]]="NEW",_xlfn.XLOOKUP(Table14[[#This Row],[Year]],$M$2:$M$27,$O$2:$O$27),ISNUMBER(Table14[[#This Row],[Column4]]),Table14[[#This Row],[Column4]],Table14[[#This Row],[Column4]]="",I9*(1+Table14[[#This Row],[Ávöxtun]]))</f>
        <v>116.95622755503443</v>
      </c>
      <c r="K10" s="25"/>
      <c r="L10" s="33">
        <v>116.95622755503443</v>
      </c>
      <c r="M10">
        <v>2004</v>
      </c>
      <c r="N10" s="27">
        <f>SUMIFS(Table14[Column2],Table14[Year],M10)</f>
        <v>0.13684586600562734</v>
      </c>
      <c r="O10">
        <f t="shared" si="0"/>
        <v>151.41869599209861</v>
      </c>
      <c r="P10" s="26" cm="1">
        <f t="array" ref="P10">_xlfn.QUARTILE.EXC(IF($B$2:$B$939 = M10, $I$2:$I$939), 3)</f>
        <v>146.97128681130243</v>
      </c>
      <c r="Q10" s="26" cm="1">
        <f t="array" ref="Q10">_xlfn.QUARTILE.EXC(IF($B$2:$B$939 = M10, $I$2:$I$939), 1)</f>
        <v>124.19781000062403</v>
      </c>
      <c r="R10" s="26" cm="1">
        <f t="array" ref="R10">_xlfn.QUARTILE.EXC(IF($B$2:$B$939 = M10, $I$2:$I$939), 2)</f>
        <v>139.87841510250001</v>
      </c>
      <c r="S10" s="17" cm="1">
        <f t="array" ref="S10">_xlfn.QUARTILE.EXC(IF($B$2:$B$939 = M10, $C$2:$C$939), 3)</f>
        <v>0.12</v>
      </c>
      <c r="T10" s="17" cm="1">
        <f t="array" ref="T10">_xlfn.QUARTILE.EXC(IF($B$2:$B$939 = M10, $C$2:$C$939), 1)</f>
        <v>0.06</v>
      </c>
      <c r="U10" s="17" cm="1">
        <f t="array" ref="U10">_xlfn.QUARTILE.EXC(IF($B$2:$B$939 = M10, $C$2:$C$939), 2)</f>
        <v>0.09</v>
      </c>
      <c r="X10">
        <v>2004</v>
      </c>
      <c r="Y10">
        <f t="shared" si="1"/>
        <v>151.41869599209861</v>
      </c>
      <c r="Z10" cm="1">
        <f t="array" ref="Z10">_xlfn.IFNA(INDEX(Table14[Vigtuð vísitala],MATCH(1,(Z$2=Table14[Column1])*($X10=Table14[Year]),0)),"")</f>
        <v>143.84728533697023</v>
      </c>
      <c r="AB10" t="str" cm="1">
        <f t="array" ref="AB10">_xlfn.IFNA(INDEX(Table14[Vigtuð vísitala],MATCH(1,(AB$2=Table14[Column1])*($X10=Table14[Year]),0)),"")</f>
        <v/>
      </c>
      <c r="AC10" t="str" cm="1">
        <f t="array" ref="AC10">_xlfn.IFNA(INDEX(Table14[Vigtuð vísitala],MATCH(1,(AC$2=Table14[Column1])*($X10=Table14[Year]),0)),"")</f>
        <v/>
      </c>
      <c r="AD10" t="str" cm="1">
        <f t="array" ref="AD10">_xlfn.IFNA(INDEX(Table14[Vigtuð vísitala],MATCH(1,(AD$2=Table14[Column1])*($X10=Table14[Year]),0)),"")</f>
        <v/>
      </c>
      <c r="AE10" t="str" cm="1">
        <f t="array" ref="AE10">_xlfn.IFNA(INDEX(Table14[Vigtuð vísitala],MATCH(1,(AE$2=Table14[Column1])*($X10=Table14[Year]),0)),"")</f>
        <v/>
      </c>
      <c r="AF10" t="str" cm="1">
        <f t="array" ref="AF10">_xlfn.IFNA(INDEX(Table14[Vigtuð vísitala],MATCH(1,(AF$2=Table14[Column1])*($X10=Table14[Year]),0)),"")</f>
        <v/>
      </c>
      <c r="AG10" cm="1">
        <f t="array" ref="AG10">_xlfn.IFNA(INDEX(Table14[Vigtuð vísitala],MATCH(1,(AG$2=Table14[Column1])*($X10=Table14[Year]),0)),"")</f>
        <v>121.71617721849603</v>
      </c>
      <c r="AH10" cm="1">
        <f t="array" ref="AH10">_xlfn.IFNA(INDEX(Table14[Vigtuð vísitala],MATCH(1,(AH$2=Table14[Column1])*($X10=Table14[Year]),0)),"")</f>
        <v>129.04173969786004</v>
      </c>
      <c r="AI10" t="str" cm="1">
        <f t="array" ref="AI10">_xlfn.IFNA(INDEX(Table14[Vigtuð vísitala],MATCH(1,(AI$2=Table14[Column1])*($X10=Table14[Year]),0)),"")</f>
        <v/>
      </c>
      <c r="AJ10" cm="1">
        <f t="array" ref="AJ10">_xlfn.IFNA(INDEX(Table14[Vigtuð vísitala],MATCH(1,(AJ$2=Table14[Column1])*($X10=Table14[Year]),0)),"")</f>
        <v>120.12845419008003</v>
      </c>
      <c r="AK10" cm="1">
        <f t="array" ref="AK10">_xlfn.IFNA(INDEX(Table14[Vigtuð vísitala],MATCH(1,(AK$2=Table14[Column1])*($X10=Table14[Year]),0)),"")</f>
        <v>151.60597774732807</v>
      </c>
      <c r="AL10" cm="1">
        <f t="array" ref="AL10">_xlfn.IFNA(INDEX(Table14[Vigtuð vísitala],MATCH(1,(AL$2=Table14[Column1])*($X10=Table14[Year]),0)),"")</f>
        <v>142.56020756736004</v>
      </c>
      <c r="AM10" cm="1">
        <f t="array" ref="AM10">_xlfn.IFNA(INDEX(Table14[Vigtuð vísitala],MATCH(1,(AM$2=Table14[Column1])*($X10=Table14[Year]),0)),"")</f>
        <v>121.01484810240001</v>
      </c>
      <c r="AN10" t="str" cm="1">
        <f t="array" ref="AN10">_xlfn.IFNA(INDEX(Table14[Vigtuð vísitala],MATCH(1,(AN$2=Table14[Column1])*($X10=Table14[Year]),0)),"")</f>
        <v/>
      </c>
      <c r="AO10" cm="1">
        <f t="array" ref="AO10">_xlfn.IFNA(INDEX(Table14[Vigtuð vísitala],MATCH(1,(AO$2=Table14[Column1])*($X10=Table14[Year]),0)),"")</f>
        <v>110.37645216</v>
      </c>
      <c r="AP10" t="str" cm="1">
        <f t="array" ref="AP10">_xlfn.IFNA(INDEX(Table14[Vigtuð vísitala],MATCH(1,(AP$2=Table14[Column1])*($X10=Table14[Year]),0)),"")</f>
        <v/>
      </c>
      <c r="AQ10" cm="1">
        <f t="array" ref="AQ10">_xlfn.IFNA(INDEX(Table14[Vigtuð vísitala],MATCH(1,(AQ$2=Table14[Column1])*($X10=Table14[Year]),0)),"")</f>
        <v>129.87916703789983</v>
      </c>
      <c r="AR10" t="str" cm="1">
        <f t="array" ref="AR10">_xlfn.IFNA(INDEX(Table14[Vigtuð vísitala],MATCH(1,(AR$2=Table14[Column1])*($X10=Table14[Year]),0)),"")</f>
        <v/>
      </c>
      <c r="AS10" t="str" cm="1">
        <f t="array" ref="AS10">_xlfn.IFNA(INDEX(Table14[Vigtuð vísitala],MATCH(1,(AS$2=Table14[Column1])*($X10=Table14[Year]),0)),"")</f>
        <v/>
      </c>
      <c r="AT10" cm="1">
        <f t="array" ref="AT10">_xlfn.IFNA(INDEX(Table14[Vigtuð vísitala],MATCH(1,(AT$2=Table14[Column1])*($X10=Table14[Year]),0)),"")</f>
        <v>123.77320933954093</v>
      </c>
      <c r="AU10" t="str" cm="1">
        <f t="array" ref="AU10">_xlfn.IFNA(INDEX(Table14[Vigtuð vísitala],MATCH(1,(AU$2=Table14[Column1])*($X10=Table14[Year]),0)),"")</f>
        <v/>
      </c>
      <c r="AV10" t="str" cm="1">
        <f t="array" ref="AV10">_xlfn.IFNA(INDEX(Table14[Vigtuð vísitala],MATCH(1,(AV$2=Table14[Column1])*($X10=Table14[Year]),0)),"")</f>
        <v/>
      </c>
      <c r="AW10" t="str" cm="1">
        <f t="array" ref="AW10">_xlfn.IFNA(INDEX(Table14[Vigtuð vísitala],MATCH(1,(AW$2=Table14[Column1])*($X10=Table14[Year]),0)),"")</f>
        <v/>
      </c>
      <c r="AX10" cm="1">
        <f t="array" ref="AX10">_xlfn.IFNA(INDEX(Table14[Vigtuð vísitala],MATCH(1,(AX$2=Table14[Column1])*($X10=Table14[Year]),0)),"")</f>
        <v>141.73999438233596</v>
      </c>
      <c r="AY10" cm="1">
        <f t="array" ref="AY10">_xlfn.IFNA(INDEX(Table14[Vigtuð vísitala],MATCH(1,(AY$2=Table14[Column1])*($X10=Table14[Year]),0)),"")</f>
        <v>126.91902472875459</v>
      </c>
      <c r="AZ10" cm="1">
        <f t="array" ref="AZ10">_xlfn.IFNA(INDEX(Table14[Vigtuð vísitala],MATCH(1,(AZ$2=Table14[Column1])*($X10=Table14[Year]),0)),"")</f>
        <v>160.55009783827208</v>
      </c>
      <c r="BA10" t="str" cm="1">
        <f t="array" ref="BA10">_xlfn.IFNA(INDEX(Table14[Vigtuð vísitala],MATCH(1,(BA$2=Table14[Column1])*($X10=Table14[Year]),0)),"")</f>
        <v/>
      </c>
      <c r="BB10" t="str" cm="1">
        <f t="array" ref="BB10">_xlfn.IFNA(INDEX(Table14[Vigtuð vísitala],MATCH(1,(BB$2=Table14[Column1])*($X10=Table14[Year]),0)),"")</f>
        <v/>
      </c>
      <c r="BC10" cm="1">
        <f t="array" ref="BC10">_xlfn.IFNA(INDEX(Table14[Vigtuð vísitala],MATCH(1,(BC$2=Table14[Column1])*($X10=Table14[Year]),0)),"")</f>
        <v>145.08100099584001</v>
      </c>
      <c r="BD10" cm="1">
        <f t="array" ref="BD10">_xlfn.IFNA(INDEX(Table14[Vigtuð vísitala],MATCH(1,(BD$2=Table14[Column1])*($X10=Table14[Year]),0)),"")</f>
        <v>110.84773166899201</v>
      </c>
      <c r="BE10" cm="1">
        <f t="array" ref="BE10">_xlfn.IFNA(INDEX(Table14[Vigtuð vísitala],MATCH(1,(BE$2=Table14[Column1])*($X10=Table14[Year]),0)),"")</f>
        <v>155.79676728000004</v>
      </c>
      <c r="BF10" t="str" cm="1">
        <f t="array" ref="BF10">_xlfn.IFNA(INDEX(Table14[Vigtuð vísitala],MATCH(1,(BF$2=Table14[Column1])*($X10=Table14[Year]),0)),"")</f>
        <v/>
      </c>
      <c r="BG10" cm="1">
        <f t="array" ref="BG10">_xlfn.IFNA(INDEX(Table14[Vigtuð vísitala],MATCH(1,(BG$2=Table14[Column1])*($X10=Table14[Year]),0)),"")</f>
        <v>127.71334867200002</v>
      </c>
      <c r="BH10" cm="1">
        <f t="array" ref="BH10">_xlfn.IFNA(INDEX(Table14[Vigtuð vísitala],MATCH(1,(BH$2=Table14[Column1])*($X10=Table14[Year]),0)),"")</f>
        <v>139.31938156500004</v>
      </c>
      <c r="BI10" cm="1">
        <f t="array" ref="BI10">_xlfn.IFNA(INDEX(Table14[Vigtuð vísitala],MATCH(1,(BI$2=Table14[Column1])*($X10=Table14[Year]),0)),"")</f>
        <v>124.78662240249601</v>
      </c>
      <c r="BJ10" cm="1">
        <f t="array" ref="BJ10">_xlfn.IFNA(INDEX(Table14[Vigtuð vísitala],MATCH(1,(BJ$2=Table14[Column1])*($X10=Table14[Year]),0)),"")</f>
        <v>333.51534687743998</v>
      </c>
      <c r="BK10" t="str" cm="1">
        <f t="array" ref="BK10">_xlfn.IFNA(INDEX(Table14[Vigtuð vísitala],MATCH(1,(BK$2=Table14[Column1])*($X10=Table14[Year]),0)),"")</f>
        <v/>
      </c>
      <c r="BL10" t="str" cm="1">
        <f t="array" ref="BL10">_xlfn.IFNA(INDEX(Table14[Vigtuð vísitala],MATCH(1,(BL$2=Table14[Column1])*($X10=Table14[Year]),0)),"")</f>
        <v/>
      </c>
      <c r="BM10" t="str" cm="1">
        <f t="array" ref="BM10">_xlfn.IFNA(INDEX(Table14[Vigtuð vísitala],MATCH(1,(BM$2=Table14[Column1])*($X10=Table14[Year]),0)),"")</f>
        <v/>
      </c>
      <c r="BN10" t="str" cm="1">
        <f t="array" ref="BN10">_xlfn.IFNA(INDEX(Table14[Vigtuð vísitala],MATCH(1,(BN$2=Table14[Column1])*($X10=Table14[Year]),0)),"")</f>
        <v/>
      </c>
      <c r="BO10" t="str" cm="1">
        <f t="array" ref="BO10">_xlfn.IFNA(INDEX(Table14[Vigtuð vísitala],MATCH(1,(BO$2=Table14[Column1])*($X10=Table14[Year]),0)),"")</f>
        <v/>
      </c>
      <c r="BP10" cm="1">
        <f t="array" ref="BP10">_xlfn.IFNA(INDEX(Table14[Vigtuð vísitala],MATCH(1,(BP$2=Table14[Column1])*($X10=Table14[Year]),0)),"")</f>
        <v>102.48897579264002</v>
      </c>
      <c r="BQ10" cm="1">
        <f t="array" ref="BQ10">_xlfn.IFNA(INDEX(Table14[Vigtuð vísitala],MATCH(1,(BQ$2=Table14[Column1])*($X10=Table14[Year]),0)),"")</f>
        <v>128.60189105610004</v>
      </c>
      <c r="BR10" cm="1">
        <f t="array" ref="BR10">_xlfn.IFNA(INDEX(Table14[Vigtuð vísitala],MATCH(1,(BR$2=Table14[Column1])*($X10=Table14[Year]),0)),"")</f>
        <v>146.81593777728969</v>
      </c>
      <c r="BS10" t="str" cm="1">
        <f t="array" ref="BS10">_xlfn.IFNA(INDEX(Table14[Vigtuð vísitala],MATCH(1,(BS$2=Table14[Column1])*($X10=Table14[Year]),0)),"")</f>
        <v/>
      </c>
      <c r="BT10" t="str" cm="1">
        <f t="array" ref="BT10">_xlfn.IFNA(INDEX(Table14[Vigtuð vísitala],MATCH(1,(BT$2=Table14[Column1])*($X10=Table14[Year]),0)),"")</f>
        <v/>
      </c>
      <c r="BU10" cm="1">
        <f t="array" ref="BU10">_xlfn.IFNA(INDEX(Table14[Vigtuð vísitala],MATCH(1,(BU$2=Table14[Column1])*($X10=Table14[Year]),0)),"")</f>
        <v>147.02306982264002</v>
      </c>
      <c r="BV10" cm="1">
        <f t="array" ref="BV10">_xlfn.IFNA(INDEX(Table14[Vigtuð vísitala],MATCH(1,(BV$2=Table14[Column1])*($X10=Table14[Year]),0)),"")</f>
        <v>138.09663583531204</v>
      </c>
      <c r="BW10" t="str" cm="1">
        <f t="array" ref="BW10">_xlfn.IFNA(INDEX(Table14[Vigtuð vísitala],MATCH(1,(BW$2=Table14[Column1])*($X10=Table14[Year]),0)),"")</f>
        <v/>
      </c>
      <c r="BX10" t="str" cm="1">
        <f t="array" ref="BX10">_xlfn.IFNA(INDEX(Table14[Vigtuð vísitala],MATCH(1,(BX$2=Table14[Column1])*($X10=Table14[Year]),0)),"")</f>
        <v/>
      </c>
      <c r="BY10" cm="1">
        <f t="array" ref="BY10">_xlfn.IFNA(INDEX(Table14[Vigtuð vísitala],MATCH(1,(BY$2=Table14[Column1])*($X10=Table14[Year]),0)),"")</f>
        <v>154.13048958966405</v>
      </c>
      <c r="BZ10" cm="1">
        <f t="array" ref="BZ10">_xlfn.IFNA(INDEX(Table14[Vigtuð vísitala],MATCH(1,(BZ$2=Table14[Column1])*($X10=Table14[Year]),0)),"")</f>
        <v>143.42493403392001</v>
      </c>
      <c r="CA10" t="str" cm="1">
        <f t="array" ref="CA10">_xlfn.IFNA(INDEX(Table14[Vigtuð vísitala],MATCH(1,(CA$2=Table14[Column1])*($X10=Table14[Year]),0)),"")</f>
        <v/>
      </c>
      <c r="CB10" cm="1">
        <f t="array" ref="CB10">_xlfn.IFNA(INDEX(Table14[Vigtuð vísitala],MATCH(1,(CB$2=Table14[Column1])*($X10=Table14[Year]),0)),"")</f>
        <v>139.3067448864</v>
      </c>
      <c r="CC10" cm="1">
        <f t="array" ref="CC10">_xlfn.IFNA(INDEX(Table14[Vigtuð vísitala],MATCH(1,(CC$2=Table14[Column1])*($X10=Table14[Year]),0)),"")</f>
        <v>154.95462259199999</v>
      </c>
      <c r="CD10" t="str" cm="1">
        <f t="array" ref="CD10">_xlfn.IFNA(INDEX(Table14[Vigtuð vísitala],MATCH(1,(CD$2=Table14[Column1])*($X10=Table14[Year]),0)),"")</f>
        <v/>
      </c>
      <c r="CE10" cm="1">
        <f t="array" ref="CE10">_xlfn.IFNA(INDEX(Table14[Vigtuð vísitala],MATCH(1,(CE$2=Table14[Column1])*($X10=Table14[Year]),0)),"")</f>
        <v>141.13031481360002</v>
      </c>
      <c r="CF10" cm="1">
        <f t="array" ref="CF10">_xlfn.IFNA(INDEX(Table14[Vigtuð vísitala],MATCH(1,(CF$2=Table14[Column1])*($X10=Table14[Year]),0)),"")</f>
        <v>168.74000049060004</v>
      </c>
      <c r="CG10" cm="1">
        <f t="array" ref="CG10">_xlfn.IFNA(INDEX(Table14[Vigtuð vísitala],MATCH(1,(CG$2=Table14[Column1])*($X10=Table14[Year]),0)),"")</f>
        <v>128.84547227328005</v>
      </c>
      <c r="CH10" cm="1">
        <f t="array" ref="CH10">_xlfn.IFNA(INDEX(Table14[Vigtuð vísitala],MATCH(1,(CH$2=Table14[Column1])*($X10=Table14[Year]),0)),"")</f>
        <v>129.87974890800001</v>
      </c>
      <c r="CI10" cm="1">
        <f t="array" ref="CI10">_xlfn.IFNA(INDEX(Table14[Vigtuð vísitala],MATCH(1,(CI$2=Table14[Column1])*($X10=Table14[Year]),0)),"")</f>
        <v>202.19889443745603</v>
      </c>
      <c r="CJ10" cm="1">
        <f t="array" ref="CJ10">_xlfn.IFNA(INDEX(Table14[Vigtuð vísitala],MATCH(1,(CJ$2=Table14[Column1])*($X10=Table14[Year]),0)),"")</f>
        <v>83.22271054378956</v>
      </c>
      <c r="CK10" cm="1">
        <f t="array" ref="CK10">_xlfn.IFNA(INDEX(Table14[Vigtuð vísitala],MATCH(1,(CK$2=Table14[Column1])*($X10=Table14[Year]),0)),"")</f>
        <v>144.37229758440003</v>
      </c>
      <c r="CL10" cm="1">
        <f t="array" ref="CL10">_xlfn.IFNA(INDEX(Table14[Vigtuð vísitala],MATCH(1,(CL$2=Table14[Column1])*($X10=Table14[Year]),0)),"")</f>
        <v>121.28793937920003</v>
      </c>
      <c r="CM10" t="str" cm="1">
        <f t="array" ref="CM10">_xlfn.IFNA(INDEX(Table14[Vigtuð vísitala],MATCH(1,(CM$2=Table14[Column1])*($X10=Table14[Year]),0)),"")</f>
        <v/>
      </c>
      <c r="CN10" cm="1">
        <f t="array" ref="CN10">_xlfn.IFNA(INDEX(Table14[Vigtuð vísitala],MATCH(1,(CN$2=Table14[Column1])*($X10=Table14[Year]),0)),"")</f>
        <v>127.89200196171099</v>
      </c>
      <c r="CO10" t="str" cm="1">
        <f t="array" ref="CO10">_xlfn.IFNA(INDEX(Table14[Vigtuð vísitala],MATCH(1,(CO$2=Table14[Column1])*($X10=Table14[Year]),0)),"")</f>
        <v/>
      </c>
      <c r="CP10" t="str" cm="1">
        <f t="array" ref="CP10">_xlfn.IFNA(INDEX(Table14[Vigtuð vísitala],MATCH(1,(CP$2=Table14[Column1])*($X10=Table14[Year]),0)),"")</f>
        <v/>
      </c>
      <c r="CQ10" cm="1">
        <f t="array" ref="CQ10">_xlfn.IFNA(INDEX(Table14[Vigtuð vísitala],MATCH(1,(CQ$2=Table14[Column1])*($X10=Table14[Year]),0)),"")</f>
        <v>116.35946166240004</v>
      </c>
      <c r="CR10" cm="1">
        <f t="array" ref="CR10">_xlfn.IFNA(INDEX(Table14[Vigtuð vísitala],MATCH(1,(CR$2=Table14[Column1])*($X10=Table14[Year]),0)),"")</f>
        <v>145.67901865574402</v>
      </c>
      <c r="CS10" cm="1">
        <f t="array" ref="CS10">_xlfn.IFNA(INDEX(Table14[Vigtuð vísitala],MATCH(1,(CS$2=Table14[Column1])*($X10=Table14[Year]),0)),"")</f>
        <v>151.20402264576003</v>
      </c>
      <c r="CT10" cm="1">
        <f t="array" ref="CT10">_xlfn.IFNA(INDEX(Table14[Vigtuð vísitala],MATCH(1,(CT$2=Table14[Column1])*($X10=Table14[Year]),0)),"")</f>
        <v>140.43744864000001</v>
      </c>
      <c r="CU10" cm="1">
        <f t="array" ref="CU10">_xlfn.IFNA(INDEX(Table14[Vigtuð vísitala],MATCH(1,(CU$2=Table14[Column1])*($X10=Table14[Year]),0)),"")</f>
        <v>142.59388426800001</v>
      </c>
      <c r="CV10" cm="1">
        <f t="array" ref="CV10">_xlfn.IFNA(INDEX(Table14[Vigtuð vísitala],MATCH(1,(CV$2=Table14[Column1])*($X10=Table14[Year]),0)),"")</f>
        <v>150.28834190040001</v>
      </c>
      <c r="CW10" cm="1">
        <f t="array" ref="CW10">_xlfn.IFNA(INDEX(Table14[Vigtuð vísitala],MATCH(1,(CW$2=Table14[Column1])*($X10=Table14[Year]),0)),"")</f>
        <v>124.00153920000004</v>
      </c>
      <c r="CX10" t="str" cm="1">
        <f t="array" ref="CX10">_xlfn.IFNA(INDEX(Table14[Vigtuð vísitala],MATCH(1,(CX$2=Table14[Column1])*($X10=Table14[Year]),0)),"")</f>
        <v/>
      </c>
      <c r="CY10" t="str" cm="1">
        <f t="array" ref="CY10">_xlfn.IFNA(INDEX(Table14[Vigtuð vísitala],MATCH(1,(CY$2=Table14[Column1])*($X10=Table14[Year]),0)),"")</f>
        <v/>
      </c>
      <c r="CZ10" cm="1">
        <f t="array" ref="CZ10">_xlfn.IFNA(INDEX(Table14[Vigtuð vísitala],MATCH(1,(CZ$2=Table14[Column1])*($X10=Table14[Year]),0)),"")</f>
        <v>123.84028770479999</v>
      </c>
      <c r="DA10" cm="1">
        <f t="array" ref="DA10">_xlfn.IFNA(INDEX(Table14[Vigtuð vísitala],MATCH(1,(DA$2=Table14[Column1])*($X10=Table14[Year]),0)),"")</f>
        <v>202.78115956799999</v>
      </c>
      <c r="DB10" t="str" cm="1">
        <f t="array" ref="DB10">_xlfn.IFNA(INDEX(Table14[Vigtuð vísitala],MATCH(1,(DB$2=Table14[Column1])*($X10=Table14[Year]),0)),"")</f>
        <v/>
      </c>
      <c r="DC10" cm="1">
        <f t="array" ref="DC10">_xlfn.IFNA(INDEX(Table14[Vigtuð vísitala],MATCH(1,(DC$2=Table14[Column1])*($X10=Table14[Year]),0)),"")</f>
        <v>146.78587440000007</v>
      </c>
      <c r="DD10" t="str" cm="1">
        <f t="array" ref="DD10">_xlfn.IFNA(INDEX(Table14[Vigtuð vísitala],MATCH(1,(DD$2=Table14[Column1])*($X10=Table14[Year]),0)),"")</f>
        <v/>
      </c>
      <c r="DE10" t="str" cm="1">
        <f t="array" ref="DE10">_xlfn.IFNA(INDEX(Table14[Vigtuð vísitala],MATCH(1,(DE$2=Table14[Column1])*($X10=Table14[Year]),0)),"")</f>
        <v/>
      </c>
      <c r="DF10" t="str" cm="1">
        <f t="array" ref="DF10">_xlfn.IFNA(INDEX(Table14[Vigtuð vísitala],MATCH(1,(DF$2=Table14[Column1])*($X10=Table14[Year]),0)),"")</f>
        <v/>
      </c>
    </row>
    <row r="11" spans="1:110">
      <c r="A11" t="s">
        <v>54</v>
      </c>
      <c r="B11">
        <v>2012</v>
      </c>
      <c r="C11" s="16">
        <v>9.8000000000000004E-2</v>
      </c>
      <c r="D11" s="1">
        <v>60677032</v>
      </c>
      <c r="E11" s="29">
        <f>Table14[[#This Row],[Ávöxtun]]*Table14[[#This Row],[Eignir]]/SUMIFS(Table14[Eignir],Table14[Year],Table14[[#This Row],[Year]])</f>
        <v>2.6993976068666772E-3</v>
      </c>
      <c r="F11" s="23" t="e">
        <f>IF(B11=1997, 100, IF(COUNTIF(A$1:A10,A11)=0, "NEW", F10*(1+Table14[[#This Row],[Ávöxtun]])))</f>
        <v>#VALUE!</v>
      </c>
      <c r="G11" s="18" t="str" cm="1">
        <f t="array" ref="G11">IFERROR(_xlfn.IFS(ISNUMBER(Table14[[#This Row],[Column3]]),Table14[[#This Row],[Column3]],Table14[[#This Row],[Column3]]="NEW",Table14[[#This Row],[Column3]]),"")</f>
        <v/>
      </c>
      <c r="H11" s="15" cm="1">
        <f t="array" ref="H11">_xlfn.IFS(Table14[[#This Row],[Column4]]="NEW",AVERAGEIFS(Table14[Column4],Table14[Year],Table14[[#This Row],[Year]]),ISNUMBER(Table14[[#This Row],[Column4]]),Table14[[#This Row],[Column4]],Table14[[#This Row],[Column4]]="",H10*(1+Table14[[#This Row],[Ávöxtun]]))</f>
        <v>121.60225872033671</v>
      </c>
      <c r="I11" cm="1">
        <f t="array" ref="I11">_xlfn.IFS(Table14[[#This Row],[Column4]]="NEW",_xlfn.XLOOKUP(Table14[[#This Row],[Year]],$M$2:$M$27,$O$2:$O$27),ISNUMBER(Table14[[#This Row],[Column4]]),Table14[[#This Row],[Column4]],Table14[[#This Row],[Column4]]="",I10*(1+Table14[[#This Row],[Ávöxtun]]))</f>
        <v>128.41793785542782</v>
      </c>
      <c r="K11" s="25"/>
      <c r="L11" s="33">
        <v>128.41793785542782</v>
      </c>
      <c r="M11">
        <v>2005</v>
      </c>
      <c r="N11" s="27">
        <f>SUMIFS(Table14[Column2],Table14[Year],M11)</f>
        <v>0.17835940065803957</v>
      </c>
      <c r="O11">
        <f t="shared" si="0"/>
        <v>178.42564385767122</v>
      </c>
      <c r="P11" s="26" cm="1">
        <f t="array" ref="P11">_xlfn.QUARTILE.EXC(IF($B$2:$B$939 = M11, $I$2:$I$939), 3)</f>
        <v>166.01626074320936</v>
      </c>
      <c r="Q11" s="26" cm="1">
        <f t="array" ref="Q11">_xlfn.QUARTILE.EXC(IF($B$2:$B$939 = M11, $I$2:$I$939), 1)</f>
        <v>133.367430933702</v>
      </c>
      <c r="R11" s="26" cm="1">
        <f t="array" ref="R11">_xlfn.QUARTILE.EXC(IF($B$2:$B$939 = M11, $I$2:$I$939), 2)</f>
        <v>153.05068942551361</v>
      </c>
      <c r="S11" s="17" cm="1">
        <f t="array" ref="S11">_xlfn.QUARTILE.EXC(IF($B$2:$B$939 = M11, $C$2:$C$939), 3)</f>
        <v>0.14000000000000001</v>
      </c>
      <c r="T11" s="17" cm="1">
        <f t="array" ref="T11">_xlfn.QUARTILE.EXC(IF($B$2:$B$939 = M11, $C$2:$C$939), 1)</f>
        <v>0.06</v>
      </c>
      <c r="U11" s="17" cm="1">
        <f t="array" ref="U11">_xlfn.QUARTILE.EXC(IF($B$2:$B$939 = M11, $C$2:$C$939), 2)</f>
        <v>0.1</v>
      </c>
      <c r="X11">
        <v>2005</v>
      </c>
      <c r="Y11">
        <f t="shared" si="1"/>
        <v>178.42564385767122</v>
      </c>
      <c r="Z11" cm="1">
        <f t="array" ref="Z11">_xlfn.IFNA(INDEX(Table14[Vigtuð vísitala],MATCH(1,(Z$2=Table14[Column1])*($X11=Table14[Year]),0)),"")</f>
        <v>158.23201387066726</v>
      </c>
      <c r="AB11" t="str" cm="1">
        <f t="array" ref="AB11">_xlfn.IFNA(INDEX(Table14[Vigtuð vísitala],MATCH(1,(AB$2=Table14[Column1])*($X11=Table14[Year]),0)),"")</f>
        <v/>
      </c>
      <c r="AC11" t="str" cm="1">
        <f t="array" ref="AC11">_xlfn.IFNA(INDEX(Table14[Vigtuð vísitala],MATCH(1,(AC$2=Table14[Column1])*($X11=Table14[Year]),0)),"")</f>
        <v/>
      </c>
      <c r="AD11" t="str" cm="1">
        <f t="array" ref="AD11">_xlfn.IFNA(INDEX(Table14[Vigtuð vísitala],MATCH(1,(AD$2=Table14[Column1])*($X11=Table14[Year]),0)),"")</f>
        <v/>
      </c>
      <c r="AE11" t="str" cm="1">
        <f t="array" ref="AE11">_xlfn.IFNA(INDEX(Table14[Vigtuð vísitala],MATCH(1,(AE$2=Table14[Column1])*($X11=Table14[Year]),0)),"")</f>
        <v/>
      </c>
      <c r="AF11" t="str" cm="1">
        <f t="array" ref="AF11">_xlfn.IFNA(INDEX(Table14[Vigtuð vísitala],MATCH(1,(AF$2=Table14[Column1])*($X11=Table14[Year]),0)),"")</f>
        <v/>
      </c>
      <c r="AG11" cm="1">
        <f t="array" ref="AG11">_xlfn.IFNA(INDEX(Table14[Vigtuð vísitala],MATCH(1,(AG$2=Table14[Column1])*($X11=Table14[Year]),0)),"")</f>
        <v>131.45347139597573</v>
      </c>
      <c r="AH11" cm="1">
        <f t="array" ref="AH11">_xlfn.IFNA(INDEX(Table14[Vigtuð vísitala],MATCH(1,(AH$2=Table14[Column1])*($X11=Table14[Year]),0)),"")</f>
        <v>130.33215709483864</v>
      </c>
      <c r="AI11" t="str" cm="1">
        <f t="array" ref="AI11">_xlfn.IFNA(INDEX(Table14[Vigtuð vísitala],MATCH(1,(AI$2=Table14[Column1])*($X11=Table14[Year]),0)),"")</f>
        <v/>
      </c>
      <c r="AJ11" cm="1">
        <f t="array" ref="AJ11">_xlfn.IFNA(INDEX(Table14[Vigtuð vísitala],MATCH(1,(AJ$2=Table14[Column1])*($X11=Table14[Year]),0)),"")</f>
        <v>132.14129960908804</v>
      </c>
      <c r="AK11" cm="1">
        <f t="array" ref="AK11">_xlfn.IFNA(INDEX(Table14[Vigtuð vísitala],MATCH(1,(AK$2=Table14[Column1])*($X11=Table14[Year]),0)),"")</f>
        <v>160.70233641216777</v>
      </c>
      <c r="AL11" cm="1">
        <f t="array" ref="AL11">_xlfn.IFNA(INDEX(Table14[Vigtuð vísitala],MATCH(1,(AL$2=Table14[Column1])*($X11=Table14[Year]),0)),"")</f>
        <v>152.53942209707526</v>
      </c>
      <c r="AM11" cm="1">
        <f t="array" ref="AM11">_xlfn.IFNA(INDEX(Table14[Vigtuð vísitala],MATCH(1,(AM$2=Table14[Column1])*($X11=Table14[Year]),0)),"")</f>
        <v>130.69603595059201</v>
      </c>
      <c r="AN11" t="str" cm="1">
        <f t="array" ref="AN11">_xlfn.IFNA(INDEX(Table14[Vigtuð vísitala],MATCH(1,(AN$2=Table14[Column1])*($X11=Table14[Year]),0)),"")</f>
        <v/>
      </c>
      <c r="AO11" cm="1">
        <f t="array" ref="AO11">_xlfn.IFNA(INDEX(Table14[Vigtuð vísitala],MATCH(1,(AO$2=Table14[Column1])*($X11=Table14[Year]),0)),"")</f>
        <v>110.37645216</v>
      </c>
      <c r="AP11" t="str" cm="1">
        <f t="array" ref="AP11">_xlfn.IFNA(INDEX(Table14[Vigtuð vísitala],MATCH(1,(AP$2=Table14[Column1])*($X11=Table14[Year]),0)),"")</f>
        <v/>
      </c>
      <c r="AQ11" cm="1">
        <f t="array" ref="AQ11">_xlfn.IFNA(INDEX(Table14[Vigtuð vísitala],MATCH(1,(AQ$2=Table14[Column1])*($X11=Table14[Year]),0)),"")</f>
        <v>145.46466708244782</v>
      </c>
      <c r="AR11" cm="1">
        <f t="array" ref="AR11">_xlfn.IFNA(INDEX(Table14[Vigtuð vísitala],MATCH(1,(AR$2=Table14[Column1])*($X11=Table14[Year]),0)),"")</f>
        <v>178.42564385767122</v>
      </c>
      <c r="AS11" t="str" cm="1">
        <f t="array" ref="AS11">_xlfn.IFNA(INDEX(Table14[Vigtuð vísitala],MATCH(1,(AS$2=Table14[Column1])*($X11=Table14[Year]),0)),"")</f>
        <v/>
      </c>
      <c r="AT11" cm="1">
        <f t="array" ref="AT11">_xlfn.IFNA(INDEX(Table14[Vigtuð vísitala],MATCH(1,(AT$2=Table14[Column1])*($X11=Table14[Year]),0)),"")</f>
        <v>136.15053027349504</v>
      </c>
      <c r="AU11" t="str" cm="1">
        <f t="array" ref="AU11">_xlfn.IFNA(INDEX(Table14[Vigtuð vísitala],MATCH(1,(AU$2=Table14[Column1])*($X11=Table14[Year]),0)),"")</f>
        <v/>
      </c>
      <c r="AV11" t="str" cm="1">
        <f t="array" ref="AV11">_xlfn.IFNA(INDEX(Table14[Vigtuð vísitala],MATCH(1,(AV$2=Table14[Column1])*($X11=Table14[Year]),0)),"")</f>
        <v/>
      </c>
      <c r="AW11" t="str" cm="1">
        <f t="array" ref="AW11">_xlfn.IFNA(INDEX(Table14[Vigtuð vísitala],MATCH(1,(AW$2=Table14[Column1])*($X11=Table14[Year]),0)),"")</f>
        <v/>
      </c>
      <c r="AX11" cm="1">
        <f t="array" ref="AX11">_xlfn.IFNA(INDEX(Table14[Vigtuð vísitala],MATCH(1,(AX$2=Table14[Column1])*($X11=Table14[Year]),0)),"")</f>
        <v>158.74879370821628</v>
      </c>
      <c r="AY11" cm="1">
        <f t="array" ref="AY11">_xlfn.IFNA(INDEX(Table14[Vigtuð vísitala],MATCH(1,(AY$2=Table14[Column1])*($X11=Table14[Year]),0)),"")</f>
        <v>134.53416621247987</v>
      </c>
      <c r="AZ11" cm="1">
        <f t="array" ref="AZ11">_xlfn.IFNA(INDEX(Table14[Vigtuð vísitala],MATCH(1,(AZ$2=Table14[Column1])*($X11=Table14[Year]),0)),"")</f>
        <v>168.5776027301857</v>
      </c>
      <c r="BA11" t="str" cm="1">
        <f t="array" ref="BA11">_xlfn.IFNA(INDEX(Table14[Vigtuð vísitala],MATCH(1,(BA$2=Table14[Column1])*($X11=Table14[Year]),0)),"")</f>
        <v/>
      </c>
      <c r="BB11" t="str" cm="1">
        <f t="array" ref="BB11">_xlfn.IFNA(INDEX(Table14[Vigtuð vísitala],MATCH(1,(BB$2=Table14[Column1])*($X11=Table14[Year]),0)),"")</f>
        <v/>
      </c>
      <c r="BC11" cm="1">
        <f t="array" ref="BC11">_xlfn.IFNA(INDEX(Table14[Vigtuð vísitala],MATCH(1,(BC$2=Table14[Column1])*($X11=Table14[Year]),0)),"")</f>
        <v>159.58910109542404</v>
      </c>
      <c r="BD11" cm="1">
        <f t="array" ref="BD11">_xlfn.IFNA(INDEX(Table14[Vigtuð vísitala],MATCH(1,(BD$2=Table14[Column1])*($X11=Table14[Year]),0)),"")</f>
        <v>119.71555020251138</v>
      </c>
      <c r="BE11" cm="1">
        <f t="array" ref="BE11">_xlfn.IFNA(INDEX(Table14[Vigtuð vísitala],MATCH(1,(BE$2=Table14[Column1])*($X11=Table14[Year]),0)),"")</f>
        <v>183.84018539040002</v>
      </c>
      <c r="BF11" t="str" cm="1">
        <f t="array" ref="BF11">_xlfn.IFNA(INDEX(Table14[Vigtuð vísitala],MATCH(1,(BF$2=Table14[Column1])*($X11=Table14[Year]),0)),"")</f>
        <v/>
      </c>
      <c r="BG11" cm="1">
        <f t="array" ref="BG11">_xlfn.IFNA(INDEX(Table14[Vigtuð vísitala],MATCH(1,(BG$2=Table14[Column1])*($X11=Table14[Year]),0)),"")</f>
        <v>127.71334867200002</v>
      </c>
      <c r="BH11" cm="1">
        <f t="array" ref="BH11">_xlfn.IFNA(INDEX(Table14[Vigtuð vísitala],MATCH(1,(BH$2=Table14[Column1])*($X11=Table14[Year]),0)),"")</f>
        <v>143.49896301195005</v>
      </c>
      <c r="BI11" cm="1">
        <f t="array" ref="BI11">_xlfn.IFNA(INDEX(Table14[Vigtuð vísitala],MATCH(1,(BI$2=Table14[Column1])*($X11=Table14[Year]),0)),"")</f>
        <v>127.28235485054593</v>
      </c>
      <c r="BJ11" cm="1">
        <f t="array" ref="BJ11">_xlfn.IFNA(INDEX(Table14[Vigtuð vísitala],MATCH(1,(BJ$2=Table14[Column1])*($X11=Table14[Year]),0)),"")</f>
        <v>333.51534687743998</v>
      </c>
      <c r="BK11" t="str" cm="1">
        <f t="array" ref="BK11">_xlfn.IFNA(INDEX(Table14[Vigtuð vísitala],MATCH(1,(BK$2=Table14[Column1])*($X11=Table14[Year]),0)),"")</f>
        <v/>
      </c>
      <c r="BL11" t="str" cm="1">
        <f t="array" ref="BL11">_xlfn.IFNA(INDEX(Table14[Vigtuð vísitala],MATCH(1,(BL$2=Table14[Column1])*($X11=Table14[Year]),0)),"")</f>
        <v/>
      </c>
      <c r="BM11" t="str" cm="1">
        <f t="array" ref="BM11">_xlfn.IFNA(INDEX(Table14[Vigtuð vísitala],MATCH(1,(BM$2=Table14[Column1])*($X11=Table14[Year]),0)),"")</f>
        <v/>
      </c>
      <c r="BN11" t="str" cm="1">
        <f t="array" ref="BN11">_xlfn.IFNA(INDEX(Table14[Vigtuð vísitala],MATCH(1,(BN$2=Table14[Column1])*($X11=Table14[Year]),0)),"")</f>
        <v/>
      </c>
      <c r="BO11" t="str" cm="1">
        <f t="array" ref="BO11">_xlfn.IFNA(INDEX(Table14[Vigtuð vísitala],MATCH(1,(BO$2=Table14[Column1])*($X11=Table14[Year]),0)),"")</f>
        <v/>
      </c>
      <c r="BP11" cm="1">
        <f t="array" ref="BP11">_xlfn.IFNA(INDEX(Table14[Vigtuð vísitala],MATCH(1,(BP$2=Table14[Column1])*($X11=Table14[Year]),0)),"")</f>
        <v>112.73787337190403</v>
      </c>
      <c r="BQ11" cm="1">
        <f t="array" ref="BQ11">_xlfn.IFNA(INDEX(Table14[Vigtuð vísitala],MATCH(1,(BQ$2=Table14[Column1])*($X11=Table14[Year]),0)),"")</f>
        <v>138.89004234058805</v>
      </c>
      <c r="BR11" cm="1">
        <f t="array" ref="BR11">_xlfn.IFNA(INDEX(Table14[Vigtuð vísitala],MATCH(1,(BR$2=Table14[Column1])*($X11=Table14[Year]),0)),"")</f>
        <v>170.30648782165602</v>
      </c>
      <c r="BS11" t="str" cm="1">
        <f t="array" ref="BS11">_xlfn.IFNA(INDEX(Table14[Vigtuð vísitala],MATCH(1,(BS$2=Table14[Column1])*($X11=Table14[Year]),0)),"")</f>
        <v/>
      </c>
      <c r="BT11" t="str" cm="1">
        <f t="array" ref="BT11">_xlfn.IFNA(INDEX(Table14[Vigtuð vísitala],MATCH(1,(BT$2=Table14[Column1])*($X11=Table14[Year]),0)),"")</f>
        <v/>
      </c>
      <c r="BU11" cm="1">
        <f t="array" ref="BU11">_xlfn.IFNA(INDEX(Table14[Vigtuð vísitala],MATCH(1,(BU$2=Table14[Column1])*($X11=Table14[Year]),0)),"")</f>
        <v>160.25514610667764</v>
      </c>
      <c r="BV11" cm="1">
        <f t="array" ref="BV11">_xlfn.IFNA(INDEX(Table14[Vigtuð vísitala],MATCH(1,(BV$2=Table14[Column1])*($X11=Table14[Year]),0)),"")</f>
        <v>157.43016485225576</v>
      </c>
      <c r="BW11" t="str" cm="1">
        <f t="array" ref="BW11">_xlfn.IFNA(INDEX(Table14[Vigtuð vísitala],MATCH(1,(BW$2=Table14[Column1])*($X11=Table14[Year]),0)),"")</f>
        <v/>
      </c>
      <c r="BX11" t="str" cm="1">
        <f t="array" ref="BX11">_xlfn.IFNA(INDEX(Table14[Vigtuð vísitala],MATCH(1,(BX$2=Table14[Column1])*($X11=Table14[Year]),0)),"")</f>
        <v/>
      </c>
      <c r="BY11" cm="1">
        <f t="array" ref="BY11">_xlfn.IFNA(INDEX(Table14[Vigtuð vísitala],MATCH(1,(BY$2=Table14[Column1])*($X11=Table14[Year]),0)),"")</f>
        <v>166.46092875683718</v>
      </c>
      <c r="BZ11" cm="1">
        <f t="array" ref="BZ11">_xlfn.IFNA(INDEX(Table14[Vigtuð vísitala],MATCH(1,(BZ$2=Table14[Column1])*($X11=Table14[Year]),0)),"")</f>
        <v>163.50442479866882</v>
      </c>
      <c r="CA11" t="str" cm="1">
        <f t="array" ref="CA11">_xlfn.IFNA(INDEX(Table14[Vigtuð vísitala],MATCH(1,(CA$2=Table14[Column1])*($X11=Table14[Year]),0)),"")</f>
        <v/>
      </c>
      <c r="CB11" cm="1">
        <f t="array" ref="CB11">_xlfn.IFNA(INDEX(Table14[Vigtuð vísitala],MATCH(1,(CB$2=Table14[Column1])*($X11=Table14[Year]),0)),"")</f>
        <v>147.66514957958401</v>
      </c>
      <c r="CC11" t="str" cm="1">
        <f t="array" ref="CC11">_xlfn.IFNA(INDEX(Table14[Vigtuð vísitala],MATCH(1,(CC$2=Table14[Column1])*($X11=Table14[Year]),0)),"")</f>
        <v/>
      </c>
      <c r="CD11" t="str" cm="1">
        <f t="array" ref="CD11">_xlfn.IFNA(INDEX(Table14[Vigtuð vísitala],MATCH(1,(CD$2=Table14[Column1])*($X11=Table14[Year]),0)),"")</f>
        <v/>
      </c>
      <c r="CE11" cm="1">
        <f t="array" ref="CE11">_xlfn.IFNA(INDEX(Table14[Vigtuð vísitala],MATCH(1,(CE$2=Table14[Column1])*($X11=Table14[Year]),0)),"")</f>
        <v>155.24334629496005</v>
      </c>
      <c r="CF11" cm="1">
        <f t="array" ref="CF11">_xlfn.IFNA(INDEX(Table14[Vigtuð vísitala],MATCH(1,(CF$2=Table14[Column1])*($X11=Table14[Year]),0)),"")</f>
        <v>195.73840056909603</v>
      </c>
      <c r="CG11" cm="1">
        <f t="array" ref="CG11">_xlfn.IFNA(INDEX(Table14[Vigtuð vísitala],MATCH(1,(CG$2=Table14[Column1])*($X11=Table14[Year]),0)),"")</f>
        <v>148.17229311427204</v>
      </c>
      <c r="CH11" cm="1">
        <f t="array" ref="CH11">_xlfn.IFNA(INDEX(Table14[Vigtuð vísitala],MATCH(1,(CH$2=Table14[Column1])*($X11=Table14[Year]),0)),"")</f>
        <v>133.77614137524</v>
      </c>
      <c r="CI11" cm="1">
        <f t="array" ref="CI11">_xlfn.IFNA(INDEX(Table14[Vigtuð vísitala],MATCH(1,(CI$2=Table14[Column1])*($X11=Table14[Year]),0)),"")</f>
        <v>258.81458487994371</v>
      </c>
      <c r="CJ11" cm="1">
        <f t="array" ref="CJ11">_xlfn.IFNA(INDEX(Table14[Vigtuð vísitala],MATCH(1,(CJ$2=Table14[Column1])*($X11=Table14[Year]),0)),"")</f>
        <v>94.873890019920111</v>
      </c>
      <c r="CK11" cm="1">
        <f t="array" ref="CK11">_xlfn.IFNA(INDEX(Table14[Vigtuð vísitala],MATCH(1,(CK$2=Table14[Column1])*($X11=Table14[Year]),0)),"")</f>
        <v>151.59091246362004</v>
      </c>
      <c r="CL11" t="str" cm="1">
        <f t="array" ref="CL11">_xlfn.IFNA(INDEX(Table14[Vigtuð vísitala],MATCH(1,(CL$2=Table14[Column1])*($X11=Table14[Year]),0)),"")</f>
        <v/>
      </c>
      <c r="CM11" t="str" cm="1">
        <f t="array" ref="CM11">_xlfn.IFNA(INDEX(Table14[Vigtuð vísitala],MATCH(1,(CM$2=Table14[Column1])*($X11=Table14[Year]),0)),"")</f>
        <v/>
      </c>
      <c r="CN11" cm="1">
        <f t="array" ref="CN11">_xlfn.IFNA(INDEX(Table14[Vigtuð vísitala],MATCH(1,(CN$2=Table14[Column1])*($X11=Table14[Year]),0)),"")</f>
        <v>136.84444209903077</v>
      </c>
      <c r="CO11" t="str" cm="1">
        <f t="array" ref="CO11">_xlfn.IFNA(INDEX(Table14[Vigtuð vísitala],MATCH(1,(CO$2=Table14[Column1])*($X11=Table14[Year]),0)),"")</f>
        <v/>
      </c>
      <c r="CP11" t="str" cm="1">
        <f t="array" ref="CP11">_xlfn.IFNA(INDEX(Table14[Vigtuð vísitala],MATCH(1,(CP$2=Table14[Column1])*($X11=Table14[Year]),0)),"")</f>
        <v/>
      </c>
      <c r="CQ11" cm="1">
        <f t="array" ref="CQ11">_xlfn.IFNA(INDEX(Table14[Vigtuð vísitala],MATCH(1,(CQ$2=Table14[Column1])*($X11=Table14[Year]),0)),"")</f>
        <v>129.15900244526406</v>
      </c>
      <c r="CR11" cm="1">
        <f t="array" ref="CR11">_xlfn.IFNA(INDEX(Table14[Vigtuð vísitala],MATCH(1,(CR$2=Table14[Column1])*($X11=Table14[Year]),0)),"")</f>
        <v>168.98766164066305</v>
      </c>
      <c r="CS11" cm="1">
        <f t="array" ref="CS11">_xlfn.IFNA(INDEX(Table14[Vigtuð vísitala],MATCH(1,(CS$2=Table14[Column1])*($X11=Table14[Year]),0)),"")</f>
        <v>176.90870649553923</v>
      </c>
      <c r="CT11" cm="1">
        <f t="array" ref="CT11">_xlfn.IFNA(INDEX(Table14[Vigtuð vísitala],MATCH(1,(CT$2=Table14[Column1])*($X11=Table14[Year]),0)),"")</f>
        <v>157.28994247680004</v>
      </c>
      <c r="CU11" cm="1">
        <f t="array" ref="CU11">_xlfn.IFNA(INDEX(Table14[Vigtuð vísitala],MATCH(1,(CU$2=Table14[Column1])*($X11=Table14[Year]),0)),"")</f>
        <v>156.85327269480001</v>
      </c>
      <c r="CV11" t="str" cm="1">
        <f t="array" ref="CV11">_xlfn.IFNA(INDEX(Table14[Vigtuð vísitala],MATCH(1,(CV$2=Table14[Column1])*($X11=Table14[Year]),0)),"")</f>
        <v/>
      </c>
      <c r="CW11" cm="1">
        <f t="array" ref="CW11">_xlfn.IFNA(INDEX(Table14[Vigtuð vísitala],MATCH(1,(CW$2=Table14[Column1])*($X11=Table14[Year]),0)),"")</f>
        <v>137.64170851200006</v>
      </c>
      <c r="CX11" t="str" cm="1">
        <f t="array" ref="CX11">_xlfn.IFNA(INDEX(Table14[Vigtuð vísitala],MATCH(1,(CX$2=Table14[Column1])*($X11=Table14[Year]),0)),"")</f>
        <v/>
      </c>
      <c r="CY11" t="str" cm="1">
        <f t="array" ref="CY11">_xlfn.IFNA(INDEX(Table14[Vigtuð vísitala],MATCH(1,(CY$2=Table14[Column1])*($X11=Table14[Year]),0)),"")</f>
        <v/>
      </c>
      <c r="CZ11" cm="1">
        <f t="array" ref="CZ11">_xlfn.IFNA(INDEX(Table14[Vigtuð vísitala],MATCH(1,(CZ$2=Table14[Column1])*($X11=Table14[Year]),0)),"")</f>
        <v>153.56195675395199</v>
      </c>
      <c r="DA11" cm="1">
        <f t="array" ref="DA11">_xlfn.IFNA(INDEX(Table14[Vigtuð vísitala],MATCH(1,(DA$2=Table14[Column1])*($X11=Table14[Year]),0)),"")</f>
        <v>259.55988424703997</v>
      </c>
      <c r="DB11" t="str" cm="1">
        <f t="array" ref="DB11">_xlfn.IFNA(INDEX(Table14[Vigtuð vísitala],MATCH(1,(DB$2=Table14[Column1])*($X11=Table14[Year]),0)),"")</f>
        <v/>
      </c>
      <c r="DC11" cm="1">
        <f t="array" ref="DC11">_xlfn.IFNA(INDEX(Table14[Vigtuð vísitala],MATCH(1,(DC$2=Table14[Column1])*($X11=Table14[Year]),0)),"")</f>
        <v>165.86803807200008</v>
      </c>
      <c r="DD11" t="str" cm="1">
        <f t="array" ref="DD11">_xlfn.IFNA(INDEX(Table14[Vigtuð vísitala],MATCH(1,(DD$2=Table14[Column1])*($X11=Table14[Year]),0)),"")</f>
        <v/>
      </c>
      <c r="DE11" t="str" cm="1">
        <f t="array" ref="DE11">_xlfn.IFNA(INDEX(Table14[Vigtuð vísitala],MATCH(1,(DE$2=Table14[Column1])*($X11=Table14[Year]),0)),"")</f>
        <v/>
      </c>
      <c r="DF11" t="str" cm="1">
        <f t="array" ref="DF11">_xlfn.IFNA(INDEX(Table14[Vigtuð vísitala],MATCH(1,(DF$2=Table14[Column1])*($X11=Table14[Year]),0)),"")</f>
        <v/>
      </c>
    </row>
    <row r="12" spans="1:110">
      <c r="A12" t="s">
        <v>54</v>
      </c>
      <c r="B12">
        <v>2013</v>
      </c>
      <c r="C12" s="16">
        <v>3.7000000000000005E-2</v>
      </c>
      <c r="D12" s="1">
        <v>67548582</v>
      </c>
      <c r="E12" s="29">
        <f>Table14[[#This Row],[Ávöxtun]]*Table14[[#This Row],[Eignir]]/SUMIFS(Table14[Eignir],Table14[Year],Table14[[#This Row],[Year]])</f>
        <v>1.0270046658166915E-3</v>
      </c>
      <c r="F12" s="23" t="e">
        <f>IF(B12=1997, 100, IF(COUNTIF(A$1:A11,A12)=0, "NEW", F11*(1+Table14[[#This Row],[Ávöxtun]])))</f>
        <v>#VALUE!</v>
      </c>
      <c r="G12" s="18" t="str" cm="1">
        <f t="array" ref="G12">IFERROR(_xlfn.IFS(ISNUMBER(Table14[[#This Row],[Column3]]),Table14[[#This Row],[Column3]],Table14[[#This Row],[Column3]]="NEW",Table14[[#This Row],[Column3]]),"")</f>
        <v/>
      </c>
      <c r="H12" s="15" cm="1">
        <f t="array" ref="H12">_xlfn.IFS(Table14[[#This Row],[Column4]]="NEW",AVERAGEIFS(Table14[Column4],Table14[Year],Table14[[#This Row],[Year]]),ISNUMBER(Table14[[#This Row],[Column4]]),Table14[[#This Row],[Column4]],Table14[[#This Row],[Column4]]="",H11*(1+Table14[[#This Row],[Ávöxtun]]))</f>
        <v>126.10154229298915</v>
      </c>
      <c r="I12" cm="1">
        <f t="array" ref="I12">_xlfn.IFS(Table14[[#This Row],[Column4]]="NEW",_xlfn.XLOOKUP(Table14[[#This Row],[Year]],$M$2:$M$27,$O$2:$O$27),ISNUMBER(Table14[[#This Row],[Column4]]),Table14[[#This Row],[Column4]],Table14[[#This Row],[Column4]]="",I11*(1+Table14[[#This Row],[Ávöxtun]]))</f>
        <v>133.16940155607864</v>
      </c>
      <c r="K12" s="25"/>
      <c r="L12" s="33">
        <v>133.16940155607864</v>
      </c>
      <c r="M12">
        <v>2006</v>
      </c>
      <c r="N12" s="27">
        <f>SUMIFS(Table14[Column2],Table14[Year],M12)</f>
        <v>0.14096750589979143</v>
      </c>
      <c r="O12">
        <f t="shared" si="0"/>
        <v>203.57786186085158</v>
      </c>
      <c r="P12" s="26" cm="1">
        <f t="array" ref="P12">_xlfn.QUARTILE.EXC(IF($B$2:$B$939 = M12, $I$2:$I$939), 3)</f>
        <v>194.13768078415757</v>
      </c>
      <c r="Q12" s="26" cm="1">
        <f t="array" ref="Q12">_xlfn.QUARTILE.EXC(IF($B$2:$B$939 = M12, $I$2:$I$939), 1)</f>
        <v>147.55164468885266</v>
      </c>
      <c r="R12" s="26" cm="1">
        <f t="array" ref="R12">_xlfn.QUARTILE.EXC(IF($B$2:$B$939 = M12, $I$2:$I$939), 2)</f>
        <v>171.28070015881707</v>
      </c>
      <c r="S12" s="17" cm="1">
        <f t="array" ref="S12">_xlfn.QUARTILE.EXC(IF($B$2:$B$939 = M12, $C$2:$C$939), 3)</f>
        <v>0.11075</v>
      </c>
      <c r="T12" s="17" cm="1">
        <f t="array" ref="T12">_xlfn.QUARTILE.EXC(IF($B$2:$B$939 = M12, $C$2:$C$939), 1)</f>
        <v>6.25E-2</v>
      </c>
      <c r="U12" s="17" cm="1">
        <f t="array" ref="U12">_xlfn.QUARTILE.EXC(IF($B$2:$B$939 = M12, $C$2:$C$939), 2)</f>
        <v>8.6500000000000007E-2</v>
      </c>
      <c r="X12">
        <v>2006</v>
      </c>
      <c r="Y12">
        <f t="shared" si="1"/>
        <v>203.57786186085158</v>
      </c>
      <c r="Z12" cm="1">
        <f t="array" ref="Z12">_xlfn.IFNA(INDEX(Table14[Vigtuð vísitala],MATCH(1,(Z$2=Table14[Column1])*($X12=Table14[Year]),0)),"")</f>
        <v>200.00526553252342</v>
      </c>
      <c r="AB12" t="str" cm="1">
        <f t="array" ref="AB12">_xlfn.IFNA(INDEX(Table14[Vigtuð vísitala],MATCH(1,(AB$2=Table14[Column1])*($X12=Table14[Year]),0)),"")</f>
        <v/>
      </c>
      <c r="AC12" t="str" cm="1">
        <f t="array" ref="AC12">_xlfn.IFNA(INDEX(Table14[Vigtuð vísitala],MATCH(1,(AC$2=Table14[Column1])*($X12=Table14[Year]),0)),"")</f>
        <v/>
      </c>
      <c r="AD12" t="str" cm="1">
        <f t="array" ref="AD12">_xlfn.IFNA(INDEX(Table14[Vigtuð vísitala],MATCH(1,(AD$2=Table14[Column1])*($X12=Table14[Year]),0)),"")</f>
        <v/>
      </c>
      <c r="AE12" t="str" cm="1">
        <f t="array" ref="AE12">_xlfn.IFNA(INDEX(Table14[Vigtuð vísitala],MATCH(1,(AE$2=Table14[Column1])*($X12=Table14[Year]),0)),"")</f>
        <v/>
      </c>
      <c r="AF12" t="str" cm="1">
        <f t="array" ref="AF12">_xlfn.IFNA(INDEX(Table14[Vigtuð vísitala],MATCH(1,(AF$2=Table14[Column1])*($X12=Table14[Year]),0)),"")</f>
        <v/>
      </c>
      <c r="AG12" cm="1">
        <f t="array" ref="AG12">_xlfn.IFNA(INDEX(Table14[Vigtuð vísitala],MATCH(1,(AG$2=Table14[Column1])*($X12=Table14[Year]),0)),"")</f>
        <v>139.39326106829267</v>
      </c>
      <c r="AH12" t="str" cm="1">
        <f t="array" ref="AH12">_xlfn.IFNA(INDEX(Table14[Vigtuð vísitala],MATCH(1,(AH$2=Table14[Column1])*($X12=Table14[Year]),0)),"")</f>
        <v/>
      </c>
      <c r="AI12" cm="1">
        <f t="array" ref="AI12">_xlfn.IFNA(INDEX(Table14[Vigtuð vísitala],MATCH(1,(AI$2=Table14[Column1])*($X12=Table14[Year]),0)),"")</f>
        <v>203.57786186085158</v>
      </c>
      <c r="AJ12" cm="1">
        <f t="array" ref="AJ12">_xlfn.IFNA(INDEX(Table14[Vigtuð vísitala],MATCH(1,(AJ$2=Table14[Column1])*($X12=Table14[Year]),0)),"")</f>
        <v>146.43898822679137</v>
      </c>
      <c r="AK12" cm="1">
        <f t="array" ref="AK12">_xlfn.IFNA(INDEX(Table14[Vigtuð vísitala],MATCH(1,(AK$2=Table14[Column1])*($X12=Table14[Year]),0)),"")</f>
        <v>168.94636627011195</v>
      </c>
      <c r="AL12" cm="1">
        <f t="array" ref="AL12">_xlfn.IFNA(INDEX(Table14[Vigtuð vísitala],MATCH(1,(AL$2=Table14[Column1])*($X12=Table14[Year]),0)),"")</f>
        <v>165.91712941498875</v>
      </c>
      <c r="AM12" cm="1">
        <f t="array" ref="AM12">_xlfn.IFNA(INDEX(Table14[Vigtuð vísitala],MATCH(1,(AM$2=Table14[Column1])*($X12=Table14[Year]),0)),"")</f>
        <v>143.36048183420436</v>
      </c>
      <c r="AN12" t="str" cm="1">
        <f t="array" ref="AN12">_xlfn.IFNA(INDEX(Table14[Vigtuð vísitala],MATCH(1,(AN$2=Table14[Column1])*($X12=Table14[Year]),0)),"")</f>
        <v/>
      </c>
      <c r="AO12" cm="1">
        <f t="array" ref="AO12">_xlfn.IFNA(INDEX(Table14[Vigtuð vísitala],MATCH(1,(AO$2=Table14[Column1])*($X12=Table14[Year]),0)),"")</f>
        <v>105.144608327616</v>
      </c>
      <c r="AP12" cm="1">
        <f t="array" ref="AP12">_xlfn.IFNA(INDEX(Table14[Vigtuð vísitala],MATCH(1,(AP$2=Table14[Column1])*($X12=Table14[Year]),0)),"")</f>
        <v>203.57786186085158</v>
      </c>
      <c r="AQ12" cm="1">
        <f t="array" ref="AQ12">_xlfn.IFNA(INDEX(Table14[Vigtuð vísitala],MATCH(1,(AQ$2=Table14[Column1])*($X12=Table14[Year]),0)),"")</f>
        <v>162.06218559655514</v>
      </c>
      <c r="AR12" cm="1">
        <f t="array" ref="AR12">_xlfn.IFNA(INDEX(Table14[Vigtuð vísitala],MATCH(1,(AR$2=Table14[Column1])*($X12=Table14[Year]),0)),"")</f>
        <v>195.14412668713499</v>
      </c>
      <c r="AS12" t="str" cm="1">
        <f t="array" ref="AS12">_xlfn.IFNA(INDEX(Table14[Vigtuð vísitala],MATCH(1,(AS$2=Table14[Column1])*($X12=Table14[Year]),0)),"")</f>
        <v/>
      </c>
      <c r="AT12" cm="1">
        <f t="array" ref="AT12">_xlfn.IFNA(INDEX(Table14[Vigtuð vísitala],MATCH(1,(AT$2=Table14[Column1])*($X12=Table14[Year]),0)),"")</f>
        <v>152.35244337604095</v>
      </c>
      <c r="AU12" t="str" cm="1">
        <f t="array" ref="AU12">_xlfn.IFNA(INDEX(Table14[Vigtuð vísitala],MATCH(1,(AU$2=Table14[Column1])*($X12=Table14[Year]),0)),"")</f>
        <v/>
      </c>
      <c r="AV12" t="str" cm="1">
        <f t="array" ref="AV12">_xlfn.IFNA(INDEX(Table14[Vigtuð vísitala],MATCH(1,(AV$2=Table14[Column1])*($X12=Table14[Year]),0)),"")</f>
        <v/>
      </c>
      <c r="AW12" t="str" cm="1">
        <f t="array" ref="AW12">_xlfn.IFNA(INDEX(Table14[Vigtuð vísitala],MATCH(1,(AW$2=Table14[Column1])*($X12=Table14[Year]),0)),"")</f>
        <v/>
      </c>
      <c r="AX12" t="str" cm="1">
        <f t="array" ref="AX12">_xlfn.IFNA(INDEX(Table14[Vigtuð vísitala],MATCH(1,(AX$2=Table14[Column1])*($X12=Table14[Year]),0)),"")</f>
        <v/>
      </c>
      <c r="AY12" t="str" cm="1">
        <f t="array" ref="AY12">_xlfn.IFNA(INDEX(Table14[Vigtuð vísitala],MATCH(1,(AY$2=Table14[Column1])*($X12=Table14[Year]),0)),"")</f>
        <v/>
      </c>
      <c r="AZ12" cm="1">
        <f t="array" ref="AZ12">_xlfn.IFNA(INDEX(Table14[Vigtuð vísitala],MATCH(1,(AZ$2=Table14[Column1])*($X12=Table14[Year]),0)),"")</f>
        <v>177.19191822969819</v>
      </c>
      <c r="BA12" t="str" cm="1">
        <f t="array" ref="BA12">_xlfn.IFNA(INDEX(Table14[Vigtuð vísitala],MATCH(1,(BA$2=Table14[Column1])*($X12=Table14[Year]),0)),"")</f>
        <v/>
      </c>
      <c r="BB12" t="str" cm="1">
        <f t="array" ref="BB12">_xlfn.IFNA(INDEX(Table14[Vigtuð vísitala],MATCH(1,(BB$2=Table14[Column1])*($X12=Table14[Year]),0)),"")</f>
        <v/>
      </c>
      <c r="BC12" cm="1">
        <f t="array" ref="BC12">_xlfn.IFNA(INDEX(Table14[Vigtuð vísitala],MATCH(1,(BC$2=Table14[Column1])*($X12=Table14[Year]),0)),"")</f>
        <v>172.46794155382477</v>
      </c>
      <c r="BD12" t="str" cm="1">
        <f t="array" ref="BD12">_xlfn.IFNA(INDEX(Table14[Vigtuð vísitala],MATCH(1,(BD$2=Table14[Column1])*($X12=Table14[Year]),0)),"")</f>
        <v/>
      </c>
      <c r="BE12" cm="1">
        <f t="array" ref="BE12">_xlfn.IFNA(INDEX(Table14[Vigtuð vísitala],MATCH(1,(BE$2=Table14[Column1])*($X12=Table14[Year]),0)),"")</f>
        <v>199.04376872218612</v>
      </c>
      <c r="BF12" t="str" cm="1">
        <f t="array" ref="BF12">_xlfn.IFNA(INDEX(Table14[Vigtuð vísitala],MATCH(1,(BF$2=Table14[Column1])*($X12=Table14[Year]),0)),"")</f>
        <v/>
      </c>
      <c r="BG12" cm="1">
        <f t="array" ref="BG12">_xlfn.IFNA(INDEX(Table14[Vigtuð vísitala],MATCH(1,(BG$2=Table14[Column1])*($X12=Table14[Year]),0)),"")</f>
        <v>127.91769002987523</v>
      </c>
      <c r="BH12" cm="1">
        <f t="array" ref="BH12">_xlfn.IFNA(INDEX(Table14[Vigtuð vísitala],MATCH(1,(BH$2=Table14[Column1])*($X12=Table14[Year]),0)),"")</f>
        <v>147.80393190230856</v>
      </c>
      <c r="BI12" t="str" cm="1">
        <f t="array" ref="BI12">_xlfn.IFNA(INDEX(Table14[Vigtuð vísitala],MATCH(1,(BI$2=Table14[Column1])*($X12=Table14[Year]),0)),"")</f>
        <v/>
      </c>
      <c r="BJ12" cm="1">
        <f t="array" ref="BJ12">_xlfn.IFNA(INDEX(Table14[Vigtuð vísitala],MATCH(1,(BJ$2=Table14[Column1])*($X12=Table14[Year]),0)),"")</f>
        <v>328.6793743477171</v>
      </c>
      <c r="BK12" t="str" cm="1">
        <f t="array" ref="BK12">_xlfn.IFNA(INDEX(Table14[Vigtuð vísitala],MATCH(1,(BK$2=Table14[Column1])*($X12=Table14[Year]),0)),"")</f>
        <v/>
      </c>
      <c r="BL12" t="str" cm="1">
        <f t="array" ref="BL12">_xlfn.IFNA(INDEX(Table14[Vigtuð vísitala],MATCH(1,(BL$2=Table14[Column1])*($X12=Table14[Year]),0)),"")</f>
        <v/>
      </c>
      <c r="BM12" t="str" cm="1">
        <f t="array" ref="BM12">_xlfn.IFNA(INDEX(Table14[Vigtuð vísitala],MATCH(1,(BM$2=Table14[Column1])*($X12=Table14[Year]),0)),"")</f>
        <v/>
      </c>
      <c r="BN12" t="str" cm="1">
        <f t="array" ref="BN12">_xlfn.IFNA(INDEX(Table14[Vigtuð vísitala],MATCH(1,(BN$2=Table14[Column1])*($X12=Table14[Year]),0)),"")</f>
        <v/>
      </c>
      <c r="BO12" t="str" cm="1">
        <f t="array" ref="BO12">_xlfn.IFNA(INDEX(Table14[Vigtuð vísitala],MATCH(1,(BO$2=Table14[Column1])*($X12=Table14[Year]),0)),"")</f>
        <v/>
      </c>
      <c r="BP12" cm="1">
        <f t="array" ref="BP12">_xlfn.IFNA(INDEX(Table14[Vigtuð vísitala],MATCH(1,(BP$2=Table14[Column1])*($X12=Table14[Year]),0)),"")</f>
        <v>122.69262759064316</v>
      </c>
      <c r="BQ12" cm="1">
        <f t="array" ref="BQ12">_xlfn.IFNA(INDEX(Table14[Vigtuð vísitala],MATCH(1,(BQ$2=Table14[Column1])*($X12=Table14[Year]),0)),"")</f>
        <v>150.89014199881487</v>
      </c>
      <c r="BR12" cm="1">
        <f t="array" ref="BR12">_xlfn.IFNA(INDEX(Table14[Vigtuð vísitala],MATCH(1,(BR$2=Table14[Column1])*($X12=Table14[Year]),0)),"")</f>
        <v>196.87429992183434</v>
      </c>
      <c r="BS12" t="str" cm="1">
        <f t="array" ref="BS12">_xlfn.IFNA(INDEX(Table14[Vigtuð vísitala],MATCH(1,(BS$2=Table14[Column1])*($X12=Table14[Year]),0)),"")</f>
        <v/>
      </c>
      <c r="BT12" t="str" cm="1">
        <f t="array" ref="BT12">_xlfn.IFNA(INDEX(Table14[Vigtuð vísitala],MATCH(1,(BT$2=Table14[Column1])*($X12=Table14[Year]),0)),"")</f>
        <v/>
      </c>
      <c r="BU12" cm="1">
        <f t="array" ref="BU12">_xlfn.IFNA(INDEX(Table14[Vigtuð vísitala],MATCH(1,(BU$2=Table14[Column1])*($X12=Table14[Year]),0)),"")</f>
        <v>171.28070015881707</v>
      </c>
      <c r="BV12" cm="1">
        <f t="array" ref="BV12">_xlfn.IFNA(INDEX(Table14[Vigtuð vísitala],MATCH(1,(BV$2=Table14[Column1])*($X12=Table14[Year]),0)),"")</f>
        <v>174.88917013437091</v>
      </c>
      <c r="BW12" t="str" cm="1">
        <f t="array" ref="BW12">_xlfn.IFNA(INDEX(Table14[Vigtuð vísitala],MATCH(1,(BW$2=Table14[Column1])*($X12=Table14[Year]),0)),"")</f>
        <v/>
      </c>
      <c r="BX12" t="str" cm="1">
        <f t="array" ref="BX12">_xlfn.IFNA(INDEX(Table14[Vigtuð vísitala],MATCH(1,(BX$2=Table14[Column1])*($X12=Table14[Year]),0)),"")</f>
        <v/>
      </c>
      <c r="BY12" cm="1">
        <f t="array" ref="BY12">_xlfn.IFNA(INDEX(Table14[Vigtuð vísitala],MATCH(1,(BY$2=Table14[Column1])*($X12=Table14[Year]),0)),"")</f>
        <v>178.92885232072427</v>
      </c>
      <c r="BZ12" cm="1">
        <f t="array" ref="BZ12">_xlfn.IFNA(INDEX(Table14[Vigtuð vísitala],MATCH(1,(BZ$2=Table14[Column1])*($X12=Table14[Year]),0)),"")</f>
        <v>177.63120710127382</v>
      </c>
      <c r="CA12" t="str" cm="1">
        <f t="array" ref="CA12">_xlfn.IFNA(INDEX(Table14[Vigtuð vísitala],MATCH(1,(CA$2=Table14[Column1])*($X12=Table14[Year]),0)),"")</f>
        <v/>
      </c>
      <c r="CB12" cm="1">
        <f t="array" ref="CB12">_xlfn.IFNA(INDEX(Table14[Vigtuð vísitala],MATCH(1,(CB$2=Table14[Column1])*($X12=Table14[Year]),0)),"")</f>
        <v>157.6473136911639</v>
      </c>
      <c r="CC12" t="str" cm="1">
        <f t="array" ref="CC12">_xlfn.IFNA(INDEX(Table14[Vigtuð vísitala],MATCH(1,(CC$2=Table14[Column1])*($X12=Table14[Year]),0)),"")</f>
        <v/>
      </c>
      <c r="CD12" t="str" cm="1">
        <f t="array" ref="CD12">_xlfn.IFNA(INDEX(Table14[Vigtuð vísitala],MATCH(1,(CD$2=Table14[Column1])*($X12=Table14[Year]),0)),"")</f>
        <v/>
      </c>
      <c r="CE12" cm="1">
        <f t="array" ref="CE12">_xlfn.IFNA(INDEX(Table14[Vigtuð vísitala],MATCH(1,(CE$2=Table14[Column1])*($X12=Table14[Year]),0)),"")</f>
        <v>166.20352654338421</v>
      </c>
      <c r="CF12" cm="1">
        <f t="array" ref="CF12">_xlfn.IFNA(INDEX(Table14[Vigtuð vísitala],MATCH(1,(CF$2=Table14[Column1])*($X12=Table14[Year]),0)),"")</f>
        <v>208.38310124585962</v>
      </c>
      <c r="CG12" cm="1">
        <f t="array" ref="CG12">_xlfn.IFNA(INDEX(Table14[Vigtuð vísitala],MATCH(1,(CG$2=Table14[Column1])*($X12=Table14[Year]),0)),"")</f>
        <v>160.98919646865656</v>
      </c>
      <c r="CH12" cm="1">
        <f t="array" ref="CH12">_xlfn.IFNA(INDEX(Table14[Vigtuð vísitala],MATCH(1,(CH$2=Table14[Column1])*($X12=Table14[Year]),0)),"")</f>
        <v>138.87301236163665</v>
      </c>
      <c r="CI12" cm="1">
        <f t="array" ref="CI12">_xlfn.IFNA(INDEX(Table14[Vigtuð vísitala],MATCH(1,(CI$2=Table14[Column1])*($X12=Table14[Year]),0)),"")</f>
        <v>315.31380875923543</v>
      </c>
      <c r="CJ12" cm="1">
        <f t="array" ref="CJ12">_xlfn.IFNA(INDEX(Table14[Vigtuð vísitala],MATCH(1,(CJ$2=Table14[Column1])*($X12=Table14[Year]),0)),"")</f>
        <v>109.92088897707944</v>
      </c>
      <c r="CK12" cm="1">
        <f t="array" ref="CK12">_xlfn.IFNA(INDEX(Table14[Vigtuð vísitala],MATCH(1,(CK$2=Table14[Column1])*($X12=Table14[Year]),0)),"")</f>
        <v>159.27657172552557</v>
      </c>
      <c r="CL12" t="str" cm="1">
        <f t="array" ref="CL12">_xlfn.IFNA(INDEX(Table14[Vigtuð vísitala],MATCH(1,(CL$2=Table14[Column1])*($X12=Table14[Year]),0)),"")</f>
        <v/>
      </c>
      <c r="CM12" t="str" cm="1">
        <f t="array" ref="CM12">_xlfn.IFNA(INDEX(Table14[Vigtuð vísitala],MATCH(1,(CM$2=Table14[Column1])*($X12=Table14[Year]),0)),"")</f>
        <v/>
      </c>
      <c r="CN12" cm="1">
        <f t="array" ref="CN12">_xlfn.IFNA(INDEX(Table14[Vigtuð vísitala],MATCH(1,(CN$2=Table14[Column1])*($X12=Table14[Year]),0)),"")</f>
        <v>147.29935747539673</v>
      </c>
      <c r="CO12" t="str" cm="1">
        <f t="array" ref="CO12">_xlfn.IFNA(INDEX(Table14[Vigtuð vísitala],MATCH(1,(CO$2=Table14[Column1])*($X12=Table14[Year]),0)),"")</f>
        <v/>
      </c>
      <c r="CP12" t="str" cm="1">
        <f t="array" ref="CP12">_xlfn.IFNA(INDEX(Table14[Vigtuð vísitala],MATCH(1,(CP$2=Table14[Column1])*($X12=Table14[Year]),0)),"")</f>
        <v/>
      </c>
      <c r="CQ12" cm="1">
        <f t="array" ref="CQ12">_xlfn.IFNA(INDEX(Table14[Vigtuð vísitala],MATCH(1,(CQ$2=Table14[Column1])*($X12=Table14[Year]),0)),"")</f>
        <v>141.58409848049848</v>
      </c>
      <c r="CR12" cm="1">
        <f t="array" ref="CR12">_xlfn.IFNA(INDEX(Table14[Vigtuð vísitala],MATCH(1,(CR$2=Table14[Column1])*($X12=Table14[Year]),0)),"")</f>
        <v>190.31390453971474</v>
      </c>
      <c r="CS12" cm="1">
        <f t="array" ref="CS12">_xlfn.IFNA(INDEX(Table14[Vigtuð vísitala],MATCH(1,(CS$2=Table14[Column1])*($X12=Table14[Year]),0)),"")</f>
        <v>193.13123488118018</v>
      </c>
      <c r="CT12" cm="1">
        <f t="array" ref="CT12">_xlfn.IFNA(INDEX(Table14[Vigtuð vísitala],MATCH(1,(CT$2=Table14[Column1])*($X12=Table14[Year]),0)),"")</f>
        <v>177.32868114834434</v>
      </c>
      <c r="CU12" t="str" cm="1">
        <f t="array" ref="CU12">_xlfn.IFNA(INDEX(Table14[Vigtuð vísitala],MATCH(1,(CU$2=Table14[Column1])*($X12=Table14[Year]),0)),"")</f>
        <v/>
      </c>
      <c r="CV12" t="str" cm="1">
        <f t="array" ref="CV12">_xlfn.IFNA(INDEX(Table14[Vigtuð vísitala],MATCH(1,(CV$2=Table14[Column1])*($X12=Table14[Year]),0)),"")</f>
        <v/>
      </c>
      <c r="CW12" t="str" cm="1">
        <f t="array" ref="CW12">_xlfn.IFNA(INDEX(Table14[Vigtuð vísitala],MATCH(1,(CW$2=Table14[Column1])*($X12=Table14[Year]),0)),"")</f>
        <v/>
      </c>
      <c r="CX12" t="str" cm="1">
        <f t="array" ref="CX12">_xlfn.IFNA(INDEX(Table14[Vigtuð vísitala],MATCH(1,(CX$2=Table14[Column1])*($X12=Table14[Year]),0)),"")</f>
        <v/>
      </c>
      <c r="CY12" t="str" cm="1">
        <f t="array" ref="CY12">_xlfn.IFNA(INDEX(Table14[Vigtuð vísitala],MATCH(1,(CY$2=Table14[Column1])*($X12=Table14[Year]),0)),"")</f>
        <v/>
      </c>
      <c r="CZ12" cm="1">
        <f t="array" ref="CZ12">_xlfn.IFNA(INDEX(Table14[Vigtuð vísitala],MATCH(1,(CZ$2=Table14[Column1])*($X12=Table14[Year]),0)),"")</f>
        <v>189.75650996085847</v>
      </c>
      <c r="DA12" t="str" cm="1">
        <f t="array" ref="DA12">_xlfn.IFNA(INDEX(Table14[Vigtuð vísitala],MATCH(1,(DA$2=Table14[Column1])*($X12=Table14[Year]),0)),"")</f>
        <v/>
      </c>
      <c r="DB12" t="str" cm="1">
        <f t="array" ref="DB12">_xlfn.IFNA(INDEX(Table14[Vigtuð vísitala],MATCH(1,(DB$2=Table14[Column1])*($X12=Table14[Year]),0)),"")</f>
        <v/>
      </c>
      <c r="DC12" cm="1">
        <f t="array" ref="DC12">_xlfn.IFNA(INDEX(Table14[Vigtuð vísitala],MATCH(1,(DC$2=Table14[Column1])*($X12=Table14[Year]),0)),"")</f>
        <v>183.28418206956007</v>
      </c>
      <c r="DD12" cm="1">
        <f t="array" ref="DD12">_xlfn.IFNA(INDEX(Table14[Vigtuð vísitala],MATCH(1,(DD$2=Table14[Column1])*($X12=Table14[Year]),0)),"")</f>
        <v>203.57786186085158</v>
      </c>
      <c r="DE12" t="str" cm="1">
        <f t="array" ref="DE12">_xlfn.IFNA(INDEX(Table14[Vigtuð vísitala],MATCH(1,(DE$2=Table14[Column1])*($X12=Table14[Year]),0)),"")</f>
        <v/>
      </c>
      <c r="DF12" t="str" cm="1">
        <f t="array" ref="DF12">_xlfn.IFNA(INDEX(Table14[Vigtuð vísitala],MATCH(1,(DF$2=Table14[Column1])*($X12=Table14[Year]),0)),"")</f>
        <v/>
      </c>
    </row>
    <row r="13" spans="1:110">
      <c r="A13" t="s">
        <v>54</v>
      </c>
      <c r="B13">
        <v>2014</v>
      </c>
      <c r="C13" s="16">
        <v>6.2000000000000006E-2</v>
      </c>
      <c r="D13" s="1">
        <v>74000497</v>
      </c>
      <c r="E13" s="29">
        <f>Table14[[#This Row],[Ávöxtun]]*Table14[[#This Row],[Eignir]]/SUMIFS(Table14[Eignir],Table14[Year],Table14[[#This Row],[Year]])</f>
        <v>1.7293625616781798E-3</v>
      </c>
      <c r="F13" s="23" t="e">
        <f>IF(B13=1997, 100, IF(COUNTIF(A$1:A12,A13)=0, "NEW", F12*(1+Table14[[#This Row],[Ávöxtun]])))</f>
        <v>#VALUE!</v>
      </c>
      <c r="G13" s="18" t="str" cm="1">
        <f t="array" ref="G13">IFERROR(_xlfn.IFS(ISNUMBER(Table14[[#This Row],[Column3]]),Table14[[#This Row],[Column3]],Table14[[#This Row],[Column3]]="NEW",Table14[[#This Row],[Column3]]),"")</f>
        <v/>
      </c>
      <c r="H13" s="15" cm="1">
        <f t="array" ref="H13">_xlfn.IFS(Table14[[#This Row],[Column4]]="NEW",AVERAGEIFS(Table14[Column4],Table14[Year],Table14[[#This Row],[Year]]),ISNUMBER(Table14[[#This Row],[Column4]]),Table14[[#This Row],[Column4]],Table14[[#This Row],[Column4]]="",H12*(1+Table14[[#This Row],[Ávöxtun]]))</f>
        <v>133.91983791515449</v>
      </c>
      <c r="I13" cm="1">
        <f t="array" ref="I13">_xlfn.IFS(Table14[[#This Row],[Column4]]="NEW",_xlfn.XLOOKUP(Table14[[#This Row],[Year]],$M$2:$M$27,$O$2:$O$27),ISNUMBER(Table14[[#This Row],[Column4]]),Table14[[#This Row],[Column4]],Table14[[#This Row],[Column4]]="",I12*(1+Table14[[#This Row],[Ávöxtun]]))</f>
        <v>141.42590445255553</v>
      </c>
      <c r="K13" s="25"/>
      <c r="L13" s="33">
        <v>141.42590445255553</v>
      </c>
      <c r="M13">
        <v>2007</v>
      </c>
      <c r="N13" s="27">
        <f>SUMIFS(Table14[Column2],Table14[Year],M13)</f>
        <v>7.0230137442582824E-3</v>
      </c>
      <c r="O13">
        <f t="shared" si="0"/>
        <v>205.00759198272704</v>
      </c>
      <c r="P13" s="26" cm="1">
        <f t="array" ref="P13">_xlfn.QUARTILE.EXC(IF($B$2:$B$939 = M13, $I$2:$I$939), 3)</f>
        <v>203.47249806980011</v>
      </c>
      <c r="Q13" s="26" cm="1">
        <f t="array" ref="Q13">_xlfn.QUARTILE.EXC(IF($B$2:$B$939 = M13, $I$2:$I$939), 1)</f>
        <v>151.68778450001457</v>
      </c>
      <c r="R13" s="26" cm="1">
        <f t="array" ref="R13">_xlfn.QUARTILE.EXC(IF($B$2:$B$939 = M13, $I$2:$I$939), 2)</f>
        <v>174.93423311804446</v>
      </c>
      <c r="S13" s="17" cm="1">
        <f t="array" ref="S13">_xlfn.QUARTILE.EXC(IF($B$2:$B$939 = M13, $C$2:$C$939), 3)</f>
        <v>2.64E-2</v>
      </c>
      <c r="T13" s="17" cm="1">
        <f t="array" ref="T13">_xlfn.QUARTILE.EXC(IF($B$2:$B$939 = M13, $C$2:$C$939), 1)</f>
        <v>-5.4000000000000003E-3</v>
      </c>
      <c r="U13" s="17" cm="1">
        <f t="array" ref="U13">_xlfn.QUARTILE.EXC(IF($B$2:$B$939 = M13, $C$2:$C$939), 2)</f>
        <v>1.0500000000000001E-2</v>
      </c>
      <c r="X13">
        <v>2007</v>
      </c>
      <c r="Y13">
        <f t="shared" si="1"/>
        <v>205.00759198272704</v>
      </c>
      <c r="Z13" cm="1">
        <f t="array" ref="Z13">_xlfn.IFNA(INDEX(Table14[Vigtuð vísitala],MATCH(1,(Z$2=Table14[Column1])*($X13=Table14[Year]),0)),"")</f>
        <v>204.40538137423894</v>
      </c>
      <c r="AB13" t="str" cm="1">
        <f t="array" ref="AB13">_xlfn.IFNA(INDEX(Table14[Vigtuð vísitala],MATCH(1,(AB$2=Table14[Column1])*($X13=Table14[Year]),0)),"")</f>
        <v/>
      </c>
      <c r="AC13" t="str" cm="1">
        <f t="array" ref="AC13">_xlfn.IFNA(INDEX(Table14[Vigtuð vísitala],MATCH(1,(AC$2=Table14[Column1])*($X13=Table14[Year]),0)),"")</f>
        <v/>
      </c>
      <c r="AD13" t="str" cm="1">
        <f t="array" ref="AD13">_xlfn.IFNA(INDEX(Table14[Vigtuð vísitala],MATCH(1,(AD$2=Table14[Column1])*($X13=Table14[Year]),0)),"")</f>
        <v/>
      </c>
      <c r="AE13" t="str" cm="1">
        <f t="array" ref="AE13">_xlfn.IFNA(INDEX(Table14[Vigtuð vísitala],MATCH(1,(AE$2=Table14[Column1])*($X13=Table14[Year]),0)),"")</f>
        <v/>
      </c>
      <c r="AF13" t="str" cm="1">
        <f t="array" ref="AF13">_xlfn.IFNA(INDEX(Table14[Vigtuð vísitala],MATCH(1,(AF$2=Table14[Column1])*($X13=Table14[Year]),0)),"")</f>
        <v/>
      </c>
      <c r="AG13" cm="1">
        <f t="array" ref="AG13">_xlfn.IFNA(INDEX(Table14[Vigtuð vísitala],MATCH(1,(AG$2=Table14[Column1])*($X13=Table14[Year]),0)),"")</f>
        <v>153.05380065298536</v>
      </c>
      <c r="AH13" t="str" cm="1">
        <f t="array" ref="AH13">_xlfn.IFNA(INDEX(Table14[Vigtuð vísitala],MATCH(1,(AH$2=Table14[Column1])*($X13=Table14[Year]),0)),"")</f>
        <v/>
      </c>
      <c r="AI13" cm="1">
        <f t="array" ref="AI13">_xlfn.IFNA(INDEX(Table14[Vigtuð vísitala],MATCH(1,(AI$2=Table14[Column1])*($X13=Table14[Year]),0)),"")</f>
        <v>202.53961476536125</v>
      </c>
      <c r="AJ13" cm="1">
        <f t="array" ref="AJ13">_xlfn.IFNA(INDEX(Table14[Vigtuð vísitala],MATCH(1,(AJ$2=Table14[Column1])*($X13=Table14[Year]),0)),"")</f>
        <v>144.41813018926163</v>
      </c>
      <c r="AK13" t="str" cm="1">
        <f t="array" ref="AK13">_xlfn.IFNA(INDEX(Table14[Vigtuð vísitala],MATCH(1,(AK$2=Table14[Column1])*($X13=Table14[Year]),0)),"")</f>
        <v/>
      </c>
      <c r="AL13" cm="1">
        <f t="array" ref="AL13">_xlfn.IFNA(INDEX(Table14[Vigtuð vísitala],MATCH(1,(AL$2=Table14[Column1])*($X13=Table14[Year]),0)),"")</f>
        <v>168.52202834680409</v>
      </c>
      <c r="AM13" cm="1">
        <f t="array" ref="AM13">_xlfn.IFNA(INDEX(Table14[Vigtuð vísitala],MATCH(1,(AM$2=Table14[Column1])*($X13=Table14[Year]),0)),"")</f>
        <v>151.86175840697268</v>
      </c>
      <c r="AN13" t="str" cm="1">
        <f t="array" ref="AN13">_xlfn.IFNA(INDEX(Table14[Vigtuð vísitala],MATCH(1,(AN$2=Table14[Column1])*($X13=Table14[Year]),0)),"")</f>
        <v/>
      </c>
      <c r="AO13" cm="1">
        <f t="array" ref="AO13">_xlfn.IFNA(INDEX(Table14[Vigtuð vísitala],MATCH(1,(AO$2=Table14[Column1])*($X13=Table14[Year]),0)),"")</f>
        <v>101.50660487948049</v>
      </c>
      <c r="AP13" cm="1">
        <f t="array" ref="AP13">_xlfn.IFNA(INDEX(Table14[Vigtuð vísitala],MATCH(1,(AP$2=Table14[Column1])*($X13=Table14[Year]),0)),"")</f>
        <v>209.21696863439718</v>
      </c>
      <c r="AQ13" cm="1">
        <f t="array" ref="AQ13">_xlfn.IFNA(INDEX(Table14[Vigtuð vísitala],MATCH(1,(AQ$2=Table14[Column1])*($X13=Table14[Year]),0)),"")</f>
        <v>158.25372423503609</v>
      </c>
      <c r="AR13" cm="1">
        <f t="array" ref="AR13">_xlfn.IFNA(INDEX(Table14[Vigtuð vísitala],MATCH(1,(AR$2=Table14[Column1])*($X13=Table14[Year]),0)),"")</f>
        <v>199.74952807695138</v>
      </c>
      <c r="AS13" t="str" cm="1">
        <f t="array" ref="AS13">_xlfn.IFNA(INDEX(Table14[Vigtuð vísitala],MATCH(1,(AS$2=Table14[Column1])*($X13=Table14[Year]),0)),"")</f>
        <v/>
      </c>
      <c r="AT13" cm="1">
        <f t="array" ref="AT13">_xlfn.IFNA(INDEX(Table14[Vigtuð vísitala],MATCH(1,(AT$2=Table14[Column1])*($X13=Table14[Year]),0)),"")</f>
        <v>155.09478735680969</v>
      </c>
      <c r="AU13" cm="1">
        <f t="array" ref="AU13">_xlfn.IFNA(INDEX(Table14[Vigtuð vísitala],MATCH(1,(AU$2=Table14[Column1])*($X13=Table14[Year]),0)),"")</f>
        <v>205.00759198272704</v>
      </c>
      <c r="AV13" t="str" cm="1">
        <f t="array" ref="AV13">_xlfn.IFNA(INDEX(Table14[Vigtuð vísitala],MATCH(1,(AV$2=Table14[Column1])*($X13=Table14[Year]),0)),"")</f>
        <v/>
      </c>
      <c r="AW13" t="str" cm="1">
        <f t="array" ref="AW13">_xlfn.IFNA(INDEX(Table14[Vigtuð vísitala],MATCH(1,(AW$2=Table14[Column1])*($X13=Table14[Year]),0)),"")</f>
        <v/>
      </c>
      <c r="AX13" t="str" cm="1">
        <f t="array" ref="AX13">_xlfn.IFNA(INDEX(Table14[Vigtuð vísitala],MATCH(1,(AX$2=Table14[Column1])*($X13=Table14[Year]),0)),"")</f>
        <v/>
      </c>
      <c r="AY13" t="str" cm="1">
        <f t="array" ref="AY13">_xlfn.IFNA(INDEX(Table14[Vigtuð vísitala],MATCH(1,(AY$2=Table14[Column1])*($X13=Table14[Year]),0)),"")</f>
        <v/>
      </c>
      <c r="AZ13" cm="1">
        <f t="array" ref="AZ13">_xlfn.IFNA(INDEX(Table14[Vigtuð vísitala],MATCH(1,(AZ$2=Table14[Column1])*($X13=Table14[Year]),0)),"")</f>
        <v>184.22643738341722</v>
      </c>
      <c r="BA13" t="str" cm="1">
        <f t="array" ref="BA13">_xlfn.IFNA(INDEX(Table14[Vigtuð vísitala],MATCH(1,(BA$2=Table14[Column1])*($X13=Table14[Year]),0)),"")</f>
        <v/>
      </c>
      <c r="BB13" t="str" cm="1">
        <f t="array" ref="BB13">_xlfn.IFNA(INDEX(Table14[Vigtuð vísitala],MATCH(1,(BB$2=Table14[Column1])*($X13=Table14[Year]),0)),"")</f>
        <v/>
      </c>
      <c r="BC13" cm="1">
        <f t="array" ref="BC13">_xlfn.IFNA(INDEX(Table14[Vigtuð vísitala],MATCH(1,(BC$2=Table14[Column1])*($X13=Table14[Year]),0)),"")</f>
        <v>174.93423311804446</v>
      </c>
      <c r="BD13" t="str" cm="1">
        <f t="array" ref="BD13">_xlfn.IFNA(INDEX(Table14[Vigtuð vísitala],MATCH(1,(BD$2=Table14[Column1])*($X13=Table14[Year]),0)),"")</f>
        <v/>
      </c>
      <c r="BE13" cm="1">
        <f t="array" ref="BE13">_xlfn.IFNA(INDEX(Table14[Vigtuð vísitala],MATCH(1,(BE$2=Table14[Column1])*($X13=Table14[Year]),0)),"")</f>
        <v>208.31920834463997</v>
      </c>
      <c r="BF13" t="str" cm="1">
        <f t="array" ref="BF13">_xlfn.IFNA(INDEX(Table14[Vigtuð vísitala],MATCH(1,(BF$2=Table14[Column1])*($X13=Table14[Year]),0)),"")</f>
        <v/>
      </c>
      <c r="BG13" cm="1">
        <f t="array" ref="BG13">_xlfn.IFNA(INDEX(Table14[Vigtuð vísitala],MATCH(1,(BG$2=Table14[Column1])*($X13=Table14[Year]),0)),"")</f>
        <v>128.67240440105149</v>
      </c>
      <c r="BH13" cm="1">
        <f t="array" ref="BH13">_xlfn.IFNA(INDEX(Table14[Vigtuð vísitala],MATCH(1,(BH$2=Table14[Column1])*($X13=Table14[Year]),0)),"")</f>
        <v>151.51381059305649</v>
      </c>
      <c r="BI13" t="str" cm="1">
        <f t="array" ref="BI13">_xlfn.IFNA(INDEX(Table14[Vigtuð vísitala],MATCH(1,(BI$2=Table14[Column1])*($X13=Table14[Year]),0)),"")</f>
        <v/>
      </c>
      <c r="BJ13" cm="1">
        <f t="array" ref="BJ13">_xlfn.IFNA(INDEX(Table14[Vigtuð vísitala],MATCH(1,(BJ$2=Table14[Column1])*($X13=Table14[Year]),0)),"")</f>
        <v>323.84778754480567</v>
      </c>
      <c r="BK13" t="str" cm="1">
        <f t="array" ref="BK13">_xlfn.IFNA(INDEX(Table14[Vigtuð vísitala],MATCH(1,(BK$2=Table14[Column1])*($X13=Table14[Year]),0)),"")</f>
        <v/>
      </c>
      <c r="BL13" t="str" cm="1">
        <f t="array" ref="BL13">_xlfn.IFNA(INDEX(Table14[Vigtuð vísitala],MATCH(1,(BL$2=Table14[Column1])*($X13=Table14[Year]),0)),"")</f>
        <v/>
      </c>
      <c r="BM13" t="str" cm="1">
        <f t="array" ref="BM13">_xlfn.IFNA(INDEX(Table14[Vigtuð vísitala],MATCH(1,(BM$2=Table14[Column1])*($X13=Table14[Year]),0)),"")</f>
        <v/>
      </c>
      <c r="BN13" t="str" cm="1">
        <f t="array" ref="BN13">_xlfn.IFNA(INDEX(Table14[Vigtuð vísitala],MATCH(1,(BN$2=Table14[Column1])*($X13=Table14[Year]),0)),"")</f>
        <v/>
      </c>
      <c r="BO13" t="str" cm="1">
        <f t="array" ref="BO13">_xlfn.IFNA(INDEX(Table14[Vigtuð vísitala],MATCH(1,(BO$2=Table14[Column1])*($X13=Table14[Year]),0)),"")</f>
        <v/>
      </c>
      <c r="BP13" t="str" cm="1">
        <f t="array" ref="BP13">_xlfn.IFNA(INDEX(Table14[Vigtuð vísitala],MATCH(1,(BP$2=Table14[Column1])*($X13=Table14[Year]),0)),"")</f>
        <v/>
      </c>
      <c r="BQ13" cm="1">
        <f t="array" ref="BQ13">_xlfn.IFNA(INDEX(Table14[Vigtuð vísitala],MATCH(1,(BQ$2=Table14[Column1])*($X13=Table14[Year]),0)),"")</f>
        <v>149.27561747942755</v>
      </c>
      <c r="BR13" cm="1">
        <f t="array" ref="BR13">_xlfn.IFNA(INDEX(Table14[Vigtuð vísitala],MATCH(1,(BR$2=Table14[Column1])*($X13=Table14[Year]),0)),"")</f>
        <v>201.30397167007561</v>
      </c>
      <c r="BS13" t="str" cm="1">
        <f t="array" ref="BS13">_xlfn.IFNA(INDEX(Table14[Vigtuð vísitala],MATCH(1,(BS$2=Table14[Column1])*($X13=Table14[Year]),0)),"")</f>
        <v/>
      </c>
      <c r="BT13" t="str" cm="1">
        <f t="array" ref="BT13">_xlfn.IFNA(INDEX(Table14[Vigtuð vísitala],MATCH(1,(BT$2=Table14[Column1])*($X13=Table14[Year]),0)),"")</f>
        <v/>
      </c>
      <c r="BU13" t="str" cm="1">
        <f t="array" ref="BU13">_xlfn.IFNA(INDEX(Table14[Vigtuð vísitala],MATCH(1,(BU$2=Table14[Column1])*($X13=Table14[Year]),0)),"")</f>
        <v/>
      </c>
      <c r="BV13" cm="1">
        <f t="array" ref="BV13">_xlfn.IFNA(INDEX(Table14[Vigtuð vísitala],MATCH(1,(BV$2=Table14[Column1])*($X13=Table14[Year]),0)),"")</f>
        <v>172.31829933339566</v>
      </c>
      <c r="BW13" t="str" cm="1">
        <f t="array" ref="BW13">_xlfn.IFNA(INDEX(Table14[Vigtuð vísitala],MATCH(1,(BW$2=Table14[Column1])*($X13=Table14[Year]),0)),"")</f>
        <v/>
      </c>
      <c r="BX13" t="str" cm="1">
        <f t="array" ref="BX13">_xlfn.IFNA(INDEX(Table14[Vigtuð vísitala],MATCH(1,(BX$2=Table14[Column1])*($X13=Table14[Year]),0)),"")</f>
        <v/>
      </c>
      <c r="BY13" t="str" cm="1">
        <f t="array" ref="BY13">_xlfn.IFNA(INDEX(Table14[Vigtuð vísitala],MATCH(1,(BY$2=Table14[Column1])*($X13=Table14[Year]),0)),"")</f>
        <v/>
      </c>
      <c r="BZ13" t="str" cm="1">
        <f t="array" ref="BZ13">_xlfn.IFNA(INDEX(Table14[Vigtuð vísitala],MATCH(1,(BZ$2=Table14[Column1])*($X13=Table14[Year]),0)),"")</f>
        <v/>
      </c>
      <c r="CA13" t="str" cm="1">
        <f t="array" ref="CA13">_xlfn.IFNA(INDEX(Table14[Vigtuð vísitala],MATCH(1,(CA$2=Table14[Column1])*($X13=Table14[Year]),0)),"")</f>
        <v/>
      </c>
      <c r="CB13" cm="1">
        <f t="array" ref="CB13">_xlfn.IFNA(INDEX(Table14[Vigtuð vísitala],MATCH(1,(CB$2=Table14[Column1])*($X13=Table14[Year]),0)),"")</f>
        <v>159.22378682807553</v>
      </c>
      <c r="CC13" t="str" cm="1">
        <f t="array" ref="CC13">_xlfn.IFNA(INDEX(Table14[Vigtuð vísitala],MATCH(1,(CC$2=Table14[Column1])*($X13=Table14[Year]),0)),"")</f>
        <v/>
      </c>
      <c r="CD13" t="str" cm="1">
        <f t="array" ref="CD13">_xlfn.IFNA(INDEX(Table14[Vigtuð vísitala],MATCH(1,(CD$2=Table14[Column1])*($X13=Table14[Year]),0)),"")</f>
        <v/>
      </c>
      <c r="CE13" cm="1">
        <f t="array" ref="CE13">_xlfn.IFNA(INDEX(Table14[Vigtuð vísitala],MATCH(1,(CE$2=Table14[Column1])*($X13=Table14[Year]),0)),"")</f>
        <v>172.88490831042827</v>
      </c>
      <c r="CF13" cm="1">
        <f t="array" ref="CF13">_xlfn.IFNA(INDEX(Table14[Vigtuð vísitala],MATCH(1,(CF$2=Table14[Column1])*($X13=Table14[Year]),0)),"")</f>
        <v>220.51099773836864</v>
      </c>
      <c r="CG13" cm="1">
        <f t="array" ref="CG13">_xlfn.IFNA(INDEX(Table14[Vigtuð vísitala],MATCH(1,(CG$2=Table14[Column1])*($X13=Table14[Year]),0)),"")</f>
        <v>160.29694292384133</v>
      </c>
      <c r="CH13" cm="1">
        <f t="array" ref="CH13">_xlfn.IFNA(INDEX(Table14[Vigtuð vísitala],MATCH(1,(CH$2=Table14[Column1])*($X13=Table14[Year]),0)),"")</f>
        <v>150.6633311111396</v>
      </c>
      <c r="CI13" cm="1">
        <f t="array" ref="CI13">_xlfn.IFNA(INDEX(Table14[Vigtuð vísitala],MATCH(1,(CI$2=Table14[Column1])*($X13=Table14[Year]),0)),"")</f>
        <v>309.29131501193405</v>
      </c>
      <c r="CJ13" cm="1">
        <f t="array" ref="CJ13">_xlfn.IFNA(INDEX(Table14[Vigtuð vísitala],MATCH(1,(CJ$2=Table14[Column1])*($X13=Table14[Year]),0)),"")</f>
        <v>112.0643463121325</v>
      </c>
      <c r="CK13" t="str" cm="1">
        <f t="array" ref="CK13">_xlfn.IFNA(INDEX(Table14[Vigtuð vísitala],MATCH(1,(CK$2=Table14[Column1])*($X13=Table14[Year]),0)),"")</f>
        <v/>
      </c>
      <c r="CL13" t="str" cm="1">
        <f t="array" ref="CL13">_xlfn.IFNA(INDEX(Table14[Vigtuð vísitala],MATCH(1,(CL$2=Table14[Column1])*($X13=Table14[Year]),0)),"")</f>
        <v/>
      </c>
      <c r="CM13" t="str" cm="1">
        <f t="array" ref="CM13">_xlfn.IFNA(INDEX(Table14[Vigtuð vísitala],MATCH(1,(CM$2=Table14[Column1])*($X13=Table14[Year]),0)),"")</f>
        <v/>
      </c>
      <c r="CN13" cm="1">
        <f t="array" ref="CN13">_xlfn.IFNA(INDEX(Table14[Vigtuð vísitala],MATCH(1,(CN$2=Table14[Column1])*($X13=Table14[Year]),0)),"")</f>
        <v>148.08004407001636</v>
      </c>
      <c r="CO13" t="str" cm="1">
        <f t="array" ref="CO13">_xlfn.IFNA(INDEX(Table14[Vigtuð vísitala],MATCH(1,(CO$2=Table14[Column1])*($X13=Table14[Year]),0)),"")</f>
        <v/>
      </c>
      <c r="CP13" t="str" cm="1">
        <f t="array" ref="CP13">_xlfn.IFNA(INDEX(Table14[Vigtuð vísitala],MATCH(1,(CP$2=Table14[Column1])*($X13=Table14[Year]),0)),"")</f>
        <v/>
      </c>
      <c r="CQ13" cm="1">
        <f t="array" ref="CQ13">_xlfn.IFNA(INDEX(Table14[Vigtuð vísitala],MATCH(1,(CQ$2=Table14[Column1])*($X13=Table14[Year]),0)),"")</f>
        <v>140.55053456159084</v>
      </c>
      <c r="CR13" cm="1">
        <f t="array" ref="CR13">_xlfn.IFNA(INDEX(Table14[Vigtuð vísitala],MATCH(1,(CR$2=Table14[Column1])*($X13=Table14[Year]),0)),"")</f>
        <v>192.31220053738173</v>
      </c>
      <c r="CS13" cm="1">
        <f t="array" ref="CS13">_xlfn.IFNA(INDEX(Table14[Vigtuð vísitala],MATCH(1,(CS$2=Table14[Column1])*($X13=Table14[Year]),0)),"")</f>
        <v>192.35870994165546</v>
      </c>
      <c r="CT13" cm="1">
        <f t="array" ref="CT13">_xlfn.IFNA(INDEX(Table14[Vigtuð vísitala],MATCH(1,(CT$2=Table14[Column1])*($X13=Table14[Year]),0)),"")</f>
        <v>179.47435819023931</v>
      </c>
      <c r="CU13" t="str" cm="1">
        <f t="array" ref="CU13">_xlfn.IFNA(INDEX(Table14[Vigtuð vísitala],MATCH(1,(CU$2=Table14[Column1])*($X13=Table14[Year]),0)),"")</f>
        <v/>
      </c>
      <c r="CV13" t="str" cm="1">
        <f t="array" ref="CV13">_xlfn.IFNA(INDEX(Table14[Vigtuð vísitala],MATCH(1,(CV$2=Table14[Column1])*($X13=Table14[Year]),0)),"")</f>
        <v/>
      </c>
      <c r="CW13" t="str" cm="1">
        <f t="array" ref="CW13">_xlfn.IFNA(INDEX(Table14[Vigtuð vísitala],MATCH(1,(CW$2=Table14[Column1])*($X13=Table14[Year]),0)),"")</f>
        <v/>
      </c>
      <c r="CX13" t="str" cm="1">
        <f t="array" ref="CX13">_xlfn.IFNA(INDEX(Table14[Vigtuð vísitala],MATCH(1,(CX$2=Table14[Column1])*($X13=Table14[Year]),0)),"")</f>
        <v/>
      </c>
      <c r="CY13" t="str" cm="1">
        <f t="array" ref="CY13">_xlfn.IFNA(INDEX(Table14[Vigtuð vísitala],MATCH(1,(CY$2=Table14[Column1])*($X13=Table14[Year]),0)),"")</f>
        <v/>
      </c>
      <c r="CZ13" cm="1">
        <f t="array" ref="CZ13">_xlfn.IFNA(INDEX(Table14[Vigtuð vísitala],MATCH(1,(CZ$2=Table14[Column1])*($X13=Table14[Year]),0)),"")</f>
        <v>189.75650996085847</v>
      </c>
      <c r="DA13" t="str" cm="1">
        <f t="array" ref="DA13">_xlfn.IFNA(INDEX(Table14[Vigtuð vísitala],MATCH(1,(DA$2=Table14[Column1])*($X13=Table14[Year]),0)),"")</f>
        <v/>
      </c>
      <c r="DB13" t="str" cm="1">
        <f t="array" ref="DB13">_xlfn.IFNA(INDEX(Table14[Vigtuð vísitala],MATCH(1,(DB$2=Table14[Column1])*($X13=Table14[Year]),0)),"")</f>
        <v/>
      </c>
      <c r="DC13" cm="1">
        <f t="array" ref="DC13">_xlfn.IFNA(INDEX(Table14[Vigtuð vísitala],MATCH(1,(DC$2=Table14[Column1])*($X13=Table14[Year]),0)),"")</f>
        <v>183.66907885190614</v>
      </c>
      <c r="DD13" cm="1">
        <f t="array" ref="DD13">_xlfn.IFNA(INDEX(Table14[Vigtuð vísitala],MATCH(1,(DD$2=Table14[Column1])*($X13=Table14[Year]),0)),"")</f>
        <v>205.36934704522707</v>
      </c>
      <c r="DE13" cm="1">
        <f t="array" ref="DE13">_xlfn.IFNA(INDEX(Table14[Vigtuð vísitala],MATCH(1,(DE$2=Table14[Column1])*($X13=Table14[Year]),0)),"")</f>
        <v>205.00759198272704</v>
      </c>
      <c r="DF13" t="str" cm="1">
        <f t="array" ref="DF13">_xlfn.IFNA(INDEX(Table14[Vigtuð vísitala],MATCH(1,(DF$2=Table14[Column1])*($X13=Table14[Year]),0)),"")</f>
        <v/>
      </c>
    </row>
    <row r="14" spans="1:110">
      <c r="A14" t="s">
        <v>54</v>
      </c>
      <c r="B14">
        <v>2015</v>
      </c>
      <c r="C14" s="16">
        <v>6.5000000000000002E-2</v>
      </c>
      <c r="D14" s="1">
        <v>82937052.870000005</v>
      </c>
      <c r="E14" s="29">
        <f>Table14[[#This Row],[Ávöxtun]]*Table14[[#This Row],[Eignir]]/SUMIFS(Table14[Eignir],Table14[Year],Table14[[#This Row],[Year]])</f>
        <v>1.8204052364944043E-3</v>
      </c>
      <c r="F14" s="23" t="e">
        <f>IF(B14=1997, 100, IF(COUNTIF(A$1:A13,A14)=0, "NEW", F13*(1+Table14[[#This Row],[Ávöxtun]])))</f>
        <v>#VALUE!</v>
      </c>
      <c r="G14" s="18" t="str" cm="1">
        <f t="array" ref="G14">IFERROR(_xlfn.IFS(ISNUMBER(Table14[[#This Row],[Column3]]),Table14[[#This Row],[Column3]],Table14[[#This Row],[Column3]]="NEW",Table14[[#This Row],[Column3]]),"")</f>
        <v/>
      </c>
      <c r="H14" s="15" cm="1">
        <f t="array" ref="H14">_xlfn.IFS(Table14[[#This Row],[Column4]]="NEW",AVERAGEIFS(Table14[Column4],Table14[Year],Table14[[#This Row],[Year]]),ISNUMBER(Table14[[#This Row],[Column4]]),Table14[[#This Row],[Column4]],Table14[[#This Row],[Column4]]="",H13*(1+Table14[[#This Row],[Ávöxtun]]))</f>
        <v>142.62462737963952</v>
      </c>
      <c r="I14" cm="1">
        <f t="array" ref="I14">_xlfn.IFS(Table14[[#This Row],[Column4]]="NEW",_xlfn.XLOOKUP(Table14[[#This Row],[Year]],$M$2:$M$27,$O$2:$O$27),ISNUMBER(Table14[[#This Row],[Column4]]),Table14[[#This Row],[Column4]],Table14[[#This Row],[Column4]]="",I13*(1+Table14[[#This Row],[Ávöxtun]]))</f>
        <v>150.61858824197162</v>
      </c>
      <c r="K14" s="25"/>
      <c r="L14" s="33">
        <v>150.61858824197162</v>
      </c>
      <c r="M14">
        <v>2008</v>
      </c>
      <c r="N14" s="27">
        <f>SUMIFS(Table14[Column2],Table14[Year],M14)</f>
        <v>-0.27172610479093834</v>
      </c>
      <c r="O14">
        <f t="shared" si="0"/>
        <v>149.30167756069062</v>
      </c>
      <c r="P14" s="26" cm="1">
        <f t="array" ref="P14">_xlfn.QUARTILE.EXC(IF($B$2:$B$939 = M14, $I$2:$I$939), 3)</f>
        <v>157.88378376124575</v>
      </c>
      <c r="Q14" s="26" cm="1">
        <f t="array" ref="Q14">_xlfn.QUARTILE.EXC(IF($B$2:$B$939 = M14, $I$2:$I$939), 1)</f>
        <v>125.00648730002226</v>
      </c>
      <c r="R14" s="26" cm="1">
        <f t="array" ref="R14">_xlfn.QUARTILE.EXC(IF($B$2:$B$939 = M14, $I$2:$I$939), 2)</f>
        <v>145.17043265813277</v>
      </c>
      <c r="S14" s="17" cm="1">
        <f t="array" ref="S14">_xlfn.QUARTILE.EXC(IF($B$2:$B$939 = M14, $C$2:$C$939), 3)</f>
        <v>-0.10755000000000001</v>
      </c>
      <c r="T14" s="17" cm="1">
        <f t="array" ref="T14">_xlfn.QUARTILE.EXC(IF($B$2:$B$939 = M14, $C$2:$C$939), 1)</f>
        <v>-0.26715</v>
      </c>
      <c r="U14" s="17" cm="1">
        <f t="array" ref="U14">_xlfn.QUARTILE.EXC(IF($B$2:$B$939 = M14, $C$2:$C$939), 2)</f>
        <v>-0.20620000000000002</v>
      </c>
      <c r="X14">
        <v>2008</v>
      </c>
      <c r="Y14">
        <f t="shared" si="1"/>
        <v>149.30167756069062</v>
      </c>
      <c r="Z14" cm="1">
        <f t="array" ref="Z14">_xlfn.IFNA(INDEX(Table14[Vigtuð vísitala],MATCH(1,(Z$2=Table14[Column1])*($X14=Table14[Year]),0)),"")</f>
        <v>110.58331132346325</v>
      </c>
      <c r="AB14" t="str" cm="1">
        <f t="array" ref="AB14">_xlfn.IFNA(INDEX(Table14[Vigtuð vísitala],MATCH(1,(AB$2=Table14[Column1])*($X14=Table14[Year]),0)),"")</f>
        <v/>
      </c>
      <c r="AC14" t="str" cm="1">
        <f t="array" ref="AC14">_xlfn.IFNA(INDEX(Table14[Vigtuð vísitala],MATCH(1,(AC$2=Table14[Column1])*($X14=Table14[Year]),0)),"")</f>
        <v/>
      </c>
      <c r="AD14" t="str" cm="1">
        <f t="array" ref="AD14">_xlfn.IFNA(INDEX(Table14[Vigtuð vísitala],MATCH(1,(AD$2=Table14[Column1])*($X14=Table14[Year]),0)),"")</f>
        <v/>
      </c>
      <c r="AE14" t="str" cm="1">
        <f t="array" ref="AE14">_xlfn.IFNA(INDEX(Table14[Vigtuð vísitala],MATCH(1,(AE$2=Table14[Column1])*($X14=Table14[Year]),0)),"")</f>
        <v/>
      </c>
      <c r="AF14" t="str" cm="1">
        <f t="array" ref="AF14">_xlfn.IFNA(INDEX(Table14[Vigtuð vísitala],MATCH(1,(AF$2=Table14[Column1])*($X14=Table14[Year]),0)),"")</f>
        <v/>
      </c>
      <c r="AG14" cm="1">
        <f t="array" ref="AG14">_xlfn.IFNA(INDEX(Table14[Vigtuð vísitala],MATCH(1,(AG$2=Table14[Column1])*($X14=Table14[Year]),0)),"")</f>
        <v>137.27395380566259</v>
      </c>
      <c r="AH14" t="str" cm="1">
        <f t="array" ref="AH14">_xlfn.IFNA(INDEX(Table14[Vigtuð vísitala],MATCH(1,(AH$2=Table14[Column1])*($X14=Table14[Year]),0)),"")</f>
        <v/>
      </c>
      <c r="AI14" cm="1">
        <f t="array" ref="AI14">_xlfn.IFNA(INDEX(Table14[Vigtuð vísitala],MATCH(1,(AI$2=Table14[Column1])*($X14=Table14[Year]),0)),"")</f>
        <v>179.69314621982849</v>
      </c>
      <c r="AJ14" cm="1">
        <f t="array" ref="AJ14">_xlfn.IFNA(INDEX(Table14[Vigtuð vísitala],MATCH(1,(AJ$2=Table14[Column1])*($X14=Table14[Year]),0)),"")</f>
        <v>100.22618235134756</v>
      </c>
      <c r="AK14" t="str" cm="1">
        <f t="array" ref="AK14">_xlfn.IFNA(INDEX(Table14[Vigtuð vísitala],MATCH(1,(AK$2=Table14[Column1])*($X14=Table14[Year]),0)),"")</f>
        <v/>
      </c>
      <c r="AL14" cm="1">
        <f t="array" ref="AL14">_xlfn.IFNA(INDEX(Table14[Vigtuð vísitala],MATCH(1,(AL$2=Table14[Column1])*($X14=Table14[Year]),0)),"")</f>
        <v>124.67259657096567</v>
      </c>
      <c r="AM14" cm="1">
        <f t="array" ref="AM14">_xlfn.IFNA(INDEX(Table14[Vigtuð vísitala],MATCH(1,(AM$2=Table14[Column1])*($X14=Table14[Year]),0)),"")</f>
        <v>146.8047618520205</v>
      </c>
      <c r="AN14" t="str" cm="1">
        <f t="array" ref="AN14">_xlfn.IFNA(INDEX(Table14[Vigtuð vísitala],MATCH(1,(AN$2=Table14[Column1])*($X14=Table14[Year]),0)),"")</f>
        <v/>
      </c>
      <c r="AO14" cm="1">
        <f t="array" ref="AO14">_xlfn.IFNA(INDEX(Table14[Vigtuð vísitala],MATCH(1,(AO$2=Table14[Column1])*($X14=Table14[Year]),0)),"")</f>
        <v>92.472517045206729</v>
      </c>
      <c r="AP14" cm="1">
        <f t="array" ref="AP14">_xlfn.IFNA(INDEX(Table14[Vigtuð vísitala],MATCH(1,(AP$2=Table14[Column1])*($X14=Table14[Year]),0)),"")</f>
        <v>169.80049174367676</v>
      </c>
      <c r="AQ14" cm="1">
        <f t="array" ref="AQ14">_xlfn.IFNA(INDEX(Table14[Vigtuð vísitala],MATCH(1,(AQ$2=Table14[Column1])*($X14=Table14[Year]),0)),"")</f>
        <v>125.62180629777164</v>
      </c>
      <c r="AR14" cm="1">
        <f t="array" ref="AR14">_xlfn.IFNA(INDEX(Table14[Vigtuð vísitala],MATCH(1,(AR$2=Table14[Column1])*($X14=Table14[Year]),0)),"")</f>
        <v>146.41640408040536</v>
      </c>
      <c r="AS14" t="str" cm="1">
        <f t="array" ref="AS14">_xlfn.IFNA(INDEX(Table14[Vigtuð vísitala],MATCH(1,(AS$2=Table14[Column1])*($X14=Table14[Year]),0)),"")</f>
        <v/>
      </c>
      <c r="AT14" cm="1">
        <f t="array" ref="AT14">_xlfn.IFNA(INDEX(Table14[Vigtuð vísitala],MATCH(1,(AT$2=Table14[Column1])*($X14=Table14[Year]),0)),"")</f>
        <v>106.68970422274938</v>
      </c>
      <c r="AU14" cm="1">
        <f t="array" ref="AU14">_xlfn.IFNA(INDEX(Table14[Vigtuð vísitala],MATCH(1,(AU$2=Table14[Column1])*($X14=Table14[Year]),0)),"")</f>
        <v>148.17948748511509</v>
      </c>
      <c r="AV14" t="str" cm="1">
        <f t="array" ref="AV14">_xlfn.IFNA(INDEX(Table14[Vigtuð vísitala],MATCH(1,(AV$2=Table14[Column1])*($X14=Table14[Year]),0)),"")</f>
        <v/>
      </c>
      <c r="AW14" t="str" cm="1">
        <f t="array" ref="AW14">_xlfn.IFNA(INDEX(Table14[Vigtuð vísitala],MATCH(1,(AW$2=Table14[Column1])*($X14=Table14[Year]),0)),"")</f>
        <v/>
      </c>
      <c r="AX14" t="str" cm="1">
        <f t="array" ref="AX14">_xlfn.IFNA(INDEX(Table14[Vigtuð vísitala],MATCH(1,(AX$2=Table14[Column1])*($X14=Table14[Year]),0)),"")</f>
        <v/>
      </c>
      <c r="AY14" t="str" cm="1">
        <f t="array" ref="AY14">_xlfn.IFNA(INDEX(Table14[Vigtuð vísitala],MATCH(1,(AY$2=Table14[Column1])*($X14=Table14[Year]),0)),"")</f>
        <v/>
      </c>
      <c r="AZ14" cm="1">
        <f t="array" ref="AZ14">_xlfn.IFNA(INDEX(Table14[Vigtuð vísitala],MATCH(1,(AZ$2=Table14[Column1])*($X14=Table14[Year]),0)),"")</f>
        <v>145.17043265813277</v>
      </c>
      <c r="BA14" t="str" cm="1">
        <f t="array" ref="BA14">_xlfn.IFNA(INDEX(Table14[Vigtuð vísitala],MATCH(1,(BA$2=Table14[Column1])*($X14=Table14[Year]),0)),"")</f>
        <v/>
      </c>
      <c r="BB14" t="str" cm="1">
        <f t="array" ref="BB14">_xlfn.IFNA(INDEX(Table14[Vigtuð vísitala],MATCH(1,(BB$2=Table14[Column1])*($X14=Table14[Year]),0)),"")</f>
        <v/>
      </c>
      <c r="BC14" cm="1">
        <f t="array" ref="BC14">_xlfn.IFNA(INDEX(Table14[Vigtuð vísitala],MATCH(1,(BC$2=Table14[Column1])*($X14=Table14[Year]),0)),"")</f>
        <v>125.34037802907883</v>
      </c>
      <c r="BD14" t="str" cm="1">
        <f t="array" ref="BD14">_xlfn.IFNA(INDEX(Table14[Vigtuð vísitala],MATCH(1,(BD$2=Table14[Column1])*($X14=Table14[Year]),0)),"")</f>
        <v/>
      </c>
      <c r="BE14" cm="1">
        <f t="array" ref="BE14">_xlfn.IFNA(INDEX(Table14[Vigtuð vísitala],MATCH(1,(BE$2=Table14[Column1])*($X14=Table14[Year]),0)),"")</f>
        <v>155.19781021675678</v>
      </c>
      <c r="BF14" t="str" cm="1">
        <f t="array" ref="BF14">_xlfn.IFNA(INDEX(Table14[Vigtuð vísitala],MATCH(1,(BF$2=Table14[Column1])*($X14=Table14[Year]),0)),"")</f>
        <v/>
      </c>
      <c r="BG14" cm="1">
        <f t="array" ref="BG14">_xlfn.IFNA(INDEX(Table14[Vigtuð vísitala],MATCH(1,(BG$2=Table14[Column1])*($X14=Table14[Year]),0)),"")</f>
        <v>131.10431284423134</v>
      </c>
      <c r="BH14" cm="1">
        <f t="array" ref="BH14">_xlfn.IFNA(INDEX(Table14[Vigtuð vísitala],MATCH(1,(BH$2=Table14[Column1])*($X14=Table14[Year]),0)),"")</f>
        <v>144.08963387399672</v>
      </c>
      <c r="BI14" t="str" cm="1">
        <f t="array" ref="BI14">_xlfn.IFNA(INDEX(Table14[Vigtuð vísitala],MATCH(1,(BI$2=Table14[Column1])*($X14=Table14[Year]),0)),"")</f>
        <v/>
      </c>
      <c r="BJ14" cm="1">
        <f t="array" ref="BJ14">_xlfn.IFNA(INDEX(Table14[Vigtuð vísitala],MATCH(1,(BJ$2=Table14[Column1])*($X14=Table14[Year]),0)),"")</f>
        <v>311.21772383055821</v>
      </c>
      <c r="BK14" t="str" cm="1">
        <f t="array" ref="BK14">_xlfn.IFNA(INDEX(Table14[Vigtuð vísitala],MATCH(1,(BK$2=Table14[Column1])*($X14=Table14[Year]),0)),"")</f>
        <v/>
      </c>
      <c r="BL14" t="str" cm="1">
        <f t="array" ref="BL14">_xlfn.IFNA(INDEX(Table14[Vigtuð vísitala],MATCH(1,(BL$2=Table14[Column1])*($X14=Table14[Year]),0)),"")</f>
        <v/>
      </c>
      <c r="BM14" t="str" cm="1">
        <f t="array" ref="BM14">_xlfn.IFNA(INDEX(Table14[Vigtuð vísitala],MATCH(1,(BM$2=Table14[Column1])*($X14=Table14[Year]),0)),"")</f>
        <v/>
      </c>
      <c r="BN14" t="str" cm="1">
        <f t="array" ref="BN14">_xlfn.IFNA(INDEX(Table14[Vigtuð vísitala],MATCH(1,(BN$2=Table14[Column1])*($X14=Table14[Year]),0)),"")</f>
        <v/>
      </c>
      <c r="BO14" t="str" cm="1">
        <f t="array" ref="BO14">_xlfn.IFNA(INDEX(Table14[Vigtuð vísitala],MATCH(1,(BO$2=Table14[Column1])*($X14=Table14[Year]),0)),"")</f>
        <v/>
      </c>
      <c r="BP14" t="str" cm="1">
        <f t="array" ref="BP14">_xlfn.IFNA(INDEX(Table14[Vigtuð vísitala],MATCH(1,(BP$2=Table14[Column1])*($X14=Table14[Year]),0)),"")</f>
        <v/>
      </c>
      <c r="BQ14" cm="1">
        <f t="array" ref="BQ14">_xlfn.IFNA(INDEX(Table14[Vigtuð vísitala],MATCH(1,(BQ$2=Table14[Column1])*($X14=Table14[Year]),0)),"")</f>
        <v>122.51049926536619</v>
      </c>
      <c r="BR14" cm="1">
        <f t="array" ref="BR14">_xlfn.IFNA(INDEX(Table14[Vigtuð vísitala],MATCH(1,(BR$2=Table14[Column1])*($X14=Table14[Year]),0)),"")</f>
        <v>178.75792684302715</v>
      </c>
      <c r="BS14" t="str" cm="1">
        <f t="array" ref="BS14">_xlfn.IFNA(INDEX(Table14[Vigtuð vísitala],MATCH(1,(BS$2=Table14[Column1])*($X14=Table14[Year]),0)),"")</f>
        <v/>
      </c>
      <c r="BT14" t="str" cm="1">
        <f t="array" ref="BT14">_xlfn.IFNA(INDEX(Table14[Vigtuð vísitala],MATCH(1,(BT$2=Table14[Column1])*($X14=Table14[Year]),0)),"")</f>
        <v/>
      </c>
      <c r="BU14" t="str" cm="1">
        <f t="array" ref="BU14">_xlfn.IFNA(INDEX(Table14[Vigtuð vísitala],MATCH(1,(BU$2=Table14[Column1])*($X14=Table14[Year]),0)),"")</f>
        <v/>
      </c>
      <c r="BV14" cm="1">
        <f t="array" ref="BV14">_xlfn.IFNA(INDEX(Table14[Vigtuð vísitala],MATCH(1,(BV$2=Table14[Column1])*($X14=Table14[Year]),0)),"")</f>
        <v>126.25761792157898</v>
      </c>
      <c r="BW14" t="str" cm="1">
        <f t="array" ref="BW14">_xlfn.IFNA(INDEX(Table14[Vigtuð vísitala],MATCH(1,(BW$2=Table14[Column1])*($X14=Table14[Year]),0)),"")</f>
        <v/>
      </c>
      <c r="BX14" t="str" cm="1">
        <f t="array" ref="BX14">_xlfn.IFNA(INDEX(Table14[Vigtuð vísitala],MATCH(1,(BX$2=Table14[Column1])*($X14=Table14[Year]),0)),"")</f>
        <v/>
      </c>
      <c r="BY14" t="str" cm="1">
        <f t="array" ref="BY14">_xlfn.IFNA(INDEX(Table14[Vigtuð vísitala],MATCH(1,(BY$2=Table14[Column1])*($X14=Table14[Year]),0)),"")</f>
        <v/>
      </c>
      <c r="BZ14" t="str" cm="1">
        <f t="array" ref="BZ14">_xlfn.IFNA(INDEX(Table14[Vigtuð vísitala],MATCH(1,(BZ$2=Table14[Column1])*($X14=Table14[Year]),0)),"")</f>
        <v/>
      </c>
      <c r="CA14" t="str" cm="1">
        <f t="array" ref="CA14">_xlfn.IFNA(INDEX(Table14[Vigtuð vísitala],MATCH(1,(CA$2=Table14[Column1])*($X14=Table14[Year]),0)),"")</f>
        <v/>
      </c>
      <c r="CB14" cm="1">
        <f t="array" ref="CB14">_xlfn.IFNA(INDEX(Table14[Vigtuð vísitala],MATCH(1,(CB$2=Table14[Column1])*($X14=Table14[Year]),0)),"")</f>
        <v>138.79537497803344</v>
      </c>
      <c r="CC14" t="str" cm="1">
        <f t="array" ref="CC14">_xlfn.IFNA(INDEX(Table14[Vigtuð vísitala],MATCH(1,(CC$2=Table14[Column1])*($X14=Table14[Year]),0)),"")</f>
        <v/>
      </c>
      <c r="CD14" t="str" cm="1">
        <f t="array" ref="CD14">_xlfn.IFNA(INDEX(Table14[Vigtuð vísitala],MATCH(1,(CD$2=Table14[Column1])*($X14=Table14[Year]),0)),"")</f>
        <v/>
      </c>
      <c r="CE14" cm="1">
        <f t="array" ref="CE14">_xlfn.IFNA(INDEX(Table14[Vigtuð vísitala],MATCH(1,(CE$2=Table14[Column1])*($X14=Table14[Year]),0)),"")</f>
        <v>171.91675282388988</v>
      </c>
      <c r="CF14" cm="1">
        <f t="array" ref="CF14">_xlfn.IFNA(INDEX(Table14[Vigtuð vísitala],MATCH(1,(CF$2=Table14[Column1])*($X14=Table14[Year]),0)),"")</f>
        <v>210.38954294217751</v>
      </c>
      <c r="CG14" cm="1">
        <f t="array" ref="CG14">_xlfn.IFNA(INDEX(Table14[Vigtuð vísitala],MATCH(1,(CG$2=Table14[Column1])*($X14=Table14[Year]),0)),"")</f>
        <v>135.09826349621346</v>
      </c>
      <c r="CH14" cm="1">
        <f t="array" ref="CH14">_xlfn.IFNA(INDEX(Table14[Vigtuð vísitala],MATCH(1,(CH$2=Table14[Column1])*($X14=Table14[Year]),0)),"")</f>
        <v>154.11352139358468</v>
      </c>
      <c r="CI14" cm="1">
        <f t="array" ref="CI14">_xlfn.IFNA(INDEX(Table14[Vigtuð vísitala],MATCH(1,(CI$2=Table14[Column1])*($X14=Table14[Year]),0)),"")</f>
        <v>154.11986227044673</v>
      </c>
      <c r="CJ14" cm="1">
        <f t="array" ref="CJ14">_xlfn.IFNA(INDEX(Table14[Vigtuð vísitala],MATCH(1,(CJ$2=Table14[Column1])*($X14=Table14[Year]),0)),"")</f>
        <v>85.292173978164044</v>
      </c>
      <c r="CK14" t="str" cm="1">
        <f t="array" ref="CK14">_xlfn.IFNA(INDEX(Table14[Vigtuð vísitala],MATCH(1,(CK$2=Table14[Column1])*($X14=Table14[Year]),0)),"")</f>
        <v/>
      </c>
      <c r="CL14" t="str" cm="1">
        <f t="array" ref="CL14">_xlfn.IFNA(INDEX(Table14[Vigtuð vísitala],MATCH(1,(CL$2=Table14[Column1])*($X14=Table14[Year]),0)),"")</f>
        <v/>
      </c>
      <c r="CM14" t="str" cm="1">
        <f t="array" ref="CM14">_xlfn.IFNA(INDEX(Table14[Vigtuð vísitala],MATCH(1,(CM$2=Table14[Column1])*($X14=Table14[Year]),0)),"")</f>
        <v/>
      </c>
      <c r="CN14" cm="1">
        <f t="array" ref="CN14">_xlfn.IFNA(INDEX(Table14[Vigtuð vísitala],MATCH(1,(CN$2=Table14[Column1])*($X14=Table14[Year]),0)),"")</f>
        <v>108.54267230332199</v>
      </c>
      <c r="CO14" t="str" cm="1">
        <f t="array" ref="CO14">_xlfn.IFNA(INDEX(Table14[Vigtuð vísitala],MATCH(1,(CO$2=Table14[Column1])*($X14=Table14[Year]),0)),"")</f>
        <v/>
      </c>
      <c r="CP14" t="str" cm="1">
        <f t="array" ref="CP14">_xlfn.IFNA(INDEX(Table14[Vigtuð vísitala],MATCH(1,(CP$2=Table14[Column1])*($X14=Table14[Year]),0)),"")</f>
        <v/>
      </c>
      <c r="CQ14" cm="1">
        <f t="array" ref="CQ14">_xlfn.IFNA(INDEX(Table14[Vigtuð vísitala],MATCH(1,(CQ$2=Table14[Column1])*($X14=Table14[Year]),0)),"")</f>
        <v>96.403611655795146</v>
      </c>
      <c r="CR14" cm="1">
        <f t="array" ref="CR14">_xlfn.IFNA(INDEX(Table14[Vigtuð vísitala],MATCH(1,(CR$2=Table14[Column1])*($X14=Table14[Year]),0)),"")</f>
        <v>145.83034166749655</v>
      </c>
      <c r="CS14" cm="1">
        <f t="array" ref="CS14">_xlfn.IFNA(INDEX(Table14[Vigtuð vísitala],MATCH(1,(CS$2=Table14[Column1])*($X14=Table14[Year]),0)),"")</f>
        <v>135.22817308898379</v>
      </c>
      <c r="CT14" cm="1">
        <f t="array" ref="CT14">_xlfn.IFNA(INDEX(Table14[Vigtuð vísitala],MATCH(1,(CT$2=Table14[Column1])*($X14=Table14[Year]),0)),"")</f>
        <v>158.79891212672376</v>
      </c>
      <c r="CU14" t="str" cm="1">
        <f t="array" ref="CU14">_xlfn.IFNA(INDEX(Table14[Vigtuð vísitala],MATCH(1,(CU$2=Table14[Column1])*($X14=Table14[Year]),0)),"")</f>
        <v/>
      </c>
      <c r="CV14" t="str" cm="1">
        <f t="array" ref="CV14">_xlfn.IFNA(INDEX(Table14[Vigtuð vísitala],MATCH(1,(CV$2=Table14[Column1])*($X14=Table14[Year]),0)),"")</f>
        <v/>
      </c>
      <c r="CW14" t="str" cm="1">
        <f t="array" ref="CW14">_xlfn.IFNA(INDEX(Table14[Vigtuð vísitala],MATCH(1,(CW$2=Table14[Column1])*($X14=Table14[Year]),0)),"")</f>
        <v/>
      </c>
      <c r="CX14" t="str" cm="1">
        <f t="array" ref="CX14">_xlfn.IFNA(INDEX(Table14[Vigtuð vísitala],MATCH(1,(CX$2=Table14[Column1])*($X14=Table14[Year]),0)),"")</f>
        <v/>
      </c>
      <c r="CY14" t="str" cm="1">
        <f t="array" ref="CY14">_xlfn.IFNA(INDEX(Table14[Vigtuð vísitala],MATCH(1,(CY$2=Table14[Column1])*($X14=Table14[Year]),0)),"")</f>
        <v/>
      </c>
      <c r="CZ14" cm="1">
        <f t="array" ref="CZ14">_xlfn.IFNA(INDEX(Table14[Vigtuð vísitala],MATCH(1,(CZ$2=Table14[Column1])*($X14=Table14[Year]),0)),"")</f>
        <v>147.06129521966531</v>
      </c>
      <c r="DA14" t="str" cm="1">
        <f t="array" ref="DA14">_xlfn.IFNA(INDEX(Table14[Vigtuð vísitala],MATCH(1,(DA$2=Table14[Column1])*($X14=Table14[Year]),0)),"")</f>
        <v/>
      </c>
      <c r="DB14" t="str" cm="1">
        <f t="array" ref="DB14">_xlfn.IFNA(INDEX(Table14[Vigtuð vísitala],MATCH(1,(DB$2=Table14[Column1])*($X14=Table14[Year]),0)),"")</f>
        <v/>
      </c>
      <c r="DC14" cm="1">
        <f t="array" ref="DC14">_xlfn.IFNA(INDEX(Table14[Vigtuð vísitala],MATCH(1,(DC$2=Table14[Column1])*($X14=Table14[Year]),0)),"")</f>
        <v>158.24927833880233</v>
      </c>
      <c r="DD14" cm="1">
        <f t="array" ref="DD14">_xlfn.IFNA(INDEX(Table14[Vigtuð vísitala],MATCH(1,(DD$2=Table14[Column1])*($X14=Table14[Year]),0)),"")</f>
        <v>157.51828918368918</v>
      </c>
      <c r="DE14" cm="1">
        <f t="array" ref="DE14">_xlfn.IFNA(INDEX(Table14[Vigtuð vísitala],MATCH(1,(DE$2=Table14[Column1])*($X14=Table14[Year]),0)),"")</f>
        <v>176.55253821552452</v>
      </c>
      <c r="DF14" t="str" cm="1">
        <f t="array" ref="DF14">_xlfn.IFNA(INDEX(Table14[Vigtuð vísitala],MATCH(1,(DF$2=Table14[Column1])*($X14=Table14[Year]),0)),"")</f>
        <v/>
      </c>
    </row>
    <row r="15" spans="1:110">
      <c r="A15" t="s">
        <v>54</v>
      </c>
      <c r="B15">
        <v>2016</v>
      </c>
      <c r="C15" s="16">
        <v>6.0000000000000001E-3</v>
      </c>
      <c r="D15" s="1">
        <v>88362854.120000005</v>
      </c>
      <c r="E15" s="29">
        <f>Table14[[#This Row],[Ávöxtun]]*Table14[[#This Row],[Eignir]]/SUMIFS(Table14[Eignir],Table14[Year],Table14[[#This Row],[Year]])</f>
        <v>1.6567793579802003E-4</v>
      </c>
      <c r="F15" s="23" t="e">
        <f>IF(B15=1997, 100, IF(COUNTIF(A$1:A14,A15)=0, "NEW", F14*(1+Table14[[#This Row],[Ávöxtun]])))</f>
        <v>#VALUE!</v>
      </c>
      <c r="G15" s="18" t="str" cm="1">
        <f t="array" ref="G15">IFERROR(_xlfn.IFS(ISNUMBER(Table14[[#This Row],[Column3]]),Table14[[#This Row],[Column3]],Table14[[#This Row],[Column3]]="NEW",Table14[[#This Row],[Column3]]),"")</f>
        <v/>
      </c>
      <c r="H15" s="15" cm="1">
        <f t="array" ref="H15">_xlfn.IFS(Table14[[#This Row],[Column4]]="NEW",AVERAGEIFS(Table14[Column4],Table14[Year],Table14[[#This Row],[Year]]),ISNUMBER(Table14[[#This Row],[Column4]]),Table14[[#This Row],[Column4]],Table14[[#This Row],[Column4]]="",H14*(1+Table14[[#This Row],[Ávöxtun]]))</f>
        <v>143.48037514391737</v>
      </c>
      <c r="I15" cm="1">
        <f t="array" ref="I15">_xlfn.IFS(Table14[[#This Row],[Column4]]="NEW",_xlfn.XLOOKUP(Table14[[#This Row],[Year]],$M$2:$M$27,$O$2:$O$27),ISNUMBER(Table14[[#This Row],[Column4]]),Table14[[#This Row],[Column4]],Table14[[#This Row],[Column4]]="",I14*(1+Table14[[#This Row],[Ávöxtun]]))</f>
        <v>151.52229977142346</v>
      </c>
      <c r="K15" s="25"/>
      <c r="L15" s="33">
        <v>151.52229977142346</v>
      </c>
      <c r="M15">
        <v>2009</v>
      </c>
      <c r="N15" s="27">
        <f>SUMIFS(Table14[Column2],Table14[Year],M15)</f>
        <v>8.1503518225744462E-3</v>
      </c>
      <c r="O15">
        <f t="shared" si="0"/>
        <v>150.51853876051084</v>
      </c>
      <c r="P15" s="26" cm="1">
        <f t="array" ref="P15">_xlfn.QUARTILE.EXC(IF($B$2:$B$939 = M15, $I$2:$I$939), 3)</f>
        <v>161.7682484479364</v>
      </c>
      <c r="Q15" s="26" cm="1">
        <f t="array" ref="Q15">_xlfn.QUARTILE.EXC(IF($B$2:$B$939 = M15, $I$2:$I$939), 1)</f>
        <v>126.10993313617283</v>
      </c>
      <c r="R15" s="26" cm="1">
        <f t="array" ref="R15">_xlfn.QUARTILE.EXC(IF($B$2:$B$939 = M15, $I$2:$I$939), 2)</f>
        <v>144.38474461279591</v>
      </c>
      <c r="S15" s="17" cm="1">
        <f t="array" ref="S15">_xlfn.QUARTILE.EXC(IF($B$2:$B$939 = M15, $C$2:$C$939), 3)</f>
        <v>3.3799999999999997E-2</v>
      </c>
      <c r="T15" s="17" cm="1">
        <f t="array" ref="T15">_xlfn.QUARTILE.EXC(IF($B$2:$B$939 = M15, $C$2:$C$939), 1)</f>
        <v>-1.38E-2</v>
      </c>
      <c r="U15" s="17" cm="1">
        <f t="array" ref="U15">_xlfn.QUARTILE.EXC(IF($B$2:$B$939 = M15, $C$2:$C$939), 2)</f>
        <v>9.4000000000000004E-3</v>
      </c>
      <c r="X15">
        <v>2009</v>
      </c>
      <c r="Y15">
        <f t="shared" si="1"/>
        <v>150.51853876051084</v>
      </c>
      <c r="Z15" cm="1">
        <f t="array" ref="Z15">_xlfn.IFNA(INDEX(Table14[Vigtuð vísitala],MATCH(1,(Z$2=Table14[Column1])*($X15=Table14[Year]),0)),"")</f>
        <v>110.58331132346325</v>
      </c>
      <c r="AB15" t="str" cm="1">
        <f t="array" ref="AB15">_xlfn.IFNA(INDEX(Table14[Vigtuð vísitala],MATCH(1,(AB$2=Table14[Column1])*($X15=Table14[Year]),0)),"")</f>
        <v/>
      </c>
      <c r="AC15" t="str" cm="1">
        <f t="array" ref="AC15">_xlfn.IFNA(INDEX(Table14[Vigtuð vísitala],MATCH(1,(AC$2=Table14[Column1])*($X15=Table14[Year]),0)),"")</f>
        <v/>
      </c>
      <c r="AD15" t="str" cm="1">
        <f t="array" ref="AD15">_xlfn.IFNA(INDEX(Table14[Vigtuð vísitala],MATCH(1,(AD$2=Table14[Column1])*($X15=Table14[Year]),0)),"")</f>
        <v/>
      </c>
      <c r="AE15" t="str" cm="1">
        <f t="array" ref="AE15">_xlfn.IFNA(INDEX(Table14[Vigtuð vísitala],MATCH(1,(AE$2=Table14[Column1])*($X15=Table14[Year]),0)),"")</f>
        <v/>
      </c>
      <c r="AF15" t="str" cm="1">
        <f t="array" ref="AF15">_xlfn.IFNA(INDEX(Table14[Vigtuð vísitala],MATCH(1,(AF$2=Table14[Column1])*($X15=Table14[Year]),0)),"")</f>
        <v/>
      </c>
      <c r="AG15" cm="1">
        <f t="array" ref="AG15">_xlfn.IFNA(INDEX(Table14[Vigtuð vísitala],MATCH(1,(AG$2=Table14[Column1])*($X15=Table14[Year]),0)),"")</f>
        <v>144.38474461279591</v>
      </c>
      <c r="AH15" t="str" cm="1">
        <f t="array" ref="AH15">_xlfn.IFNA(INDEX(Table14[Vigtuð vísitala],MATCH(1,(AH$2=Table14[Column1])*($X15=Table14[Year]),0)),"")</f>
        <v/>
      </c>
      <c r="AI15" cm="1">
        <f t="array" ref="AI15">_xlfn.IFNA(INDEX(Table14[Vigtuð vísitala],MATCH(1,(AI$2=Table14[Column1])*($X15=Table14[Year]),0)),"")</f>
        <v>165.31769452224222</v>
      </c>
      <c r="AJ15" cm="1">
        <f t="array" ref="AJ15">_xlfn.IFNA(INDEX(Table14[Vigtuð vísitala],MATCH(1,(AJ$2=Table14[Column1])*($X15=Table14[Year]),0)),"")</f>
        <v>101.32867035721237</v>
      </c>
      <c r="AK15" t="str" cm="1">
        <f t="array" ref="AK15">_xlfn.IFNA(INDEX(Table14[Vigtuð vísitala],MATCH(1,(AK$2=Table14[Column1])*($X15=Table14[Year]),0)),"")</f>
        <v/>
      </c>
      <c r="AL15" cm="1">
        <f t="array" ref="AL15">_xlfn.IFNA(INDEX(Table14[Vigtuð vísitala],MATCH(1,(AL$2=Table14[Column1])*($X15=Table14[Year]),0)),"")</f>
        <v>125.86945349804694</v>
      </c>
      <c r="AM15" cm="1">
        <f t="array" ref="AM15">_xlfn.IFNA(INDEX(Table14[Vigtuð vísitala],MATCH(1,(AM$2=Table14[Column1])*($X15=Table14[Year]),0)),"")</f>
        <v>150.26935423172819</v>
      </c>
      <c r="AN15" t="str" cm="1">
        <f t="array" ref="AN15">_xlfn.IFNA(INDEX(Table14[Vigtuð vísitala],MATCH(1,(AN$2=Table14[Column1])*($X15=Table14[Year]),0)),"")</f>
        <v/>
      </c>
      <c r="AO15" cm="1">
        <f t="array" ref="AO15">_xlfn.IFNA(INDEX(Table14[Vigtuð vísitala],MATCH(1,(AO$2=Table14[Column1])*($X15=Table14[Year]),0)),"")</f>
        <v>85.90696833499706</v>
      </c>
      <c r="AP15" cm="1">
        <f t="array" ref="AP15">_xlfn.IFNA(INDEX(Table14[Vigtuð vísitala],MATCH(1,(AP$2=Table14[Column1])*($X15=Table14[Year]),0)),"")</f>
        <v>160.97086617300556</v>
      </c>
      <c r="AQ15" cm="1">
        <f t="array" ref="AQ15">_xlfn.IFNA(INDEX(Table14[Vigtuð vísitala],MATCH(1,(AQ$2=Table14[Column1])*($X15=Table14[Year]),0)),"")</f>
        <v>126.35041277429872</v>
      </c>
      <c r="AR15" cm="1">
        <f t="array" ref="AR15">_xlfn.IFNA(INDEX(Table14[Vigtuð vísitala],MATCH(1,(AR$2=Table14[Column1])*($X15=Table14[Year]),0)),"")</f>
        <v>143.92732521103846</v>
      </c>
      <c r="AS15" t="str" cm="1">
        <f t="array" ref="AS15">_xlfn.IFNA(INDEX(Table14[Vigtuð vísitala],MATCH(1,(AS$2=Table14[Column1])*($X15=Table14[Year]),0)),"")</f>
        <v/>
      </c>
      <c r="AT15" cm="1">
        <f t="array" ref="AT15">_xlfn.IFNA(INDEX(Table14[Vigtuð vísitala],MATCH(1,(AT$2=Table14[Column1])*($X15=Table14[Year]),0)),"")</f>
        <v>110.08243681703281</v>
      </c>
      <c r="AU15" cm="1">
        <f t="array" ref="AU15">_xlfn.IFNA(INDEX(Table14[Vigtuð vísitala],MATCH(1,(AU$2=Table14[Column1])*($X15=Table14[Year]),0)),"")</f>
        <v>146.97923363648565</v>
      </c>
      <c r="AV15" t="str" cm="1">
        <f t="array" ref="AV15">_xlfn.IFNA(INDEX(Table14[Vigtuð vísitala],MATCH(1,(AV$2=Table14[Column1])*($X15=Table14[Year]),0)),"")</f>
        <v/>
      </c>
      <c r="AW15" t="str" cm="1">
        <f t="array" ref="AW15">_xlfn.IFNA(INDEX(Table14[Vigtuð vísitala],MATCH(1,(AW$2=Table14[Column1])*($X15=Table14[Year]),0)),"")</f>
        <v/>
      </c>
      <c r="AX15" t="str" cm="1">
        <f t="array" ref="AX15">_xlfn.IFNA(INDEX(Table14[Vigtuð vísitala],MATCH(1,(AX$2=Table14[Column1])*($X15=Table14[Year]),0)),"")</f>
        <v/>
      </c>
      <c r="AY15" t="str" cm="1">
        <f t="array" ref="AY15">_xlfn.IFNA(INDEX(Table14[Vigtuð vísitala],MATCH(1,(AY$2=Table14[Column1])*($X15=Table14[Year]),0)),"")</f>
        <v/>
      </c>
      <c r="AZ15" cm="1">
        <f t="array" ref="AZ15">_xlfn.IFNA(INDEX(Table14[Vigtuð vísitala],MATCH(1,(AZ$2=Table14[Column1])*($X15=Table14[Year]),0)),"")</f>
        <v>126.57410023462596</v>
      </c>
      <c r="BA15" t="str" cm="1">
        <f t="array" ref="BA15">_xlfn.IFNA(INDEX(Table14[Vigtuð vísitala],MATCH(1,(BA$2=Table14[Column1])*($X15=Table14[Year]),0)),"")</f>
        <v/>
      </c>
      <c r="BB15" t="str" cm="1">
        <f t="array" ref="BB15">_xlfn.IFNA(INDEX(Table14[Vigtuð vísitala],MATCH(1,(BB$2=Table14[Column1])*($X15=Table14[Year]),0)),"")</f>
        <v/>
      </c>
      <c r="BC15" cm="1">
        <f t="array" ref="BC15">_xlfn.IFNA(INDEX(Table14[Vigtuð vísitala],MATCH(1,(BC$2=Table14[Column1])*($X15=Table14[Year]),0)),"")</f>
        <v>130.49186756607398</v>
      </c>
      <c r="BD15" t="str" cm="1">
        <f t="array" ref="BD15">_xlfn.IFNA(INDEX(Table14[Vigtuð vísitala],MATCH(1,(BD$2=Table14[Column1])*($X15=Table14[Year]),0)),"")</f>
        <v/>
      </c>
      <c r="BE15" cm="1">
        <f t="array" ref="BE15">_xlfn.IFNA(INDEX(Table14[Vigtuð vísitala],MATCH(1,(BE$2=Table14[Column1])*($X15=Table14[Year]),0)),"")</f>
        <v>154.42182116567298</v>
      </c>
      <c r="BF15" t="str" cm="1">
        <f t="array" ref="BF15">_xlfn.IFNA(INDEX(Table14[Vigtuð vísitala],MATCH(1,(BF$2=Table14[Column1])*($X15=Table14[Year]),0)),"")</f>
        <v/>
      </c>
      <c r="BG15" cm="1">
        <f t="array" ref="BG15">_xlfn.IFNA(INDEX(Table14[Vigtuð vísitala],MATCH(1,(BG$2=Table14[Column1])*($X15=Table14[Year]),0)),"")</f>
        <v>129.3212941895498</v>
      </c>
      <c r="BH15" cm="1">
        <f t="array" ref="BH15">_xlfn.IFNA(INDEX(Table14[Vigtuð vísitala],MATCH(1,(BH$2=Table14[Column1])*($X15=Table14[Year]),0)),"")</f>
        <v>145.44407643241229</v>
      </c>
      <c r="BI15" t="str" cm="1">
        <f t="array" ref="BI15">_xlfn.IFNA(INDEX(Table14[Vigtuð vísitala],MATCH(1,(BI$2=Table14[Column1])*($X15=Table14[Year]),0)),"")</f>
        <v/>
      </c>
      <c r="BJ15" cm="1">
        <f t="array" ref="BJ15">_xlfn.IFNA(INDEX(Table14[Vigtuð vísitala],MATCH(1,(BJ$2=Table14[Column1])*($X15=Table14[Year]),0)),"")</f>
        <v>311.21772383055821</v>
      </c>
      <c r="BK15" t="str" cm="1">
        <f t="array" ref="BK15">_xlfn.IFNA(INDEX(Table14[Vigtuð vísitala],MATCH(1,(BK$2=Table14[Column1])*($X15=Table14[Year]),0)),"")</f>
        <v/>
      </c>
      <c r="BL15" t="str" cm="1">
        <f t="array" ref="BL15">_xlfn.IFNA(INDEX(Table14[Vigtuð vísitala],MATCH(1,(BL$2=Table14[Column1])*($X15=Table14[Year]),0)),"")</f>
        <v/>
      </c>
      <c r="BM15" t="str" cm="1">
        <f t="array" ref="BM15">_xlfn.IFNA(INDEX(Table14[Vigtuð vísitala],MATCH(1,(BM$2=Table14[Column1])*($X15=Table14[Year]),0)),"")</f>
        <v/>
      </c>
      <c r="BN15" t="str" cm="1">
        <f t="array" ref="BN15">_xlfn.IFNA(INDEX(Table14[Vigtuð vísitala],MATCH(1,(BN$2=Table14[Column1])*($X15=Table14[Year]),0)),"")</f>
        <v/>
      </c>
      <c r="BO15" t="str" cm="1">
        <f t="array" ref="BO15">_xlfn.IFNA(INDEX(Table14[Vigtuð vísitala],MATCH(1,(BO$2=Table14[Column1])*($X15=Table14[Year]),0)),"")</f>
        <v/>
      </c>
      <c r="BP15" t="str" cm="1">
        <f t="array" ref="BP15">_xlfn.IFNA(INDEX(Table14[Vigtuð vísitala],MATCH(1,(BP$2=Table14[Column1])*($X15=Table14[Year]),0)),"")</f>
        <v/>
      </c>
      <c r="BQ15" cm="1">
        <f t="array" ref="BQ15">_xlfn.IFNA(INDEX(Table14[Vigtuð vísitala],MATCH(1,(BQ$2=Table14[Column1])*($X15=Table14[Year]),0)),"")</f>
        <v>123.20880911117878</v>
      </c>
      <c r="BR15" cm="1">
        <f t="array" ref="BR15">_xlfn.IFNA(INDEX(Table14[Vigtuð vísitala],MATCH(1,(BR$2=Table14[Column1])*($X15=Table14[Year]),0)),"")</f>
        <v>188.16059379497037</v>
      </c>
      <c r="BS15" t="str" cm="1">
        <f t="array" ref="BS15">_xlfn.IFNA(INDEX(Table14[Vigtuð vísitala],MATCH(1,(BS$2=Table14[Column1])*($X15=Table14[Year]),0)),"")</f>
        <v/>
      </c>
      <c r="BT15" t="str" cm="1">
        <f t="array" ref="BT15">_xlfn.IFNA(INDEX(Table14[Vigtuð vísitala],MATCH(1,(BT$2=Table14[Column1])*($X15=Table14[Year]),0)),"")</f>
        <v/>
      </c>
      <c r="BU15" t="str" cm="1">
        <f t="array" ref="BU15">_xlfn.IFNA(INDEX(Table14[Vigtuð vísitala],MATCH(1,(BU$2=Table14[Column1])*($X15=Table14[Year]),0)),"")</f>
        <v/>
      </c>
      <c r="BV15" cm="1">
        <f t="array" ref="BV15">_xlfn.IFNA(INDEX(Table14[Vigtuð vísitala],MATCH(1,(BV$2=Table14[Column1])*($X15=Table14[Year]),0)),"")</f>
        <v>129.45193565499494</v>
      </c>
      <c r="BW15" t="str" cm="1">
        <f t="array" ref="BW15">_xlfn.IFNA(INDEX(Table14[Vigtuð vísitala],MATCH(1,(BW$2=Table14[Column1])*($X15=Table14[Year]),0)),"")</f>
        <v/>
      </c>
      <c r="BX15" t="str" cm="1">
        <f t="array" ref="BX15">_xlfn.IFNA(INDEX(Table14[Vigtuð vísitala],MATCH(1,(BX$2=Table14[Column1])*($X15=Table14[Year]),0)),"")</f>
        <v/>
      </c>
      <c r="BY15" t="str" cm="1">
        <f t="array" ref="BY15">_xlfn.IFNA(INDEX(Table14[Vigtuð vísitala],MATCH(1,(BY$2=Table14[Column1])*($X15=Table14[Year]),0)),"")</f>
        <v/>
      </c>
      <c r="BZ15" t="str" cm="1">
        <f t="array" ref="BZ15">_xlfn.IFNA(INDEX(Table14[Vigtuð vísitala],MATCH(1,(BZ$2=Table14[Column1])*($X15=Table14[Year]),0)),"")</f>
        <v/>
      </c>
      <c r="CA15" t="str" cm="1">
        <f t="array" ref="CA15">_xlfn.IFNA(INDEX(Table14[Vigtuð vísitala],MATCH(1,(CA$2=Table14[Column1])*($X15=Table14[Year]),0)),"")</f>
        <v/>
      </c>
      <c r="CB15" cm="1">
        <f t="array" ref="CB15">_xlfn.IFNA(INDEX(Table14[Vigtuð vísitala],MATCH(1,(CB$2=Table14[Column1])*($X15=Table14[Year]),0)),"")</f>
        <v>136.04722655346836</v>
      </c>
      <c r="CC15" t="str" cm="1">
        <f t="array" ref="CC15">_xlfn.IFNA(INDEX(Table14[Vigtuð vísitala],MATCH(1,(CC$2=Table14[Column1])*($X15=Table14[Year]),0)),"")</f>
        <v/>
      </c>
      <c r="CD15" t="str" cm="1">
        <f t="array" ref="CD15">_xlfn.IFNA(INDEX(Table14[Vigtuð vísitala],MATCH(1,(CD$2=Table14[Column1])*($X15=Table14[Year]),0)),"")</f>
        <v/>
      </c>
      <c r="CE15" cm="1">
        <f t="array" ref="CE15">_xlfn.IFNA(INDEX(Table14[Vigtuð vísitala],MATCH(1,(CE$2=Table14[Column1])*($X15=Table14[Year]),0)),"")</f>
        <v>177.29774718727765</v>
      </c>
      <c r="CF15" cm="1">
        <f t="array" ref="CF15">_xlfn.IFNA(INDEX(Table14[Vigtuð vísitala],MATCH(1,(CF$2=Table14[Column1])*($X15=Table14[Year]),0)),"")</f>
        <v>219.81499446598707</v>
      </c>
      <c r="CG15" cm="1">
        <f t="array" ref="CG15">_xlfn.IFNA(INDEX(Table14[Vigtuð vísitala],MATCH(1,(CG$2=Table14[Column1])*($X15=Table14[Year]),0)),"")</f>
        <v>144.2984552403056</v>
      </c>
      <c r="CH15" cm="1">
        <f t="array" ref="CH15">_xlfn.IFNA(INDEX(Table14[Vigtuð vísitala],MATCH(1,(CH$2=Table14[Column1])*($X15=Table14[Year]),0)),"")</f>
        <v>159.63078545947502</v>
      </c>
      <c r="CI15" cm="1">
        <f t="array" ref="CI15">_xlfn.IFNA(INDEX(Table14[Vigtuð vísitala],MATCH(1,(CI$2=Table14[Column1])*($X15=Table14[Year]),0)),"")</f>
        <v>162.56563072286721</v>
      </c>
      <c r="CJ15" cm="1">
        <f t="array" ref="CJ15">_xlfn.IFNA(INDEX(Table14[Vigtuð vísitala],MATCH(1,(CJ$2=Table14[Column1])*($X15=Table14[Year]),0)),"")</f>
        <v>87.433007545015954</v>
      </c>
      <c r="CK15" t="str" cm="1">
        <f t="array" ref="CK15">_xlfn.IFNA(INDEX(Table14[Vigtuð vísitala],MATCH(1,(CK$2=Table14[Column1])*($X15=Table14[Year]),0)),"")</f>
        <v/>
      </c>
      <c r="CL15" t="str" cm="1">
        <f t="array" ref="CL15">_xlfn.IFNA(INDEX(Table14[Vigtuð vísitala],MATCH(1,(CL$2=Table14[Column1])*($X15=Table14[Year]),0)),"")</f>
        <v/>
      </c>
      <c r="CM15" t="str" cm="1">
        <f t="array" ref="CM15">_xlfn.IFNA(INDEX(Table14[Vigtuð vísitala],MATCH(1,(CM$2=Table14[Column1])*($X15=Table14[Year]),0)),"")</f>
        <v/>
      </c>
      <c r="CN15" cm="1">
        <f t="array" ref="CN15">_xlfn.IFNA(INDEX(Table14[Vigtuð vísitala],MATCH(1,(CN$2=Table14[Column1])*($X15=Table14[Year]),0)),"")</f>
        <v>113.6984492377298</v>
      </c>
      <c r="CO15" t="str" cm="1">
        <f t="array" ref="CO15">_xlfn.IFNA(INDEX(Table14[Vigtuð vísitala],MATCH(1,(CO$2=Table14[Column1])*($X15=Table14[Year]),0)),"")</f>
        <v/>
      </c>
      <c r="CP15" t="str" cm="1">
        <f t="array" ref="CP15">_xlfn.IFNA(INDEX(Table14[Vigtuð vísitala],MATCH(1,(CP$2=Table14[Column1])*($X15=Table14[Year]),0)),"")</f>
        <v/>
      </c>
      <c r="CQ15" cm="1">
        <f t="array" ref="CQ15">_xlfn.IFNA(INDEX(Table14[Vigtuð vísitala],MATCH(1,(CQ$2=Table14[Column1])*($X15=Table14[Year]),0)),"")</f>
        <v>96.017997209171966</v>
      </c>
      <c r="CR15" cm="1">
        <f t="array" ref="CR15">_xlfn.IFNA(INDEX(Table14[Vigtuð vísitala],MATCH(1,(CR$2=Table14[Column1])*($X15=Table14[Year]),0)),"")</f>
        <v>147.50739059667276</v>
      </c>
      <c r="CS15" cm="1">
        <f t="array" ref="CS15">_xlfn.IFNA(INDEX(Table14[Vigtuð vísitala],MATCH(1,(CS$2=Table14[Column1])*($X15=Table14[Year]),0)),"")</f>
        <v>135.51215225247066</v>
      </c>
      <c r="CT15" cm="1">
        <f t="array" ref="CT15">_xlfn.IFNA(INDEX(Table14[Vigtuð vísitala],MATCH(1,(CT$2=Table14[Column1])*($X15=Table14[Year]),0)),"")</f>
        <v>163.38820068718607</v>
      </c>
      <c r="CU15" t="str" cm="1">
        <f t="array" ref="CU15">_xlfn.IFNA(INDEX(Table14[Vigtuð vísitala],MATCH(1,(CU$2=Table14[Column1])*($X15=Table14[Year]),0)),"")</f>
        <v/>
      </c>
      <c r="CV15" t="str" cm="1">
        <f t="array" ref="CV15">_xlfn.IFNA(INDEX(Table14[Vigtuð vísitala],MATCH(1,(CV$2=Table14[Column1])*($X15=Table14[Year]),0)),"")</f>
        <v/>
      </c>
      <c r="CW15" t="str" cm="1">
        <f t="array" ref="CW15">_xlfn.IFNA(INDEX(Table14[Vigtuð vísitala],MATCH(1,(CW$2=Table14[Column1])*($X15=Table14[Year]),0)),"")</f>
        <v/>
      </c>
      <c r="CX15" t="str" cm="1">
        <f t="array" ref="CX15">_xlfn.IFNA(INDEX(Table14[Vigtuð vísitala],MATCH(1,(CX$2=Table14[Column1])*($X15=Table14[Year]),0)),"")</f>
        <v/>
      </c>
      <c r="CY15" t="str" cm="1">
        <f t="array" ref="CY15">_xlfn.IFNA(INDEX(Table14[Vigtuð vísitala],MATCH(1,(CY$2=Table14[Column1])*($X15=Table14[Year]),0)),"")</f>
        <v/>
      </c>
      <c r="CZ15" cm="1">
        <f t="array" ref="CZ15">_xlfn.IFNA(INDEX(Table14[Vigtuð vísitala],MATCH(1,(CZ$2=Table14[Column1])*($X15=Table14[Year]),0)),"")</f>
        <v>145.00243708658999</v>
      </c>
      <c r="DA15" t="str" cm="1">
        <f t="array" ref="DA15">_xlfn.IFNA(INDEX(Table14[Vigtuð vísitala],MATCH(1,(DA$2=Table14[Column1])*($X15=Table14[Year]),0)),"")</f>
        <v/>
      </c>
      <c r="DB15" t="str" cm="1">
        <f t="array" ref="DB15">_xlfn.IFNA(INDEX(Table14[Vigtuð vísitala],MATCH(1,(DB$2=Table14[Column1])*($X15=Table14[Year]),0)),"")</f>
        <v/>
      </c>
      <c r="DC15" cm="1">
        <f t="array" ref="DC15">_xlfn.IFNA(INDEX(Table14[Vigtuð vísitala],MATCH(1,(DC$2=Table14[Column1])*($X15=Table14[Year]),0)),"")</f>
        <v>164.26275091567683</v>
      </c>
      <c r="DD15" cm="1">
        <f t="array" ref="DD15">_xlfn.IFNA(INDEX(Table14[Vigtuð vísitala],MATCH(1,(DD$2=Table14[Column1])*($X15=Table14[Year]),0)),"")</f>
        <v>149.7998930136884</v>
      </c>
      <c r="DE15" cm="1">
        <f t="array" ref="DE15">_xlfn.IFNA(INDEX(Table14[Vigtuð vísitala],MATCH(1,(DE$2=Table14[Column1])*($X15=Table14[Year]),0)),"")</f>
        <v>165.65924660762667</v>
      </c>
      <c r="DF15" t="str" cm="1">
        <f t="array" ref="DF15">_xlfn.IFNA(INDEX(Table14[Vigtuð vísitala],MATCH(1,(DF$2=Table14[Column1])*($X15=Table14[Year]),0)),"")</f>
        <v/>
      </c>
    </row>
    <row r="16" spans="1:110">
      <c r="A16" t="s">
        <v>54</v>
      </c>
      <c r="B16">
        <v>2017</v>
      </c>
      <c r="C16" s="16">
        <v>7.0000000000000007E-2</v>
      </c>
      <c r="D16" s="1">
        <v>100102385</v>
      </c>
      <c r="E16" s="29">
        <f>Table14[[#This Row],[Ávöxtun]]*Table14[[#This Row],[Eignir]]/SUMIFS(Table14[Eignir],Table14[Year],Table14[[#This Row],[Year]])</f>
        <v>1.9687746783640034E-3</v>
      </c>
      <c r="F16" s="23" t="e">
        <f>IF(B16=1997, 100, IF(COUNTIF(A$1:A15,A16)=0, "NEW", F15*(1+Table14[[#This Row],[Ávöxtun]])))</f>
        <v>#VALUE!</v>
      </c>
      <c r="G16" s="18" t="str" cm="1">
        <f t="array" ref="G16">IFERROR(_xlfn.IFS(ISNUMBER(Table14[[#This Row],[Column3]]),Table14[[#This Row],[Column3]],Table14[[#This Row],[Column3]]="NEW",Table14[[#This Row],[Column3]]),"")</f>
        <v/>
      </c>
      <c r="H16" s="15" cm="1">
        <f t="array" ref="H16">_xlfn.IFS(Table14[[#This Row],[Column4]]="NEW",AVERAGEIFS(Table14[Column4],Table14[Year],Table14[[#This Row],[Year]]),ISNUMBER(Table14[[#This Row],[Column4]]),Table14[[#This Row],[Column4]],Table14[[#This Row],[Column4]]="",H15*(1+Table14[[#This Row],[Ávöxtun]]))</f>
        <v>153.5240014039916</v>
      </c>
      <c r="I16" cm="1">
        <f t="array" ref="I16">_xlfn.IFS(Table14[[#This Row],[Column4]]="NEW",_xlfn.XLOOKUP(Table14[[#This Row],[Year]],$M$2:$M$27,$O$2:$O$27),ISNUMBER(Table14[[#This Row],[Column4]]),Table14[[#This Row],[Column4]],Table14[[#This Row],[Column4]]="",I15*(1+Table14[[#This Row],[Ávöxtun]]))</f>
        <v>162.12886075542312</v>
      </c>
      <c r="K16" s="25"/>
      <c r="L16" s="33">
        <v>162.12886075542312</v>
      </c>
      <c r="M16">
        <v>2010</v>
      </c>
      <c r="N16" s="27">
        <f>SUMIFS(Table14[Column2],Table14[Year],M16)</f>
        <v>2.9219762498001865E-2</v>
      </c>
      <c r="O16">
        <f t="shared" si="0"/>
        <v>154.91665471463926</v>
      </c>
      <c r="P16" s="26" cm="1">
        <f t="array" ref="P16">_xlfn.QUARTILE.EXC(IF($B$2:$B$939 = M16, $I$2:$I$939), 3)</f>
        <v>164.88273436917291</v>
      </c>
      <c r="Q16" s="26" cm="1">
        <f t="array" ref="Q16">_xlfn.QUARTILE.EXC(IF($B$2:$B$939 = M16, $I$2:$I$939), 1)</f>
        <v>130.02257798415741</v>
      </c>
      <c r="R16" s="26" cm="1">
        <f t="array" ref="R16">_xlfn.QUARTILE.EXC(IF($B$2:$B$939 = M16, $I$2:$I$939), 2)</f>
        <v>148.64519973231953</v>
      </c>
      <c r="S16" s="17" cm="1">
        <f t="array" ref="S16">_xlfn.QUARTILE.EXC(IF($B$2:$B$939 = M16, $C$2:$C$939), 3)</f>
        <v>4.3749999999999997E-2</v>
      </c>
      <c r="T16" s="17" cm="1">
        <f t="array" ref="T16">_xlfn.QUARTILE.EXC(IF($B$2:$B$939 = M16, $C$2:$C$939), 1)</f>
        <v>1.6649999999999998E-2</v>
      </c>
      <c r="U16" s="17" cm="1">
        <f t="array" ref="U16">_xlfn.QUARTILE.EXC(IF($B$2:$B$939 = M16, $C$2:$C$939), 2)</f>
        <v>3.2500000000000001E-2</v>
      </c>
      <c r="X16">
        <v>2010</v>
      </c>
      <c r="Y16">
        <f t="shared" si="1"/>
        <v>154.91665471463926</v>
      </c>
      <c r="Z16" cm="1">
        <f t="array" ref="Z16">_xlfn.IFNA(INDEX(Table14[Vigtuð vísitala],MATCH(1,(Z$2=Table14[Column1])*($X16=Table14[Year]),0)),"")</f>
        <v>112.24206099331519</v>
      </c>
      <c r="AB16" t="str" cm="1">
        <f t="array" ref="AB16">_xlfn.IFNA(INDEX(Table14[Vigtuð vísitala],MATCH(1,(AB$2=Table14[Column1])*($X16=Table14[Year]),0)),"")</f>
        <v/>
      </c>
      <c r="AC16" t="str" cm="1">
        <f t="array" ref="AC16">_xlfn.IFNA(INDEX(Table14[Vigtuð vísitala],MATCH(1,(AC$2=Table14[Column1])*($X16=Table14[Year]),0)),"")</f>
        <v/>
      </c>
      <c r="AD16" t="str" cm="1">
        <f t="array" ref="AD16">_xlfn.IFNA(INDEX(Table14[Vigtuð vísitala],MATCH(1,(AD$2=Table14[Column1])*($X16=Table14[Year]),0)),"")</f>
        <v/>
      </c>
      <c r="AE16" t="str" cm="1">
        <f t="array" ref="AE16">_xlfn.IFNA(INDEX(Table14[Vigtuð vísitala],MATCH(1,(AE$2=Table14[Column1])*($X16=Table14[Year]),0)),"")</f>
        <v/>
      </c>
      <c r="AF16" t="str" cm="1">
        <f t="array" ref="AF16">_xlfn.IFNA(INDEX(Table14[Vigtuð vísitala],MATCH(1,(AF$2=Table14[Column1])*($X16=Table14[Year]),0)),"")</f>
        <v/>
      </c>
      <c r="AG16" t="str" cm="1">
        <f t="array" ref="AG16">_xlfn.IFNA(INDEX(Table14[Vigtuð vísitala],MATCH(1,(AG$2=Table14[Column1])*($X16=Table14[Year]),0)),"")</f>
        <v/>
      </c>
      <c r="AH16" t="str" cm="1">
        <f t="array" ref="AH16">_xlfn.IFNA(INDEX(Table14[Vigtuð vísitala],MATCH(1,(AH$2=Table14[Column1])*($X16=Table14[Year]),0)),"")</f>
        <v/>
      </c>
      <c r="AI16" t="str" cm="1">
        <f t="array" ref="AI16">_xlfn.IFNA(INDEX(Table14[Vigtuð vísitala],MATCH(1,(AI$2=Table14[Column1])*($X16=Table14[Year]),0)),"")</f>
        <v/>
      </c>
      <c r="AJ16" cm="1">
        <f t="array" ref="AJ16">_xlfn.IFNA(INDEX(Table14[Vigtuð vísitala],MATCH(1,(AJ$2=Table14[Column1])*($X16=Table14[Year]),0)),"")</f>
        <v>100.0519291107115</v>
      </c>
      <c r="AK16" t="str" cm="1">
        <f t="array" ref="AK16">_xlfn.IFNA(INDEX(Table14[Vigtuð vísitala],MATCH(1,(AK$2=Table14[Column1])*($X16=Table14[Year]),0)),"")</f>
        <v/>
      </c>
      <c r="AL16" cm="1">
        <f t="array" ref="AL16">_xlfn.IFNA(INDEX(Table14[Vigtuð vísitala],MATCH(1,(AL$2=Table14[Column1])*($X16=Table14[Year]),0)),"")</f>
        <v>131.76014392175551</v>
      </c>
      <c r="AM16" cm="1">
        <f t="array" ref="AM16">_xlfn.IFNA(INDEX(Table14[Vigtuð vísitala],MATCH(1,(AM$2=Table14[Column1])*($X16=Table14[Year]),0)),"")</f>
        <v>155.2282429213752</v>
      </c>
      <c r="AN16" t="str" cm="1">
        <f t="array" ref="AN16">_xlfn.IFNA(INDEX(Table14[Vigtuð vísitala],MATCH(1,(AN$2=Table14[Column1])*($X16=Table14[Year]),0)),"")</f>
        <v/>
      </c>
      <c r="AO16" cm="1">
        <f t="array" ref="AO16">_xlfn.IFNA(INDEX(Table14[Vigtuð vísitala],MATCH(1,(AO$2=Table14[Column1])*($X16=Table14[Year]),0)),"")</f>
        <v>55.092138793233616</v>
      </c>
      <c r="AP16" cm="1">
        <f t="array" ref="AP16">_xlfn.IFNA(INDEX(Table14[Vigtuð vísitala],MATCH(1,(AP$2=Table14[Column1])*($X16=Table14[Year]),0)),"")</f>
        <v>164.35125436263866</v>
      </c>
      <c r="AQ16" cm="1">
        <f t="array" ref="AQ16">_xlfn.IFNA(INDEX(Table14[Vigtuð vísitala],MATCH(1,(AQ$2=Table14[Column1])*($X16=Table14[Year]),0)),"")</f>
        <v>132.69320349556853</v>
      </c>
      <c r="AR16" cm="1">
        <f t="array" ref="AR16">_xlfn.IFNA(INDEX(Table14[Vigtuð vísitala],MATCH(1,(AR$2=Table14[Column1])*($X16=Table14[Year]),0)),"")</f>
        <v>145.89912956642971</v>
      </c>
      <c r="AS16" t="str" cm="1">
        <f t="array" ref="AS16">_xlfn.IFNA(INDEX(Table14[Vigtuð vísitala],MATCH(1,(AS$2=Table14[Column1])*($X16=Table14[Year]),0)),"")</f>
        <v/>
      </c>
      <c r="AT16" cm="1">
        <f t="array" ref="AT16">_xlfn.IFNA(INDEX(Table14[Vigtuð vísitala],MATCH(1,(AT$2=Table14[Column1])*($X16=Table14[Year]),0)),"")</f>
        <v>115.14622891061633</v>
      </c>
      <c r="AU16" cm="1">
        <f t="array" ref="AU16">_xlfn.IFNA(INDEX(Table14[Vigtuð vísitala],MATCH(1,(AU$2=Table14[Column1])*($X16=Table14[Year]),0)),"")</f>
        <v>152.85840298194509</v>
      </c>
      <c r="AV16" t="str" cm="1">
        <f t="array" ref="AV16">_xlfn.IFNA(INDEX(Table14[Vigtuð vísitala],MATCH(1,(AV$2=Table14[Column1])*($X16=Table14[Year]),0)),"")</f>
        <v/>
      </c>
      <c r="AW16" t="str" cm="1">
        <f t="array" ref="AW16">_xlfn.IFNA(INDEX(Table14[Vigtuð vísitala],MATCH(1,(AW$2=Table14[Column1])*($X16=Table14[Year]),0)),"")</f>
        <v/>
      </c>
      <c r="AX16" t="str" cm="1">
        <f t="array" ref="AX16">_xlfn.IFNA(INDEX(Table14[Vigtuð vísitala],MATCH(1,(AX$2=Table14[Column1])*($X16=Table14[Year]),0)),"")</f>
        <v/>
      </c>
      <c r="AY16" t="str" cm="1">
        <f t="array" ref="AY16">_xlfn.IFNA(INDEX(Table14[Vigtuð vísitala],MATCH(1,(AY$2=Table14[Column1])*($X16=Table14[Year]),0)),"")</f>
        <v/>
      </c>
      <c r="AZ16" t="str" cm="1">
        <f t="array" ref="AZ16">_xlfn.IFNA(INDEX(Table14[Vigtuð vísitala],MATCH(1,(AZ$2=Table14[Column1])*($X16=Table14[Year]),0)),"")</f>
        <v/>
      </c>
      <c r="BA16" t="str" cm="1">
        <f t="array" ref="BA16">_xlfn.IFNA(INDEX(Table14[Vigtuð vísitala],MATCH(1,(BA$2=Table14[Column1])*($X16=Table14[Year]),0)),"")</f>
        <v/>
      </c>
      <c r="BB16" t="str" cm="1">
        <f t="array" ref="BB16">_xlfn.IFNA(INDEX(Table14[Vigtuð vísitala],MATCH(1,(BB$2=Table14[Column1])*($X16=Table14[Year]),0)),"")</f>
        <v/>
      </c>
      <c r="BC16" cm="1">
        <f t="array" ref="BC16">_xlfn.IFNA(INDEX(Table14[Vigtuð vísitala],MATCH(1,(BC$2=Table14[Column1])*($X16=Table14[Year]),0)),"")</f>
        <v>136.9120674503248</v>
      </c>
      <c r="BD16" t="str" cm="1">
        <f t="array" ref="BD16">_xlfn.IFNA(INDEX(Table14[Vigtuð vísitala],MATCH(1,(BD$2=Table14[Column1])*($X16=Table14[Year]),0)),"")</f>
        <v/>
      </c>
      <c r="BE16" t="str" cm="1">
        <f t="array" ref="BE16">_xlfn.IFNA(INDEX(Table14[Vigtuð vísitala],MATCH(1,(BE$2=Table14[Column1])*($X16=Table14[Year]),0)),"")</f>
        <v/>
      </c>
      <c r="BF16" t="str" cm="1">
        <f t="array" ref="BF16">_xlfn.IFNA(INDEX(Table14[Vigtuð vísitala],MATCH(1,(BF$2=Table14[Column1])*($X16=Table14[Year]),0)),"")</f>
        <v/>
      </c>
      <c r="BG16" cm="1">
        <f t="array" ref="BG16">_xlfn.IFNA(INDEX(Table14[Vigtuð vísitala],MATCH(1,(BG$2=Table14[Column1])*($X16=Table14[Year]),0)),"")</f>
        <v>132.29568395590942</v>
      </c>
      <c r="BH16" cm="1">
        <f t="array" ref="BH16">_xlfn.IFNA(INDEX(Table14[Vigtuð vísitala],MATCH(1,(BH$2=Table14[Column1])*($X16=Table14[Year]),0)),"")</f>
        <v>150.15646450882244</v>
      </c>
      <c r="BI16" t="str" cm="1">
        <f t="array" ref="BI16">_xlfn.IFNA(INDEX(Table14[Vigtuð vísitala],MATCH(1,(BI$2=Table14[Column1])*($X16=Table14[Year]),0)),"")</f>
        <v/>
      </c>
      <c r="BJ16" cm="1">
        <f t="array" ref="BJ16">_xlfn.IFNA(INDEX(Table14[Vigtuð vísitala],MATCH(1,(BJ$2=Table14[Column1])*($X16=Table14[Year]),0)),"")</f>
        <v>306.20711847688625</v>
      </c>
      <c r="BK16" t="str" cm="1">
        <f t="array" ref="BK16">_xlfn.IFNA(INDEX(Table14[Vigtuð vísitala],MATCH(1,(BK$2=Table14[Column1])*($X16=Table14[Year]),0)),"")</f>
        <v/>
      </c>
      <c r="BL16" t="str" cm="1">
        <f t="array" ref="BL16">_xlfn.IFNA(INDEX(Table14[Vigtuð vísitala],MATCH(1,(BL$2=Table14[Column1])*($X16=Table14[Year]),0)),"")</f>
        <v/>
      </c>
      <c r="BM16" t="str" cm="1">
        <f t="array" ref="BM16">_xlfn.IFNA(INDEX(Table14[Vigtuð vísitala],MATCH(1,(BM$2=Table14[Column1])*($X16=Table14[Year]),0)),"")</f>
        <v/>
      </c>
      <c r="BN16" t="str" cm="1">
        <f t="array" ref="BN16">_xlfn.IFNA(INDEX(Table14[Vigtuð vísitala],MATCH(1,(BN$2=Table14[Column1])*($X16=Table14[Year]),0)),"")</f>
        <v/>
      </c>
      <c r="BO16" t="str" cm="1">
        <f t="array" ref="BO16">_xlfn.IFNA(INDEX(Table14[Vigtuð vísitala],MATCH(1,(BO$2=Table14[Column1])*($X16=Table14[Year]),0)),"")</f>
        <v/>
      </c>
      <c r="BP16" t="str" cm="1">
        <f t="array" ref="BP16">_xlfn.IFNA(INDEX(Table14[Vigtuð vísitala],MATCH(1,(BP$2=Table14[Column1])*($X16=Table14[Year]),0)),"")</f>
        <v/>
      </c>
      <c r="BQ16" cm="1">
        <f t="array" ref="BQ16">_xlfn.IFNA(INDEX(Table14[Vigtuð vísitala],MATCH(1,(BQ$2=Table14[Column1])*($X16=Table14[Year]),0)),"")</f>
        <v>128.28501204655933</v>
      </c>
      <c r="BR16" cm="1">
        <f t="array" ref="BR16">_xlfn.IFNA(INDEX(Table14[Vigtuð vísitala],MATCH(1,(BR$2=Table14[Column1])*($X16=Table14[Year]),0)),"")</f>
        <v>202.68659163594208</v>
      </c>
      <c r="BS16" t="str" cm="1">
        <f t="array" ref="BS16">_xlfn.IFNA(INDEX(Table14[Vigtuð vísitala],MATCH(1,(BS$2=Table14[Column1])*($X16=Table14[Year]),0)),"")</f>
        <v/>
      </c>
      <c r="BT16" t="str" cm="1">
        <f t="array" ref="BT16">_xlfn.IFNA(INDEX(Table14[Vigtuð vísitala],MATCH(1,(BT$2=Table14[Column1])*($X16=Table14[Year]),0)),"")</f>
        <v/>
      </c>
      <c r="BU16" t="str" cm="1">
        <f t="array" ref="BU16">_xlfn.IFNA(INDEX(Table14[Vigtuð vísitala],MATCH(1,(BU$2=Table14[Column1])*($X16=Table14[Year]),0)),"")</f>
        <v/>
      </c>
      <c r="BV16" cm="1">
        <f t="array" ref="BV16">_xlfn.IFNA(INDEX(Table14[Vigtuð vísitala],MATCH(1,(BV$2=Table14[Column1])*($X16=Table14[Year]),0)),"")</f>
        <v>131.82090607748134</v>
      </c>
      <c r="BW16" t="str" cm="1">
        <f t="array" ref="BW16">_xlfn.IFNA(INDEX(Table14[Vigtuð vísitala],MATCH(1,(BW$2=Table14[Column1])*($X16=Table14[Year]),0)),"")</f>
        <v/>
      </c>
      <c r="BX16" t="str" cm="1">
        <f t="array" ref="BX16">_xlfn.IFNA(INDEX(Table14[Vigtuð vísitala],MATCH(1,(BX$2=Table14[Column1])*($X16=Table14[Year]),0)),"")</f>
        <v/>
      </c>
      <c r="BY16" t="str" cm="1">
        <f t="array" ref="BY16">_xlfn.IFNA(INDEX(Table14[Vigtuð vísitala],MATCH(1,(BY$2=Table14[Column1])*($X16=Table14[Year]),0)),"")</f>
        <v/>
      </c>
      <c r="BZ16" t="str" cm="1">
        <f t="array" ref="BZ16">_xlfn.IFNA(INDEX(Table14[Vigtuð vísitala],MATCH(1,(BZ$2=Table14[Column1])*($X16=Table14[Year]),0)),"")</f>
        <v/>
      </c>
      <c r="CA16" t="str" cm="1">
        <f t="array" ref="CA16">_xlfn.IFNA(INDEX(Table14[Vigtuð vísitala],MATCH(1,(CA$2=Table14[Column1])*($X16=Table14[Year]),0)),"")</f>
        <v/>
      </c>
      <c r="CB16" cm="1">
        <f t="array" ref="CB16">_xlfn.IFNA(INDEX(Table14[Vigtuð vísitala],MATCH(1,(CB$2=Table14[Column1])*($X16=Table14[Year]),0)),"")</f>
        <v>148.64519973231953</v>
      </c>
      <c r="CC16" t="str" cm="1">
        <f t="array" ref="CC16">_xlfn.IFNA(INDEX(Table14[Vigtuð vísitala],MATCH(1,(CC$2=Table14[Column1])*($X16=Table14[Year]),0)),"")</f>
        <v/>
      </c>
      <c r="CD16" t="str" cm="1">
        <f t="array" ref="CD16">_xlfn.IFNA(INDEX(Table14[Vigtuð vísitala],MATCH(1,(CD$2=Table14[Column1])*($X16=Table14[Year]),0)),"")</f>
        <v/>
      </c>
      <c r="CE16" cm="1">
        <f t="array" ref="CE16">_xlfn.IFNA(INDEX(Table14[Vigtuð vísitala],MATCH(1,(CE$2=Table14[Column1])*($X16=Table14[Year]),0)),"")</f>
        <v>183.05992397086416</v>
      </c>
      <c r="CF16" cm="1">
        <f t="array" ref="CF16">_xlfn.IFNA(INDEX(Table14[Vigtuð vísitala],MATCH(1,(CF$2=Table14[Column1])*($X16=Table14[Year]),0)),"")</f>
        <v>230.82772568873304</v>
      </c>
      <c r="CG16" cm="1">
        <f t="array" ref="CG16">_xlfn.IFNA(INDEX(Table14[Vigtuð vísitala],MATCH(1,(CG$2=Table14[Column1])*($X16=Table14[Year]),0)),"")</f>
        <v>151.08048263659995</v>
      </c>
      <c r="CH16" cm="1">
        <f t="array" ref="CH16">_xlfn.IFNA(INDEX(Table14[Vigtuð vísitala],MATCH(1,(CH$2=Table14[Column1])*($X16=Table14[Year]),0)),"")</f>
        <v>163.44596123195649</v>
      </c>
      <c r="CI16" cm="1">
        <f t="array" ref="CI16">_xlfn.IFNA(INDEX(Table14[Vigtuð vísitala],MATCH(1,(CI$2=Table14[Column1])*($X16=Table14[Year]),0)),"")</f>
        <v>169.31210439786622</v>
      </c>
      <c r="CJ16" cm="1">
        <f t="array" ref="CJ16">_xlfn.IFNA(INDEX(Table14[Vigtuð vísitala],MATCH(1,(CJ$2=Table14[Column1])*($X16=Table14[Year]),0)),"")</f>
        <v>89.557629628359834</v>
      </c>
      <c r="CK16" t="str" cm="1">
        <f t="array" ref="CK16">_xlfn.IFNA(INDEX(Table14[Vigtuð vísitala],MATCH(1,(CK$2=Table14[Column1])*($X16=Table14[Year]),0)),"")</f>
        <v/>
      </c>
      <c r="CL16" t="str" cm="1">
        <f t="array" ref="CL16">_xlfn.IFNA(INDEX(Table14[Vigtuð vísitala],MATCH(1,(CL$2=Table14[Column1])*($X16=Table14[Year]),0)),"")</f>
        <v/>
      </c>
      <c r="CM16" t="str" cm="1">
        <f t="array" ref="CM16">_xlfn.IFNA(INDEX(Table14[Vigtuð vísitala],MATCH(1,(CM$2=Table14[Column1])*($X16=Table14[Year]),0)),"")</f>
        <v/>
      </c>
      <c r="CN16" cm="1">
        <f t="array" ref="CN16">_xlfn.IFNA(INDEX(Table14[Vigtuð vísitala],MATCH(1,(CN$2=Table14[Column1])*($X16=Table14[Year]),0)),"")</f>
        <v>117.60967589150771</v>
      </c>
      <c r="CO16" t="str" cm="1">
        <f t="array" ref="CO16">_xlfn.IFNA(INDEX(Table14[Vigtuð vísitala],MATCH(1,(CO$2=Table14[Column1])*($X16=Table14[Year]),0)),"")</f>
        <v/>
      </c>
      <c r="CP16" t="str" cm="1">
        <f t="array" ref="CP16">_xlfn.IFNA(INDEX(Table14[Vigtuð vísitala],MATCH(1,(CP$2=Table14[Column1])*($X16=Table14[Year]),0)),"")</f>
        <v/>
      </c>
      <c r="CQ16" cm="1">
        <f t="array" ref="CQ16">_xlfn.IFNA(INDEX(Table14[Vigtuð vísitala],MATCH(1,(CQ$2=Table14[Column1])*($X16=Table14[Year]),0)),"")</f>
        <v>93.723167075872752</v>
      </c>
      <c r="CR16" cm="1">
        <f t="array" ref="CR16">_xlfn.IFNA(INDEX(Table14[Vigtuð vísitala],MATCH(1,(CR$2=Table14[Column1])*($X16=Table14[Year]),0)),"")</f>
        <v>152.59639557225796</v>
      </c>
      <c r="CS16" cm="1">
        <f t="array" ref="CS16">_xlfn.IFNA(INDEX(Table14[Vigtuð vísitala],MATCH(1,(CS$2=Table14[Column1])*($X16=Table14[Year]),0)),"")</f>
        <v>138.50697081725025</v>
      </c>
      <c r="CT16" cm="1">
        <f t="array" ref="CT16">_xlfn.IFNA(INDEX(Table14[Vigtuð vísitala],MATCH(1,(CT$2=Table14[Column1])*($X16=Table14[Year]),0)),"")</f>
        <v>165.41421437570716</v>
      </c>
      <c r="CU16" t="str" cm="1">
        <f t="array" ref="CU16">_xlfn.IFNA(INDEX(Table14[Vigtuð vísitala],MATCH(1,(CU$2=Table14[Column1])*($X16=Table14[Year]),0)),"")</f>
        <v/>
      </c>
      <c r="CV16" t="str" cm="1">
        <f t="array" ref="CV16">_xlfn.IFNA(INDEX(Table14[Vigtuð vísitala],MATCH(1,(CV$2=Table14[Column1])*($X16=Table14[Year]),0)),"")</f>
        <v/>
      </c>
      <c r="CW16" t="str" cm="1">
        <f t="array" ref="CW16">_xlfn.IFNA(INDEX(Table14[Vigtuð vísitala],MATCH(1,(CW$2=Table14[Column1])*($X16=Table14[Year]),0)),"")</f>
        <v/>
      </c>
      <c r="CX16" t="str" cm="1">
        <f t="array" ref="CX16">_xlfn.IFNA(INDEX(Table14[Vigtuð vísitala],MATCH(1,(CX$2=Table14[Column1])*($X16=Table14[Year]),0)),"")</f>
        <v/>
      </c>
      <c r="CY16" t="str" cm="1">
        <f t="array" ref="CY16">_xlfn.IFNA(INDEX(Table14[Vigtuð vísitala],MATCH(1,(CY$2=Table14[Column1])*($X16=Table14[Year]),0)),"")</f>
        <v/>
      </c>
      <c r="CZ16" cm="1">
        <f t="array" ref="CZ16">_xlfn.IFNA(INDEX(Table14[Vigtuð vísitala],MATCH(1,(CZ$2=Table14[Column1])*($X16=Table14[Year]),0)),"")</f>
        <v>147.84448485348716</v>
      </c>
      <c r="DA16" t="str" cm="1">
        <f t="array" ref="DA16">_xlfn.IFNA(INDEX(Table14[Vigtuð vísitala],MATCH(1,(DA$2=Table14[Column1])*($X16=Table14[Year]),0)),"")</f>
        <v/>
      </c>
      <c r="DB16" t="str" cm="1">
        <f t="array" ref="DB16">_xlfn.IFNA(INDEX(Table14[Vigtuð vísitala],MATCH(1,(DB$2=Table14[Column1])*($X16=Table14[Year]),0)),"")</f>
        <v/>
      </c>
      <c r="DC16" cm="1">
        <f t="array" ref="DC16">_xlfn.IFNA(INDEX(Table14[Vigtuð vísitala],MATCH(1,(DC$2=Table14[Column1])*($X16=Table14[Year]),0)),"")</f>
        <v>170.2747675991906</v>
      </c>
      <c r="DD16" cm="1">
        <f t="array" ref="DD16">_xlfn.IFNA(INDEX(Table14[Vigtuð vísitala],MATCH(1,(DD$2=Table14[Column1])*($X16=Table14[Year]),0)),"")</f>
        <v>149.91973292809934</v>
      </c>
      <c r="DE16" cm="1">
        <f t="array" ref="DE16">_xlfn.IFNA(INDEX(Table14[Vigtuð vísitala],MATCH(1,(DE$2=Table14[Column1])*($X16=Table14[Year]),0)),"")</f>
        <v>171.4076224649113</v>
      </c>
      <c r="DF16" t="str" cm="1">
        <f t="array" ref="DF16">_xlfn.IFNA(INDEX(Table14[Vigtuð vísitala],MATCH(1,(DF$2=Table14[Column1])*($X16=Table14[Year]),0)),"")</f>
        <v/>
      </c>
    </row>
    <row r="17" spans="1:110">
      <c r="A17" t="s">
        <v>54</v>
      </c>
      <c r="B17">
        <v>2018</v>
      </c>
      <c r="C17" s="16">
        <v>2.3E-2</v>
      </c>
      <c r="D17" s="1">
        <v>109493968</v>
      </c>
      <c r="E17" s="29">
        <f>Table14[[#This Row],[Ávöxtun]]*Table14[[#This Row],[Eignir]]/SUMIFS(Table14[Eignir],Table14[Year],Table14[[#This Row],[Year]])</f>
        <v>6.5954721256470598E-4</v>
      </c>
      <c r="F17" s="23" t="e">
        <f>IF(B17=1997, 100, IF(COUNTIF(A$1:A16,A17)=0, "NEW", F16*(1+Table14[[#This Row],[Ávöxtun]])))</f>
        <v>#VALUE!</v>
      </c>
      <c r="G17" s="18" t="str" cm="1">
        <f t="array" ref="G17">IFERROR(_xlfn.IFS(ISNUMBER(Table14[[#This Row],[Column3]]),Table14[[#This Row],[Column3]],Table14[[#This Row],[Column3]]="NEW",Table14[[#This Row],[Column3]]),"")</f>
        <v/>
      </c>
      <c r="H17" s="15" cm="1">
        <f t="array" ref="H17">_xlfn.IFS(Table14[[#This Row],[Column4]]="NEW",AVERAGEIFS(Table14[Column4],Table14[Year],Table14[[#This Row],[Year]]),ISNUMBER(Table14[[#This Row],[Column4]]),Table14[[#This Row],[Column4]],Table14[[#This Row],[Column4]]="",H16*(1+Table14[[#This Row],[Ávöxtun]]))</f>
        <v>157.0550534362834</v>
      </c>
      <c r="I17" cm="1">
        <f t="array" ref="I17">_xlfn.IFS(Table14[[#This Row],[Column4]]="NEW",_xlfn.XLOOKUP(Table14[[#This Row],[Year]],$M$2:$M$27,$O$2:$O$27),ISNUMBER(Table14[[#This Row],[Column4]]),Table14[[#This Row],[Column4]],Table14[[#This Row],[Column4]]="",I16*(1+Table14[[#This Row],[Ávöxtun]]))</f>
        <v>165.85782455279784</v>
      </c>
      <c r="K17" s="25"/>
      <c r="L17" s="33">
        <v>165.85782455279784</v>
      </c>
      <c r="M17">
        <v>2011</v>
      </c>
      <c r="N17" s="27">
        <f>SUMIFS(Table14[Column2],Table14[Year],M17)</f>
        <v>2.8525332201232476E-2</v>
      </c>
      <c r="O17">
        <f t="shared" si="0"/>
        <v>159.33570375387797</v>
      </c>
      <c r="P17" s="26" cm="1">
        <f t="array" ref="P17">_xlfn.QUARTILE.EXC(IF($B$2:$B$939 = M17, $I$2:$I$939), 3)</f>
        <v>167.99290446627262</v>
      </c>
      <c r="Q17" s="26" cm="1">
        <f t="array" ref="Q17">_xlfn.QUARTILE.EXC(IF($B$2:$B$939 = M17, $I$2:$I$939), 1)</f>
        <v>132.96765898531527</v>
      </c>
      <c r="R17" s="26" cm="1">
        <f t="array" ref="R17">_xlfn.QUARTILE.EXC(IF($B$2:$B$939 = M17, $I$2:$I$939), 2)</f>
        <v>150.92940215396337</v>
      </c>
      <c r="S17" s="17" cm="1">
        <f t="array" ref="S17">_xlfn.QUARTILE.EXC(IF($B$2:$B$939 = M17, $C$2:$C$939), 3)</f>
        <v>3.3000000000000002E-2</v>
      </c>
      <c r="T17" s="17" cm="1">
        <f t="array" ref="T17">_xlfn.QUARTILE.EXC(IF($B$2:$B$939 = M17, $C$2:$C$939), 1)</f>
        <v>1.0000000000000002E-2</v>
      </c>
      <c r="U17" s="17" cm="1">
        <f t="array" ref="U17">_xlfn.QUARTILE.EXC(IF($B$2:$B$939 = M17, $C$2:$C$939), 2)</f>
        <v>2.3E-2</v>
      </c>
      <c r="X17">
        <v>2011</v>
      </c>
      <c r="Y17">
        <f t="shared" si="1"/>
        <v>159.33570375387797</v>
      </c>
      <c r="Z17" cm="1">
        <f t="array" ref="Z17">_xlfn.IFNA(INDEX(Table14[Vigtuð vísitala],MATCH(1,(Z$2=Table14[Column1])*($X17=Table14[Year]),0)),"")</f>
        <v>116.95622755503443</v>
      </c>
      <c r="AB17" t="str" cm="1">
        <f t="array" ref="AB17">_xlfn.IFNA(INDEX(Table14[Vigtuð vísitala],MATCH(1,(AB$2=Table14[Column1])*($X17=Table14[Year]),0)),"")</f>
        <v/>
      </c>
      <c r="AC17" t="str" cm="1">
        <f t="array" ref="AC17">_xlfn.IFNA(INDEX(Table14[Vigtuð vísitala],MATCH(1,(AC$2=Table14[Column1])*($X17=Table14[Year]),0)),"")</f>
        <v/>
      </c>
      <c r="AD17" t="str" cm="1">
        <f t="array" ref="AD17">_xlfn.IFNA(INDEX(Table14[Vigtuð vísitala],MATCH(1,(AD$2=Table14[Column1])*($X17=Table14[Year]),0)),"")</f>
        <v/>
      </c>
      <c r="AE17" t="str" cm="1">
        <f t="array" ref="AE17">_xlfn.IFNA(INDEX(Table14[Vigtuð vísitala],MATCH(1,(AE$2=Table14[Column1])*($X17=Table14[Year]),0)),"")</f>
        <v/>
      </c>
      <c r="AF17" t="str" cm="1">
        <f t="array" ref="AF17">_xlfn.IFNA(INDEX(Table14[Vigtuð vísitala],MATCH(1,(AF$2=Table14[Column1])*($X17=Table14[Year]),0)),"")</f>
        <v/>
      </c>
      <c r="AG17" t="str" cm="1">
        <f t="array" ref="AG17">_xlfn.IFNA(INDEX(Table14[Vigtuð vísitala],MATCH(1,(AG$2=Table14[Column1])*($X17=Table14[Year]),0)),"")</f>
        <v/>
      </c>
      <c r="AH17" t="str" cm="1">
        <f t="array" ref="AH17">_xlfn.IFNA(INDEX(Table14[Vigtuð vísitala],MATCH(1,(AH$2=Table14[Column1])*($X17=Table14[Year]),0)),"")</f>
        <v/>
      </c>
      <c r="AI17" t="str" cm="1">
        <f t="array" ref="AI17">_xlfn.IFNA(INDEX(Table14[Vigtuð vísitala],MATCH(1,(AI$2=Table14[Column1])*($X17=Table14[Year]),0)),"")</f>
        <v/>
      </c>
      <c r="AJ17" cm="1">
        <f t="array" ref="AJ17">_xlfn.IFNA(INDEX(Table14[Vigtuð vísitala],MATCH(1,(AJ$2=Table14[Column1])*($X17=Table14[Year]),0)),"")</f>
        <v>97.250475095611577</v>
      </c>
      <c r="AK17" t="str" cm="1">
        <f t="array" ref="AK17">_xlfn.IFNA(INDEX(Table14[Vigtuð vísitala],MATCH(1,(AK$2=Table14[Column1])*($X17=Table14[Year]),0)),"")</f>
        <v/>
      </c>
      <c r="AL17" cm="1">
        <f t="array" ref="AL17">_xlfn.IFNA(INDEX(Table14[Vigtuð vísitala],MATCH(1,(AL$2=Table14[Column1])*($X17=Table14[Year]),0)),"")</f>
        <v>134.92238737587766</v>
      </c>
      <c r="AM17" cm="1">
        <f t="array" ref="AM17">_xlfn.IFNA(INDEX(Table14[Vigtuð vísitala],MATCH(1,(AM$2=Table14[Column1])*($X17=Table14[Year]),0)),"")</f>
        <v>161.74782912407295</v>
      </c>
      <c r="AN17" t="str" cm="1">
        <f t="array" ref="AN17">_xlfn.IFNA(INDEX(Table14[Vigtuð vísitala],MATCH(1,(AN$2=Table14[Column1])*($X17=Table14[Year]),0)),"")</f>
        <v/>
      </c>
      <c r="AO17" cm="1">
        <f t="array" ref="AO17">_xlfn.IFNA(INDEX(Table14[Vigtuð vísitala],MATCH(1,(AO$2=Table14[Column1])*($X17=Table14[Year]),0)),"")</f>
        <v>36.801548713880052</v>
      </c>
      <c r="AP17" cm="1">
        <f t="array" ref="AP17">_xlfn.IFNA(INDEX(Table14[Vigtuð vísitala],MATCH(1,(AP$2=Table14[Column1])*($X17=Table14[Year]),0)),"")</f>
        <v>167.30957694116614</v>
      </c>
      <c r="AQ17" cm="1">
        <f t="array" ref="AQ17">_xlfn.IFNA(INDEX(Table14[Vigtuð vísitala],MATCH(1,(AQ$2=Table14[Column1])*($X17=Table14[Year]),0)),"")</f>
        <v>137.470158821409</v>
      </c>
      <c r="AR17" cm="1">
        <f t="array" ref="AR17">_xlfn.IFNA(INDEX(Table14[Vigtuð vísitala],MATCH(1,(AR$2=Table14[Column1])*($X17=Table14[Year]),0)),"")</f>
        <v>149.8384060647233</v>
      </c>
      <c r="AS17" t="str" cm="1">
        <f t="array" ref="AS17">_xlfn.IFNA(INDEX(Table14[Vigtuð vísitala],MATCH(1,(AS$2=Table14[Column1])*($X17=Table14[Year]),0)),"")</f>
        <v/>
      </c>
      <c r="AT17" cm="1">
        <f t="array" ref="AT17">_xlfn.IFNA(INDEX(Table14[Vigtuð vísitala],MATCH(1,(AT$2=Table14[Column1])*($X17=Table14[Year]),0)),"")</f>
        <v>117.44915348882866</v>
      </c>
      <c r="AU17" cm="1">
        <f t="array" ref="AU17">_xlfn.IFNA(INDEX(Table14[Vigtuð vísitala],MATCH(1,(AU$2=Table14[Column1])*($X17=Table14[Year]),0)),"")</f>
        <v>158.97273910122291</v>
      </c>
      <c r="AV17" t="str" cm="1">
        <f t="array" ref="AV17">_xlfn.IFNA(INDEX(Table14[Vigtuð vísitala],MATCH(1,(AV$2=Table14[Column1])*($X17=Table14[Year]),0)),"")</f>
        <v/>
      </c>
      <c r="AW17" t="str" cm="1">
        <f t="array" ref="AW17">_xlfn.IFNA(INDEX(Table14[Vigtuð vísitala],MATCH(1,(AW$2=Table14[Column1])*($X17=Table14[Year]),0)),"")</f>
        <v/>
      </c>
      <c r="AX17" t="str" cm="1">
        <f t="array" ref="AX17">_xlfn.IFNA(INDEX(Table14[Vigtuð vísitala],MATCH(1,(AX$2=Table14[Column1])*($X17=Table14[Year]),0)),"")</f>
        <v/>
      </c>
      <c r="AY17" t="str" cm="1">
        <f t="array" ref="AY17">_xlfn.IFNA(INDEX(Table14[Vigtuð vísitala],MATCH(1,(AY$2=Table14[Column1])*($X17=Table14[Year]),0)),"")</f>
        <v/>
      </c>
      <c r="AZ17" t="str" cm="1">
        <f t="array" ref="AZ17">_xlfn.IFNA(INDEX(Table14[Vigtuð vísitala],MATCH(1,(AZ$2=Table14[Column1])*($X17=Table14[Year]),0)),"")</f>
        <v/>
      </c>
      <c r="BA17" t="str" cm="1">
        <f t="array" ref="BA17">_xlfn.IFNA(INDEX(Table14[Vigtuð vísitala],MATCH(1,(BA$2=Table14[Column1])*($X17=Table14[Year]),0)),"")</f>
        <v/>
      </c>
      <c r="BB17" t="str" cm="1">
        <f t="array" ref="BB17">_xlfn.IFNA(INDEX(Table14[Vigtuð vísitala],MATCH(1,(BB$2=Table14[Column1])*($X17=Table14[Year]),0)),"")</f>
        <v/>
      </c>
      <c r="BC17" cm="1">
        <f t="array" ref="BC17">_xlfn.IFNA(INDEX(Table14[Vigtuð vísitala],MATCH(1,(BC$2=Table14[Column1])*($X17=Table14[Year]),0)),"")</f>
        <v>140.06104500168226</v>
      </c>
      <c r="BD17" t="str" cm="1">
        <f t="array" ref="BD17">_xlfn.IFNA(INDEX(Table14[Vigtuð vísitala],MATCH(1,(BD$2=Table14[Column1])*($X17=Table14[Year]),0)),"")</f>
        <v/>
      </c>
      <c r="BE17" t="str" cm="1">
        <f t="array" ref="BE17">_xlfn.IFNA(INDEX(Table14[Vigtuð vísitala],MATCH(1,(BE$2=Table14[Column1])*($X17=Table14[Year]),0)),"")</f>
        <v/>
      </c>
      <c r="BF17" t="str" cm="1">
        <f t="array" ref="BF17">_xlfn.IFNA(INDEX(Table14[Vigtuð vísitala],MATCH(1,(BF$2=Table14[Column1])*($X17=Table14[Year]),0)),"")</f>
        <v/>
      </c>
      <c r="BG17" cm="1">
        <f t="array" ref="BG17">_xlfn.IFNA(INDEX(Table14[Vigtuð vísitala],MATCH(1,(BG$2=Table14[Column1])*($X17=Table14[Year]),0)),"")</f>
        <v>134.54471058315988</v>
      </c>
      <c r="BH17" cm="1">
        <f t="array" ref="BH17">_xlfn.IFNA(INDEX(Table14[Vigtuð vísitala],MATCH(1,(BH$2=Table14[Column1])*($X17=Table14[Year]),0)),"")</f>
        <v>151.80818561841946</v>
      </c>
      <c r="BI17" t="str" cm="1">
        <f t="array" ref="BI17">_xlfn.IFNA(INDEX(Table14[Vigtuð vísitala],MATCH(1,(BI$2=Table14[Column1])*($X17=Table14[Year]),0)),"")</f>
        <v/>
      </c>
      <c r="BJ17" cm="1">
        <f t="array" ref="BJ17">_xlfn.IFNA(INDEX(Table14[Vigtuð vísitala],MATCH(1,(BJ$2=Table14[Column1])*($X17=Table14[Year]),0)),"")</f>
        <v>289.97814119761125</v>
      </c>
      <c r="BK17" t="str" cm="1">
        <f t="array" ref="BK17">_xlfn.IFNA(INDEX(Table14[Vigtuð vísitala],MATCH(1,(BK$2=Table14[Column1])*($X17=Table14[Year]),0)),"")</f>
        <v/>
      </c>
      <c r="BL17" t="str" cm="1">
        <f t="array" ref="BL17">_xlfn.IFNA(INDEX(Table14[Vigtuð vísitala],MATCH(1,(BL$2=Table14[Column1])*($X17=Table14[Year]),0)),"")</f>
        <v/>
      </c>
      <c r="BM17" t="str" cm="1">
        <f t="array" ref="BM17">_xlfn.IFNA(INDEX(Table14[Vigtuð vísitala],MATCH(1,(BM$2=Table14[Column1])*($X17=Table14[Year]),0)),"")</f>
        <v/>
      </c>
      <c r="BN17" t="str" cm="1">
        <f t="array" ref="BN17">_xlfn.IFNA(INDEX(Table14[Vigtuð vísitala],MATCH(1,(BN$2=Table14[Column1])*($X17=Table14[Year]),0)),"")</f>
        <v/>
      </c>
      <c r="BO17" t="str" cm="1">
        <f t="array" ref="BO17">_xlfn.IFNA(INDEX(Table14[Vigtuð vísitala],MATCH(1,(BO$2=Table14[Column1])*($X17=Table14[Year]),0)),"")</f>
        <v/>
      </c>
      <c r="BP17" t="str" cm="1">
        <f t="array" ref="BP17">_xlfn.IFNA(INDEX(Table14[Vigtuð vísitala],MATCH(1,(BP$2=Table14[Column1])*($X17=Table14[Year]),0)),"")</f>
        <v/>
      </c>
      <c r="BQ17" cm="1">
        <f t="array" ref="BQ17">_xlfn.IFNA(INDEX(Table14[Vigtuð vísitala],MATCH(1,(BQ$2=Table14[Column1])*($X17=Table14[Year]),0)),"")</f>
        <v>132.00527739590953</v>
      </c>
      <c r="BR17" cm="1">
        <f t="array" ref="BR17">_xlfn.IFNA(INDEX(Table14[Vigtuð vísitala],MATCH(1,(BR$2=Table14[Column1])*($X17=Table14[Year]),0)),"")</f>
        <v>219.50957874172528</v>
      </c>
      <c r="BS17" t="str" cm="1">
        <f t="array" ref="BS17">_xlfn.IFNA(INDEX(Table14[Vigtuð vísitala],MATCH(1,(BS$2=Table14[Column1])*($X17=Table14[Year]),0)),"")</f>
        <v/>
      </c>
      <c r="BT17" t="str" cm="1">
        <f t="array" ref="BT17">_xlfn.IFNA(INDEX(Table14[Vigtuð vísitala],MATCH(1,(BT$2=Table14[Column1])*($X17=Table14[Year]),0)),"")</f>
        <v/>
      </c>
      <c r="BU17" t="str" cm="1">
        <f t="array" ref="BU17">_xlfn.IFNA(INDEX(Table14[Vigtuð vísitala],MATCH(1,(BU$2=Table14[Column1])*($X17=Table14[Year]),0)),"")</f>
        <v/>
      </c>
      <c r="BV17" cm="1">
        <f t="array" ref="BV17">_xlfn.IFNA(INDEX(Table14[Vigtuð vísitala],MATCH(1,(BV$2=Table14[Column1])*($X17=Table14[Year]),0)),"")</f>
        <v>133.93004057472103</v>
      </c>
      <c r="BW17" t="str" cm="1">
        <f t="array" ref="BW17">_xlfn.IFNA(INDEX(Table14[Vigtuð vísitala],MATCH(1,(BW$2=Table14[Column1])*($X17=Table14[Year]),0)),"")</f>
        <v/>
      </c>
      <c r="BX17" t="str" cm="1">
        <f t="array" ref="BX17">_xlfn.IFNA(INDEX(Table14[Vigtuð vísitala],MATCH(1,(BX$2=Table14[Column1])*($X17=Table14[Year]),0)),"")</f>
        <v/>
      </c>
      <c r="BY17" t="str" cm="1">
        <f t="array" ref="BY17">_xlfn.IFNA(INDEX(Table14[Vigtuð vísitala],MATCH(1,(BY$2=Table14[Column1])*($X17=Table14[Year]),0)),"")</f>
        <v/>
      </c>
      <c r="BZ17" t="str" cm="1">
        <f t="array" ref="BZ17">_xlfn.IFNA(INDEX(Table14[Vigtuð vísitala],MATCH(1,(BZ$2=Table14[Column1])*($X17=Table14[Year]),0)),"")</f>
        <v/>
      </c>
      <c r="CA17" t="str" cm="1">
        <f t="array" ref="CA17">_xlfn.IFNA(INDEX(Table14[Vigtuð vísitala],MATCH(1,(CA$2=Table14[Column1])*($X17=Table14[Year]),0)),"")</f>
        <v/>
      </c>
      <c r="CB17" cm="1">
        <f t="array" ref="CB17">_xlfn.IFNA(INDEX(Table14[Vigtuð vísitala],MATCH(1,(CB$2=Table14[Column1])*($X17=Table14[Year]),0)),"")</f>
        <v>153.40184612375376</v>
      </c>
      <c r="CC17" t="str" cm="1">
        <f t="array" ref="CC17">_xlfn.IFNA(INDEX(Table14[Vigtuð vísitala],MATCH(1,(CC$2=Table14[Column1])*($X17=Table14[Year]),0)),"")</f>
        <v/>
      </c>
      <c r="CD17" t="str" cm="1">
        <f t="array" ref="CD17">_xlfn.IFNA(INDEX(Table14[Vigtuð vísitala],MATCH(1,(CD$2=Table14[Column1])*($X17=Table14[Year]),0)),"")</f>
        <v/>
      </c>
      <c r="CE17" cm="1">
        <f t="array" ref="CE17">_xlfn.IFNA(INDEX(Table14[Vigtuð vísitala],MATCH(1,(CE$2=Table14[Column1])*($X17=Table14[Year]),0)),"")</f>
        <v>188.5517216899901</v>
      </c>
      <c r="CF17" cm="1">
        <f t="array" ref="CF17">_xlfn.IFNA(INDEX(Table14[Vigtuð vísitala],MATCH(1,(CF$2=Table14[Column1])*($X17=Table14[Year]),0)),"")</f>
        <v>241.67662879610347</v>
      </c>
      <c r="CG17" cm="1">
        <f t="array" ref="CG17">_xlfn.IFNA(INDEX(Table14[Vigtuð vísitala],MATCH(1,(CG$2=Table14[Column1])*($X17=Table14[Year]),0)),"")</f>
        <v>150.92940215396337</v>
      </c>
      <c r="CH17" cm="1">
        <f t="array" ref="CH17">_xlfn.IFNA(INDEX(Table14[Vigtuð vísitala],MATCH(1,(CH$2=Table14[Column1])*($X17=Table14[Year]),0)),"")</f>
        <v>168.6762319913791</v>
      </c>
      <c r="CI17" cm="1">
        <f t="array" ref="CI17">_xlfn.IFNA(INDEX(Table14[Vigtuð vísitala],MATCH(1,(CI$2=Table14[Column1])*($X17=Table14[Year]),0)),"")</f>
        <v>175.06871594739368</v>
      </c>
      <c r="CJ17" cm="1">
        <f t="array" ref="CJ17">_xlfn.IFNA(INDEX(Table14[Vigtuð vísitala],MATCH(1,(CJ$2=Table14[Column1])*($X17=Table14[Year]),0)),"")</f>
        <v>96.005778961601749</v>
      </c>
      <c r="CK17" t="str" cm="1">
        <f t="array" ref="CK17">_xlfn.IFNA(INDEX(Table14[Vigtuð vísitala],MATCH(1,(CK$2=Table14[Column1])*($X17=Table14[Year]),0)),"")</f>
        <v/>
      </c>
      <c r="CL17" t="str" cm="1">
        <f t="array" ref="CL17">_xlfn.IFNA(INDEX(Table14[Vigtuð vísitala],MATCH(1,(CL$2=Table14[Column1])*($X17=Table14[Year]),0)),"")</f>
        <v/>
      </c>
      <c r="CM17" t="str" cm="1">
        <f t="array" ref="CM17">_xlfn.IFNA(INDEX(Table14[Vigtuð vísitala],MATCH(1,(CM$2=Table14[Column1])*($X17=Table14[Year]),0)),"")</f>
        <v/>
      </c>
      <c r="CN17" cm="1">
        <f t="array" ref="CN17">_xlfn.IFNA(INDEX(Table14[Vigtuð vísitala],MATCH(1,(CN$2=Table14[Column1])*($X17=Table14[Year]),0)),"")</f>
        <v>120.19708876112088</v>
      </c>
      <c r="CO17" t="str" cm="1">
        <f t="array" ref="CO17">_xlfn.IFNA(INDEX(Table14[Vigtuð vísitala],MATCH(1,(CO$2=Table14[Column1])*($X17=Table14[Year]),0)),"")</f>
        <v/>
      </c>
      <c r="CP17" t="str" cm="1">
        <f t="array" ref="CP17">_xlfn.IFNA(INDEX(Table14[Vigtuð vísitala],MATCH(1,(CP$2=Table14[Column1])*($X17=Table14[Year]),0)),"")</f>
        <v/>
      </c>
      <c r="CQ17" cm="1">
        <f t="array" ref="CQ17">_xlfn.IFNA(INDEX(Table14[Vigtuð vísitala],MATCH(1,(CQ$2=Table14[Column1])*($X17=Table14[Year]),0)),"")</f>
        <v>94.566675579555593</v>
      </c>
      <c r="CR17" cm="1">
        <f t="array" ref="CR17">_xlfn.IFNA(INDEX(Table14[Vigtuð vísitala],MATCH(1,(CR$2=Table14[Column1])*($X17=Table14[Year]),0)),"")</f>
        <v>156.86909464828119</v>
      </c>
      <c r="CS17" cm="1">
        <f t="array" ref="CS17">_xlfn.IFNA(INDEX(Table14[Vigtuð vísitala],MATCH(1,(CS$2=Table14[Column1])*($X17=Table14[Year]),0)),"")</f>
        <v>137.81443596316399</v>
      </c>
      <c r="CT17" cm="1">
        <f t="array" ref="CT17">_xlfn.IFNA(INDEX(Table14[Vigtuð vísitala],MATCH(1,(CT$2=Table14[Column1])*($X17=Table14[Year]),0)),"")</f>
        <v>166.90294230508852</v>
      </c>
      <c r="CU17" t="str" cm="1">
        <f t="array" ref="CU17">_xlfn.IFNA(INDEX(Table14[Vigtuð vísitala],MATCH(1,(CU$2=Table14[Column1])*($X17=Table14[Year]),0)),"")</f>
        <v/>
      </c>
      <c r="CV17" t="str" cm="1">
        <f t="array" ref="CV17">_xlfn.IFNA(INDEX(Table14[Vigtuð vísitala],MATCH(1,(CV$2=Table14[Column1])*($X17=Table14[Year]),0)),"")</f>
        <v/>
      </c>
      <c r="CW17" t="str" cm="1">
        <f t="array" ref="CW17">_xlfn.IFNA(INDEX(Table14[Vigtuð vísitala],MATCH(1,(CW$2=Table14[Column1])*($X17=Table14[Year]),0)),"")</f>
        <v/>
      </c>
      <c r="CX17" t="str" cm="1">
        <f t="array" ref="CX17">_xlfn.IFNA(INDEX(Table14[Vigtuð vísitala],MATCH(1,(CX$2=Table14[Column1])*($X17=Table14[Year]),0)),"")</f>
        <v/>
      </c>
      <c r="CY17" t="str" cm="1">
        <f t="array" ref="CY17">_xlfn.IFNA(INDEX(Table14[Vigtuð vísitala],MATCH(1,(CY$2=Table14[Column1])*($X17=Table14[Year]),0)),"")</f>
        <v/>
      </c>
      <c r="CZ17" cm="1">
        <f t="array" ref="CZ17">_xlfn.IFNA(INDEX(Table14[Vigtuð vísitala],MATCH(1,(CZ$2=Table14[Column1])*($X17=Table14[Year]),0)),"")</f>
        <v>150.65353006570339</v>
      </c>
      <c r="DA17" t="str" cm="1">
        <f t="array" ref="DA17">_xlfn.IFNA(INDEX(Table14[Vigtuð vísitala],MATCH(1,(DA$2=Table14[Column1])*($X17=Table14[Year]),0)),"")</f>
        <v/>
      </c>
      <c r="DB17" t="str" cm="1">
        <f t="array" ref="DB17">_xlfn.IFNA(INDEX(Table14[Vigtuð vísitala],MATCH(1,(DB$2=Table14[Column1])*($X17=Table14[Year]),0)),"")</f>
        <v/>
      </c>
      <c r="DC17" cm="1">
        <f t="array" ref="DC17">_xlfn.IFNA(INDEX(Table14[Vigtuð vísitala],MATCH(1,(DC$2=Table14[Column1])*($X17=Table14[Year]),0)),"")</f>
        <v>175.38301062716633</v>
      </c>
      <c r="DD17" cm="1">
        <f t="array" ref="DD17">_xlfn.IFNA(INDEX(Table14[Vigtuð vísitala],MATCH(1,(DD$2=Table14[Column1])*($X17=Table14[Year]),0)),"")</f>
        <v>153.21796705251754</v>
      </c>
      <c r="DE17" cm="1">
        <f t="array" ref="DE17">_xlfn.IFNA(INDEX(Table14[Vigtuð vísitala],MATCH(1,(DE$2=Table14[Column1])*($X17=Table14[Year]),0)),"")</f>
        <v>171.4076224649113</v>
      </c>
      <c r="DF17" t="str" cm="1">
        <f t="array" ref="DF17">_xlfn.IFNA(INDEX(Table14[Vigtuð vísitala],MATCH(1,(DF$2=Table14[Column1])*($X17=Table14[Year]),0)),"")</f>
        <v/>
      </c>
    </row>
    <row r="18" spans="1:110">
      <c r="A18" t="s">
        <v>54</v>
      </c>
      <c r="B18">
        <v>2019</v>
      </c>
      <c r="C18" s="16">
        <v>0.10400000000000001</v>
      </c>
      <c r="D18" s="1">
        <v>127971866.76000001</v>
      </c>
      <c r="E18" s="29">
        <f>Table14[[#This Row],[Ávöxtun]]*Table14[[#This Row],[Eignir]]/SUMIFS(Table14[Eignir],Table14[Year],Table14[[#This Row],[Year]])</f>
        <v>3.0064236889993483E-3</v>
      </c>
      <c r="F18" s="23" t="e">
        <f>IF(B18=1997, 100, IF(COUNTIF(A$1:A17,A18)=0, "NEW", F17*(1+Table14[[#This Row],[Ávöxtun]])))</f>
        <v>#VALUE!</v>
      </c>
      <c r="G18" s="18" t="str" cm="1">
        <f t="array" ref="G18">IFERROR(_xlfn.IFS(ISNUMBER(Table14[[#This Row],[Column3]]),Table14[[#This Row],[Column3]],Table14[[#This Row],[Column3]]="NEW",Table14[[#This Row],[Column3]]),"")</f>
        <v/>
      </c>
      <c r="H18" s="15" cm="1">
        <f t="array" ref="H18">_xlfn.IFS(Table14[[#This Row],[Column4]]="NEW",AVERAGEIFS(Table14[Column4],Table14[Year],Table14[[#This Row],[Year]]),ISNUMBER(Table14[[#This Row],[Column4]]),Table14[[#This Row],[Column4]],Table14[[#This Row],[Column4]]="",H17*(1+Table14[[#This Row],[Ávöxtun]]))</f>
        <v>173.3887789936569</v>
      </c>
      <c r="I18" cm="1">
        <f t="array" ref="I18">_xlfn.IFS(Table14[[#This Row],[Column4]]="NEW",_xlfn.XLOOKUP(Table14[[#This Row],[Year]],$M$2:$M$27,$O$2:$O$27),ISNUMBER(Table14[[#This Row],[Column4]]),Table14[[#This Row],[Column4]],Table14[[#This Row],[Column4]]="",I17*(1+Table14[[#This Row],[Ávöxtun]]))</f>
        <v>183.10703830628881</v>
      </c>
      <c r="K18" s="25"/>
      <c r="L18" s="33">
        <v>183.10703830628881</v>
      </c>
      <c r="M18">
        <v>2012</v>
      </c>
      <c r="N18" s="27">
        <f>SUMIFS(Table14[Column2],Table14[Year],M18)</f>
        <v>9.5533906610380512E-2</v>
      </c>
      <c r="O18">
        <f t="shared" si="0"/>
        <v>174.5576659960002</v>
      </c>
      <c r="P18" s="26" cm="1">
        <f t="array" ref="P18">_xlfn.QUARTILE.EXC(IF($B$2:$B$939 = M18, $I$2:$I$939), 3)</f>
        <v>177.65076305559847</v>
      </c>
      <c r="Q18" s="26" cm="1">
        <f t="array" ref="Q18">_xlfn.QUARTILE.EXC(IF($B$2:$B$939 = M18, $I$2:$I$939), 1)</f>
        <v>136.53219311404001</v>
      </c>
      <c r="R18" s="26" cm="1">
        <f t="array" ref="R18">_xlfn.QUARTILE.EXC(IF($B$2:$B$939 = M18, $I$2:$I$939), 2)</f>
        <v>160.68274679963258</v>
      </c>
      <c r="S18" s="17" cm="1">
        <f t="array" ref="S18">_xlfn.QUARTILE.EXC(IF($B$2:$B$939 = M18, $C$2:$C$939), 3)</f>
        <v>7.9749999999999988E-2</v>
      </c>
      <c r="T18" s="17" cm="1">
        <f t="array" ref="T18">_xlfn.QUARTILE.EXC(IF($B$2:$B$939 = M18, $C$2:$C$939), 1)</f>
        <v>3.5500000000000004E-2</v>
      </c>
      <c r="U18" s="17" cm="1">
        <f t="array" ref="U18">_xlfn.QUARTILE.EXC(IF($B$2:$B$939 = M18, $C$2:$C$939), 2)</f>
        <v>5.9499999999999997E-2</v>
      </c>
      <c r="X18">
        <v>2012</v>
      </c>
      <c r="Y18">
        <f t="shared" si="1"/>
        <v>174.5576659960002</v>
      </c>
      <c r="Z18" cm="1">
        <f t="array" ref="Z18">_xlfn.IFNA(INDEX(Table14[Vigtuð vísitala],MATCH(1,(Z$2=Table14[Column1])*($X18=Table14[Year]),0)),"")</f>
        <v>128.41793785542782</v>
      </c>
      <c r="AB18" t="str" cm="1">
        <f t="array" ref="AB18">_xlfn.IFNA(INDEX(Table14[Vigtuð vísitala],MATCH(1,(AB$2=Table14[Column1])*($X18=Table14[Year]),0)),"")</f>
        <v/>
      </c>
      <c r="AC18" t="str" cm="1">
        <f t="array" ref="AC18">_xlfn.IFNA(INDEX(Table14[Vigtuð vísitala],MATCH(1,(AC$2=Table14[Column1])*($X18=Table14[Year]),0)),"")</f>
        <v/>
      </c>
      <c r="AD18" t="str" cm="1">
        <f t="array" ref="AD18">_xlfn.IFNA(INDEX(Table14[Vigtuð vísitala],MATCH(1,(AD$2=Table14[Column1])*($X18=Table14[Year]),0)),"")</f>
        <v/>
      </c>
      <c r="AE18" t="str" cm="1">
        <f t="array" ref="AE18">_xlfn.IFNA(INDEX(Table14[Vigtuð vísitala],MATCH(1,(AE$2=Table14[Column1])*($X18=Table14[Year]),0)),"")</f>
        <v/>
      </c>
      <c r="AF18" t="str" cm="1">
        <f t="array" ref="AF18">_xlfn.IFNA(INDEX(Table14[Vigtuð vísitala],MATCH(1,(AF$2=Table14[Column1])*($X18=Table14[Year]),0)),"")</f>
        <v/>
      </c>
      <c r="AG18" t="str" cm="1">
        <f t="array" ref="AG18">_xlfn.IFNA(INDEX(Table14[Vigtuð vísitala],MATCH(1,(AG$2=Table14[Column1])*($X18=Table14[Year]),0)),"")</f>
        <v/>
      </c>
      <c r="AH18" t="str" cm="1">
        <f t="array" ref="AH18">_xlfn.IFNA(INDEX(Table14[Vigtuð vísitala],MATCH(1,(AH$2=Table14[Column1])*($X18=Table14[Year]),0)),"")</f>
        <v/>
      </c>
      <c r="AI18" t="str" cm="1">
        <f t="array" ref="AI18">_xlfn.IFNA(INDEX(Table14[Vigtuð vísitala],MATCH(1,(AI$2=Table14[Column1])*($X18=Table14[Year]),0)),"")</f>
        <v/>
      </c>
      <c r="AJ18" cm="1">
        <f t="array" ref="AJ18">_xlfn.IFNA(INDEX(Table14[Vigtuð vísitala],MATCH(1,(AJ$2=Table14[Column1])*($X18=Table14[Year]),0)),"")</f>
        <v>105.22501405345173</v>
      </c>
      <c r="AK18" t="str" cm="1">
        <f t="array" ref="AK18">_xlfn.IFNA(INDEX(Table14[Vigtuð vísitala],MATCH(1,(AK$2=Table14[Column1])*($X18=Table14[Year]),0)),"")</f>
        <v/>
      </c>
      <c r="AL18" cm="1">
        <f t="array" ref="AL18">_xlfn.IFNA(INDEX(Table14[Vigtuð vísitala],MATCH(1,(AL$2=Table14[Column1])*($X18=Table14[Year]),0)),"")</f>
        <v>142.20819629417505</v>
      </c>
      <c r="AM18" cm="1">
        <f t="array" ref="AM18">_xlfn.IFNA(INDEX(Table14[Vigtuð vísitala],MATCH(1,(AM$2=Table14[Column1])*($X18=Table14[Year]),0)),"")</f>
        <v>172.26143801713769</v>
      </c>
      <c r="AN18" t="str" cm="1">
        <f t="array" ref="AN18">_xlfn.IFNA(INDEX(Table14[Vigtuð vísitala],MATCH(1,(AN$2=Table14[Column1])*($X18=Table14[Year]),0)),"")</f>
        <v/>
      </c>
      <c r="AO18" cm="1">
        <f t="array" ref="AO18">_xlfn.IFNA(INDEX(Table14[Vigtuð vísitala],MATCH(1,(AO$2=Table14[Column1])*($X18=Table14[Year]),0)),"")</f>
        <v>19.320813074787026</v>
      </c>
      <c r="AP18" cm="1">
        <f t="array" ref="AP18">_xlfn.IFNA(INDEX(Table14[Vigtuð vísitala],MATCH(1,(AP$2=Table14[Column1])*($X18=Table14[Year]),0)),"")</f>
        <v>177.34815155763613</v>
      </c>
      <c r="AQ18" cm="1">
        <f t="array" ref="AQ18">_xlfn.IFNA(INDEX(Table14[Vigtuð vísitala],MATCH(1,(AQ$2=Table14[Column1])*($X18=Table14[Year]),0)),"")</f>
        <v>145.30595787422931</v>
      </c>
      <c r="AR18" cm="1">
        <f t="array" ref="AR18">_xlfn.IFNA(INDEX(Table14[Vigtuð vísitala],MATCH(1,(AR$2=Table14[Column1])*($X18=Table14[Year]),0)),"")</f>
        <v>160.7766097074481</v>
      </c>
      <c r="AS18" t="str" cm="1">
        <f t="array" ref="AS18">_xlfn.IFNA(INDEX(Table14[Vigtuð vísitala],MATCH(1,(AS$2=Table14[Column1])*($X18=Table14[Year]),0)),"")</f>
        <v/>
      </c>
      <c r="AT18" cm="1">
        <f t="array" ref="AT18">_xlfn.IFNA(INDEX(Table14[Vigtuð vísitala],MATCH(1,(AT$2=Table14[Column1])*($X18=Table14[Year]),0)),"")</f>
        <v>121.20752640047118</v>
      </c>
      <c r="AU18" t="str" cm="1">
        <f t="array" ref="AU18">_xlfn.IFNA(INDEX(Table14[Vigtuð vísitala],MATCH(1,(AU$2=Table14[Column1])*($X18=Table14[Year]),0)),"")</f>
        <v/>
      </c>
      <c r="AV18" t="str" cm="1">
        <f t="array" ref="AV18">_xlfn.IFNA(INDEX(Table14[Vigtuð vísitala],MATCH(1,(AV$2=Table14[Column1])*($X18=Table14[Year]),0)),"")</f>
        <v/>
      </c>
      <c r="AW18" t="str" cm="1">
        <f t="array" ref="AW18">_xlfn.IFNA(INDEX(Table14[Vigtuð vísitala],MATCH(1,(AW$2=Table14[Column1])*($X18=Table14[Year]),0)),"")</f>
        <v/>
      </c>
      <c r="AX18" t="str" cm="1">
        <f t="array" ref="AX18">_xlfn.IFNA(INDEX(Table14[Vigtuð vísitala],MATCH(1,(AX$2=Table14[Column1])*($X18=Table14[Year]),0)),"")</f>
        <v/>
      </c>
      <c r="AY18" t="str" cm="1">
        <f t="array" ref="AY18">_xlfn.IFNA(INDEX(Table14[Vigtuð vísitala],MATCH(1,(AY$2=Table14[Column1])*($X18=Table14[Year]),0)),"")</f>
        <v/>
      </c>
      <c r="AZ18" t="str" cm="1">
        <f t="array" ref="AZ18">_xlfn.IFNA(INDEX(Table14[Vigtuð vísitala],MATCH(1,(AZ$2=Table14[Column1])*($X18=Table14[Year]),0)),"")</f>
        <v/>
      </c>
      <c r="BA18" t="str" cm="1">
        <f t="array" ref="BA18">_xlfn.IFNA(INDEX(Table14[Vigtuð vísitala],MATCH(1,(BA$2=Table14[Column1])*($X18=Table14[Year]),0)),"")</f>
        <v/>
      </c>
      <c r="BB18" t="str" cm="1">
        <f t="array" ref="BB18">_xlfn.IFNA(INDEX(Table14[Vigtuð vísitala],MATCH(1,(BB$2=Table14[Column1])*($X18=Table14[Year]),0)),"")</f>
        <v/>
      </c>
      <c r="BC18" cm="1">
        <f t="array" ref="BC18">_xlfn.IFNA(INDEX(Table14[Vigtuð vísitala],MATCH(1,(BC$2=Table14[Column1])*($X18=Table14[Year]),0)),"")</f>
        <v>144.40293739673439</v>
      </c>
      <c r="BD18" t="str" cm="1">
        <f t="array" ref="BD18">_xlfn.IFNA(INDEX(Table14[Vigtuð vísitala],MATCH(1,(BD$2=Table14[Column1])*($X18=Table14[Year]),0)),"")</f>
        <v/>
      </c>
      <c r="BE18" t="str" cm="1">
        <f t="array" ref="BE18">_xlfn.IFNA(INDEX(Table14[Vigtuð vísitala],MATCH(1,(BE$2=Table14[Column1])*($X18=Table14[Year]),0)),"")</f>
        <v/>
      </c>
      <c r="BF18" t="str" cm="1">
        <f t="array" ref="BF18">_xlfn.IFNA(INDEX(Table14[Vigtuð vísitala],MATCH(1,(BF$2=Table14[Column1])*($X18=Table14[Year]),0)),"")</f>
        <v/>
      </c>
      <c r="BG18" cm="1">
        <f t="array" ref="BG18">_xlfn.IFNA(INDEX(Table14[Vigtuð vísitala],MATCH(1,(BG$2=Table14[Column1])*($X18=Table14[Year]),0)),"")</f>
        <v>135.62106826782517</v>
      </c>
      <c r="BH18" cm="1">
        <f t="array" ref="BH18">_xlfn.IFNA(INDEX(Table14[Vigtuð vísitala],MATCH(1,(BH$2=Table14[Column1])*($X18=Table14[Year]),0)),"")</f>
        <v>152.71903473212998</v>
      </c>
      <c r="BI18" t="str" cm="1">
        <f t="array" ref="BI18">_xlfn.IFNA(INDEX(Table14[Vigtuð vísitala],MATCH(1,(BI$2=Table14[Column1])*($X18=Table14[Year]),0)),"")</f>
        <v/>
      </c>
      <c r="BJ18" cm="1">
        <f t="array" ref="BJ18">_xlfn.IFNA(INDEX(Table14[Vigtuð vísitala],MATCH(1,(BJ$2=Table14[Column1])*($X18=Table14[Year]),0)),"")</f>
        <v>272.57945272575455</v>
      </c>
      <c r="BK18" t="str" cm="1">
        <f t="array" ref="BK18">_xlfn.IFNA(INDEX(Table14[Vigtuð vísitala],MATCH(1,(BK$2=Table14[Column1])*($X18=Table14[Year]),0)),"")</f>
        <v/>
      </c>
      <c r="BL18" t="str" cm="1">
        <f t="array" ref="BL18">_xlfn.IFNA(INDEX(Table14[Vigtuð vísitala],MATCH(1,(BL$2=Table14[Column1])*($X18=Table14[Year]),0)),"")</f>
        <v/>
      </c>
      <c r="BM18" t="str" cm="1">
        <f t="array" ref="BM18">_xlfn.IFNA(INDEX(Table14[Vigtuð vísitala],MATCH(1,(BM$2=Table14[Column1])*($X18=Table14[Year]),0)),"")</f>
        <v/>
      </c>
      <c r="BN18" t="str" cm="1">
        <f t="array" ref="BN18">_xlfn.IFNA(INDEX(Table14[Vigtuð vísitala],MATCH(1,(BN$2=Table14[Column1])*($X18=Table14[Year]),0)),"")</f>
        <v/>
      </c>
      <c r="BO18" t="str" cm="1">
        <f t="array" ref="BO18">_xlfn.IFNA(INDEX(Table14[Vigtuð vísitala],MATCH(1,(BO$2=Table14[Column1])*($X18=Table14[Year]),0)),"")</f>
        <v/>
      </c>
      <c r="BP18" t="str" cm="1">
        <f t="array" ref="BP18">_xlfn.IFNA(INDEX(Table14[Vigtuð vísitala],MATCH(1,(BP$2=Table14[Column1])*($X18=Table14[Year]),0)),"")</f>
        <v/>
      </c>
      <c r="BQ18" cm="1">
        <f t="array" ref="BQ18">_xlfn.IFNA(INDEX(Table14[Vigtuð vísitala],MATCH(1,(BQ$2=Table14[Column1])*($X18=Table14[Year]),0)),"")</f>
        <v>139.26556765268455</v>
      </c>
      <c r="BR18" cm="1">
        <f t="array" ref="BR18">_xlfn.IFNA(INDEX(Table14[Vigtuð vísitala],MATCH(1,(BR$2=Table14[Column1])*($X18=Table14[Year]),0)),"")</f>
        <v>242.99710366708987</v>
      </c>
      <c r="BS18" t="str" cm="1">
        <f t="array" ref="BS18">_xlfn.IFNA(INDEX(Table14[Vigtuð vísitala],MATCH(1,(BS$2=Table14[Column1])*($X18=Table14[Year]),0)),"")</f>
        <v/>
      </c>
      <c r="BT18" t="str" cm="1">
        <f t="array" ref="BT18">_xlfn.IFNA(INDEX(Table14[Vigtuð vísitala],MATCH(1,(BT$2=Table14[Column1])*($X18=Table14[Year]),0)),"")</f>
        <v/>
      </c>
      <c r="BU18" t="str" cm="1">
        <f t="array" ref="BU18">_xlfn.IFNA(INDEX(Table14[Vigtuð vísitala],MATCH(1,(BU$2=Table14[Column1])*($X18=Table14[Year]),0)),"")</f>
        <v/>
      </c>
      <c r="BV18" cm="1">
        <f t="array" ref="BV18">_xlfn.IFNA(INDEX(Table14[Vigtuð vísitala],MATCH(1,(BV$2=Table14[Column1])*($X18=Table14[Year]),0)),"")</f>
        <v>146.78732446989426</v>
      </c>
      <c r="BW18" t="str" cm="1">
        <f t="array" ref="BW18">_xlfn.IFNA(INDEX(Table14[Vigtuð vísitala],MATCH(1,(BW$2=Table14[Column1])*($X18=Table14[Year]),0)),"")</f>
        <v/>
      </c>
      <c r="BX18" t="str" cm="1">
        <f t="array" ref="BX18">_xlfn.IFNA(INDEX(Table14[Vigtuð vísitala],MATCH(1,(BX$2=Table14[Column1])*($X18=Table14[Year]),0)),"")</f>
        <v/>
      </c>
      <c r="BY18" t="str" cm="1">
        <f t="array" ref="BY18">_xlfn.IFNA(INDEX(Table14[Vigtuð vísitala],MATCH(1,(BY$2=Table14[Column1])*($X18=Table14[Year]),0)),"")</f>
        <v/>
      </c>
      <c r="BZ18" t="str" cm="1">
        <f t="array" ref="BZ18">_xlfn.IFNA(INDEX(Table14[Vigtuð vísitala],MATCH(1,(BZ$2=Table14[Column1])*($X18=Table14[Year]),0)),"")</f>
        <v/>
      </c>
      <c r="CA18" t="str" cm="1">
        <f t="array" ref="CA18">_xlfn.IFNA(INDEX(Table14[Vigtuð vísitala],MATCH(1,(CA$2=Table14[Column1])*($X18=Table14[Year]),0)),"")</f>
        <v/>
      </c>
      <c r="CB18" cm="1">
        <f t="array" ref="CB18">_xlfn.IFNA(INDEX(Table14[Vigtuð vísitala],MATCH(1,(CB$2=Table14[Column1])*($X18=Table14[Year]),0)),"")</f>
        <v>161.53214396831271</v>
      </c>
      <c r="CC18" t="str" cm="1">
        <f t="array" ref="CC18">_xlfn.IFNA(INDEX(Table14[Vigtuð vísitala],MATCH(1,(CC$2=Table14[Column1])*($X18=Table14[Year]),0)),"")</f>
        <v/>
      </c>
      <c r="CD18" t="str" cm="1">
        <f t="array" ref="CD18">_xlfn.IFNA(INDEX(Table14[Vigtuð vísitala],MATCH(1,(CD$2=Table14[Column1])*($X18=Table14[Year]),0)),"")</f>
        <v/>
      </c>
      <c r="CE18" cm="1">
        <f t="array" ref="CE18">_xlfn.IFNA(INDEX(Table14[Vigtuð vísitala],MATCH(1,(CE$2=Table14[Column1])*($X18=Table14[Year]),0)),"")</f>
        <v>194.2082733406898</v>
      </c>
      <c r="CF18" cm="1">
        <f t="array" ref="CF18">_xlfn.IFNA(INDEX(Table14[Vigtuð vísitala],MATCH(1,(CF$2=Table14[Column1])*($X18=Table14[Year]),0)),"")</f>
        <v>255.93554989507356</v>
      </c>
      <c r="CG18" cm="1">
        <f t="array" ref="CG18">_xlfn.IFNA(INDEX(Table14[Vigtuð vísitala],MATCH(1,(CG$2=Table14[Column1])*($X18=Table14[Year]),0)),"")</f>
        <v>160.58888389181703</v>
      </c>
      <c r="CH18" cm="1">
        <f t="array" ref="CH18">_xlfn.IFNA(INDEX(Table14[Vigtuð vísitala],MATCH(1,(CH$2=Table14[Column1])*($X18=Table14[Year]),0)),"")</f>
        <v>174.41122387908598</v>
      </c>
      <c r="CI18" cm="1">
        <f t="array" ref="CI18">_xlfn.IFNA(INDEX(Table14[Vigtuð vísitala],MATCH(1,(CI$2=Table14[Column1])*($X18=Table14[Year]),0)),"")</f>
        <v>207.45642839766151</v>
      </c>
      <c r="CJ18" cm="1">
        <f t="array" ref="CJ18">_xlfn.IFNA(INDEX(Table14[Vigtuð vísitala],MATCH(1,(CJ$2=Table14[Column1])*($X18=Table14[Year]),0)),"")</f>
        <v>103.8782528364531</v>
      </c>
      <c r="CK18" t="str" cm="1">
        <f t="array" ref="CK18">_xlfn.IFNA(INDEX(Table14[Vigtuð vísitala],MATCH(1,(CK$2=Table14[Column1])*($X18=Table14[Year]),0)),"")</f>
        <v/>
      </c>
      <c r="CL18" t="str" cm="1">
        <f t="array" ref="CL18">_xlfn.IFNA(INDEX(Table14[Vigtuð vísitala],MATCH(1,(CL$2=Table14[Column1])*($X18=Table14[Year]),0)),"")</f>
        <v/>
      </c>
      <c r="CM18" t="str" cm="1">
        <f t="array" ref="CM18">_xlfn.IFNA(INDEX(Table14[Vigtuð vísitala],MATCH(1,(CM$2=Table14[Column1])*($X18=Table14[Year]),0)),"")</f>
        <v/>
      </c>
      <c r="CN18" cm="1">
        <f t="array" ref="CN18">_xlfn.IFNA(INDEX(Table14[Vigtuð vísitala],MATCH(1,(CN$2=Table14[Column1])*($X18=Table14[Year]),0)),"")</f>
        <v>125.00497231156572</v>
      </c>
      <c r="CO18" t="str" cm="1">
        <f t="array" ref="CO18">_xlfn.IFNA(INDEX(Table14[Vigtuð vísitala],MATCH(1,(CO$2=Table14[Column1])*($X18=Table14[Year]),0)),"")</f>
        <v/>
      </c>
      <c r="CP18" t="str" cm="1">
        <f t="array" ref="CP18">_xlfn.IFNA(INDEX(Table14[Vigtuð vísitala],MATCH(1,(CP$2=Table14[Column1])*($X18=Table14[Year]),0)),"")</f>
        <v/>
      </c>
      <c r="CQ18" cm="1">
        <f t="array" ref="CQ18">_xlfn.IFNA(INDEX(Table14[Vigtuð vísitala],MATCH(1,(CQ$2=Table14[Column1])*($X18=Table14[Year]),0)),"")</f>
        <v>99.767842736431149</v>
      </c>
      <c r="CR18" cm="1">
        <f t="array" ref="CR18">_xlfn.IFNA(INDEX(Table14[Vigtuð vísitala],MATCH(1,(CR$2=Table14[Column1])*($X18=Table14[Year]),0)),"")</f>
        <v>170.20296769338509</v>
      </c>
      <c r="CS18" cm="1">
        <f t="array" ref="CS18">_xlfn.IFNA(INDEX(Table14[Vigtuð vísitala],MATCH(1,(CS$2=Table14[Column1])*($X18=Table14[Year]),0)),"")</f>
        <v>147.18581760865914</v>
      </c>
      <c r="CT18" cm="1">
        <f t="array" ref="CT18">_xlfn.IFNA(INDEX(Table14[Vigtuð vísitala],MATCH(1,(CT$2=Table14[Column1])*($X18=Table14[Year]),0)),"")</f>
        <v>177.75163355491927</v>
      </c>
      <c r="CU18" t="str" cm="1">
        <f t="array" ref="CU18">_xlfn.IFNA(INDEX(Table14[Vigtuð vísitala],MATCH(1,(CU$2=Table14[Column1])*($X18=Table14[Year]),0)),"")</f>
        <v/>
      </c>
      <c r="CV18" t="str" cm="1">
        <f t="array" ref="CV18">_xlfn.IFNA(INDEX(Table14[Vigtuð vísitala],MATCH(1,(CV$2=Table14[Column1])*($X18=Table14[Year]),0)),"")</f>
        <v/>
      </c>
      <c r="CW18" t="str" cm="1">
        <f t="array" ref="CW18">_xlfn.IFNA(INDEX(Table14[Vigtuð vísitala],MATCH(1,(CW$2=Table14[Column1])*($X18=Table14[Year]),0)),"")</f>
        <v/>
      </c>
      <c r="CX18" t="str" cm="1">
        <f t="array" ref="CX18">_xlfn.IFNA(INDEX(Table14[Vigtuð vísitala],MATCH(1,(CX$2=Table14[Column1])*($X18=Table14[Year]),0)),"")</f>
        <v/>
      </c>
      <c r="CY18" t="str" cm="1">
        <f t="array" ref="CY18">_xlfn.IFNA(INDEX(Table14[Vigtuð vísitala],MATCH(1,(CY$2=Table14[Column1])*($X18=Table14[Year]),0)),"")</f>
        <v/>
      </c>
      <c r="CZ18" cm="1">
        <f t="array" ref="CZ18">_xlfn.IFNA(INDEX(Table14[Vigtuð vísitala],MATCH(1,(CZ$2=Table14[Column1])*($X18=Table14[Year]),0)),"")</f>
        <v>163.60973365135391</v>
      </c>
      <c r="DA18" t="str" cm="1">
        <f t="array" ref="DA18">_xlfn.IFNA(INDEX(Table14[Vigtuð vísitala],MATCH(1,(DA$2=Table14[Column1])*($X18=Table14[Year]),0)),"")</f>
        <v/>
      </c>
      <c r="DB18" t="str" cm="1">
        <f t="array" ref="DB18">_xlfn.IFNA(INDEX(Table14[Vigtuð vísitala],MATCH(1,(DB$2=Table14[Column1])*($X18=Table14[Year]),0)),"")</f>
        <v/>
      </c>
      <c r="DC18" cm="1">
        <f t="array" ref="DC18">_xlfn.IFNA(INDEX(Table14[Vigtuð vísitala],MATCH(1,(DC$2=Table14[Column1])*($X18=Table14[Year]),0)),"")</f>
        <v>188.18597040294947</v>
      </c>
      <c r="DD18" cm="1">
        <f t="array" ref="DD18">_xlfn.IFNA(INDEX(Table14[Vigtuð vísitala],MATCH(1,(DD$2=Table14[Column1])*($X18=Table14[Year]),0)),"")</f>
        <v>162.4110450756686</v>
      </c>
      <c r="DE18" cm="1">
        <f t="array" ref="DE18">_xlfn.IFNA(INDEX(Table14[Vigtuð vísitala],MATCH(1,(DE$2=Table14[Column1])*($X18=Table14[Year]),0)),"")</f>
        <v>180.49222645555159</v>
      </c>
      <c r="DF18" t="str" cm="1">
        <f t="array" ref="DF18">_xlfn.IFNA(INDEX(Table14[Vigtuð vísitala],MATCH(1,(DF$2=Table14[Column1])*($X18=Table14[Year]),0)),"")</f>
        <v/>
      </c>
    </row>
    <row r="19" spans="1:110">
      <c r="A19" t="s">
        <v>54</v>
      </c>
      <c r="B19">
        <v>2020</v>
      </c>
      <c r="C19" s="16">
        <v>8.199999999999999E-2</v>
      </c>
      <c r="D19" s="1">
        <v>147342690.66999999</v>
      </c>
      <c r="E19" s="29">
        <f>Table14[[#This Row],[Ávöxtun]]*Table14[[#This Row],[Eignir]]/SUMIFS(Table14[Eignir],Table14[Year],Table14[[#This Row],[Year]])</f>
        <v>2.3521529047223879E-3</v>
      </c>
      <c r="F19" s="23" t="e">
        <f>IF(B19=1997, 100, IF(COUNTIF(A$1:A18,A19)=0, "NEW", F18*(1+Table14[[#This Row],[Ávöxtun]])))</f>
        <v>#VALUE!</v>
      </c>
      <c r="G19" s="18" t="str" cm="1">
        <f t="array" ref="G19">IFERROR(_xlfn.IFS(ISNUMBER(Table14[[#This Row],[Column3]]),Table14[[#This Row],[Column3]],Table14[[#This Row],[Column3]]="NEW",Table14[[#This Row],[Column3]]),"")</f>
        <v/>
      </c>
      <c r="H19" s="15" cm="1">
        <f t="array" ref="H19">_xlfn.IFS(Table14[[#This Row],[Column4]]="NEW",AVERAGEIFS(Table14[Column4],Table14[Year],Table14[[#This Row],[Year]]),ISNUMBER(Table14[[#This Row],[Column4]]),Table14[[#This Row],[Column4]],Table14[[#This Row],[Column4]]="",H18*(1+Table14[[#This Row],[Ávöxtun]]))</f>
        <v>187.60665887113677</v>
      </c>
      <c r="I19" cm="1">
        <f t="array" ref="I19">_xlfn.IFS(Table14[[#This Row],[Column4]]="NEW",_xlfn.XLOOKUP(Table14[[#This Row],[Year]],$M$2:$M$27,$O$2:$O$27),ISNUMBER(Table14[[#This Row],[Column4]]),Table14[[#This Row],[Column4]],Table14[[#This Row],[Column4]]="",I18*(1+Table14[[#This Row],[Ávöxtun]]))</f>
        <v>198.12181544740451</v>
      </c>
      <c r="K19" s="25"/>
      <c r="L19" s="33">
        <v>198.12181544740451</v>
      </c>
      <c r="M19">
        <v>2013</v>
      </c>
      <c r="N19" s="27">
        <f>SUMIFS(Table14[Column2],Table14[Year],M19)</f>
        <v>7.2897100202312173E-2</v>
      </c>
      <c r="O19">
        <f t="shared" si="0"/>
        <v>187.28241366519237</v>
      </c>
      <c r="P19" s="26" cm="1">
        <f t="array" ref="P19">_xlfn.QUARTILE.EXC(IF($B$2:$B$939 = M19, $I$2:$I$939), 3)</f>
        <v>185.90699324921815</v>
      </c>
      <c r="Q19" s="26" cm="1">
        <f t="array" ref="Q19">_xlfn.QUARTILE.EXC(IF($B$2:$B$939 = M19, $I$2:$I$939), 1)</f>
        <v>147.0644394412349</v>
      </c>
      <c r="R19" s="26" cm="1">
        <f t="array" ref="R19">_xlfn.QUARTILE.EXC(IF($B$2:$B$939 = M19, $I$2:$I$939), 2)</f>
        <v>170.36918628437635</v>
      </c>
      <c r="S19" s="17" cm="1">
        <f t="array" ref="S19">_xlfn.QUARTILE.EXC(IF($B$2:$B$939 = M19, $C$2:$C$939), 3)</f>
        <v>7.2000000000000008E-2</v>
      </c>
      <c r="T19" s="17" cm="1">
        <f t="array" ref="T19">_xlfn.QUARTILE.EXC(IF($B$2:$B$939 = M19, $C$2:$C$939), 1)</f>
        <v>4.5999999999999999E-2</v>
      </c>
      <c r="U19" s="17" cm="1">
        <f t="array" ref="U19">_xlfn.QUARTILE.EXC(IF($B$2:$B$939 = M19, $C$2:$C$939), 2)</f>
        <v>5.7000000000000002E-2</v>
      </c>
      <c r="X19">
        <v>2013</v>
      </c>
      <c r="Y19">
        <f t="shared" si="1"/>
        <v>187.28241366519237</v>
      </c>
      <c r="Z19" cm="1">
        <f t="array" ref="Z19">_xlfn.IFNA(INDEX(Table14[Vigtuð vísitala],MATCH(1,(Z$2=Table14[Column1])*($X19=Table14[Year]),0)),"")</f>
        <v>133.16940155607864</v>
      </c>
      <c r="AB19" t="str" cm="1">
        <f t="array" ref="AB19">_xlfn.IFNA(INDEX(Table14[Vigtuð vísitala],MATCH(1,(AB$2=Table14[Column1])*($X19=Table14[Year]),0)),"")</f>
        <v/>
      </c>
      <c r="AC19" t="str" cm="1">
        <f t="array" ref="AC19">_xlfn.IFNA(INDEX(Table14[Vigtuð vísitala],MATCH(1,(AC$2=Table14[Column1])*($X19=Table14[Year]),0)),"")</f>
        <v/>
      </c>
      <c r="AD19" t="str" cm="1">
        <f t="array" ref="AD19">_xlfn.IFNA(INDEX(Table14[Vigtuð vísitala],MATCH(1,(AD$2=Table14[Column1])*($X19=Table14[Year]),0)),"")</f>
        <v/>
      </c>
      <c r="AE19" t="str" cm="1">
        <f t="array" ref="AE19">_xlfn.IFNA(INDEX(Table14[Vigtuð vísitala],MATCH(1,(AE$2=Table14[Column1])*($X19=Table14[Year]),0)),"")</f>
        <v/>
      </c>
      <c r="AF19" t="str" cm="1">
        <f t="array" ref="AF19">_xlfn.IFNA(INDEX(Table14[Vigtuð vísitala],MATCH(1,(AF$2=Table14[Column1])*($X19=Table14[Year]),0)),"")</f>
        <v/>
      </c>
      <c r="AG19" t="str" cm="1">
        <f t="array" ref="AG19">_xlfn.IFNA(INDEX(Table14[Vigtuð vísitala],MATCH(1,(AG$2=Table14[Column1])*($X19=Table14[Year]),0)),"")</f>
        <v/>
      </c>
      <c r="AH19" t="str" cm="1">
        <f t="array" ref="AH19">_xlfn.IFNA(INDEX(Table14[Vigtuð vísitala],MATCH(1,(AH$2=Table14[Column1])*($X19=Table14[Year]),0)),"")</f>
        <v/>
      </c>
      <c r="AI19" t="str" cm="1">
        <f t="array" ref="AI19">_xlfn.IFNA(INDEX(Table14[Vigtuð vísitala],MATCH(1,(AI$2=Table14[Column1])*($X19=Table14[Year]),0)),"")</f>
        <v/>
      </c>
      <c r="AJ19" t="str" cm="1">
        <f t="array" ref="AJ19">_xlfn.IFNA(INDEX(Table14[Vigtuð vísitala],MATCH(1,(AJ$2=Table14[Column1])*($X19=Table14[Year]),0)),"")</f>
        <v/>
      </c>
      <c r="AK19" t="str" cm="1">
        <f t="array" ref="AK19">_xlfn.IFNA(INDEX(Table14[Vigtuð vísitala],MATCH(1,(AK$2=Table14[Column1])*($X19=Table14[Year]),0)),"")</f>
        <v/>
      </c>
      <c r="AL19" cm="1">
        <f t="array" ref="AL19">_xlfn.IFNA(INDEX(Table14[Vigtuð vísitala],MATCH(1,(AL$2=Table14[Column1])*($X19=Table14[Year]),0)),"")</f>
        <v>155.86018313841586</v>
      </c>
      <c r="AM19" cm="1">
        <f t="array" ref="AM19">_xlfn.IFNA(INDEX(Table14[Vigtuð vísitala],MATCH(1,(AM$2=Table14[Column1])*($X19=Table14[Year]),0)),"")</f>
        <v>184.66426155437162</v>
      </c>
      <c r="AN19" t="str" cm="1">
        <f t="array" ref="AN19">_xlfn.IFNA(INDEX(Table14[Vigtuð vísitala],MATCH(1,(AN$2=Table14[Column1])*($X19=Table14[Year]),0)),"")</f>
        <v/>
      </c>
      <c r="AO19" cm="1">
        <f t="array" ref="AO19">_xlfn.IFNA(INDEX(Table14[Vigtuð vísitala],MATCH(1,(AO$2=Table14[Column1])*($X19=Table14[Year]),0)),"")</f>
        <v>3.5550296057608137</v>
      </c>
      <c r="AP19" cm="1">
        <f t="array" ref="AP19">_xlfn.IFNA(INDEX(Table14[Vigtuð vísitala],MATCH(1,(AP$2=Table14[Column1])*($X19=Table14[Year]),0)),"")</f>
        <v>187.10229989330611</v>
      </c>
      <c r="AQ19" cm="1">
        <f t="array" ref="AQ19">_xlfn.IFNA(INDEX(Table14[Vigtuð vísitala],MATCH(1,(AQ$2=Table14[Column1])*($X19=Table14[Year]),0)),"")</f>
        <v>153.00717364156344</v>
      </c>
      <c r="AR19" cm="1">
        <f t="array" ref="AR19">_xlfn.IFNA(INDEX(Table14[Vigtuð vísitala],MATCH(1,(AR$2=Table14[Column1])*($X19=Table14[Year]),0)),"")</f>
        <v>169.29777002194285</v>
      </c>
      <c r="AS19" t="str" cm="1">
        <f t="array" ref="AS19">_xlfn.IFNA(INDEX(Table14[Vigtuð vísitala],MATCH(1,(AS$2=Table14[Column1])*($X19=Table14[Year]),0)),"")</f>
        <v/>
      </c>
      <c r="AT19" cm="1">
        <f t="array" ref="AT19">_xlfn.IFNA(INDEX(Table14[Vigtuð vísitala],MATCH(1,(AT$2=Table14[Column1])*($X19=Table14[Year]),0)),"")</f>
        <v>128.11635540529804</v>
      </c>
      <c r="AU19" t="str" cm="1">
        <f t="array" ref="AU19">_xlfn.IFNA(INDEX(Table14[Vigtuð vísitala],MATCH(1,(AU$2=Table14[Column1])*($X19=Table14[Year]),0)),"")</f>
        <v/>
      </c>
      <c r="AV19" t="str" cm="1">
        <f t="array" ref="AV19">_xlfn.IFNA(INDEX(Table14[Vigtuð vísitala],MATCH(1,(AV$2=Table14[Column1])*($X19=Table14[Year]),0)),"")</f>
        <v/>
      </c>
      <c r="AW19" t="str" cm="1">
        <f t="array" ref="AW19">_xlfn.IFNA(INDEX(Table14[Vigtuð vísitala],MATCH(1,(AW$2=Table14[Column1])*($X19=Table14[Year]),0)),"")</f>
        <v/>
      </c>
      <c r="AX19" t="str" cm="1">
        <f t="array" ref="AX19">_xlfn.IFNA(INDEX(Table14[Vigtuð vísitala],MATCH(1,(AX$2=Table14[Column1])*($X19=Table14[Year]),0)),"")</f>
        <v/>
      </c>
      <c r="AY19" t="str" cm="1">
        <f t="array" ref="AY19">_xlfn.IFNA(INDEX(Table14[Vigtuð vísitala],MATCH(1,(AY$2=Table14[Column1])*($X19=Table14[Year]),0)),"")</f>
        <v/>
      </c>
      <c r="AZ19" t="str" cm="1">
        <f t="array" ref="AZ19">_xlfn.IFNA(INDEX(Table14[Vigtuð vísitala],MATCH(1,(AZ$2=Table14[Column1])*($X19=Table14[Year]),0)),"")</f>
        <v/>
      </c>
      <c r="BA19" t="str" cm="1">
        <f t="array" ref="BA19">_xlfn.IFNA(INDEX(Table14[Vigtuð vísitala],MATCH(1,(BA$2=Table14[Column1])*($X19=Table14[Year]),0)),"")</f>
        <v/>
      </c>
      <c r="BB19" t="str" cm="1">
        <f t="array" ref="BB19">_xlfn.IFNA(INDEX(Table14[Vigtuð vísitala],MATCH(1,(BB$2=Table14[Column1])*($X19=Table14[Year]),0)),"")</f>
        <v/>
      </c>
      <c r="BC19" t="str" cm="1">
        <f t="array" ref="BC19">_xlfn.IFNA(INDEX(Table14[Vigtuð vísitala],MATCH(1,(BC$2=Table14[Column1])*($X19=Table14[Year]),0)),"")</f>
        <v/>
      </c>
      <c r="BD19" t="str" cm="1">
        <f t="array" ref="BD19">_xlfn.IFNA(INDEX(Table14[Vigtuð vísitala],MATCH(1,(BD$2=Table14[Column1])*($X19=Table14[Year]),0)),"")</f>
        <v/>
      </c>
      <c r="BE19" t="str" cm="1">
        <f t="array" ref="BE19">_xlfn.IFNA(INDEX(Table14[Vigtuð vísitala],MATCH(1,(BE$2=Table14[Column1])*($X19=Table14[Year]),0)),"")</f>
        <v/>
      </c>
      <c r="BF19" t="str" cm="1">
        <f t="array" ref="BF19">_xlfn.IFNA(INDEX(Table14[Vigtuð vísitala],MATCH(1,(BF$2=Table14[Column1])*($X19=Table14[Year]),0)),"")</f>
        <v/>
      </c>
      <c r="BG19" t="str" cm="1">
        <f t="array" ref="BG19">_xlfn.IFNA(INDEX(Table14[Vigtuð vísitala],MATCH(1,(BG$2=Table14[Column1])*($X19=Table14[Year]),0)),"")</f>
        <v/>
      </c>
      <c r="BH19" t="str" cm="1">
        <f t="array" ref="BH19">_xlfn.IFNA(INDEX(Table14[Vigtuð vísitala],MATCH(1,(BH$2=Table14[Column1])*($X19=Table14[Year]),0)),"")</f>
        <v/>
      </c>
      <c r="BI19" t="str" cm="1">
        <f t="array" ref="BI19">_xlfn.IFNA(INDEX(Table14[Vigtuð vísitala],MATCH(1,(BI$2=Table14[Column1])*($X19=Table14[Year]),0)),"")</f>
        <v/>
      </c>
      <c r="BJ19" t="str" cm="1">
        <f t="array" ref="BJ19">_xlfn.IFNA(INDEX(Table14[Vigtuð vísitala],MATCH(1,(BJ$2=Table14[Column1])*($X19=Table14[Year]),0)),"")</f>
        <v/>
      </c>
      <c r="BK19" t="str" cm="1">
        <f t="array" ref="BK19">_xlfn.IFNA(INDEX(Table14[Vigtuð vísitala],MATCH(1,(BK$2=Table14[Column1])*($X19=Table14[Year]),0)),"")</f>
        <v/>
      </c>
      <c r="BL19" t="str" cm="1">
        <f t="array" ref="BL19">_xlfn.IFNA(INDEX(Table14[Vigtuð vísitala],MATCH(1,(BL$2=Table14[Column1])*($X19=Table14[Year]),0)),"")</f>
        <v/>
      </c>
      <c r="BM19" t="str" cm="1">
        <f t="array" ref="BM19">_xlfn.IFNA(INDEX(Table14[Vigtuð vísitala],MATCH(1,(BM$2=Table14[Column1])*($X19=Table14[Year]),0)),"")</f>
        <v/>
      </c>
      <c r="BN19" t="str" cm="1">
        <f t="array" ref="BN19">_xlfn.IFNA(INDEX(Table14[Vigtuð vísitala],MATCH(1,(BN$2=Table14[Column1])*($X19=Table14[Year]),0)),"")</f>
        <v/>
      </c>
      <c r="BO19" t="str" cm="1">
        <f t="array" ref="BO19">_xlfn.IFNA(INDEX(Table14[Vigtuð vísitala],MATCH(1,(BO$2=Table14[Column1])*($X19=Table14[Year]),0)),"")</f>
        <v/>
      </c>
      <c r="BP19" t="str" cm="1">
        <f t="array" ref="BP19">_xlfn.IFNA(INDEX(Table14[Vigtuð vísitala],MATCH(1,(BP$2=Table14[Column1])*($X19=Table14[Year]),0)),"")</f>
        <v/>
      </c>
      <c r="BQ19" cm="1">
        <f t="array" ref="BQ19">_xlfn.IFNA(INDEX(Table14[Vigtuð vísitala],MATCH(1,(BQ$2=Table14[Column1])*($X19=Table14[Year]),0)),"")</f>
        <v>147.0644394412349</v>
      </c>
      <c r="BR19" cm="1">
        <f t="array" ref="BR19">_xlfn.IFNA(INDEX(Table14[Vigtuð vísitala],MATCH(1,(BR$2=Table14[Column1])*($X19=Table14[Year]),0)),"")</f>
        <v>266.56782272279759</v>
      </c>
      <c r="BS19" t="str" cm="1">
        <f t="array" ref="BS19">_xlfn.IFNA(INDEX(Table14[Vigtuð vísitala],MATCH(1,(BS$2=Table14[Column1])*($X19=Table14[Year]),0)),"")</f>
        <v/>
      </c>
      <c r="BT19" t="str" cm="1">
        <f t="array" ref="BT19">_xlfn.IFNA(INDEX(Table14[Vigtuð vísitala],MATCH(1,(BT$2=Table14[Column1])*($X19=Table14[Year]),0)),"")</f>
        <v/>
      </c>
      <c r="BU19" t="str" cm="1">
        <f t="array" ref="BU19">_xlfn.IFNA(INDEX(Table14[Vigtuð vísitala],MATCH(1,(BU$2=Table14[Column1])*($X19=Table14[Year]),0)),"")</f>
        <v/>
      </c>
      <c r="BV19" cm="1">
        <f t="array" ref="BV19">_xlfn.IFNA(INDEX(Table14[Vigtuð vísitala],MATCH(1,(BV$2=Table14[Column1])*($X19=Table14[Year]),0)),"")</f>
        <v>157.57619281843148</v>
      </c>
      <c r="BW19" t="str" cm="1">
        <f t="array" ref="BW19">_xlfn.IFNA(INDEX(Table14[Vigtuð vísitala],MATCH(1,(BW$2=Table14[Column1])*($X19=Table14[Year]),0)),"")</f>
        <v/>
      </c>
      <c r="BX19" t="str" cm="1">
        <f t="array" ref="BX19">_xlfn.IFNA(INDEX(Table14[Vigtuð vísitala],MATCH(1,(BX$2=Table14[Column1])*($X19=Table14[Year]),0)),"")</f>
        <v/>
      </c>
      <c r="BY19" t="str" cm="1">
        <f t="array" ref="BY19">_xlfn.IFNA(INDEX(Table14[Vigtuð vísitala],MATCH(1,(BY$2=Table14[Column1])*($X19=Table14[Year]),0)),"")</f>
        <v/>
      </c>
      <c r="BZ19" t="str" cm="1">
        <f t="array" ref="BZ19">_xlfn.IFNA(INDEX(Table14[Vigtuð vísitala],MATCH(1,(BZ$2=Table14[Column1])*($X19=Table14[Year]),0)),"")</f>
        <v/>
      </c>
      <c r="CA19" t="str" cm="1">
        <f t="array" ref="CA19">_xlfn.IFNA(INDEX(Table14[Vigtuð vísitala],MATCH(1,(CA$2=Table14[Column1])*($X19=Table14[Year]),0)),"")</f>
        <v/>
      </c>
      <c r="CB19" cm="1">
        <f t="array" ref="CB19">_xlfn.IFNA(INDEX(Table14[Vigtuð vísitala],MATCH(1,(CB$2=Table14[Column1])*($X19=Table14[Year]),0)),"")</f>
        <v>168.63955830291849</v>
      </c>
      <c r="CC19" t="str" cm="1">
        <f t="array" ref="CC19">_xlfn.IFNA(INDEX(Table14[Vigtuð vísitala],MATCH(1,(CC$2=Table14[Column1])*($X19=Table14[Year]),0)),"")</f>
        <v/>
      </c>
      <c r="CD19" t="str" cm="1">
        <f t="array" ref="CD19">_xlfn.IFNA(INDEX(Table14[Vigtuð vísitala],MATCH(1,(CD$2=Table14[Column1])*($X19=Table14[Year]),0)),"")</f>
        <v/>
      </c>
      <c r="CE19" cm="1">
        <f t="array" ref="CE19">_xlfn.IFNA(INDEX(Table14[Vigtuð vísitala],MATCH(1,(CE$2=Table14[Column1])*($X19=Table14[Year]),0)),"")</f>
        <v>208.19126902121948</v>
      </c>
      <c r="CF19" cm="1">
        <f t="array" ref="CF19">_xlfn.IFNA(INDEX(Table14[Vigtuð vísitala],MATCH(1,(CF$2=Table14[Column1])*($X19=Table14[Year]),0)),"")</f>
        <v>277.17820053636467</v>
      </c>
      <c r="CG19" cm="1">
        <f t="array" ref="CG19">_xlfn.IFNA(INDEX(Table14[Vigtuð vísitala],MATCH(1,(CG$2=Table14[Column1])*($X19=Table14[Year]),0)),"")</f>
        <v>171.02716134478513</v>
      </c>
      <c r="CH19" cm="1">
        <f t="array" ref="CH19">_xlfn.IFNA(INDEX(Table14[Vigtuð vísitala],MATCH(1,(CH$2=Table14[Column1])*($X19=Table14[Year]),0)),"")</f>
        <v>181.73649528200761</v>
      </c>
      <c r="CI19" cm="1">
        <f t="array" ref="CI19">_xlfn.IFNA(INDEX(Table14[Vigtuð vísitala],MATCH(1,(CI$2=Table14[Column1])*($X19=Table14[Year]),0)),"")</f>
        <v>234.84067694615285</v>
      </c>
      <c r="CJ19" cm="1">
        <f t="array" ref="CJ19">_xlfn.IFNA(INDEX(Table14[Vigtuð vísitala],MATCH(1,(CJ$2=Table14[Column1])*($X19=Table14[Year]),0)),"")</f>
        <v>115.30486064846295</v>
      </c>
      <c r="CK19" t="str" cm="1">
        <f t="array" ref="CK19">_xlfn.IFNA(INDEX(Table14[Vigtuð vísitala],MATCH(1,(CK$2=Table14[Column1])*($X19=Table14[Year]),0)),"")</f>
        <v/>
      </c>
      <c r="CL19" t="str" cm="1">
        <f t="array" ref="CL19">_xlfn.IFNA(INDEX(Table14[Vigtuð vísitala],MATCH(1,(CL$2=Table14[Column1])*($X19=Table14[Year]),0)),"")</f>
        <v/>
      </c>
      <c r="CM19" t="str" cm="1">
        <f t="array" ref="CM19">_xlfn.IFNA(INDEX(Table14[Vigtuð vísitala],MATCH(1,(CM$2=Table14[Column1])*($X19=Table14[Year]),0)),"")</f>
        <v/>
      </c>
      <c r="CN19" cm="1">
        <f t="array" ref="CN19">_xlfn.IFNA(INDEX(Table14[Vigtuð vísitala],MATCH(1,(CN$2=Table14[Column1])*($X19=Table14[Year]),0)),"")</f>
        <v>132.75528059488281</v>
      </c>
      <c r="CO19" t="str" cm="1">
        <f t="array" ref="CO19">_xlfn.IFNA(INDEX(Table14[Vigtuð vísitala],MATCH(1,(CO$2=Table14[Column1])*($X19=Table14[Year]),0)),"")</f>
        <v/>
      </c>
      <c r="CP19" t="str" cm="1">
        <f t="array" ref="CP19">_xlfn.IFNA(INDEX(Table14[Vigtuð vísitala],MATCH(1,(CP$2=Table14[Column1])*($X19=Table14[Year]),0)),"")</f>
        <v/>
      </c>
      <c r="CQ19" cm="1">
        <f t="array" ref="CQ19">_xlfn.IFNA(INDEX(Table14[Vigtuð vísitala],MATCH(1,(CQ$2=Table14[Column1])*($X19=Table14[Year]),0)),"")</f>
        <v>104.35716350230699</v>
      </c>
      <c r="CR19" cm="1">
        <f t="array" ref="CR19">_xlfn.IFNA(INDEX(Table14[Vigtuð vísitala],MATCH(1,(CR$2=Table14[Column1])*($X19=Table14[Year]),0)),"")</f>
        <v>180.92575465806834</v>
      </c>
      <c r="CS19" cm="1">
        <f t="array" ref="CS19">_xlfn.IFNA(INDEX(Table14[Vigtuð vísitala],MATCH(1,(CS$2=Table14[Column1])*($X19=Table14[Year]),0)),"")</f>
        <v>153.95636521865745</v>
      </c>
      <c r="CT19" cm="1">
        <f t="array" ref="CT19">_xlfn.IFNA(INDEX(Table14[Vigtuð vísitala],MATCH(1,(CT$2=Table14[Column1])*($X19=Table14[Year]),0)),"")</f>
        <v>185.03945053067093</v>
      </c>
      <c r="CU19" t="str" cm="1">
        <f t="array" ref="CU19">_xlfn.IFNA(INDEX(Table14[Vigtuð vísitala],MATCH(1,(CU$2=Table14[Column1])*($X19=Table14[Year]),0)),"")</f>
        <v/>
      </c>
      <c r="CV19" t="str" cm="1">
        <f t="array" ref="CV19">_xlfn.IFNA(INDEX(Table14[Vigtuð vísitala],MATCH(1,(CV$2=Table14[Column1])*($X19=Table14[Year]),0)),"")</f>
        <v/>
      </c>
      <c r="CW19" t="str" cm="1">
        <f t="array" ref="CW19">_xlfn.IFNA(INDEX(Table14[Vigtuð vísitala],MATCH(1,(CW$2=Table14[Column1])*($X19=Table14[Year]),0)),"")</f>
        <v/>
      </c>
      <c r="CX19" t="str" cm="1">
        <f t="array" ref="CX19">_xlfn.IFNA(INDEX(Table14[Vigtuð vísitala],MATCH(1,(CX$2=Table14[Column1])*($X19=Table14[Year]),0)),"")</f>
        <v/>
      </c>
      <c r="CY19" t="str" cm="1">
        <f t="array" ref="CY19">_xlfn.IFNA(INDEX(Table14[Vigtuð vísitala],MATCH(1,(CY$2=Table14[Column1])*($X19=Table14[Year]),0)),"")</f>
        <v/>
      </c>
      <c r="CZ19" cm="1">
        <f t="array" ref="CZ19">_xlfn.IFNA(INDEX(Table14[Vigtuð vísitala],MATCH(1,(CZ$2=Table14[Column1])*($X19=Table14[Year]),0)),"")</f>
        <v>173.5899274040865</v>
      </c>
      <c r="DA19" t="str" cm="1">
        <f t="array" ref="DA19">_xlfn.IFNA(INDEX(Table14[Vigtuð vísitala],MATCH(1,(DA$2=Table14[Column1])*($X19=Table14[Year]),0)),"")</f>
        <v/>
      </c>
      <c r="DB19" t="str" cm="1">
        <f t="array" ref="DB19">_xlfn.IFNA(INDEX(Table14[Vigtuð vísitala],MATCH(1,(DB$2=Table14[Column1])*($X19=Table14[Year]),0)),"")</f>
        <v/>
      </c>
      <c r="DC19" cm="1">
        <f t="array" ref="DC19">_xlfn.IFNA(INDEX(Table14[Vigtuð vísitala],MATCH(1,(DC$2=Table14[Column1])*($X19=Table14[Year]),0)),"")</f>
        <v>199.85350056793234</v>
      </c>
      <c r="DD19" cm="1">
        <f t="array" ref="DD19">_xlfn.IFNA(INDEX(Table14[Vigtuð vísitala],MATCH(1,(DD$2=Table14[Column1])*($X19=Table14[Year]),0)),"")</f>
        <v>170.36918628437635</v>
      </c>
      <c r="DE19" cm="1">
        <f t="array" ref="DE19">_xlfn.IFNA(INDEX(Table14[Vigtuð vísitala],MATCH(1,(DE$2=Table14[Column1])*($X19=Table14[Year]),0)),"")</f>
        <v>185.90699324921815</v>
      </c>
      <c r="DF19" t="str" cm="1">
        <f t="array" ref="DF19">_xlfn.IFNA(INDEX(Table14[Vigtuð vísitala],MATCH(1,(DF$2=Table14[Column1])*($X19=Table14[Year]),0)),"")</f>
        <v/>
      </c>
    </row>
    <row r="20" spans="1:110">
      <c r="A20" t="s">
        <v>54</v>
      </c>
      <c r="B20">
        <v>2021</v>
      </c>
      <c r="C20" s="16">
        <v>0.10199999999999999</v>
      </c>
      <c r="D20" s="1">
        <v>175142574.49000001</v>
      </c>
      <c r="E20" s="29">
        <f>Table14[[#This Row],[Ávöxtun]]*Table14[[#This Row],[Eignir]]/SUMIFS(Table14[Eignir],Table14[Year],Table14[[#This Row],[Year]])</f>
        <v>2.9579514674073284E-3</v>
      </c>
      <c r="F20" s="23" t="e">
        <f>IF(B20=1997, 100, IF(COUNTIF(A$1:A19,A20)=0, "NEW", F19*(1+Table14[[#This Row],[Ávöxtun]])))</f>
        <v>#VALUE!</v>
      </c>
      <c r="G20" s="18" t="str" cm="1">
        <f t="array" ref="G20">IFERROR(_xlfn.IFS(ISNUMBER(Table14[[#This Row],[Column3]]),Table14[[#This Row],[Column3]],Table14[[#This Row],[Column3]]="NEW",Table14[[#This Row],[Column3]]),"")</f>
        <v/>
      </c>
      <c r="H20" s="15" cm="1">
        <f t="array" ref="H20">_xlfn.IFS(Table14[[#This Row],[Column4]]="NEW",AVERAGEIFS(Table14[Column4],Table14[Year],Table14[[#This Row],[Year]]),ISNUMBER(Table14[[#This Row],[Column4]]),Table14[[#This Row],[Column4]],Table14[[#This Row],[Column4]]="",H19*(1+Table14[[#This Row],[Ávöxtun]]))</f>
        <v>206.74253807599274</v>
      </c>
      <c r="I20" cm="1">
        <f t="array" ref="I20">_xlfn.IFS(Table14[[#This Row],[Column4]]="NEW",_xlfn.XLOOKUP(Table14[[#This Row],[Year]],$M$2:$M$27,$O$2:$O$27),ISNUMBER(Table14[[#This Row],[Column4]]),Table14[[#This Row],[Column4]],Table14[[#This Row],[Column4]]="",I19*(1+Table14[[#This Row],[Ávöxtun]]))</f>
        <v>218.3302406230398</v>
      </c>
      <c r="K20" s="25"/>
      <c r="L20" s="33">
        <v>218.3302406230398</v>
      </c>
      <c r="M20">
        <v>2014</v>
      </c>
      <c r="N20" s="27">
        <f>SUMIFS(Table14[Column2],Table14[Year],M20)</f>
        <v>9.8898741851879191E-2</v>
      </c>
      <c r="O20">
        <f t="shared" si="0"/>
        <v>205.80440874766308</v>
      </c>
      <c r="P20" s="26" cm="1">
        <f t="array" ref="P20">_xlfn.QUARTILE.EXC(IF($B$2:$B$939 = M20, $I$2:$I$939), 3)</f>
        <v>199.63815398615762</v>
      </c>
      <c r="Q20" s="26" cm="1">
        <f t="array" ref="Q20">_xlfn.QUARTILE.EXC(IF($B$2:$B$939 = M20, $I$2:$I$939), 1)</f>
        <v>159.89249645543379</v>
      </c>
      <c r="R20" s="26" cm="1">
        <f t="array" ref="R20">_xlfn.QUARTILE.EXC(IF($B$2:$B$939 = M20, $I$2:$I$939), 2)</f>
        <v>184.19597378387382</v>
      </c>
      <c r="S20" s="17" cm="1">
        <f t="array" ref="S20">_xlfn.QUARTILE.EXC(IF($B$2:$B$939 = M20, $C$2:$C$939), 3)</f>
        <v>7.8E-2</v>
      </c>
      <c r="T20" s="17" cm="1">
        <f t="array" ref="T20">_xlfn.QUARTILE.EXC(IF($B$2:$B$939 = M20, $C$2:$C$939), 1)</f>
        <v>4.9000000000000002E-2</v>
      </c>
      <c r="U20" s="17" cm="1">
        <f t="array" ref="U20">_xlfn.QUARTILE.EXC(IF($B$2:$B$939 = M20, $C$2:$C$939), 2)</f>
        <v>6.2000000000000006E-2</v>
      </c>
      <c r="X20">
        <v>2014</v>
      </c>
      <c r="Y20">
        <f t="shared" si="1"/>
        <v>205.80440874766308</v>
      </c>
      <c r="Z20" cm="1">
        <f t="array" ref="Z20">_xlfn.IFNA(INDEX(Table14[Vigtuð vísitala],MATCH(1,(Z$2=Table14[Column1])*($X20=Table14[Year]),0)),"")</f>
        <v>141.42590445255553</v>
      </c>
      <c r="AB20" t="str" cm="1">
        <f t="array" ref="AB20">_xlfn.IFNA(INDEX(Table14[Vigtuð vísitala],MATCH(1,(AB$2=Table14[Column1])*($X20=Table14[Year]),0)),"")</f>
        <v/>
      </c>
      <c r="AC20" t="str" cm="1">
        <f t="array" ref="AC20">_xlfn.IFNA(INDEX(Table14[Vigtuð vísitala],MATCH(1,(AC$2=Table14[Column1])*($X20=Table14[Year]),0)),"")</f>
        <v/>
      </c>
      <c r="AD20" t="str" cm="1">
        <f t="array" ref="AD20">_xlfn.IFNA(INDEX(Table14[Vigtuð vísitala],MATCH(1,(AD$2=Table14[Column1])*($X20=Table14[Year]),0)),"")</f>
        <v/>
      </c>
      <c r="AE20" t="str" cm="1">
        <f t="array" ref="AE20">_xlfn.IFNA(INDEX(Table14[Vigtuð vísitala],MATCH(1,(AE$2=Table14[Column1])*($X20=Table14[Year]),0)),"")</f>
        <v/>
      </c>
      <c r="AF20" t="str" cm="1">
        <f t="array" ref="AF20">_xlfn.IFNA(INDEX(Table14[Vigtuð vísitala],MATCH(1,(AF$2=Table14[Column1])*($X20=Table14[Year]),0)),"")</f>
        <v/>
      </c>
      <c r="AG20" t="str" cm="1">
        <f t="array" ref="AG20">_xlfn.IFNA(INDEX(Table14[Vigtuð vísitala],MATCH(1,(AG$2=Table14[Column1])*($X20=Table14[Year]),0)),"")</f>
        <v/>
      </c>
      <c r="AH20" t="str" cm="1">
        <f t="array" ref="AH20">_xlfn.IFNA(INDEX(Table14[Vigtuð vísitala],MATCH(1,(AH$2=Table14[Column1])*($X20=Table14[Year]),0)),"")</f>
        <v/>
      </c>
      <c r="AI20" t="str" cm="1">
        <f t="array" ref="AI20">_xlfn.IFNA(INDEX(Table14[Vigtuð vísitala],MATCH(1,(AI$2=Table14[Column1])*($X20=Table14[Year]),0)),"")</f>
        <v/>
      </c>
      <c r="AJ20" t="str" cm="1">
        <f t="array" ref="AJ20">_xlfn.IFNA(INDEX(Table14[Vigtuð vísitala],MATCH(1,(AJ$2=Table14[Column1])*($X20=Table14[Year]),0)),"")</f>
        <v/>
      </c>
      <c r="AK20" t="str" cm="1">
        <f t="array" ref="AK20">_xlfn.IFNA(INDEX(Table14[Vigtuð vísitala],MATCH(1,(AK$2=Table14[Column1])*($X20=Table14[Year]),0)),"")</f>
        <v/>
      </c>
      <c r="AL20" cm="1">
        <f t="array" ref="AL20">_xlfn.IFNA(INDEX(Table14[Vigtuð vísitala],MATCH(1,(AL$2=Table14[Column1])*($X20=Table14[Year]),0)),"")</f>
        <v>164.12077284475188</v>
      </c>
      <c r="AM20" cm="1">
        <f t="array" ref="AM20">_xlfn.IFNA(INDEX(Table14[Vigtuð vísitala],MATCH(1,(AM$2=Table14[Column1])*($X20=Table14[Year]),0)),"")</f>
        <v>194.63613167830769</v>
      </c>
      <c r="AN20" t="str" cm="1">
        <f t="array" ref="AN20">_xlfn.IFNA(INDEX(Table14[Vigtuð vísitala],MATCH(1,(AN$2=Table14[Column1])*($X20=Table14[Year]),0)),"")</f>
        <v/>
      </c>
      <c r="AO20" cm="1">
        <f t="array" ref="AO20">_xlfn.IFNA(INDEX(Table14[Vigtuð vísitala],MATCH(1,(AO$2=Table14[Column1])*($X20=Table14[Year]),0)),"")</f>
        <v>-1.7170792995824733</v>
      </c>
      <c r="AP20" cm="1">
        <f t="array" ref="AP20">_xlfn.IFNA(INDEX(Table14[Vigtuð vísitala],MATCH(1,(AP$2=Table14[Column1])*($X20=Table14[Year]),0)),"")</f>
        <v>199.63815398615762</v>
      </c>
      <c r="AQ20" cm="1">
        <f t="array" ref="AQ20">_xlfn.IFNA(INDEX(Table14[Vigtuð vísitala],MATCH(1,(AQ$2=Table14[Column1])*($X20=Table14[Year]),0)),"")</f>
        <v>159.89249645543379</v>
      </c>
      <c r="AR20" cm="1">
        <f t="array" ref="AR20">_xlfn.IFNA(INDEX(Table14[Vigtuð vísitala],MATCH(1,(AR$2=Table14[Column1])*($X20=Table14[Year]),0)),"")</f>
        <v>184.19597378387382</v>
      </c>
      <c r="AS20" t="str" cm="1">
        <f t="array" ref="AS20">_xlfn.IFNA(INDEX(Table14[Vigtuð vísitala],MATCH(1,(AS$2=Table14[Column1])*($X20=Table14[Year]),0)),"")</f>
        <v/>
      </c>
      <c r="AT20" cm="1">
        <f t="array" ref="AT20">_xlfn.IFNA(INDEX(Table14[Vigtuð vísitala],MATCH(1,(AT$2=Table14[Column1])*($X20=Table14[Year]),0)),"")</f>
        <v>134.39405682015763</v>
      </c>
      <c r="AU20" t="str" cm="1">
        <f t="array" ref="AU20">_xlfn.IFNA(INDEX(Table14[Vigtuð vísitala],MATCH(1,(AU$2=Table14[Column1])*($X20=Table14[Year]),0)),"")</f>
        <v/>
      </c>
      <c r="AV20" t="str" cm="1">
        <f t="array" ref="AV20">_xlfn.IFNA(INDEX(Table14[Vigtuð vísitala],MATCH(1,(AV$2=Table14[Column1])*($X20=Table14[Year]),0)),"")</f>
        <v/>
      </c>
      <c r="AW20" t="str" cm="1">
        <f t="array" ref="AW20">_xlfn.IFNA(INDEX(Table14[Vigtuð vísitala],MATCH(1,(AW$2=Table14[Column1])*($X20=Table14[Year]),0)),"")</f>
        <v/>
      </c>
      <c r="AX20" t="str" cm="1">
        <f t="array" ref="AX20">_xlfn.IFNA(INDEX(Table14[Vigtuð vísitala],MATCH(1,(AX$2=Table14[Column1])*($X20=Table14[Year]),0)),"")</f>
        <v/>
      </c>
      <c r="AY20" t="str" cm="1">
        <f t="array" ref="AY20">_xlfn.IFNA(INDEX(Table14[Vigtuð vísitala],MATCH(1,(AY$2=Table14[Column1])*($X20=Table14[Year]),0)),"")</f>
        <v/>
      </c>
      <c r="AZ20" t="str" cm="1">
        <f t="array" ref="AZ20">_xlfn.IFNA(INDEX(Table14[Vigtuð vísitala],MATCH(1,(AZ$2=Table14[Column1])*($X20=Table14[Year]),0)),"")</f>
        <v/>
      </c>
      <c r="BA20" t="str" cm="1">
        <f t="array" ref="BA20">_xlfn.IFNA(INDEX(Table14[Vigtuð vísitala],MATCH(1,(BA$2=Table14[Column1])*($X20=Table14[Year]),0)),"")</f>
        <v/>
      </c>
      <c r="BB20" t="str" cm="1">
        <f t="array" ref="BB20">_xlfn.IFNA(INDEX(Table14[Vigtuð vísitala],MATCH(1,(BB$2=Table14[Column1])*($X20=Table14[Year]),0)),"")</f>
        <v/>
      </c>
      <c r="BC20" t="str" cm="1">
        <f t="array" ref="BC20">_xlfn.IFNA(INDEX(Table14[Vigtuð vísitala],MATCH(1,(BC$2=Table14[Column1])*($X20=Table14[Year]),0)),"")</f>
        <v/>
      </c>
      <c r="BD20" t="str" cm="1">
        <f t="array" ref="BD20">_xlfn.IFNA(INDEX(Table14[Vigtuð vísitala],MATCH(1,(BD$2=Table14[Column1])*($X20=Table14[Year]),0)),"")</f>
        <v/>
      </c>
      <c r="BE20" t="str" cm="1">
        <f t="array" ref="BE20">_xlfn.IFNA(INDEX(Table14[Vigtuð vísitala],MATCH(1,(BE$2=Table14[Column1])*($X20=Table14[Year]),0)),"")</f>
        <v/>
      </c>
      <c r="BF20" t="str" cm="1">
        <f t="array" ref="BF20">_xlfn.IFNA(INDEX(Table14[Vigtuð vísitala],MATCH(1,(BF$2=Table14[Column1])*($X20=Table14[Year]),0)),"")</f>
        <v/>
      </c>
      <c r="BG20" t="str" cm="1">
        <f t="array" ref="BG20">_xlfn.IFNA(INDEX(Table14[Vigtuð vísitala],MATCH(1,(BG$2=Table14[Column1])*($X20=Table14[Year]),0)),"")</f>
        <v/>
      </c>
      <c r="BH20" t="str" cm="1">
        <f t="array" ref="BH20">_xlfn.IFNA(INDEX(Table14[Vigtuð vísitala],MATCH(1,(BH$2=Table14[Column1])*($X20=Table14[Year]),0)),"")</f>
        <v/>
      </c>
      <c r="BI20" t="str" cm="1">
        <f t="array" ref="BI20">_xlfn.IFNA(INDEX(Table14[Vigtuð vísitala],MATCH(1,(BI$2=Table14[Column1])*($X20=Table14[Year]),0)),"")</f>
        <v/>
      </c>
      <c r="BJ20" t="str" cm="1">
        <f t="array" ref="BJ20">_xlfn.IFNA(INDEX(Table14[Vigtuð vísitala],MATCH(1,(BJ$2=Table14[Column1])*($X20=Table14[Year]),0)),"")</f>
        <v/>
      </c>
      <c r="BK20" t="str" cm="1">
        <f t="array" ref="BK20">_xlfn.IFNA(INDEX(Table14[Vigtuð vísitala],MATCH(1,(BK$2=Table14[Column1])*($X20=Table14[Year]),0)),"")</f>
        <v/>
      </c>
      <c r="BL20" t="str" cm="1">
        <f t="array" ref="BL20">_xlfn.IFNA(INDEX(Table14[Vigtuð vísitala],MATCH(1,(BL$2=Table14[Column1])*($X20=Table14[Year]),0)),"")</f>
        <v/>
      </c>
      <c r="BM20" t="str" cm="1">
        <f t="array" ref="BM20">_xlfn.IFNA(INDEX(Table14[Vigtuð vísitala],MATCH(1,(BM$2=Table14[Column1])*($X20=Table14[Year]),0)),"")</f>
        <v/>
      </c>
      <c r="BN20" t="str" cm="1">
        <f t="array" ref="BN20">_xlfn.IFNA(INDEX(Table14[Vigtuð vísitala],MATCH(1,(BN$2=Table14[Column1])*($X20=Table14[Year]),0)),"")</f>
        <v/>
      </c>
      <c r="BO20" t="str" cm="1">
        <f t="array" ref="BO20">_xlfn.IFNA(INDEX(Table14[Vigtuð vísitala],MATCH(1,(BO$2=Table14[Column1])*($X20=Table14[Year]),0)),"")</f>
        <v/>
      </c>
      <c r="BP20" t="str" cm="1">
        <f t="array" ref="BP20">_xlfn.IFNA(INDEX(Table14[Vigtuð vísitala],MATCH(1,(BP$2=Table14[Column1])*($X20=Table14[Year]),0)),"")</f>
        <v/>
      </c>
      <c r="BQ20" cm="1">
        <f t="array" ref="BQ20">_xlfn.IFNA(INDEX(Table14[Vigtuð vísitala],MATCH(1,(BQ$2=Table14[Column1])*($X20=Table14[Year]),0)),"")</f>
        <v>155.00591917106158</v>
      </c>
      <c r="BR20" cm="1">
        <f t="array" ref="BR20">_xlfn.IFNA(INDEX(Table14[Vigtuð vísitala],MATCH(1,(BR$2=Table14[Column1])*($X20=Table14[Year]),0)),"")</f>
        <v>291.89176588146336</v>
      </c>
      <c r="BS20" t="str" cm="1">
        <f t="array" ref="BS20">_xlfn.IFNA(INDEX(Table14[Vigtuð vísitala],MATCH(1,(BS$2=Table14[Column1])*($X20=Table14[Year]),0)),"")</f>
        <v/>
      </c>
      <c r="BT20" t="str" cm="1">
        <f t="array" ref="BT20">_xlfn.IFNA(INDEX(Table14[Vigtuð vísitala],MATCH(1,(BT$2=Table14[Column1])*($X20=Table14[Year]),0)),"")</f>
        <v/>
      </c>
      <c r="BU20" t="str" cm="1">
        <f t="array" ref="BU20">_xlfn.IFNA(INDEX(Table14[Vigtuð vísitala],MATCH(1,(BU$2=Table14[Column1])*($X20=Table14[Year]),0)),"")</f>
        <v/>
      </c>
      <c r="BV20" cm="1">
        <f t="array" ref="BV20">_xlfn.IFNA(INDEX(Table14[Vigtuð vísitala],MATCH(1,(BV$2=Table14[Column1])*($X20=Table14[Year]),0)),"")</f>
        <v>172.2307787505456</v>
      </c>
      <c r="BW20" t="str" cm="1">
        <f t="array" ref="BW20">_xlfn.IFNA(INDEX(Table14[Vigtuð vísitala],MATCH(1,(BW$2=Table14[Column1])*($X20=Table14[Year]),0)),"")</f>
        <v/>
      </c>
      <c r="BX20" t="str" cm="1">
        <f t="array" ref="BX20">_xlfn.IFNA(INDEX(Table14[Vigtuð vísitala],MATCH(1,(BX$2=Table14[Column1])*($X20=Table14[Year]),0)),"")</f>
        <v/>
      </c>
      <c r="BY20" t="str" cm="1">
        <f t="array" ref="BY20">_xlfn.IFNA(INDEX(Table14[Vigtuð vísitala],MATCH(1,(BY$2=Table14[Column1])*($X20=Table14[Year]),0)),"")</f>
        <v/>
      </c>
      <c r="BZ20" t="str" cm="1">
        <f t="array" ref="BZ20">_xlfn.IFNA(INDEX(Table14[Vigtuð vísitala],MATCH(1,(BZ$2=Table14[Column1])*($X20=Table14[Year]),0)),"")</f>
        <v/>
      </c>
      <c r="CA20" t="str" cm="1">
        <f t="array" ref="CA20">_xlfn.IFNA(INDEX(Table14[Vigtuð vísitala],MATCH(1,(CA$2=Table14[Column1])*($X20=Table14[Year]),0)),"")</f>
        <v/>
      </c>
      <c r="CB20" cm="1">
        <f t="array" ref="CB20">_xlfn.IFNA(INDEX(Table14[Vigtuð vísitala],MATCH(1,(CB$2=Table14[Column1])*($X20=Table14[Year]),0)),"")</f>
        <v>175.72241975164107</v>
      </c>
      <c r="CC20" t="str" cm="1">
        <f t="array" ref="CC20">_xlfn.IFNA(INDEX(Table14[Vigtuð vísitala],MATCH(1,(CC$2=Table14[Column1])*($X20=Table14[Year]),0)),"")</f>
        <v/>
      </c>
      <c r="CD20" t="str" cm="1">
        <f t="array" ref="CD20">_xlfn.IFNA(INDEX(Table14[Vigtuð vísitala],MATCH(1,(CD$2=Table14[Column1])*($X20=Table14[Year]),0)),"")</f>
        <v/>
      </c>
      <c r="CE20" cm="1">
        <f t="array" ref="CE20">_xlfn.IFNA(INDEX(Table14[Vigtuð vísitala],MATCH(1,(CE$2=Table14[Column1])*($X20=Table14[Year]),0)),"")</f>
        <v>218.60083247228047</v>
      </c>
      <c r="CF20" cm="1">
        <f t="array" ref="CF20">_xlfn.IFNA(INDEX(Table14[Vigtuð vísitala],MATCH(1,(CF$2=Table14[Column1])*($X20=Table14[Year]),0)),"")</f>
        <v>292.1458233653284</v>
      </c>
      <c r="CG20" cm="1">
        <f t="array" ref="CG20">_xlfn.IFNA(INDEX(Table14[Vigtuð vísitala],MATCH(1,(CG$2=Table14[Column1])*($X20=Table14[Year]),0)),"")</f>
        <v>178.38132928261086</v>
      </c>
      <c r="CH20" cm="1">
        <f t="array" ref="CH20">_xlfn.IFNA(INDEX(Table14[Vigtuð vísitala],MATCH(1,(CH$2=Table14[Column1])*($X20=Table14[Year]),0)),"")</f>
        <v>189.18769158856992</v>
      </c>
      <c r="CI20" cm="1">
        <f t="array" ref="CI20">_xlfn.IFNA(INDEX(Table14[Vigtuð vísitala],MATCH(1,(CI$2=Table14[Column1])*($X20=Table14[Year]),0)),"")</f>
        <v>278.05136150424494</v>
      </c>
      <c r="CJ20" cm="1">
        <f t="array" ref="CJ20">_xlfn.IFNA(INDEX(Table14[Vigtuð vísitala],MATCH(1,(CJ$2=Table14[Column1])*($X20=Table14[Year]),0)),"")</f>
        <v>132.13937030313852</v>
      </c>
      <c r="CK20" t="str" cm="1">
        <f t="array" ref="CK20">_xlfn.IFNA(INDEX(Table14[Vigtuð vísitala],MATCH(1,(CK$2=Table14[Column1])*($X20=Table14[Year]),0)),"")</f>
        <v/>
      </c>
      <c r="CL20" t="str" cm="1">
        <f t="array" ref="CL20">_xlfn.IFNA(INDEX(Table14[Vigtuð vísitala],MATCH(1,(CL$2=Table14[Column1])*($X20=Table14[Year]),0)),"")</f>
        <v/>
      </c>
      <c r="CM20" t="str" cm="1">
        <f t="array" ref="CM20">_xlfn.IFNA(INDEX(Table14[Vigtuð vísitala],MATCH(1,(CM$2=Table14[Column1])*($X20=Table14[Year]),0)),"")</f>
        <v/>
      </c>
      <c r="CN20" cm="1">
        <f t="array" ref="CN20">_xlfn.IFNA(INDEX(Table14[Vigtuð vísitala],MATCH(1,(CN$2=Table14[Column1])*($X20=Table14[Year]),0)),"")</f>
        <v>139.1275340634372</v>
      </c>
      <c r="CO20" t="str" cm="1">
        <f t="array" ref="CO20">_xlfn.IFNA(INDEX(Table14[Vigtuð vísitala],MATCH(1,(CO$2=Table14[Column1])*($X20=Table14[Year]),0)),"")</f>
        <v/>
      </c>
      <c r="CP20" t="str" cm="1">
        <f t="array" ref="CP20">_xlfn.IFNA(INDEX(Table14[Vigtuð vísitala],MATCH(1,(CP$2=Table14[Column1])*($X20=Table14[Year]),0)),"")</f>
        <v/>
      </c>
      <c r="CQ20" t="str" cm="1">
        <f t="array" ref="CQ20">_xlfn.IFNA(INDEX(Table14[Vigtuð vísitala],MATCH(1,(CQ$2=Table14[Column1])*($X20=Table14[Year]),0)),"")</f>
        <v/>
      </c>
      <c r="CR20" cm="1">
        <f t="array" ref="CR20">_xlfn.IFNA(INDEX(Table14[Vigtuð vísitala],MATCH(1,(CR$2=Table14[Column1])*($X20=Table14[Year]),0)),"")</f>
        <v>196.66629531332029</v>
      </c>
      <c r="CS20" cm="1">
        <f t="array" ref="CS20">_xlfn.IFNA(INDEX(Table14[Vigtuð vísitala],MATCH(1,(CS$2=Table14[Column1])*($X20=Table14[Year]),0)),"")</f>
        <v>165.96496170571274</v>
      </c>
      <c r="CT20" cm="1">
        <f t="array" ref="CT20">_xlfn.IFNA(INDEX(Table14[Vigtuð vísitala],MATCH(1,(CT$2=Table14[Column1])*($X20=Table14[Year]),0)),"")</f>
        <v>198.91740932047125</v>
      </c>
      <c r="CU20" t="str" cm="1">
        <f t="array" ref="CU20">_xlfn.IFNA(INDEX(Table14[Vigtuð vísitala],MATCH(1,(CU$2=Table14[Column1])*($X20=Table14[Year]),0)),"")</f>
        <v/>
      </c>
      <c r="CV20" t="str" cm="1">
        <f t="array" ref="CV20">_xlfn.IFNA(INDEX(Table14[Vigtuð vísitala],MATCH(1,(CV$2=Table14[Column1])*($X20=Table14[Year]),0)),"")</f>
        <v/>
      </c>
      <c r="CW20" t="str" cm="1">
        <f t="array" ref="CW20">_xlfn.IFNA(INDEX(Table14[Vigtuð vísitala],MATCH(1,(CW$2=Table14[Column1])*($X20=Table14[Year]),0)),"")</f>
        <v/>
      </c>
      <c r="CX20" t="str" cm="1">
        <f t="array" ref="CX20">_xlfn.IFNA(INDEX(Table14[Vigtuð vísitala],MATCH(1,(CX$2=Table14[Column1])*($X20=Table14[Year]),0)),"")</f>
        <v/>
      </c>
      <c r="CY20" cm="1">
        <f t="array" ref="CY20">_xlfn.IFNA(INDEX(Table14[Vigtuð vísitala],MATCH(1,(CY$2=Table14[Column1])*($X20=Table14[Year]),0)),"")</f>
        <v>205.80440874766308</v>
      </c>
      <c r="CZ20" cm="1">
        <f t="array" ref="CZ20">_xlfn.IFNA(INDEX(Table14[Vigtuð vísitala],MATCH(1,(CZ$2=Table14[Column1])*($X20=Table14[Year]),0)),"")</f>
        <v>184.52609283054394</v>
      </c>
      <c r="DA20" t="str" cm="1">
        <f t="array" ref="DA20">_xlfn.IFNA(INDEX(Table14[Vigtuð vísitala],MATCH(1,(DA$2=Table14[Column1])*($X20=Table14[Year]),0)),"")</f>
        <v/>
      </c>
      <c r="DB20" t="str" cm="1">
        <f t="array" ref="DB20">_xlfn.IFNA(INDEX(Table14[Vigtuð vísitala],MATCH(1,(DB$2=Table14[Column1])*($X20=Table14[Year]),0)),"")</f>
        <v/>
      </c>
      <c r="DC20" cm="1">
        <f t="array" ref="DC20">_xlfn.IFNA(INDEX(Table14[Vigtuð vísitala],MATCH(1,(DC$2=Table14[Column1])*($X20=Table14[Year]),0)),"")</f>
        <v>213.24368510598379</v>
      </c>
      <c r="DD20" cm="1">
        <f t="array" ref="DD20">_xlfn.IFNA(INDEX(Table14[Vigtuð vísitala],MATCH(1,(DD$2=Table14[Column1])*($X20=Table14[Year]),0)),"")</f>
        <v>182.97650606942022</v>
      </c>
      <c r="DE20" cm="1">
        <f t="array" ref="DE20">_xlfn.IFNA(INDEX(Table14[Vigtuð vísitala],MATCH(1,(DE$2=Table14[Column1])*($X20=Table14[Year]),0)),"")</f>
        <v>197.4332268306697</v>
      </c>
      <c r="DF20" t="str" cm="1">
        <f t="array" ref="DF20">_xlfn.IFNA(INDEX(Table14[Vigtuð vísitala],MATCH(1,(DF$2=Table14[Column1])*($X20=Table14[Year]),0)),"")</f>
        <v/>
      </c>
    </row>
    <row r="21" spans="1:110">
      <c r="A21" t="s">
        <v>55</v>
      </c>
      <c r="B21">
        <v>1999</v>
      </c>
      <c r="C21" s="16">
        <v>0.08</v>
      </c>
      <c r="D21" s="1">
        <v>6618608.3600000003</v>
      </c>
      <c r="E21" s="29">
        <f>Table14[[#This Row],[Ávöxtun]]*Table14[[#This Row],[Eignir]]/SUMIFS(Table14[Eignir],Table14[Year],Table14[[#This Row],[Year]])</f>
        <v>1.0168459791862179E-3</v>
      </c>
      <c r="F21" s="23" t="str">
        <f>IF(B21=1997, 100, IF(COUNTIF(A$1:A20,A21)=0, "NEW", F20*(1+Table14[[#This Row],[Ávöxtun]])))</f>
        <v>NEW</v>
      </c>
      <c r="G21" s="18" t="str" cm="1">
        <f t="array" ref="G21">IFERROR(_xlfn.IFS(ISNUMBER(Table14[[#This Row],[Column3]]),Table14[[#This Row],[Column3]],Table14[[#This Row],[Column3]]="NEW",Table14[[#This Row],[Column3]]),"")</f>
        <v>NEW</v>
      </c>
      <c r="H21" s="15" cm="1">
        <f t="array" ref="H21">_xlfn.IFS(Table14[[#This Row],[Column4]]="NEW",AVERAGEIFS(Table14[Column4],Table14[Year],Table14[[#This Row],[Year]]),ISNUMBER(Table14[[#This Row],[Column4]]),Table14[[#This Row],[Column4]],Table14[[#This Row],[Column4]]="",H20*(1+Table14[[#This Row],[Ávöxtun]]))</f>
        <v>117.05306122448981</v>
      </c>
      <c r="I21" cm="1">
        <f t="array" ref="I21">_xlfn.IFS(Table14[[#This Row],[Column4]]="NEW",_xlfn.XLOOKUP(Table14[[#This Row],[Year]],$M$2:$M$27,$O$2:$O$27),ISNUMBER(Table14[[#This Row],[Column4]]),Table14[[#This Row],[Column4]],Table14[[#This Row],[Column4]]="",I20*(1+Table14[[#This Row],[Ávöxtun]]))</f>
        <v>120.02032965757705</v>
      </c>
      <c r="K21" s="25"/>
      <c r="L21" s="33">
        <v>120.02032965757705</v>
      </c>
      <c r="M21">
        <v>2015</v>
      </c>
      <c r="N21" s="27">
        <f>SUMIFS(Table14[Column2],Table14[Year],M21)</f>
        <v>0.10025072126171815</v>
      </c>
      <c r="O21">
        <f t="shared" si="0"/>
        <v>226.43644916345775</v>
      </c>
      <c r="P21" s="26" cm="1">
        <f t="array" ref="P21">_xlfn.QUARTILE.EXC(IF($B$2:$B$939 = M21, $I$2:$I$939), 3)</f>
        <v>218.11188343832825</v>
      </c>
      <c r="Q21" s="26" cm="1">
        <f t="array" ref="Q21">_xlfn.QUARTILE.EXC(IF($B$2:$B$939 = M21, $I$2:$I$939), 1)</f>
        <v>171.88294927424707</v>
      </c>
      <c r="R21" s="26" cm="1">
        <f t="array" ref="R21">_xlfn.QUARTILE.EXC(IF($B$2:$B$939 = M21, $I$2:$I$939), 2)</f>
        <v>199.55214546169304</v>
      </c>
      <c r="S21" s="17" cm="1">
        <f t="array" ref="S21">_xlfn.QUARTILE.EXC(IF($B$2:$B$939 = M21, $C$2:$C$939), 3)</f>
        <v>0.10375</v>
      </c>
      <c r="T21" s="17" cm="1">
        <f t="array" ref="T21">_xlfn.QUARTILE.EXC(IF($B$2:$B$939 = M21, $C$2:$C$939), 1)</f>
        <v>6.6500000000000004E-2</v>
      </c>
      <c r="U21" s="17" cm="1">
        <f t="array" ref="U21">_xlfn.QUARTILE.EXC(IF($B$2:$B$939 = M21, $C$2:$C$939), 2)</f>
        <v>8.299999999999999E-2</v>
      </c>
      <c r="X21">
        <v>2015</v>
      </c>
      <c r="Y21">
        <f t="shared" si="1"/>
        <v>226.43644916345775</v>
      </c>
      <c r="Z21" cm="1">
        <f t="array" ref="Z21">_xlfn.IFNA(INDEX(Table14[Vigtuð vísitala],MATCH(1,(Z$2=Table14[Column1])*($X21=Table14[Year]),0)),"")</f>
        <v>150.61858824197162</v>
      </c>
      <c r="AB21" t="str" cm="1">
        <f t="array" ref="AB21">_xlfn.IFNA(INDEX(Table14[Vigtuð vísitala],MATCH(1,(AB$2=Table14[Column1])*($X21=Table14[Year]),0)),"")</f>
        <v/>
      </c>
      <c r="AC21" t="str" cm="1">
        <f t="array" ref="AC21">_xlfn.IFNA(INDEX(Table14[Vigtuð vísitala],MATCH(1,(AC$2=Table14[Column1])*($X21=Table14[Year]),0)),"")</f>
        <v/>
      </c>
      <c r="AD21" t="str" cm="1">
        <f t="array" ref="AD21">_xlfn.IFNA(INDEX(Table14[Vigtuð vísitala],MATCH(1,(AD$2=Table14[Column1])*($X21=Table14[Year]),0)),"")</f>
        <v/>
      </c>
      <c r="AE21" t="str" cm="1">
        <f t="array" ref="AE21">_xlfn.IFNA(INDEX(Table14[Vigtuð vísitala],MATCH(1,(AE$2=Table14[Column1])*($X21=Table14[Year]),0)),"")</f>
        <v/>
      </c>
      <c r="AF21" t="str" cm="1">
        <f t="array" ref="AF21">_xlfn.IFNA(INDEX(Table14[Vigtuð vísitala],MATCH(1,(AF$2=Table14[Column1])*($X21=Table14[Year]),0)),"")</f>
        <v/>
      </c>
      <c r="AG21" t="str" cm="1">
        <f t="array" ref="AG21">_xlfn.IFNA(INDEX(Table14[Vigtuð vísitala],MATCH(1,(AG$2=Table14[Column1])*($X21=Table14[Year]),0)),"")</f>
        <v/>
      </c>
      <c r="AH21" t="str" cm="1">
        <f t="array" ref="AH21">_xlfn.IFNA(INDEX(Table14[Vigtuð vísitala],MATCH(1,(AH$2=Table14[Column1])*($X21=Table14[Year]),0)),"")</f>
        <v/>
      </c>
      <c r="AI21" t="str" cm="1">
        <f t="array" ref="AI21">_xlfn.IFNA(INDEX(Table14[Vigtuð vísitala],MATCH(1,(AI$2=Table14[Column1])*($X21=Table14[Year]),0)),"")</f>
        <v/>
      </c>
      <c r="AJ21" t="str" cm="1">
        <f t="array" ref="AJ21">_xlfn.IFNA(INDEX(Table14[Vigtuð vísitala],MATCH(1,(AJ$2=Table14[Column1])*($X21=Table14[Year]),0)),"")</f>
        <v/>
      </c>
      <c r="AK21" t="str" cm="1">
        <f t="array" ref="AK21">_xlfn.IFNA(INDEX(Table14[Vigtuð vísitala],MATCH(1,(AK$2=Table14[Column1])*($X21=Table14[Year]),0)),"")</f>
        <v/>
      </c>
      <c r="AL21" cm="1">
        <f t="array" ref="AL21">_xlfn.IFNA(INDEX(Table14[Vigtuð vísitala],MATCH(1,(AL$2=Table14[Column1])*($X21=Table14[Year]),0)),"")</f>
        <v>184.63586945034587</v>
      </c>
      <c r="AM21" cm="1">
        <f t="array" ref="AM21">_xlfn.IFNA(INDEX(Table14[Vigtuð vísitala],MATCH(1,(AM$2=Table14[Column1])*($X21=Table14[Year]),0)),"")</f>
        <v>213.90510871446014</v>
      </c>
      <c r="AN21" t="str" cm="1">
        <f t="array" ref="AN21">_xlfn.IFNA(INDEX(Table14[Vigtuð vísitala],MATCH(1,(AN$2=Table14[Column1])*($X21=Table14[Year]),0)),"")</f>
        <v/>
      </c>
      <c r="AO21" cm="1">
        <f t="array" ref="AO21">_xlfn.IFNA(INDEX(Table14[Vigtuð vísitala],MATCH(1,(AO$2=Table14[Column1])*($X21=Table14[Year]),0)),"")</f>
        <v>-1.1178186240281902</v>
      </c>
      <c r="AP21" cm="1">
        <f t="array" ref="AP21">_xlfn.IFNA(INDEX(Table14[Vigtuð vísitala],MATCH(1,(AP$2=Table14[Column1])*($X21=Table14[Year]),0)),"")</f>
        <v>216.00848261302255</v>
      </c>
      <c r="AQ21" cm="1">
        <f t="array" ref="AQ21">_xlfn.IFNA(INDEX(Table14[Vigtuð vísitala],MATCH(1,(AQ$2=Table14[Column1])*($X21=Table14[Year]),0)),"")</f>
        <v>173.32346615769023</v>
      </c>
      <c r="AR21" cm="1">
        <f t="array" ref="AR21">_xlfn.IFNA(INDEX(Table14[Vigtuð vísitala],MATCH(1,(AR$2=Table14[Column1])*($X21=Table14[Year]),0)),"")</f>
        <v>198.3790637652321</v>
      </c>
      <c r="AS21" t="str" cm="1">
        <f t="array" ref="AS21">_xlfn.IFNA(INDEX(Table14[Vigtuð vísitala],MATCH(1,(AS$2=Table14[Column1])*($X21=Table14[Year]),0)),"")</f>
        <v/>
      </c>
      <c r="AT21" cm="1">
        <f t="array" ref="AT21">_xlfn.IFNA(INDEX(Table14[Vigtuð vísitala],MATCH(1,(AT$2=Table14[Column1])*($X21=Table14[Year]),0)),"")</f>
        <v>149.98376741129593</v>
      </c>
      <c r="AU21" t="str" cm="1">
        <f t="array" ref="AU21">_xlfn.IFNA(INDEX(Table14[Vigtuð vísitala],MATCH(1,(AU$2=Table14[Column1])*($X21=Table14[Year]),0)),"")</f>
        <v/>
      </c>
      <c r="AV21" t="str" cm="1">
        <f t="array" ref="AV21">_xlfn.IFNA(INDEX(Table14[Vigtuð vísitala],MATCH(1,(AV$2=Table14[Column1])*($X21=Table14[Year]),0)),"")</f>
        <v/>
      </c>
      <c r="AW21" t="str" cm="1">
        <f t="array" ref="AW21">_xlfn.IFNA(INDEX(Table14[Vigtuð vísitala],MATCH(1,(AW$2=Table14[Column1])*($X21=Table14[Year]),0)),"")</f>
        <v/>
      </c>
      <c r="AX21" t="str" cm="1">
        <f t="array" ref="AX21">_xlfn.IFNA(INDEX(Table14[Vigtuð vísitala],MATCH(1,(AX$2=Table14[Column1])*($X21=Table14[Year]),0)),"")</f>
        <v/>
      </c>
      <c r="AY21" t="str" cm="1">
        <f t="array" ref="AY21">_xlfn.IFNA(INDEX(Table14[Vigtuð vísitala],MATCH(1,(AY$2=Table14[Column1])*($X21=Table14[Year]),0)),"")</f>
        <v/>
      </c>
      <c r="AZ21" t="str" cm="1">
        <f t="array" ref="AZ21">_xlfn.IFNA(INDEX(Table14[Vigtuð vísitala],MATCH(1,(AZ$2=Table14[Column1])*($X21=Table14[Year]),0)),"")</f>
        <v/>
      </c>
      <c r="BA21" t="str" cm="1">
        <f t="array" ref="BA21">_xlfn.IFNA(INDEX(Table14[Vigtuð vísitala],MATCH(1,(BA$2=Table14[Column1])*($X21=Table14[Year]),0)),"")</f>
        <v/>
      </c>
      <c r="BB21" t="str" cm="1">
        <f t="array" ref="BB21">_xlfn.IFNA(INDEX(Table14[Vigtuð vísitala],MATCH(1,(BB$2=Table14[Column1])*($X21=Table14[Year]),0)),"")</f>
        <v/>
      </c>
      <c r="BC21" t="str" cm="1">
        <f t="array" ref="BC21">_xlfn.IFNA(INDEX(Table14[Vigtuð vísitala],MATCH(1,(BC$2=Table14[Column1])*($X21=Table14[Year]),0)),"")</f>
        <v/>
      </c>
      <c r="BD21" t="str" cm="1">
        <f t="array" ref="BD21">_xlfn.IFNA(INDEX(Table14[Vigtuð vísitala],MATCH(1,(BD$2=Table14[Column1])*($X21=Table14[Year]),0)),"")</f>
        <v/>
      </c>
      <c r="BE21" t="str" cm="1">
        <f t="array" ref="BE21">_xlfn.IFNA(INDEX(Table14[Vigtuð vísitala],MATCH(1,(BE$2=Table14[Column1])*($X21=Table14[Year]),0)),"")</f>
        <v/>
      </c>
      <c r="BF21" t="str" cm="1">
        <f t="array" ref="BF21">_xlfn.IFNA(INDEX(Table14[Vigtuð vísitala],MATCH(1,(BF$2=Table14[Column1])*($X21=Table14[Year]),0)),"")</f>
        <v/>
      </c>
      <c r="BG21" t="str" cm="1">
        <f t="array" ref="BG21">_xlfn.IFNA(INDEX(Table14[Vigtuð vísitala],MATCH(1,(BG$2=Table14[Column1])*($X21=Table14[Year]),0)),"")</f>
        <v/>
      </c>
      <c r="BH21" t="str" cm="1">
        <f t="array" ref="BH21">_xlfn.IFNA(INDEX(Table14[Vigtuð vísitala],MATCH(1,(BH$2=Table14[Column1])*($X21=Table14[Year]),0)),"")</f>
        <v/>
      </c>
      <c r="BI21" t="str" cm="1">
        <f t="array" ref="BI21">_xlfn.IFNA(INDEX(Table14[Vigtuð vísitala],MATCH(1,(BI$2=Table14[Column1])*($X21=Table14[Year]),0)),"")</f>
        <v/>
      </c>
      <c r="BJ21" t="str" cm="1">
        <f t="array" ref="BJ21">_xlfn.IFNA(INDEX(Table14[Vigtuð vísitala],MATCH(1,(BJ$2=Table14[Column1])*($X21=Table14[Year]),0)),"")</f>
        <v/>
      </c>
      <c r="BK21" t="str" cm="1">
        <f t="array" ref="BK21">_xlfn.IFNA(INDEX(Table14[Vigtuð vísitala],MATCH(1,(BK$2=Table14[Column1])*($X21=Table14[Year]),0)),"")</f>
        <v/>
      </c>
      <c r="BL21" t="str" cm="1">
        <f t="array" ref="BL21">_xlfn.IFNA(INDEX(Table14[Vigtuð vísitala],MATCH(1,(BL$2=Table14[Column1])*($X21=Table14[Year]),0)),"")</f>
        <v/>
      </c>
      <c r="BM21" t="str" cm="1">
        <f t="array" ref="BM21">_xlfn.IFNA(INDEX(Table14[Vigtuð vísitala],MATCH(1,(BM$2=Table14[Column1])*($X21=Table14[Year]),0)),"")</f>
        <v/>
      </c>
      <c r="BN21" t="str" cm="1">
        <f t="array" ref="BN21">_xlfn.IFNA(INDEX(Table14[Vigtuð vísitala],MATCH(1,(BN$2=Table14[Column1])*($X21=Table14[Year]),0)),"")</f>
        <v/>
      </c>
      <c r="BO21" t="str" cm="1">
        <f t="array" ref="BO21">_xlfn.IFNA(INDEX(Table14[Vigtuð vísitala],MATCH(1,(BO$2=Table14[Column1])*($X21=Table14[Year]),0)),"")</f>
        <v/>
      </c>
      <c r="BP21" t="str" cm="1">
        <f t="array" ref="BP21">_xlfn.IFNA(INDEX(Table14[Vigtuð vísitala],MATCH(1,(BP$2=Table14[Column1])*($X21=Table14[Year]),0)),"")</f>
        <v/>
      </c>
      <c r="BQ21" cm="1">
        <f t="array" ref="BQ21">_xlfn.IFNA(INDEX(Table14[Vigtuð vísitala],MATCH(1,(BQ$2=Table14[Column1])*($X21=Table14[Year]),0)),"")</f>
        <v>167.56139862391757</v>
      </c>
      <c r="BR21" cm="1">
        <f t="array" ref="BR21">_xlfn.IFNA(INDEX(Table14[Vigtuð vísitala],MATCH(1,(BR$2=Table14[Column1])*($X21=Table14[Year]),0)),"")</f>
        <v>328.96202014840918</v>
      </c>
      <c r="BS21" t="str" cm="1">
        <f t="array" ref="BS21">_xlfn.IFNA(INDEX(Table14[Vigtuð vísitala],MATCH(1,(BS$2=Table14[Column1])*($X21=Table14[Year]),0)),"")</f>
        <v/>
      </c>
      <c r="BT21" t="str" cm="1">
        <f t="array" ref="BT21">_xlfn.IFNA(INDEX(Table14[Vigtuð vísitala],MATCH(1,(BT$2=Table14[Column1])*($X21=Table14[Year]),0)),"")</f>
        <v/>
      </c>
      <c r="BU21" t="str" cm="1">
        <f t="array" ref="BU21">_xlfn.IFNA(INDEX(Table14[Vigtuð vísitala],MATCH(1,(BU$2=Table14[Column1])*($X21=Table14[Year]),0)),"")</f>
        <v/>
      </c>
      <c r="BV21" cm="1">
        <f t="array" ref="BV21">_xlfn.IFNA(INDEX(Table14[Vigtuð vísitala],MATCH(1,(BV$2=Table14[Column1])*($X21=Table14[Year]),0)),"")</f>
        <v>181.01454846682341</v>
      </c>
      <c r="BW21" t="str" cm="1">
        <f t="array" ref="BW21">_xlfn.IFNA(INDEX(Table14[Vigtuð vísitala],MATCH(1,(BW$2=Table14[Column1])*($X21=Table14[Year]),0)),"")</f>
        <v/>
      </c>
      <c r="BX21" t="str" cm="1">
        <f t="array" ref="BX21">_xlfn.IFNA(INDEX(Table14[Vigtuð vísitala],MATCH(1,(BX$2=Table14[Column1])*($X21=Table14[Year]),0)),"")</f>
        <v/>
      </c>
      <c r="BY21" t="str" cm="1">
        <f t="array" ref="BY21">_xlfn.IFNA(INDEX(Table14[Vigtuð vísitala],MATCH(1,(BY$2=Table14[Column1])*($X21=Table14[Year]),0)),"")</f>
        <v/>
      </c>
      <c r="BZ21" t="str" cm="1">
        <f t="array" ref="BZ21">_xlfn.IFNA(INDEX(Table14[Vigtuð vísitala],MATCH(1,(BZ$2=Table14[Column1])*($X21=Table14[Year]),0)),"")</f>
        <v/>
      </c>
      <c r="CA21" t="str" cm="1">
        <f t="array" ref="CA21">_xlfn.IFNA(INDEX(Table14[Vigtuð vísitala],MATCH(1,(CA$2=Table14[Column1])*($X21=Table14[Year]),0)),"")</f>
        <v/>
      </c>
      <c r="CB21" cm="1">
        <f t="array" ref="CB21">_xlfn.IFNA(INDEX(Table14[Vigtuð vísitala],MATCH(1,(CB$2=Table14[Column1])*($X21=Table14[Year]),0)),"")</f>
        <v>187.49582187500101</v>
      </c>
      <c r="CC21" t="str" cm="1">
        <f t="array" ref="CC21">_xlfn.IFNA(INDEX(Table14[Vigtuð vísitala],MATCH(1,(CC$2=Table14[Column1])*($X21=Table14[Year]),0)),"")</f>
        <v/>
      </c>
      <c r="CD21" t="str" cm="1">
        <f t="array" ref="CD21">_xlfn.IFNA(INDEX(Table14[Vigtuð vísitala],MATCH(1,(CD$2=Table14[Column1])*($X21=Table14[Year]),0)),"")</f>
        <v/>
      </c>
      <c r="CE21" cm="1">
        <f t="array" ref="CE21">_xlfn.IFNA(INDEX(Table14[Vigtuð vísitala],MATCH(1,(CE$2=Table14[Column1])*($X21=Table14[Year]),0)),"")</f>
        <v>238.27490739478574</v>
      </c>
      <c r="CF21" cm="1">
        <f t="array" ref="CF21">_xlfn.IFNA(INDEX(Table14[Vigtuð vísitala],MATCH(1,(CF$2=Table14[Column1])*($X21=Table14[Year]),0)),"")</f>
        <v>321.06825987849589</v>
      </c>
      <c r="CG21" cm="1">
        <f t="array" ref="CG21">_xlfn.IFNA(INDEX(Table14[Vigtuð vísitala],MATCH(1,(CG$2=Table14[Column1])*($X21=Table14[Year]),0)),"")</f>
        <v>188.90582771028488</v>
      </c>
      <c r="CH21" cm="1">
        <f t="array" ref="CH21">_xlfn.IFNA(INDEX(Table14[Vigtuð vísitala],MATCH(1,(CH$2=Table14[Column1])*($X21=Table14[Year]),0)),"")</f>
        <v>201.10651615864981</v>
      </c>
      <c r="CI21" cm="1">
        <f t="array" ref="CI21">_xlfn.IFNA(INDEX(Table14[Vigtuð vísitala],MATCH(1,(CI$2=Table14[Column1])*($X21=Table14[Year]),0)),"")</f>
        <v>313.08583305377977</v>
      </c>
      <c r="CJ21" cm="1">
        <f t="array" ref="CJ21">_xlfn.IFNA(INDEX(Table14[Vigtuð vísitala],MATCH(1,(CJ$2=Table14[Column1])*($X21=Table14[Year]),0)),"")</f>
        <v>165.17421287892316</v>
      </c>
      <c r="CK21" t="str" cm="1">
        <f t="array" ref="CK21">_xlfn.IFNA(INDEX(Table14[Vigtuð vísitala],MATCH(1,(CK$2=Table14[Column1])*($X21=Table14[Year]),0)),"")</f>
        <v/>
      </c>
      <c r="CL21" t="str" cm="1">
        <f t="array" ref="CL21">_xlfn.IFNA(INDEX(Table14[Vigtuð vísitala],MATCH(1,(CL$2=Table14[Column1])*($X21=Table14[Year]),0)),"")</f>
        <v/>
      </c>
      <c r="CM21" t="str" cm="1">
        <f t="array" ref="CM21">_xlfn.IFNA(INDEX(Table14[Vigtuð vísitala],MATCH(1,(CM$2=Table14[Column1])*($X21=Table14[Year]),0)),"")</f>
        <v/>
      </c>
      <c r="CN21" cm="1">
        <f t="array" ref="CN21">_xlfn.IFNA(INDEX(Table14[Vigtuð vísitala],MATCH(1,(CN$2=Table14[Column1])*($X21=Table14[Year]),0)),"")</f>
        <v>154.29243527635185</v>
      </c>
      <c r="CO21" t="str" cm="1">
        <f t="array" ref="CO21">_xlfn.IFNA(INDEX(Table14[Vigtuð vísitala],MATCH(1,(CO$2=Table14[Column1])*($X21=Table14[Year]),0)),"")</f>
        <v/>
      </c>
      <c r="CP21" t="str" cm="1">
        <f t="array" ref="CP21">_xlfn.IFNA(INDEX(Table14[Vigtuð vísitala],MATCH(1,(CP$2=Table14[Column1])*($X21=Table14[Year]),0)),"")</f>
        <v/>
      </c>
      <c r="CQ21" t="str" cm="1">
        <f t="array" ref="CQ21">_xlfn.IFNA(INDEX(Table14[Vigtuð vísitala],MATCH(1,(CQ$2=Table14[Column1])*($X21=Table14[Year]),0)),"")</f>
        <v/>
      </c>
      <c r="CR21" cm="1">
        <f t="array" ref="CR21">_xlfn.IFNA(INDEX(Table14[Vigtuð vísitala],MATCH(1,(CR$2=Table14[Column1])*($X21=Table14[Year]),0)),"")</f>
        <v>216.72625743527897</v>
      </c>
      <c r="CS21" t="str" cm="1">
        <f t="array" ref="CS21">_xlfn.IFNA(INDEX(Table14[Vigtuð vísitala],MATCH(1,(CS$2=Table14[Column1])*($X21=Table14[Year]),0)),"")</f>
        <v/>
      </c>
      <c r="CT21" cm="1">
        <f t="array" ref="CT21">_xlfn.IFNA(INDEX(Table14[Vigtuð vísitala],MATCH(1,(CT$2=Table14[Column1])*($X21=Table14[Year]),0)),"")</f>
        <v>214.63188465678846</v>
      </c>
      <c r="CU21" t="str" cm="1">
        <f t="array" ref="CU21">_xlfn.IFNA(INDEX(Table14[Vigtuð vísitala],MATCH(1,(CU$2=Table14[Column1])*($X21=Table14[Year]),0)),"")</f>
        <v/>
      </c>
      <c r="CV21" t="str" cm="1">
        <f t="array" ref="CV21">_xlfn.IFNA(INDEX(Table14[Vigtuð vísitala],MATCH(1,(CV$2=Table14[Column1])*($X21=Table14[Year]),0)),"")</f>
        <v/>
      </c>
      <c r="CW21" t="str" cm="1">
        <f t="array" ref="CW21">_xlfn.IFNA(INDEX(Table14[Vigtuð vísitala],MATCH(1,(CW$2=Table14[Column1])*($X21=Table14[Year]),0)),"")</f>
        <v/>
      </c>
      <c r="CX21" t="str" cm="1">
        <f t="array" ref="CX21">_xlfn.IFNA(INDEX(Table14[Vigtuð vísitala],MATCH(1,(CX$2=Table14[Column1])*($X21=Table14[Year]),0)),"")</f>
        <v/>
      </c>
      <c r="CY21" cm="1">
        <f t="array" ref="CY21">_xlfn.IFNA(INDEX(Table14[Vigtuð vísitala],MATCH(1,(CY$2=Table14[Column1])*($X21=Table14[Year]),0)),"")</f>
        <v>222.26876144747612</v>
      </c>
      <c r="CZ21" cm="1">
        <f t="array" ref="CZ21">_xlfn.IFNA(INDEX(Table14[Vigtuð vísitala],MATCH(1,(CZ$2=Table14[Column1])*($X21=Table14[Year]),0)),"")</f>
        <v>197.62744542151256</v>
      </c>
      <c r="DA21" t="str" cm="1">
        <f t="array" ref="DA21">_xlfn.IFNA(INDEX(Table14[Vigtuð vísitala],MATCH(1,(DA$2=Table14[Column1])*($X21=Table14[Year]),0)),"")</f>
        <v/>
      </c>
      <c r="DB21" t="str" cm="1">
        <f t="array" ref="DB21">_xlfn.IFNA(INDEX(Table14[Vigtuð vísitala],MATCH(1,(DB$2=Table14[Column1])*($X21=Table14[Year]),0)),"")</f>
        <v/>
      </c>
      <c r="DC21" cm="1">
        <f t="array" ref="DC21">_xlfn.IFNA(INDEX(Table14[Vigtuð vísitala],MATCH(1,(DC$2=Table14[Column1])*($X21=Table14[Year]),0)),"")</f>
        <v>226.67803726766076</v>
      </c>
      <c r="DD21" cm="1">
        <f t="array" ref="DD21">_xlfn.IFNA(INDEX(Table14[Vigtuð vísitala],MATCH(1,(DD$2=Table14[Column1])*($X21=Table14[Year]),0)),"")</f>
        <v>200.72522715815398</v>
      </c>
      <c r="DE21" cm="1">
        <f t="array" ref="DE21">_xlfn.IFNA(INDEX(Table14[Vigtuð vísitala],MATCH(1,(DE$2=Table14[Column1])*($X21=Table14[Year]),0)),"")</f>
        <v>215.5575970537252</v>
      </c>
      <c r="DF21" t="str" cm="1">
        <f t="array" ref="DF21">_xlfn.IFNA(INDEX(Table14[Vigtuð vísitala],MATCH(1,(DF$2=Table14[Column1])*($X21=Table14[Year]),0)),"")</f>
        <v/>
      </c>
    </row>
    <row r="22" spans="1:110">
      <c r="A22" t="s">
        <v>55</v>
      </c>
      <c r="B22">
        <v>2000</v>
      </c>
      <c r="C22" s="16">
        <v>-0.03</v>
      </c>
      <c r="D22" s="1">
        <v>8504168.3599999994</v>
      </c>
      <c r="E22" s="29">
        <f>Table14[[#This Row],[Ávöxtun]]*Table14[[#This Row],[Eignir]]/SUMIFS(Table14[Eignir],Table14[Year],Table14[[#This Row],[Year]])</f>
        <v>-3.5888133828094213E-4</v>
      </c>
      <c r="F22" s="23" t="e">
        <f>IF(B22=1997, 100, IF(COUNTIF(A$1:A21,A22)=0, "NEW", F21*(1+Table14[[#This Row],[Ávöxtun]])))</f>
        <v>#VALUE!</v>
      </c>
      <c r="G22" s="18" t="str" cm="1">
        <f t="array" ref="G22">IFERROR(_xlfn.IFS(ISNUMBER(Table14[[#This Row],[Column3]]),Table14[[#This Row],[Column3]],Table14[[#This Row],[Column3]]="NEW",Table14[[#This Row],[Column3]]),"")</f>
        <v/>
      </c>
      <c r="H22" s="15" cm="1">
        <f t="array" ref="H22">_xlfn.IFS(Table14[[#This Row],[Column4]]="NEW",AVERAGEIFS(Table14[Column4],Table14[Year],Table14[[#This Row],[Year]]),ISNUMBER(Table14[[#This Row],[Column4]]),Table14[[#This Row],[Column4]],Table14[[#This Row],[Column4]]="",H21*(1+Table14[[#This Row],[Ávöxtun]]))</f>
        <v>113.54146938775511</v>
      </c>
      <c r="I22" cm="1">
        <f t="array" ref="I22">_xlfn.IFS(Table14[[#This Row],[Column4]]="NEW",_xlfn.XLOOKUP(Table14[[#This Row],[Year]],$M$2:$M$27,$O$2:$O$27),ISNUMBER(Table14[[#This Row],[Column4]]),Table14[[#This Row],[Column4]],Table14[[#This Row],[Column4]]="",I21*(1+Table14[[#This Row],[Ávöxtun]]))</f>
        <v>116.41971976784974</v>
      </c>
      <c r="K22" s="25"/>
      <c r="L22" s="33">
        <v>116.41971976784974</v>
      </c>
      <c r="M22">
        <v>2016</v>
      </c>
      <c r="N22" s="27">
        <f>SUMIFS(Table14[Column2],Table14[Year],M22)</f>
        <v>-3.1990753254988354E-3</v>
      </c>
      <c r="O22">
        <f t="shared" si="0"/>
        <v>225.71206190614538</v>
      </c>
      <c r="P22" s="26" cm="1">
        <f t="array" ref="P22">_xlfn.QUARTILE.EXC(IF($B$2:$B$939 = M22, $I$2:$I$939), 3)</f>
        <v>225.84021672789038</v>
      </c>
      <c r="Q22" s="26" cm="1">
        <f t="array" ref="Q22">_xlfn.QUARTILE.EXC(IF($B$2:$B$939 = M22, $I$2:$I$939), 1)</f>
        <v>171.20838212910107</v>
      </c>
      <c r="R22" s="26" cm="1">
        <f t="array" ref="R22">_xlfn.QUARTILE.EXC(IF($B$2:$B$939 = M22, $I$2:$I$939), 2)</f>
        <v>207.20871647622775</v>
      </c>
      <c r="S22" s="17" cm="1">
        <f t="array" ref="S22">_xlfn.QUARTILE.EXC(IF($B$2:$B$939 = M22, $C$2:$C$939), 3)</f>
        <v>7.6500000000000005E-3</v>
      </c>
      <c r="T22" s="17" cm="1">
        <f t="array" ref="T22">_xlfn.QUARTILE.EXC(IF($B$2:$B$939 = M22, $C$2:$C$939), 1)</f>
        <v>-1.3000000000000001E-2</v>
      </c>
      <c r="U22" s="17" cm="1">
        <f t="array" ref="U22">_xlfn.QUARTILE.EXC(IF($B$2:$B$939 = M22, $C$2:$C$939), 2)</f>
        <v>-5.0000000000000001E-4</v>
      </c>
      <c r="X22">
        <v>2016</v>
      </c>
      <c r="Y22">
        <f t="shared" si="1"/>
        <v>225.71206190614538</v>
      </c>
      <c r="Z22" cm="1">
        <f t="array" ref="Z22">_xlfn.IFNA(INDEX(Table14[Vigtuð vísitala],MATCH(1,(Z$2=Table14[Column1])*($X22=Table14[Year]),0)),"")</f>
        <v>151.52229977142346</v>
      </c>
      <c r="AB22" t="str" cm="1">
        <f t="array" ref="AB22">_xlfn.IFNA(INDEX(Table14[Vigtuð vísitala],MATCH(1,(AB$2=Table14[Column1])*($X22=Table14[Year]),0)),"")</f>
        <v/>
      </c>
      <c r="AC22" t="str" cm="1">
        <f t="array" ref="AC22">_xlfn.IFNA(INDEX(Table14[Vigtuð vísitala],MATCH(1,(AC$2=Table14[Column1])*($X22=Table14[Year]),0)),"")</f>
        <v/>
      </c>
      <c r="AD22" cm="1">
        <f t="array" ref="AD22">_xlfn.IFNA(INDEX(Table14[Vigtuð vísitala],MATCH(1,(AD$2=Table14[Column1])*($X22=Table14[Year]),0)),"")</f>
        <v>225.71206190614538</v>
      </c>
      <c r="AE22" cm="1">
        <f t="array" ref="AE22">_xlfn.IFNA(INDEX(Table14[Vigtuð vísitala],MATCH(1,(AE$2=Table14[Column1])*($X22=Table14[Year]),0)),"")</f>
        <v>225.71206190614538</v>
      </c>
      <c r="AF22" t="str" cm="1">
        <f t="array" ref="AF22">_xlfn.IFNA(INDEX(Table14[Vigtuð vísitala],MATCH(1,(AF$2=Table14[Column1])*($X22=Table14[Year]),0)),"")</f>
        <v/>
      </c>
      <c r="AG22" t="str" cm="1">
        <f t="array" ref="AG22">_xlfn.IFNA(INDEX(Table14[Vigtuð vísitala],MATCH(1,(AG$2=Table14[Column1])*($X22=Table14[Year]),0)),"")</f>
        <v/>
      </c>
      <c r="AH22" t="str" cm="1">
        <f t="array" ref="AH22">_xlfn.IFNA(INDEX(Table14[Vigtuð vísitala],MATCH(1,(AH$2=Table14[Column1])*($X22=Table14[Year]),0)),"")</f>
        <v/>
      </c>
      <c r="AI22" t="str" cm="1">
        <f t="array" ref="AI22">_xlfn.IFNA(INDEX(Table14[Vigtuð vísitala],MATCH(1,(AI$2=Table14[Column1])*($X22=Table14[Year]),0)),"")</f>
        <v/>
      </c>
      <c r="AJ22" t="str" cm="1">
        <f t="array" ref="AJ22">_xlfn.IFNA(INDEX(Table14[Vigtuð vísitala],MATCH(1,(AJ$2=Table14[Column1])*($X22=Table14[Year]),0)),"")</f>
        <v/>
      </c>
      <c r="AK22" t="str" cm="1">
        <f t="array" ref="AK22">_xlfn.IFNA(INDEX(Table14[Vigtuð vísitala],MATCH(1,(AK$2=Table14[Column1])*($X22=Table14[Year]),0)),"")</f>
        <v/>
      </c>
      <c r="AL22" cm="1">
        <f t="array" ref="AL22">_xlfn.IFNA(INDEX(Table14[Vigtuð vísitala],MATCH(1,(AL$2=Table14[Column1])*($X22=Table14[Year]),0)),"")</f>
        <v>181.22010586551448</v>
      </c>
      <c r="AM22" cm="1">
        <f t="array" ref="AM22">_xlfn.IFNA(INDEX(Table14[Vigtuð vísitala],MATCH(1,(AM$2=Table14[Column1])*($X22=Table14[Year]),0)),"")</f>
        <v>210.69653208374325</v>
      </c>
      <c r="AN22" t="str" cm="1">
        <f t="array" ref="AN22">_xlfn.IFNA(INDEX(Table14[Vigtuð vísitala],MATCH(1,(AN$2=Table14[Column1])*($X22=Table14[Year]),0)),"")</f>
        <v/>
      </c>
      <c r="AO22" cm="1">
        <f t="array" ref="AO22">_xlfn.IFNA(INDEX(Table14[Vigtuð vísitala],MATCH(1,(AO$2=Table14[Column1])*($X22=Table14[Year]),0)),"")</f>
        <v>-0.74670284085083094</v>
      </c>
      <c r="AP22" cm="1">
        <f t="array" ref="AP22">_xlfn.IFNA(INDEX(Table14[Vigtuð vísitala],MATCH(1,(AP$2=Table14[Column1])*($X22=Table14[Year]),0)),"")</f>
        <v>217.1533275708716</v>
      </c>
      <c r="AQ22" cm="1">
        <f t="array" ref="AQ22">_xlfn.IFNA(INDEX(Table14[Vigtuð vísitala],MATCH(1,(AQ$2=Table14[Column1])*($X22=Table14[Year]),0)),"")</f>
        <v>173.15014269153255</v>
      </c>
      <c r="AR22" cm="1">
        <f t="array" ref="AR22">_xlfn.IFNA(INDEX(Table14[Vigtuð vísitala],MATCH(1,(AR$2=Table14[Column1])*($X22=Table14[Year]),0)),"")</f>
        <v>196.593652191345</v>
      </c>
      <c r="AS22" t="str" cm="1">
        <f t="array" ref="AS22">_xlfn.IFNA(INDEX(Table14[Vigtuð vísitala],MATCH(1,(AS$2=Table14[Column1])*($X22=Table14[Year]),0)),"")</f>
        <v/>
      </c>
      <c r="AT22" cm="1">
        <f t="array" ref="AT22">_xlfn.IFNA(INDEX(Table14[Vigtuð vísitala],MATCH(1,(AT$2=Table14[Column1])*($X22=Table14[Year]),0)),"")</f>
        <v>151.87356288067824</v>
      </c>
      <c r="AU22" t="str" cm="1">
        <f t="array" ref="AU22">_xlfn.IFNA(INDEX(Table14[Vigtuð vísitala],MATCH(1,(AU$2=Table14[Column1])*($X22=Table14[Year]),0)),"")</f>
        <v/>
      </c>
      <c r="AV22" t="str" cm="1">
        <f t="array" ref="AV22">_xlfn.IFNA(INDEX(Table14[Vigtuð vísitala],MATCH(1,(AV$2=Table14[Column1])*($X22=Table14[Year]),0)),"")</f>
        <v/>
      </c>
      <c r="AW22" t="str" cm="1">
        <f t="array" ref="AW22">_xlfn.IFNA(INDEX(Table14[Vigtuð vísitala],MATCH(1,(AW$2=Table14[Column1])*($X22=Table14[Year]),0)),"")</f>
        <v/>
      </c>
      <c r="AX22" t="str" cm="1">
        <f t="array" ref="AX22">_xlfn.IFNA(INDEX(Table14[Vigtuð vísitala],MATCH(1,(AX$2=Table14[Column1])*($X22=Table14[Year]),0)),"")</f>
        <v/>
      </c>
      <c r="AY22" t="str" cm="1">
        <f t="array" ref="AY22">_xlfn.IFNA(INDEX(Table14[Vigtuð vísitala],MATCH(1,(AY$2=Table14[Column1])*($X22=Table14[Year]),0)),"")</f>
        <v/>
      </c>
      <c r="AZ22" t="str" cm="1">
        <f t="array" ref="AZ22">_xlfn.IFNA(INDEX(Table14[Vigtuð vísitala],MATCH(1,(AZ$2=Table14[Column1])*($X22=Table14[Year]),0)),"")</f>
        <v/>
      </c>
      <c r="BA22" t="str" cm="1">
        <f t="array" ref="BA22">_xlfn.IFNA(INDEX(Table14[Vigtuð vísitala],MATCH(1,(BA$2=Table14[Column1])*($X22=Table14[Year]),0)),"")</f>
        <v/>
      </c>
      <c r="BB22" t="str" cm="1">
        <f t="array" ref="BB22">_xlfn.IFNA(INDEX(Table14[Vigtuð vísitala],MATCH(1,(BB$2=Table14[Column1])*($X22=Table14[Year]),0)),"")</f>
        <v/>
      </c>
      <c r="BC22" t="str" cm="1">
        <f t="array" ref="BC22">_xlfn.IFNA(INDEX(Table14[Vigtuð vísitala],MATCH(1,(BC$2=Table14[Column1])*($X22=Table14[Year]),0)),"")</f>
        <v/>
      </c>
      <c r="BD22" t="str" cm="1">
        <f t="array" ref="BD22">_xlfn.IFNA(INDEX(Table14[Vigtuð vísitala],MATCH(1,(BD$2=Table14[Column1])*($X22=Table14[Year]),0)),"")</f>
        <v/>
      </c>
      <c r="BE22" t="str" cm="1">
        <f t="array" ref="BE22">_xlfn.IFNA(INDEX(Table14[Vigtuð vísitala],MATCH(1,(BE$2=Table14[Column1])*($X22=Table14[Year]),0)),"")</f>
        <v/>
      </c>
      <c r="BF22" t="str" cm="1">
        <f t="array" ref="BF22">_xlfn.IFNA(INDEX(Table14[Vigtuð vísitala],MATCH(1,(BF$2=Table14[Column1])*($X22=Table14[Year]),0)),"")</f>
        <v/>
      </c>
      <c r="BG22" t="str" cm="1">
        <f t="array" ref="BG22">_xlfn.IFNA(INDEX(Table14[Vigtuð vísitala],MATCH(1,(BG$2=Table14[Column1])*($X22=Table14[Year]),0)),"")</f>
        <v/>
      </c>
      <c r="BH22" t="str" cm="1">
        <f t="array" ref="BH22">_xlfn.IFNA(INDEX(Table14[Vigtuð vísitala],MATCH(1,(BH$2=Table14[Column1])*($X22=Table14[Year]),0)),"")</f>
        <v/>
      </c>
      <c r="BI22" t="str" cm="1">
        <f t="array" ref="BI22">_xlfn.IFNA(INDEX(Table14[Vigtuð vísitala],MATCH(1,(BI$2=Table14[Column1])*($X22=Table14[Year]),0)),"")</f>
        <v/>
      </c>
      <c r="BJ22" t="str" cm="1">
        <f t="array" ref="BJ22">_xlfn.IFNA(INDEX(Table14[Vigtuð vísitala],MATCH(1,(BJ$2=Table14[Column1])*($X22=Table14[Year]),0)),"")</f>
        <v/>
      </c>
      <c r="BK22" t="str" cm="1">
        <f t="array" ref="BK22">_xlfn.IFNA(INDEX(Table14[Vigtuð vísitala],MATCH(1,(BK$2=Table14[Column1])*($X22=Table14[Year]),0)),"")</f>
        <v/>
      </c>
      <c r="BL22" t="str" cm="1">
        <f t="array" ref="BL22">_xlfn.IFNA(INDEX(Table14[Vigtuð vísitala],MATCH(1,(BL$2=Table14[Column1])*($X22=Table14[Year]),0)),"")</f>
        <v/>
      </c>
      <c r="BM22" t="str" cm="1">
        <f t="array" ref="BM22">_xlfn.IFNA(INDEX(Table14[Vigtuð vísitala],MATCH(1,(BM$2=Table14[Column1])*($X22=Table14[Year]),0)),"")</f>
        <v/>
      </c>
      <c r="BN22" t="str" cm="1">
        <f t="array" ref="BN22">_xlfn.IFNA(INDEX(Table14[Vigtuð vísitala],MATCH(1,(BN$2=Table14[Column1])*($X22=Table14[Year]),0)),"")</f>
        <v/>
      </c>
      <c r="BO22" t="str" cm="1">
        <f t="array" ref="BO22">_xlfn.IFNA(INDEX(Table14[Vigtuð vísitala],MATCH(1,(BO$2=Table14[Column1])*($X22=Table14[Year]),0)),"")</f>
        <v/>
      </c>
      <c r="BP22" t="str" cm="1">
        <f t="array" ref="BP22">_xlfn.IFNA(INDEX(Table14[Vigtuð vísitala],MATCH(1,(BP$2=Table14[Column1])*($X22=Table14[Year]),0)),"")</f>
        <v/>
      </c>
      <c r="BQ22" cm="1">
        <f t="array" ref="BQ22">_xlfn.IFNA(INDEX(Table14[Vigtuð vísitala],MATCH(1,(BQ$2=Table14[Column1])*($X22=Table14[Year]),0)),"")</f>
        <v>165.38310044180665</v>
      </c>
      <c r="BR22" cm="1">
        <f t="array" ref="BR22">_xlfn.IFNA(INDEX(Table14[Vigtuð vísitala],MATCH(1,(BR$2=Table14[Column1])*($X22=Table14[Year]),0)),"")</f>
        <v>339.48880479315829</v>
      </c>
      <c r="BS22" t="str" cm="1">
        <f t="array" ref="BS22">_xlfn.IFNA(INDEX(Table14[Vigtuð vísitala],MATCH(1,(BS$2=Table14[Column1])*($X22=Table14[Year]),0)),"")</f>
        <v/>
      </c>
      <c r="BT22" t="str" cm="1">
        <f t="array" ref="BT22">_xlfn.IFNA(INDEX(Table14[Vigtuð vísitala],MATCH(1,(BT$2=Table14[Column1])*($X22=Table14[Year]),0)),"")</f>
        <v/>
      </c>
      <c r="BU22" t="str" cm="1">
        <f t="array" ref="BU22">_xlfn.IFNA(INDEX(Table14[Vigtuð vísitala],MATCH(1,(BU$2=Table14[Column1])*($X22=Table14[Year]),0)),"")</f>
        <v/>
      </c>
      <c r="BV22" cm="1">
        <f t="array" ref="BV22">_xlfn.IFNA(INDEX(Table14[Vigtuð vísitala],MATCH(1,(BV$2=Table14[Column1])*($X22=Table14[Year]),0)),"")</f>
        <v>179.25870734669522</v>
      </c>
      <c r="BW22" t="str" cm="1">
        <f t="array" ref="BW22">_xlfn.IFNA(INDEX(Table14[Vigtuð vísitala],MATCH(1,(BW$2=Table14[Column1])*($X22=Table14[Year]),0)),"")</f>
        <v/>
      </c>
      <c r="BX22" t="str" cm="1">
        <f t="array" ref="BX22">_xlfn.IFNA(INDEX(Table14[Vigtuð vísitala],MATCH(1,(BX$2=Table14[Column1])*($X22=Table14[Year]),0)),"")</f>
        <v/>
      </c>
      <c r="BY22" t="str" cm="1">
        <f t="array" ref="BY22">_xlfn.IFNA(INDEX(Table14[Vigtuð vísitala],MATCH(1,(BY$2=Table14[Column1])*($X22=Table14[Year]),0)),"")</f>
        <v/>
      </c>
      <c r="BZ22" t="str" cm="1">
        <f t="array" ref="BZ22">_xlfn.IFNA(INDEX(Table14[Vigtuð vísitala],MATCH(1,(BZ$2=Table14[Column1])*($X22=Table14[Year]),0)),"")</f>
        <v/>
      </c>
      <c r="CA22" t="str" cm="1">
        <f t="array" ref="CA22">_xlfn.IFNA(INDEX(Table14[Vigtuð vísitala],MATCH(1,(CA$2=Table14[Column1])*($X22=Table14[Year]),0)),"")</f>
        <v/>
      </c>
      <c r="CB22" cm="1">
        <f t="array" ref="CB22">_xlfn.IFNA(INDEX(Table14[Vigtuð vísitala],MATCH(1,(CB$2=Table14[Column1])*($X22=Table14[Year]),0)),"")</f>
        <v>187.62706895031349</v>
      </c>
      <c r="CC22" t="str" cm="1">
        <f t="array" ref="CC22">_xlfn.IFNA(INDEX(Table14[Vigtuð vísitala],MATCH(1,(CC$2=Table14[Column1])*($X22=Table14[Year]),0)),"")</f>
        <v/>
      </c>
      <c r="CD22" t="str" cm="1">
        <f t="array" ref="CD22">_xlfn.IFNA(INDEX(Table14[Vigtuð vísitala],MATCH(1,(CD$2=Table14[Column1])*($X22=Table14[Year]),0)),"")</f>
        <v/>
      </c>
      <c r="CE22" cm="1">
        <f t="array" ref="CE22">_xlfn.IFNA(INDEX(Table14[Vigtuð vísitala],MATCH(1,(CE$2=Table14[Column1])*($X22=Table14[Year]),0)),"")</f>
        <v>243.63609281116842</v>
      </c>
      <c r="CF22" cm="1">
        <f t="array" ref="CF22">_xlfn.IFNA(INDEX(Table14[Vigtuð vísitala],MATCH(1,(CF$2=Table14[Column1])*($X22=Table14[Year]),0)),"")</f>
        <v>322.64149435190052</v>
      </c>
      <c r="CG22" cm="1">
        <f t="array" ref="CG22">_xlfn.IFNA(INDEX(Table14[Vigtuð vísitala],MATCH(1,(CG$2=Table14[Column1])*($X22=Table14[Year]),0)),"")</f>
        <v>189.09473353799515</v>
      </c>
      <c r="CH22" cm="1">
        <f t="array" ref="CH22">_xlfn.IFNA(INDEX(Table14[Vigtuð vísitala],MATCH(1,(CH$2=Table14[Column1])*($X22=Table14[Year]),0)),"")</f>
        <v>203.72090086871225</v>
      </c>
      <c r="CI22" cm="1">
        <f t="array" ref="CI22">_xlfn.IFNA(INDEX(Table14[Vigtuð vísitala],MATCH(1,(CI$2=Table14[Column1])*($X22=Table14[Year]),0)),"")</f>
        <v>314.87042230218634</v>
      </c>
      <c r="CJ22" cm="1">
        <f t="array" ref="CJ22">_xlfn.IFNA(INDEX(Table14[Vigtuð vísitala],MATCH(1,(CJ$2=Table14[Column1])*($X22=Table14[Year]),0)),"")</f>
        <v>162.03590283422361</v>
      </c>
      <c r="CK22" t="str" cm="1">
        <f t="array" ref="CK22">_xlfn.IFNA(INDEX(Table14[Vigtuð vísitala],MATCH(1,(CK$2=Table14[Column1])*($X22=Table14[Year]),0)),"")</f>
        <v/>
      </c>
      <c r="CL22" t="str" cm="1">
        <f t="array" ref="CL22">_xlfn.IFNA(INDEX(Table14[Vigtuð vísitala],MATCH(1,(CL$2=Table14[Column1])*($X22=Table14[Year]),0)),"")</f>
        <v/>
      </c>
      <c r="CM22" t="str" cm="1">
        <f t="array" ref="CM22">_xlfn.IFNA(INDEX(Table14[Vigtuð vísitala],MATCH(1,(CM$2=Table14[Column1])*($X22=Table14[Year]),0)),"")</f>
        <v/>
      </c>
      <c r="CN22" cm="1">
        <f t="array" ref="CN22">_xlfn.IFNA(INDEX(Table14[Vigtuð vísitala],MATCH(1,(CN$2=Table14[Column1])*($X22=Table14[Year]),0)),"")</f>
        <v>156.42167088316552</v>
      </c>
      <c r="CO22" t="str" cm="1">
        <f t="array" ref="CO22">_xlfn.IFNA(INDEX(Table14[Vigtuð vísitala],MATCH(1,(CO$2=Table14[Column1])*($X22=Table14[Year]),0)),"")</f>
        <v/>
      </c>
      <c r="CP22" t="str" cm="1">
        <f t="array" ref="CP22">_xlfn.IFNA(INDEX(Table14[Vigtuð vísitala],MATCH(1,(CP$2=Table14[Column1])*($X22=Table14[Year]),0)),"")</f>
        <v/>
      </c>
      <c r="CQ22" t="str" cm="1">
        <f t="array" ref="CQ22">_xlfn.IFNA(INDEX(Table14[Vigtuð vísitala],MATCH(1,(CQ$2=Table14[Column1])*($X22=Table14[Year]),0)),"")</f>
        <v/>
      </c>
      <c r="CR22" cm="1">
        <f t="array" ref="CR22">_xlfn.IFNA(INDEX(Table14[Vigtuð vísitala],MATCH(1,(CR$2=Table14[Column1])*($X22=Table14[Year]),0)),"")</f>
        <v>214.12554234605562</v>
      </c>
      <c r="CS22" t="str" cm="1">
        <f t="array" ref="CS22">_xlfn.IFNA(INDEX(Table14[Vigtuð vísitala],MATCH(1,(CS$2=Table14[Column1])*($X22=Table14[Year]),0)),"")</f>
        <v/>
      </c>
      <c r="CT22" cm="1">
        <f t="array" ref="CT22">_xlfn.IFNA(INDEX(Table14[Vigtuð vísitala],MATCH(1,(CT$2=Table14[Column1])*($X22=Table14[Year]),0)),"")</f>
        <v>211.84167015625022</v>
      </c>
      <c r="CU22" t="str" cm="1">
        <f t="array" ref="CU22">_xlfn.IFNA(INDEX(Table14[Vigtuð vísitala],MATCH(1,(CU$2=Table14[Column1])*($X22=Table14[Year]),0)),"")</f>
        <v/>
      </c>
      <c r="CV22" t="str" cm="1">
        <f t="array" ref="CV22">_xlfn.IFNA(INDEX(Table14[Vigtuð vísitala],MATCH(1,(CV$2=Table14[Column1])*($X22=Table14[Year]),0)),"")</f>
        <v/>
      </c>
      <c r="CW22" t="str" cm="1">
        <f t="array" ref="CW22">_xlfn.IFNA(INDEX(Table14[Vigtuð vísitala],MATCH(1,(CW$2=Table14[Column1])*($X22=Table14[Year]),0)),"")</f>
        <v/>
      </c>
      <c r="CX22" t="str" cm="1">
        <f t="array" ref="CX22">_xlfn.IFNA(INDEX(Table14[Vigtuð vísitala],MATCH(1,(CX$2=Table14[Column1])*($X22=Table14[Year]),0)),"")</f>
        <v/>
      </c>
      <c r="CY22" cm="1">
        <f t="array" ref="CY22">_xlfn.IFNA(INDEX(Table14[Vigtuð vísitala],MATCH(1,(CY$2=Table14[Column1])*($X22=Table14[Year]),0)),"")</f>
        <v>228.04774924511051</v>
      </c>
      <c r="CZ22" t="str" cm="1">
        <f t="array" ref="CZ22">_xlfn.IFNA(INDEX(Table14[Vigtuð vísitala],MATCH(1,(CZ$2=Table14[Column1])*($X22=Table14[Year]),0)),"")</f>
        <v/>
      </c>
      <c r="DA22" t="str" cm="1">
        <f t="array" ref="DA22">_xlfn.IFNA(INDEX(Table14[Vigtuð vísitala],MATCH(1,(DA$2=Table14[Column1])*($X22=Table14[Year]),0)),"")</f>
        <v/>
      </c>
      <c r="DB22" t="str" cm="1">
        <f t="array" ref="DB22">_xlfn.IFNA(INDEX(Table14[Vigtuð vísitala],MATCH(1,(DB$2=Table14[Column1])*($X22=Table14[Year]),0)),"")</f>
        <v/>
      </c>
      <c r="DC22" cm="1">
        <f t="array" ref="DC22">_xlfn.IFNA(INDEX(Table14[Vigtuð vísitala],MATCH(1,(DC$2=Table14[Column1])*($X22=Table14[Year]),0)),"")</f>
        <v>226.22468119312543</v>
      </c>
      <c r="DD22" t="str" cm="1">
        <f t="array" ref="DD22">_xlfn.IFNA(INDEX(Table14[Vigtuð vísitala],MATCH(1,(DD$2=Table14[Column1])*($X22=Table14[Year]),0)),"")</f>
        <v/>
      </c>
      <c r="DE22" cm="1">
        <f t="array" ref="DE22">_xlfn.IFNA(INDEX(Table14[Vigtuð vísitala],MATCH(1,(DE$2=Table14[Column1])*($X22=Table14[Year]),0)),"")</f>
        <v>215.27737217755538</v>
      </c>
      <c r="DF22" t="str" cm="1">
        <f t="array" ref="DF22">_xlfn.IFNA(INDEX(Table14[Vigtuð vísitala],MATCH(1,(DF$2=Table14[Column1])*($X22=Table14[Year]),0)),"")</f>
        <v/>
      </c>
    </row>
    <row r="23" spans="1:110">
      <c r="A23" t="s">
        <v>55</v>
      </c>
      <c r="B23">
        <v>2001</v>
      </c>
      <c r="C23" s="16">
        <v>0</v>
      </c>
      <c r="D23" s="1">
        <v>12565186.439999999</v>
      </c>
      <c r="E23" s="29">
        <f>Table14[[#This Row],[Ávöxtun]]*Table14[[#This Row],[Eignir]]/SUMIFS(Table14[Eignir],Table14[Year],Table14[[#This Row],[Year]])</f>
        <v>0</v>
      </c>
      <c r="F23" s="23" t="e">
        <f>IF(B23=1997, 100, IF(COUNTIF(A$1:A22,A23)=0, "NEW", F22*(1+Table14[[#This Row],[Ávöxtun]])))</f>
        <v>#VALUE!</v>
      </c>
      <c r="G23" s="18" t="str" cm="1">
        <f t="array" ref="G23">IFERROR(_xlfn.IFS(ISNUMBER(Table14[[#This Row],[Column3]]),Table14[[#This Row],[Column3]],Table14[[#This Row],[Column3]]="NEW",Table14[[#This Row],[Column3]]),"")</f>
        <v/>
      </c>
      <c r="H23" s="15" cm="1">
        <f t="array" ref="H23">_xlfn.IFS(Table14[[#This Row],[Column4]]="NEW",AVERAGEIFS(Table14[Column4],Table14[Year],Table14[[#This Row],[Year]]),ISNUMBER(Table14[[#This Row],[Column4]]),Table14[[#This Row],[Column4]],Table14[[#This Row],[Column4]]="",H22*(1+Table14[[#This Row],[Ávöxtun]]))</f>
        <v>113.54146938775511</v>
      </c>
      <c r="I23" cm="1">
        <f t="array" ref="I23">_xlfn.IFS(Table14[[#This Row],[Column4]]="NEW",_xlfn.XLOOKUP(Table14[[#This Row],[Year]],$M$2:$M$27,$O$2:$O$27),ISNUMBER(Table14[[#This Row],[Column4]]),Table14[[#This Row],[Column4]],Table14[[#This Row],[Column4]]="",I22*(1+Table14[[#This Row],[Ávöxtun]]))</f>
        <v>116.41971976784974</v>
      </c>
      <c r="L23" s="33">
        <v>116.41971976784974</v>
      </c>
      <c r="M23">
        <v>2017</v>
      </c>
      <c r="N23" s="27">
        <f>SUMIFS(Table14[Column2],Table14[Year],M23)</f>
        <v>7.5034418664388688E-2</v>
      </c>
      <c r="O23">
        <f t="shared" si="0"/>
        <v>242.64823525681354</v>
      </c>
      <c r="P23" s="26" cm="1">
        <f t="array" ref="P23">_xlfn.QUARTILE.EXC(IF($B$2:$B$939 = M23, $I$2:$I$939), 3)</f>
        <v>238.02321425358701</v>
      </c>
      <c r="Q23" s="26" cm="1">
        <f t="array" ref="Q23">_xlfn.QUARTILE.EXC(IF($B$2:$B$939 = M23, $I$2:$I$939), 1)</f>
        <v>180.9663228071754</v>
      </c>
      <c r="R23" s="26" cm="1">
        <f t="array" ref="R23">_xlfn.QUARTILE.EXC(IF($B$2:$B$939 = M23, $I$2:$I$939), 2)</f>
        <v>218.51653498584605</v>
      </c>
      <c r="S23" s="17" cm="1">
        <f t="array" ref="S23">_xlfn.QUARTILE.EXC(IF($B$2:$B$939 = M23, $C$2:$C$939), 3)</f>
        <v>6.7500000000000004E-2</v>
      </c>
      <c r="T23" s="17" cm="1">
        <f t="array" ref="T23">_xlfn.QUARTILE.EXC(IF($B$2:$B$939 = M23, $C$2:$C$939), 1)</f>
        <v>4.4249999999999998E-2</v>
      </c>
      <c r="U23" s="17" cm="1">
        <f t="array" ref="U23">_xlfn.QUARTILE.EXC(IF($B$2:$B$939 = M23, $C$2:$C$939), 2)</f>
        <v>5.2999999999999999E-2</v>
      </c>
      <c r="X23">
        <v>2017</v>
      </c>
      <c r="Y23">
        <f t="shared" si="1"/>
        <v>242.64823525681354</v>
      </c>
      <c r="Z23" cm="1">
        <f t="array" ref="Z23">_xlfn.IFNA(INDEX(Table14[Vigtuð vísitala],MATCH(1,(Z$2=Table14[Column1])*($X23=Table14[Year]),0)),"")</f>
        <v>162.12886075542312</v>
      </c>
      <c r="AB23" t="str" cm="1">
        <f t="array" ref="AB23">_xlfn.IFNA(INDEX(Table14[Vigtuð vísitala],MATCH(1,(AB$2=Table14[Column1])*($X23=Table14[Year]),0)),"")</f>
        <v/>
      </c>
      <c r="AC23" t="str" cm="1">
        <f t="array" ref="AC23">_xlfn.IFNA(INDEX(Table14[Vigtuð vísitala],MATCH(1,(AC$2=Table14[Column1])*($X23=Table14[Year]),0)),"")</f>
        <v/>
      </c>
      <c r="AD23" cm="1">
        <f t="array" ref="AD23">_xlfn.IFNA(INDEX(Table14[Vigtuð vísitala],MATCH(1,(AD$2=Table14[Column1])*($X23=Table14[Year]),0)),"")</f>
        <v>237.44908912526495</v>
      </c>
      <c r="AE23" cm="1">
        <f t="array" ref="AE23">_xlfn.IFNA(INDEX(Table14[Vigtuð vísitala],MATCH(1,(AE$2=Table14[Column1])*($X23=Table14[Year]),0)),"")</f>
        <v>262.9545521206594</v>
      </c>
      <c r="AF23" t="str" cm="1">
        <f t="array" ref="AF23">_xlfn.IFNA(INDEX(Table14[Vigtuð vísitala],MATCH(1,(AF$2=Table14[Column1])*($X23=Table14[Year]),0)),"")</f>
        <v/>
      </c>
      <c r="AG23" t="str" cm="1">
        <f t="array" ref="AG23">_xlfn.IFNA(INDEX(Table14[Vigtuð vísitala],MATCH(1,(AG$2=Table14[Column1])*($X23=Table14[Year]),0)),"")</f>
        <v/>
      </c>
      <c r="AH23" t="str" cm="1">
        <f t="array" ref="AH23">_xlfn.IFNA(INDEX(Table14[Vigtuð vísitala],MATCH(1,(AH$2=Table14[Column1])*($X23=Table14[Year]),0)),"")</f>
        <v/>
      </c>
      <c r="AI23" t="str" cm="1">
        <f t="array" ref="AI23">_xlfn.IFNA(INDEX(Table14[Vigtuð vísitala],MATCH(1,(AI$2=Table14[Column1])*($X23=Table14[Year]),0)),"")</f>
        <v/>
      </c>
      <c r="AJ23" t="str" cm="1">
        <f t="array" ref="AJ23">_xlfn.IFNA(INDEX(Table14[Vigtuð vísitala],MATCH(1,(AJ$2=Table14[Column1])*($X23=Table14[Year]),0)),"")</f>
        <v/>
      </c>
      <c r="AK23" t="str" cm="1">
        <f t="array" ref="AK23">_xlfn.IFNA(INDEX(Table14[Vigtuð vísitala],MATCH(1,(AK$2=Table14[Column1])*($X23=Table14[Year]),0)),"")</f>
        <v/>
      </c>
      <c r="AL23" cm="1">
        <f t="array" ref="AL23">_xlfn.IFNA(INDEX(Table14[Vigtuð vísitala],MATCH(1,(AL$2=Table14[Column1])*($X23=Table14[Year]),0)),"")</f>
        <v>188.83135031186609</v>
      </c>
      <c r="AM23" t="str" cm="1">
        <f t="array" ref="AM23">_xlfn.IFNA(INDEX(Table14[Vigtuð vísitala],MATCH(1,(AM$2=Table14[Column1])*($X23=Table14[Year]),0)),"")</f>
        <v/>
      </c>
      <c r="AN23" t="str" cm="1">
        <f t="array" ref="AN23">_xlfn.IFNA(INDEX(Table14[Vigtuð vísitala],MATCH(1,(AN$2=Table14[Column1])*($X23=Table14[Year]),0)),"")</f>
        <v/>
      </c>
      <c r="AO23" cm="1">
        <f t="array" ref="AO23">_xlfn.IFNA(INDEX(Table14[Vigtuð vísitala],MATCH(1,(AO$2=Table14[Column1])*($X23=Table14[Year]),0)),"")</f>
        <v>-0.47415630394027763</v>
      </c>
      <c r="AP23" cm="1">
        <f t="array" ref="AP23">_xlfn.IFNA(INDEX(Table14[Vigtuð vísitala],MATCH(1,(AP$2=Table14[Column1])*($X23=Table14[Year]),0)),"")</f>
        <v>228.66245393212779</v>
      </c>
      <c r="AQ23" cm="1">
        <f t="array" ref="AQ23">_xlfn.IFNA(INDEX(Table14[Vigtuð vísitala],MATCH(1,(AQ$2=Table14[Column1])*($X23=Table14[Year]),0)),"")</f>
        <v>178.34464697227853</v>
      </c>
      <c r="AR23" cm="1">
        <f t="array" ref="AR23">_xlfn.IFNA(INDEX(Table14[Vigtuð vísitala],MATCH(1,(AR$2=Table14[Column1])*($X23=Table14[Year]),0)),"")</f>
        <v>207.99608401844301</v>
      </c>
      <c r="AS23" t="str" cm="1">
        <f t="array" ref="AS23">_xlfn.IFNA(INDEX(Table14[Vigtuð vísitala],MATCH(1,(AS$2=Table14[Column1])*($X23=Table14[Year]),0)),"")</f>
        <v/>
      </c>
      <c r="AT23" cm="1">
        <f t="array" ref="AT23">_xlfn.IFNA(INDEX(Table14[Vigtuð vísitala],MATCH(1,(AT$2=Table14[Column1])*($X23=Table14[Year]),0)),"")</f>
        <v>159.1634938989508</v>
      </c>
      <c r="AU23" t="str" cm="1">
        <f t="array" ref="AU23">_xlfn.IFNA(INDEX(Table14[Vigtuð vísitala],MATCH(1,(AU$2=Table14[Column1])*($X23=Table14[Year]),0)),"")</f>
        <v/>
      </c>
      <c r="AV23" t="str" cm="1">
        <f t="array" ref="AV23">_xlfn.IFNA(INDEX(Table14[Vigtuð vísitala],MATCH(1,(AV$2=Table14[Column1])*($X23=Table14[Year]),0)),"")</f>
        <v/>
      </c>
      <c r="AW23" t="str" cm="1">
        <f t="array" ref="AW23">_xlfn.IFNA(INDEX(Table14[Vigtuð vísitala],MATCH(1,(AW$2=Table14[Column1])*($X23=Table14[Year]),0)),"")</f>
        <v/>
      </c>
      <c r="AX23" t="str" cm="1">
        <f t="array" ref="AX23">_xlfn.IFNA(INDEX(Table14[Vigtuð vísitala],MATCH(1,(AX$2=Table14[Column1])*($X23=Table14[Year]),0)),"")</f>
        <v/>
      </c>
      <c r="AY23" t="str" cm="1">
        <f t="array" ref="AY23">_xlfn.IFNA(INDEX(Table14[Vigtuð vísitala],MATCH(1,(AY$2=Table14[Column1])*($X23=Table14[Year]),0)),"")</f>
        <v/>
      </c>
      <c r="AZ23" t="str" cm="1">
        <f t="array" ref="AZ23">_xlfn.IFNA(INDEX(Table14[Vigtuð vísitala],MATCH(1,(AZ$2=Table14[Column1])*($X23=Table14[Year]),0)),"")</f>
        <v/>
      </c>
      <c r="BA23" t="str" cm="1">
        <f t="array" ref="BA23">_xlfn.IFNA(INDEX(Table14[Vigtuð vísitala],MATCH(1,(BA$2=Table14[Column1])*($X23=Table14[Year]),0)),"")</f>
        <v/>
      </c>
      <c r="BB23" t="str" cm="1">
        <f t="array" ref="BB23">_xlfn.IFNA(INDEX(Table14[Vigtuð vísitala],MATCH(1,(BB$2=Table14[Column1])*($X23=Table14[Year]),0)),"")</f>
        <v/>
      </c>
      <c r="BC23" t="str" cm="1">
        <f t="array" ref="BC23">_xlfn.IFNA(INDEX(Table14[Vigtuð vísitala],MATCH(1,(BC$2=Table14[Column1])*($X23=Table14[Year]),0)),"")</f>
        <v/>
      </c>
      <c r="BD23" t="str" cm="1">
        <f t="array" ref="BD23">_xlfn.IFNA(INDEX(Table14[Vigtuð vísitala],MATCH(1,(BD$2=Table14[Column1])*($X23=Table14[Year]),0)),"")</f>
        <v/>
      </c>
      <c r="BE23" t="str" cm="1">
        <f t="array" ref="BE23">_xlfn.IFNA(INDEX(Table14[Vigtuð vísitala],MATCH(1,(BE$2=Table14[Column1])*($X23=Table14[Year]),0)),"")</f>
        <v/>
      </c>
      <c r="BF23" t="str" cm="1">
        <f t="array" ref="BF23">_xlfn.IFNA(INDEX(Table14[Vigtuð vísitala],MATCH(1,(BF$2=Table14[Column1])*($X23=Table14[Year]),0)),"")</f>
        <v/>
      </c>
      <c r="BG23" t="str" cm="1">
        <f t="array" ref="BG23">_xlfn.IFNA(INDEX(Table14[Vigtuð vísitala],MATCH(1,(BG$2=Table14[Column1])*($X23=Table14[Year]),0)),"")</f>
        <v/>
      </c>
      <c r="BH23" t="str" cm="1">
        <f t="array" ref="BH23">_xlfn.IFNA(INDEX(Table14[Vigtuð vísitala],MATCH(1,(BH$2=Table14[Column1])*($X23=Table14[Year]),0)),"")</f>
        <v/>
      </c>
      <c r="BI23" t="str" cm="1">
        <f t="array" ref="BI23">_xlfn.IFNA(INDEX(Table14[Vigtuð vísitala],MATCH(1,(BI$2=Table14[Column1])*($X23=Table14[Year]),0)),"")</f>
        <v/>
      </c>
      <c r="BJ23" t="str" cm="1">
        <f t="array" ref="BJ23">_xlfn.IFNA(INDEX(Table14[Vigtuð vísitala],MATCH(1,(BJ$2=Table14[Column1])*($X23=Table14[Year]),0)),"")</f>
        <v/>
      </c>
      <c r="BK23" t="str" cm="1">
        <f t="array" ref="BK23">_xlfn.IFNA(INDEX(Table14[Vigtuð vísitala],MATCH(1,(BK$2=Table14[Column1])*($X23=Table14[Year]),0)),"")</f>
        <v/>
      </c>
      <c r="BL23" t="str" cm="1">
        <f t="array" ref="BL23">_xlfn.IFNA(INDEX(Table14[Vigtuð vísitala],MATCH(1,(BL$2=Table14[Column1])*($X23=Table14[Year]),0)),"")</f>
        <v/>
      </c>
      <c r="BM23" t="str" cm="1">
        <f t="array" ref="BM23">_xlfn.IFNA(INDEX(Table14[Vigtuð vísitala],MATCH(1,(BM$2=Table14[Column1])*($X23=Table14[Year]),0)),"")</f>
        <v/>
      </c>
      <c r="BN23" t="str" cm="1">
        <f t="array" ref="BN23">_xlfn.IFNA(INDEX(Table14[Vigtuð vísitala],MATCH(1,(BN$2=Table14[Column1])*($X23=Table14[Year]),0)),"")</f>
        <v/>
      </c>
      <c r="BO23" t="str" cm="1">
        <f t="array" ref="BO23">_xlfn.IFNA(INDEX(Table14[Vigtuð vísitala],MATCH(1,(BO$2=Table14[Column1])*($X23=Table14[Year]),0)),"")</f>
        <v/>
      </c>
      <c r="BP23" t="str" cm="1">
        <f t="array" ref="BP23">_xlfn.IFNA(INDEX(Table14[Vigtuð vísitala],MATCH(1,(BP$2=Table14[Column1])*($X23=Table14[Year]),0)),"")</f>
        <v/>
      </c>
      <c r="BQ23" cm="1">
        <f t="array" ref="BQ23">_xlfn.IFNA(INDEX(Table14[Vigtuð vísitala],MATCH(1,(BQ$2=Table14[Column1])*($X23=Table14[Year]),0)),"")</f>
        <v>175.14070336787324</v>
      </c>
      <c r="BR23" cm="1">
        <f t="array" ref="BR23">_xlfn.IFNA(INDEX(Table14[Vigtuð vísitala],MATCH(1,(BR$2=Table14[Column1])*($X23=Table14[Year]),0)),"")</f>
        <v>366.30842037181776</v>
      </c>
      <c r="BS23" t="str" cm="1">
        <f t="array" ref="BS23">_xlfn.IFNA(INDEX(Table14[Vigtuð vísitala],MATCH(1,(BS$2=Table14[Column1])*($X23=Table14[Year]),0)),"")</f>
        <v/>
      </c>
      <c r="BT23" t="str" cm="1">
        <f t="array" ref="BT23">_xlfn.IFNA(INDEX(Table14[Vigtuð vísitala],MATCH(1,(BT$2=Table14[Column1])*($X23=Table14[Year]),0)),"")</f>
        <v/>
      </c>
      <c r="BU23" t="str" cm="1">
        <f t="array" ref="BU23">_xlfn.IFNA(INDEX(Table14[Vigtuð vísitala],MATCH(1,(BU$2=Table14[Column1])*($X23=Table14[Year]),0)),"")</f>
        <v/>
      </c>
      <c r="BV23" cm="1">
        <f t="array" ref="BV23">_xlfn.IFNA(INDEX(Table14[Vigtuð vísitala],MATCH(1,(BV$2=Table14[Column1])*($X23=Table14[Year]),0)),"")</f>
        <v>192.16533427565727</v>
      </c>
      <c r="BW23" t="str" cm="1">
        <f t="array" ref="BW23">_xlfn.IFNA(INDEX(Table14[Vigtuð vísitala],MATCH(1,(BW$2=Table14[Column1])*($X23=Table14[Year]),0)),"")</f>
        <v/>
      </c>
      <c r="BX23" t="str" cm="1">
        <f t="array" ref="BX23">_xlfn.IFNA(INDEX(Table14[Vigtuð vísitala],MATCH(1,(BX$2=Table14[Column1])*($X23=Table14[Year]),0)),"")</f>
        <v/>
      </c>
      <c r="BY23" t="str" cm="1">
        <f t="array" ref="BY23">_xlfn.IFNA(INDEX(Table14[Vigtuð vísitala],MATCH(1,(BY$2=Table14[Column1])*($X23=Table14[Year]),0)),"")</f>
        <v/>
      </c>
      <c r="BZ23" t="str" cm="1">
        <f t="array" ref="BZ23">_xlfn.IFNA(INDEX(Table14[Vigtuð vísitala],MATCH(1,(BZ$2=Table14[Column1])*($X23=Table14[Year]),0)),"")</f>
        <v/>
      </c>
      <c r="CA23" t="str" cm="1">
        <f t="array" ref="CA23">_xlfn.IFNA(INDEX(Table14[Vigtuð vísitala],MATCH(1,(CA$2=Table14[Column1])*($X23=Table14[Year]),0)),"")</f>
        <v/>
      </c>
      <c r="CB23" cm="1">
        <f t="array" ref="CB23">_xlfn.IFNA(INDEX(Table14[Vigtuð vísitala],MATCH(1,(CB$2=Table14[Column1])*($X23=Table14[Year]),0)),"")</f>
        <v>198.32181188048133</v>
      </c>
      <c r="CC23" t="str" cm="1">
        <f t="array" ref="CC23">_xlfn.IFNA(INDEX(Table14[Vigtuð vísitala],MATCH(1,(CC$2=Table14[Column1])*($X23=Table14[Year]),0)),"")</f>
        <v/>
      </c>
      <c r="CD23" t="str" cm="1">
        <f t="array" ref="CD23">_xlfn.IFNA(INDEX(Table14[Vigtuð vísitala],MATCH(1,(CD$2=Table14[Column1])*($X23=Table14[Year]),0)),"")</f>
        <v/>
      </c>
      <c r="CE23" cm="1">
        <f t="array" ref="CE23">_xlfn.IFNA(INDEX(Table14[Vigtuð vísitala],MATCH(1,(CE$2=Table14[Column1])*($X23=Table14[Year]),0)),"")</f>
        <v>251.91971996674815</v>
      </c>
      <c r="CF23" cm="1">
        <f t="array" ref="CF23">_xlfn.IFNA(INDEX(Table14[Vigtuð vísitala],MATCH(1,(CF$2=Table14[Column1])*($X23=Table14[Year]),0)),"")</f>
        <v>345.87168194523736</v>
      </c>
      <c r="CG23" cm="1">
        <f t="array" ref="CG23">_xlfn.IFNA(INDEX(Table14[Vigtuð vísitala],MATCH(1,(CG$2=Table14[Column1])*($X23=Table14[Year]),0)),"")</f>
        <v>198.3603754813569</v>
      </c>
      <c r="CH23" cm="1">
        <f t="array" ref="CH23">_xlfn.IFNA(INDEX(Table14[Vigtuð vísitala],MATCH(1,(CH$2=Table14[Column1])*($X23=Table14[Year]),0)),"")</f>
        <v>212.48089960606686</v>
      </c>
      <c r="CI23" cm="1">
        <f t="array" ref="CI23">_xlfn.IFNA(INDEX(Table14[Vigtuð vísitala],MATCH(1,(CI$2=Table14[Column1])*($X23=Table14[Year]),0)),"")</f>
        <v>352.02513213384435</v>
      </c>
      <c r="CJ23" t="str" cm="1">
        <f t="array" ref="CJ23">_xlfn.IFNA(INDEX(Table14[Vigtuð vísitala],MATCH(1,(CJ$2=Table14[Column1])*($X23=Table14[Year]),0)),"")</f>
        <v/>
      </c>
      <c r="CK23" t="str" cm="1">
        <f t="array" ref="CK23">_xlfn.IFNA(INDEX(Table14[Vigtuð vísitala],MATCH(1,(CK$2=Table14[Column1])*($X23=Table14[Year]),0)),"")</f>
        <v/>
      </c>
      <c r="CL23" t="str" cm="1">
        <f t="array" ref="CL23">_xlfn.IFNA(INDEX(Table14[Vigtuð vísitala],MATCH(1,(CL$2=Table14[Column1])*($X23=Table14[Year]),0)),"")</f>
        <v/>
      </c>
      <c r="CM23" t="str" cm="1">
        <f t="array" ref="CM23">_xlfn.IFNA(INDEX(Table14[Vigtuð vísitala],MATCH(1,(CM$2=Table14[Column1])*($X23=Table14[Year]),0)),"")</f>
        <v/>
      </c>
      <c r="CN23" cm="1">
        <f t="array" ref="CN23">_xlfn.IFNA(INDEX(Table14[Vigtuð vísitala],MATCH(1,(CN$2=Table14[Column1])*($X23=Table14[Year]),0)),"")</f>
        <v>164.55559776909013</v>
      </c>
      <c r="CO23" t="str" cm="1">
        <f t="array" ref="CO23">_xlfn.IFNA(INDEX(Table14[Vigtuð vísitala],MATCH(1,(CO$2=Table14[Column1])*($X23=Table14[Year]),0)),"")</f>
        <v/>
      </c>
      <c r="CP23" t="str" cm="1">
        <f t="array" ref="CP23">_xlfn.IFNA(INDEX(Table14[Vigtuð vísitala],MATCH(1,(CP$2=Table14[Column1])*($X23=Table14[Year]),0)),"")</f>
        <v/>
      </c>
      <c r="CQ23" t="str" cm="1">
        <f t="array" ref="CQ23">_xlfn.IFNA(INDEX(Table14[Vigtuð vísitala],MATCH(1,(CQ$2=Table14[Column1])*($X23=Table14[Year]),0)),"")</f>
        <v/>
      </c>
      <c r="CR23" cm="1">
        <f t="array" ref="CR23">_xlfn.IFNA(INDEX(Table14[Vigtuð vísitala],MATCH(1,(CR$2=Table14[Column1])*($X23=Table14[Year]),0)),"")</f>
        <v>226.33069825978077</v>
      </c>
      <c r="CS23" t="str" cm="1">
        <f t="array" ref="CS23">_xlfn.IFNA(INDEX(Table14[Vigtuð vísitala],MATCH(1,(CS$2=Table14[Column1])*($X23=Table14[Year]),0)),"")</f>
        <v/>
      </c>
      <c r="CT23" cm="1">
        <f t="array" ref="CT23">_xlfn.IFNA(INDEX(Table14[Vigtuð vísitala],MATCH(1,(CT$2=Table14[Column1])*($X23=Table14[Year]),0)),"")</f>
        <v>224.55217036562524</v>
      </c>
      <c r="CU23" t="str" cm="1">
        <f t="array" ref="CU23">_xlfn.IFNA(INDEX(Table14[Vigtuð vísitala],MATCH(1,(CU$2=Table14[Column1])*($X23=Table14[Year]),0)),"")</f>
        <v/>
      </c>
      <c r="CV23" t="str" cm="1">
        <f t="array" ref="CV23">_xlfn.IFNA(INDEX(Table14[Vigtuð vísitala],MATCH(1,(CV$2=Table14[Column1])*($X23=Table14[Year]),0)),"")</f>
        <v/>
      </c>
      <c r="CW23" t="str" cm="1">
        <f t="array" ref="CW23">_xlfn.IFNA(INDEX(Table14[Vigtuð vísitala],MATCH(1,(CW$2=Table14[Column1])*($X23=Table14[Year]),0)),"")</f>
        <v/>
      </c>
      <c r="CX23" t="str" cm="1">
        <f t="array" ref="CX23">_xlfn.IFNA(INDEX(Table14[Vigtuð vísitala],MATCH(1,(CX$2=Table14[Column1])*($X23=Table14[Year]),0)),"")</f>
        <v/>
      </c>
      <c r="CY23" cm="1">
        <f t="array" ref="CY23">_xlfn.IFNA(INDEX(Table14[Vigtuð vísitala],MATCH(1,(CY$2=Table14[Column1])*($X23=Table14[Year]),0)),"")</f>
        <v>236.2574682179345</v>
      </c>
      <c r="CZ23" t="str" cm="1">
        <f t="array" ref="CZ23">_xlfn.IFNA(INDEX(Table14[Vigtuð vísitala],MATCH(1,(CZ$2=Table14[Column1])*($X23=Table14[Year]),0)),"")</f>
        <v/>
      </c>
      <c r="DA23" t="str" cm="1">
        <f t="array" ref="DA23">_xlfn.IFNA(INDEX(Table14[Vigtuð vísitala],MATCH(1,(DA$2=Table14[Column1])*($X23=Table14[Year]),0)),"")</f>
        <v/>
      </c>
      <c r="DB23" t="str" cm="1">
        <f t="array" ref="DB23">_xlfn.IFNA(INDEX(Table14[Vigtuð vísitala],MATCH(1,(DB$2=Table14[Column1])*($X23=Table14[Year]),0)),"")</f>
        <v/>
      </c>
      <c r="DC23" cm="1">
        <f t="array" ref="DC23">_xlfn.IFNA(INDEX(Table14[Vigtuð vísitala],MATCH(1,(DC$2=Table14[Column1])*($X23=Table14[Year]),0)),"")</f>
        <v>238.21458929636105</v>
      </c>
      <c r="DD23" t="str" cm="1">
        <f t="array" ref="DD23">_xlfn.IFNA(INDEX(Table14[Vigtuð vísitala],MATCH(1,(DD$2=Table14[Column1])*($X23=Table14[Year]),0)),"")</f>
        <v/>
      </c>
      <c r="DE23" cm="1">
        <f t="array" ref="DE23">_xlfn.IFNA(INDEX(Table14[Vigtuð vísitala],MATCH(1,(DE$2=Table14[Column1])*($X23=Table14[Year]),0)),"")</f>
        <v>226.47179553078826</v>
      </c>
      <c r="DF23" t="str" cm="1">
        <f t="array" ref="DF23">_xlfn.IFNA(INDEX(Table14[Vigtuð vísitala],MATCH(1,(DF$2=Table14[Column1])*($X23=Table14[Year]),0)),"")</f>
        <v/>
      </c>
    </row>
    <row r="24" spans="1:110">
      <c r="A24" t="s">
        <v>55</v>
      </c>
      <c r="B24">
        <v>2002</v>
      </c>
      <c r="C24" s="16">
        <v>-7.0000000000000007E-2</v>
      </c>
      <c r="D24" s="1">
        <v>1762963.72</v>
      </c>
      <c r="E24" s="29">
        <f>Table14[[#This Row],[Ávöxtun]]*Table14[[#This Row],[Eignir]]/SUMIFS(Table14[Eignir],Table14[Year],Table14[[#This Row],[Year]])</f>
        <v>-1.9429223038246017E-4</v>
      </c>
      <c r="F24" s="23" t="e">
        <f>IF(B24=1997, 100, IF(COUNTIF(A$1:A23,A24)=0, "NEW", F23*(1+Table14[[#This Row],[Ávöxtun]])))</f>
        <v>#VALUE!</v>
      </c>
      <c r="G24" s="18" t="str" cm="1">
        <f t="array" ref="G24">IFERROR(_xlfn.IFS(ISNUMBER(Table14[[#This Row],[Column3]]),Table14[[#This Row],[Column3]],Table14[[#This Row],[Column3]]="NEW",Table14[[#This Row],[Column3]]),"")</f>
        <v/>
      </c>
      <c r="H24" s="15" cm="1">
        <f t="array" ref="H24">_xlfn.IFS(Table14[[#This Row],[Column4]]="NEW",AVERAGEIFS(Table14[Column4],Table14[Year],Table14[[#This Row],[Year]]),ISNUMBER(Table14[[#This Row],[Column4]]),Table14[[#This Row],[Column4]],Table14[[#This Row],[Column4]]="",H23*(1+Table14[[#This Row],[Ávöxtun]]))</f>
        <v>105.59356653061225</v>
      </c>
      <c r="I24" cm="1">
        <f t="array" ref="I24">_xlfn.IFS(Table14[[#This Row],[Column4]]="NEW",_xlfn.XLOOKUP(Table14[[#This Row],[Year]],$M$2:$M$27,$O$2:$O$27),ISNUMBER(Table14[[#This Row],[Column4]]),Table14[[#This Row],[Column4]],Table14[[#This Row],[Column4]]="",I23*(1+Table14[[#This Row],[Ávöxtun]]))</f>
        <v>108.27033938410025</v>
      </c>
      <c r="L24" s="33">
        <v>108.27033938410025</v>
      </c>
      <c r="M24">
        <v>2018</v>
      </c>
      <c r="N24" s="27">
        <f>SUMIFS(Table14[Column2],Table14[Year],M24)</f>
        <v>2.8816787762600448E-2</v>
      </c>
      <c r="O24">
        <f t="shared" si="0"/>
        <v>249.64057795317868</v>
      </c>
      <c r="P24" s="26" cm="1">
        <f t="array" ref="P24">_xlfn.QUARTILE.EXC(IF($B$2:$B$939 = M24, $I$2:$I$939), 3)</f>
        <v>248.56923413369816</v>
      </c>
      <c r="Q24" s="26" cm="1">
        <f t="array" ref="Q24">_xlfn.QUARTILE.EXC(IF($B$2:$B$939 = M24, $I$2:$I$939), 1)</f>
        <v>186.79816694247367</v>
      </c>
      <c r="R24" s="26" cm="1">
        <f t="array" ref="R24">_xlfn.QUARTILE.EXC(IF($B$2:$B$939 = M24, $I$2:$I$939), 2)</f>
        <v>229.86887246375005</v>
      </c>
      <c r="S24" s="17" cm="1">
        <f t="array" ref="S24">_xlfn.QUARTILE.EXC(IF($B$2:$B$939 = M24, $C$2:$C$939), 3)</f>
        <v>3.7000000000000005E-2</v>
      </c>
      <c r="T24" s="17" cm="1">
        <f t="array" ref="T24">_xlfn.QUARTILE.EXC(IF($B$2:$B$939 = M24, $C$2:$C$939), 1)</f>
        <v>1.35E-2</v>
      </c>
      <c r="U24" s="17" cm="1">
        <f t="array" ref="U24">_xlfn.QUARTILE.EXC(IF($B$2:$B$939 = M24, $C$2:$C$939), 2)</f>
        <v>2.2000000000000002E-2</v>
      </c>
      <c r="X24">
        <v>2018</v>
      </c>
      <c r="Y24">
        <f t="shared" si="1"/>
        <v>249.64057795317868</v>
      </c>
      <c r="Z24" cm="1">
        <f t="array" ref="Z24">_xlfn.IFNA(INDEX(Table14[Vigtuð vísitala],MATCH(1,(Z$2=Table14[Column1])*($X24=Table14[Year]),0)),"")</f>
        <v>165.85782455279784</v>
      </c>
      <c r="AB24" t="str" cm="1">
        <f t="array" ref="AB24">_xlfn.IFNA(INDEX(Table14[Vigtuð vísitala],MATCH(1,(AB$2=Table14[Column1])*($X24=Table14[Year]),0)),"")</f>
        <v/>
      </c>
      <c r="AC24" t="str" cm="1">
        <f t="array" ref="AC24">_xlfn.IFNA(INDEX(Table14[Vigtuð vísitala],MATCH(1,(AC$2=Table14[Column1])*($X24=Table14[Year]),0)),"")</f>
        <v/>
      </c>
      <c r="AD24" cm="1">
        <f t="array" ref="AD24">_xlfn.IFNA(INDEX(Table14[Vigtuð vísitala],MATCH(1,(AD$2=Table14[Column1])*($X24=Table14[Year]),0)),"")</f>
        <v>241.48572364039444</v>
      </c>
      <c r="AE24" cm="1">
        <f t="array" ref="AE24">_xlfn.IFNA(INDEX(Table14[Vigtuð vísitala],MATCH(1,(AE$2=Table14[Column1])*($X24=Table14[Year]),0)),"")</f>
        <v>282.41318897758822</v>
      </c>
      <c r="AF24" t="str" cm="1">
        <f t="array" ref="AF24">_xlfn.IFNA(INDEX(Table14[Vigtuð vísitala],MATCH(1,(AF$2=Table14[Column1])*($X24=Table14[Year]),0)),"")</f>
        <v/>
      </c>
      <c r="AG24" t="str" cm="1">
        <f t="array" ref="AG24">_xlfn.IFNA(INDEX(Table14[Vigtuð vísitala],MATCH(1,(AG$2=Table14[Column1])*($X24=Table14[Year]),0)),"")</f>
        <v/>
      </c>
      <c r="AH24" t="str" cm="1">
        <f t="array" ref="AH24">_xlfn.IFNA(INDEX(Table14[Vigtuð vísitala],MATCH(1,(AH$2=Table14[Column1])*($X24=Table14[Year]),0)),"")</f>
        <v/>
      </c>
      <c r="AI24" t="str" cm="1">
        <f t="array" ref="AI24">_xlfn.IFNA(INDEX(Table14[Vigtuð vísitala],MATCH(1,(AI$2=Table14[Column1])*($X24=Table14[Year]),0)),"")</f>
        <v/>
      </c>
      <c r="AJ24" t="str" cm="1">
        <f t="array" ref="AJ24">_xlfn.IFNA(INDEX(Table14[Vigtuð vísitala],MATCH(1,(AJ$2=Table14[Column1])*($X24=Table14[Year]),0)),"")</f>
        <v/>
      </c>
      <c r="AK24" t="str" cm="1">
        <f t="array" ref="AK24">_xlfn.IFNA(INDEX(Table14[Vigtuð vísitala],MATCH(1,(AK$2=Table14[Column1])*($X24=Table14[Year]),0)),"")</f>
        <v/>
      </c>
      <c r="AL24" cm="1">
        <f t="array" ref="AL24">_xlfn.IFNA(INDEX(Table14[Vigtuð vísitala],MATCH(1,(AL$2=Table14[Column1])*($X24=Table14[Year]),0)),"")</f>
        <v>192.04148326716779</v>
      </c>
      <c r="AM24" t="str" cm="1">
        <f t="array" ref="AM24">_xlfn.IFNA(INDEX(Table14[Vigtuð vísitala],MATCH(1,(AM$2=Table14[Column1])*($X24=Table14[Year]),0)),"")</f>
        <v/>
      </c>
      <c r="AN24" t="str" cm="1">
        <f t="array" ref="AN24">_xlfn.IFNA(INDEX(Table14[Vigtuð vísitala],MATCH(1,(AN$2=Table14[Column1])*($X24=Table14[Year]),0)),"")</f>
        <v/>
      </c>
      <c r="AO24" t="str" cm="1">
        <f t="array" ref="AO24">_xlfn.IFNA(INDEX(Table14[Vigtuð vísitala],MATCH(1,(AO$2=Table14[Column1])*($X24=Table14[Year]),0)),"")</f>
        <v/>
      </c>
      <c r="AP24" cm="1">
        <f t="array" ref="AP24">_xlfn.IFNA(INDEX(Table14[Vigtuð vísitala],MATCH(1,(AP$2=Table14[Column1])*($X24=Table14[Year]),0)),"")</f>
        <v>234.83634018829522</v>
      </c>
      <c r="AQ24" cm="1">
        <f t="array" ref="AQ24">_xlfn.IFNA(INDEX(Table14[Vigtuð vísitala],MATCH(1,(AQ$2=Table14[Column1])*($X24=Table14[Year]),0)),"")</f>
        <v>181.55485061777955</v>
      </c>
      <c r="AR24" cm="1">
        <f t="array" ref="AR24">_xlfn.IFNA(INDEX(Table14[Vigtuð vísitala],MATCH(1,(AR$2=Table14[Column1])*($X24=Table14[Year]),0)),"")</f>
        <v>212.98799003488566</v>
      </c>
      <c r="AS24" t="str" cm="1">
        <f t="array" ref="AS24">_xlfn.IFNA(INDEX(Table14[Vigtuð vísitala],MATCH(1,(AS$2=Table14[Column1])*($X24=Table14[Year]),0)),"")</f>
        <v/>
      </c>
      <c r="AT24" cm="1">
        <f t="array" ref="AT24">_xlfn.IFNA(INDEX(Table14[Vigtuð vísitala],MATCH(1,(AT$2=Table14[Column1])*($X24=Table14[Year]),0)),"")</f>
        <v>160.91429233183925</v>
      </c>
      <c r="AU24" t="str" cm="1">
        <f t="array" ref="AU24">_xlfn.IFNA(INDEX(Table14[Vigtuð vísitala],MATCH(1,(AU$2=Table14[Column1])*($X24=Table14[Year]),0)),"")</f>
        <v/>
      </c>
      <c r="AV24" t="str" cm="1">
        <f t="array" ref="AV24">_xlfn.IFNA(INDEX(Table14[Vigtuð vísitala],MATCH(1,(AV$2=Table14[Column1])*($X24=Table14[Year]),0)),"")</f>
        <v/>
      </c>
      <c r="AW24" t="str" cm="1">
        <f t="array" ref="AW24">_xlfn.IFNA(INDEX(Table14[Vigtuð vísitala],MATCH(1,(AW$2=Table14[Column1])*($X24=Table14[Year]),0)),"")</f>
        <v/>
      </c>
      <c r="AX24" t="str" cm="1">
        <f t="array" ref="AX24">_xlfn.IFNA(INDEX(Table14[Vigtuð vísitala],MATCH(1,(AX$2=Table14[Column1])*($X24=Table14[Year]),0)),"")</f>
        <v/>
      </c>
      <c r="AY24" t="str" cm="1">
        <f t="array" ref="AY24">_xlfn.IFNA(INDEX(Table14[Vigtuð vísitala],MATCH(1,(AY$2=Table14[Column1])*($X24=Table14[Year]),0)),"")</f>
        <v/>
      </c>
      <c r="AZ24" t="str" cm="1">
        <f t="array" ref="AZ24">_xlfn.IFNA(INDEX(Table14[Vigtuð vísitala],MATCH(1,(AZ$2=Table14[Column1])*($X24=Table14[Year]),0)),"")</f>
        <v/>
      </c>
      <c r="BA24" t="str" cm="1">
        <f t="array" ref="BA24">_xlfn.IFNA(INDEX(Table14[Vigtuð vísitala],MATCH(1,(BA$2=Table14[Column1])*($X24=Table14[Year]),0)),"")</f>
        <v/>
      </c>
      <c r="BB24" t="str" cm="1">
        <f t="array" ref="BB24">_xlfn.IFNA(INDEX(Table14[Vigtuð vísitala],MATCH(1,(BB$2=Table14[Column1])*($X24=Table14[Year]),0)),"")</f>
        <v/>
      </c>
      <c r="BC24" t="str" cm="1">
        <f t="array" ref="BC24">_xlfn.IFNA(INDEX(Table14[Vigtuð vísitala],MATCH(1,(BC$2=Table14[Column1])*($X24=Table14[Year]),0)),"")</f>
        <v/>
      </c>
      <c r="BD24" t="str" cm="1">
        <f t="array" ref="BD24">_xlfn.IFNA(INDEX(Table14[Vigtuð vísitala],MATCH(1,(BD$2=Table14[Column1])*($X24=Table14[Year]),0)),"")</f>
        <v/>
      </c>
      <c r="BE24" t="str" cm="1">
        <f t="array" ref="BE24">_xlfn.IFNA(INDEX(Table14[Vigtuð vísitala],MATCH(1,(BE$2=Table14[Column1])*($X24=Table14[Year]),0)),"")</f>
        <v/>
      </c>
      <c r="BF24" t="str" cm="1">
        <f t="array" ref="BF24">_xlfn.IFNA(INDEX(Table14[Vigtuð vísitala],MATCH(1,(BF$2=Table14[Column1])*($X24=Table14[Year]),0)),"")</f>
        <v/>
      </c>
      <c r="BG24" t="str" cm="1">
        <f t="array" ref="BG24">_xlfn.IFNA(INDEX(Table14[Vigtuð vísitala],MATCH(1,(BG$2=Table14[Column1])*($X24=Table14[Year]),0)),"")</f>
        <v/>
      </c>
      <c r="BH24" t="str" cm="1">
        <f t="array" ref="BH24">_xlfn.IFNA(INDEX(Table14[Vigtuð vísitala],MATCH(1,(BH$2=Table14[Column1])*($X24=Table14[Year]),0)),"")</f>
        <v/>
      </c>
      <c r="BI24" t="str" cm="1">
        <f t="array" ref="BI24">_xlfn.IFNA(INDEX(Table14[Vigtuð vísitala],MATCH(1,(BI$2=Table14[Column1])*($X24=Table14[Year]),0)),"")</f>
        <v/>
      </c>
      <c r="BJ24" t="str" cm="1">
        <f t="array" ref="BJ24">_xlfn.IFNA(INDEX(Table14[Vigtuð vísitala],MATCH(1,(BJ$2=Table14[Column1])*($X24=Table14[Year]),0)),"")</f>
        <v/>
      </c>
      <c r="BK24" t="str" cm="1">
        <f t="array" ref="BK24">_xlfn.IFNA(INDEX(Table14[Vigtuð vísitala],MATCH(1,(BK$2=Table14[Column1])*($X24=Table14[Year]),0)),"")</f>
        <v/>
      </c>
      <c r="BL24" t="str" cm="1">
        <f t="array" ref="BL24">_xlfn.IFNA(INDEX(Table14[Vigtuð vísitala],MATCH(1,(BL$2=Table14[Column1])*($X24=Table14[Year]),0)),"")</f>
        <v/>
      </c>
      <c r="BM24" t="str" cm="1">
        <f t="array" ref="BM24">_xlfn.IFNA(INDEX(Table14[Vigtuð vísitala],MATCH(1,(BM$2=Table14[Column1])*($X24=Table14[Year]),0)),"")</f>
        <v/>
      </c>
      <c r="BN24" t="str" cm="1">
        <f t="array" ref="BN24">_xlfn.IFNA(INDEX(Table14[Vigtuð vísitala],MATCH(1,(BN$2=Table14[Column1])*($X24=Table14[Year]),0)),"")</f>
        <v/>
      </c>
      <c r="BO24" t="str" cm="1">
        <f t="array" ref="BO24">_xlfn.IFNA(INDEX(Table14[Vigtuð vísitala],MATCH(1,(BO$2=Table14[Column1])*($X24=Table14[Year]),0)),"")</f>
        <v/>
      </c>
      <c r="BP24" t="str" cm="1">
        <f t="array" ref="BP24">_xlfn.IFNA(INDEX(Table14[Vigtuð vísitala],MATCH(1,(BP$2=Table14[Column1])*($X24=Table14[Year]),0)),"")</f>
        <v/>
      </c>
      <c r="BQ24" cm="1">
        <f t="array" ref="BQ24">_xlfn.IFNA(INDEX(Table14[Vigtuð vísitala],MATCH(1,(BQ$2=Table14[Column1])*($X24=Table14[Year]),0)),"")</f>
        <v>178.11809532512706</v>
      </c>
      <c r="BR24" cm="1">
        <f t="array" ref="BR24">_xlfn.IFNA(INDEX(Table14[Vigtuð vísitala],MATCH(1,(BR$2=Table14[Column1])*($X24=Table14[Year]),0)),"")</f>
        <v>385.35645823115232</v>
      </c>
      <c r="BS24" t="str" cm="1">
        <f t="array" ref="BS24">_xlfn.IFNA(INDEX(Table14[Vigtuð vísitala],MATCH(1,(BS$2=Table14[Column1])*($X24=Table14[Year]),0)),"")</f>
        <v/>
      </c>
      <c r="BT24" t="str" cm="1">
        <f t="array" ref="BT24">_xlfn.IFNA(INDEX(Table14[Vigtuð vísitala],MATCH(1,(BT$2=Table14[Column1])*($X24=Table14[Year]),0)),"")</f>
        <v/>
      </c>
      <c r="BU24" t="str" cm="1">
        <f t="array" ref="BU24">_xlfn.IFNA(INDEX(Table14[Vigtuð vísitala],MATCH(1,(BU$2=Table14[Column1])*($X24=Table14[Year]),0)),"")</f>
        <v/>
      </c>
      <c r="BV24" t="str" cm="1">
        <f t="array" ref="BV24">_xlfn.IFNA(INDEX(Table14[Vigtuð vísitala],MATCH(1,(BV$2=Table14[Column1])*($X24=Table14[Year]),0)),"")</f>
        <v/>
      </c>
      <c r="BW24" t="str" cm="1">
        <f t="array" ref="BW24">_xlfn.IFNA(INDEX(Table14[Vigtuð vísitala],MATCH(1,(BW$2=Table14[Column1])*($X24=Table14[Year]),0)),"")</f>
        <v/>
      </c>
      <c r="BX24" t="str" cm="1">
        <f t="array" ref="BX24">_xlfn.IFNA(INDEX(Table14[Vigtuð vísitala],MATCH(1,(BX$2=Table14[Column1])*($X24=Table14[Year]),0)),"")</f>
        <v/>
      </c>
      <c r="BY24" t="str" cm="1">
        <f t="array" ref="BY24">_xlfn.IFNA(INDEX(Table14[Vigtuð vísitala],MATCH(1,(BY$2=Table14[Column1])*($X24=Table14[Year]),0)),"")</f>
        <v/>
      </c>
      <c r="BZ24" t="str" cm="1">
        <f t="array" ref="BZ24">_xlfn.IFNA(INDEX(Table14[Vigtuð vísitala],MATCH(1,(BZ$2=Table14[Column1])*($X24=Table14[Year]),0)),"")</f>
        <v/>
      </c>
      <c r="CA24" t="str" cm="1">
        <f t="array" ref="CA24">_xlfn.IFNA(INDEX(Table14[Vigtuð vísitala],MATCH(1,(CA$2=Table14[Column1])*($X24=Table14[Year]),0)),"")</f>
        <v/>
      </c>
      <c r="CB24" cm="1">
        <f t="array" ref="CB24">_xlfn.IFNA(INDEX(Table14[Vigtuð vísitala],MATCH(1,(CB$2=Table14[Column1])*($X24=Table14[Year]),0)),"")</f>
        <v>203.47817898937384</v>
      </c>
      <c r="CC24" t="str" cm="1">
        <f t="array" ref="CC24">_xlfn.IFNA(INDEX(Table14[Vigtuð vísitala],MATCH(1,(CC$2=Table14[Column1])*($X24=Table14[Year]),0)),"")</f>
        <v/>
      </c>
      <c r="CD24" t="str" cm="1">
        <f t="array" ref="CD24">_xlfn.IFNA(INDEX(Table14[Vigtuð vísitala],MATCH(1,(CD$2=Table14[Column1])*($X24=Table14[Year]),0)),"")</f>
        <v/>
      </c>
      <c r="CE24" cm="1">
        <f t="array" ref="CE24">_xlfn.IFNA(INDEX(Table14[Vigtuð vísitala],MATCH(1,(CE$2=Table14[Column1])*($X24=Table14[Year]),0)),"")</f>
        <v>253.68315800651536</v>
      </c>
      <c r="CF24" cm="1">
        <f t="array" ref="CF24">_xlfn.IFNA(INDEX(Table14[Vigtuð vísitala],MATCH(1,(CF$2=Table14[Column1])*($X24=Table14[Year]),0)),"")</f>
        <v>365.58636781611585</v>
      </c>
      <c r="CG24" t="str" cm="1">
        <f t="array" ref="CG24">_xlfn.IFNA(INDEX(Table14[Vigtuð vísitala],MATCH(1,(CG$2=Table14[Column1])*($X24=Table14[Year]),0)),"")</f>
        <v/>
      </c>
      <c r="CH24" cm="1">
        <f t="array" ref="CH24">_xlfn.IFNA(INDEX(Table14[Vigtuð vísitala],MATCH(1,(CH$2=Table14[Column1])*($X24=Table14[Year]),0)),"")</f>
        <v>217.58044119661247</v>
      </c>
      <c r="CI24" cm="1">
        <f t="array" ref="CI24">_xlfn.IFNA(INDEX(Table14[Vigtuð vísitala],MATCH(1,(CI$2=Table14[Column1])*($X24=Table14[Year]),0)),"")</f>
        <v>368.570313344135</v>
      </c>
      <c r="CJ24" t="str" cm="1">
        <f t="array" ref="CJ24">_xlfn.IFNA(INDEX(Table14[Vigtuð vísitala],MATCH(1,(CJ$2=Table14[Column1])*($X24=Table14[Year]),0)),"")</f>
        <v/>
      </c>
      <c r="CK24" t="str" cm="1">
        <f t="array" ref="CK24">_xlfn.IFNA(INDEX(Table14[Vigtuð vísitala],MATCH(1,(CK$2=Table14[Column1])*($X24=Table14[Year]),0)),"")</f>
        <v/>
      </c>
      <c r="CL24" t="str" cm="1">
        <f t="array" ref="CL24">_xlfn.IFNA(INDEX(Table14[Vigtuð vísitala],MATCH(1,(CL$2=Table14[Column1])*($X24=Table14[Year]),0)),"")</f>
        <v/>
      </c>
      <c r="CM24" t="str" cm="1">
        <f t="array" ref="CM24">_xlfn.IFNA(INDEX(Table14[Vigtuð vísitala],MATCH(1,(CM$2=Table14[Column1])*($X24=Table14[Year]),0)),"")</f>
        <v/>
      </c>
      <c r="CN24" cm="1">
        <f t="array" ref="CN24">_xlfn.IFNA(INDEX(Table14[Vigtuð vísitala],MATCH(1,(CN$2=Table14[Column1])*($X24=Table14[Year]),0)),"")</f>
        <v>166.53026494231921</v>
      </c>
      <c r="CO24" t="str" cm="1">
        <f t="array" ref="CO24">_xlfn.IFNA(INDEX(Table14[Vigtuð vísitala],MATCH(1,(CO$2=Table14[Column1])*($X24=Table14[Year]),0)),"")</f>
        <v/>
      </c>
      <c r="CP24" t="str" cm="1">
        <f t="array" ref="CP24">_xlfn.IFNA(INDEX(Table14[Vigtuð vísitala],MATCH(1,(CP$2=Table14[Column1])*($X24=Table14[Year]),0)),"")</f>
        <v/>
      </c>
      <c r="CQ24" t="str" cm="1">
        <f t="array" ref="CQ24">_xlfn.IFNA(INDEX(Table14[Vigtuð vísitala],MATCH(1,(CQ$2=Table14[Column1])*($X24=Table14[Year]),0)),"")</f>
        <v/>
      </c>
      <c r="CR24" cm="1">
        <f t="array" ref="CR24">_xlfn.IFNA(INDEX(Table14[Vigtuð vísitala],MATCH(1,(CR$2=Table14[Column1])*($X24=Table14[Year]),0)),"")</f>
        <v>228.59400524237859</v>
      </c>
      <c r="CS24" t="str" cm="1">
        <f t="array" ref="CS24">_xlfn.IFNA(INDEX(Table14[Vigtuð vísitala],MATCH(1,(CS$2=Table14[Column1])*($X24=Table14[Year]),0)),"")</f>
        <v/>
      </c>
      <c r="CT24" cm="1">
        <f t="array" ref="CT24">_xlfn.IFNA(INDEX(Table14[Vigtuð vísitala],MATCH(1,(CT$2=Table14[Column1])*($X24=Table14[Year]),0)),"")</f>
        <v>235.77977888390652</v>
      </c>
      <c r="CU24" t="str" cm="1">
        <f t="array" ref="CU24">_xlfn.IFNA(INDEX(Table14[Vigtuð vísitala],MATCH(1,(CU$2=Table14[Column1])*($X24=Table14[Year]),0)),"")</f>
        <v/>
      </c>
      <c r="CV24" t="str" cm="1">
        <f t="array" ref="CV24">_xlfn.IFNA(INDEX(Table14[Vigtuð vísitala],MATCH(1,(CV$2=Table14[Column1])*($X24=Table14[Year]),0)),"")</f>
        <v/>
      </c>
      <c r="CW24" t="str" cm="1">
        <f t="array" ref="CW24">_xlfn.IFNA(INDEX(Table14[Vigtuð vísitala],MATCH(1,(CW$2=Table14[Column1])*($X24=Table14[Year]),0)),"")</f>
        <v/>
      </c>
      <c r="CX24" t="str" cm="1">
        <f t="array" ref="CX24">_xlfn.IFNA(INDEX(Table14[Vigtuð vísitala],MATCH(1,(CX$2=Table14[Column1])*($X24=Table14[Year]),0)),"")</f>
        <v/>
      </c>
      <c r="CY24" cm="1">
        <f t="array" ref="CY24">_xlfn.IFNA(INDEX(Table14[Vigtuð vísitala],MATCH(1,(CY$2=Table14[Column1])*($X24=Table14[Year]),0)),"")</f>
        <v>238.85630036833174</v>
      </c>
      <c r="CZ24" t="str" cm="1">
        <f t="array" ref="CZ24">_xlfn.IFNA(INDEX(Table14[Vigtuð vísitala],MATCH(1,(CZ$2=Table14[Column1])*($X24=Table14[Year]),0)),"")</f>
        <v/>
      </c>
      <c r="DA24" t="str" cm="1">
        <f t="array" ref="DA24">_xlfn.IFNA(INDEX(Table14[Vigtuð vísitala],MATCH(1,(DA$2=Table14[Column1])*($X24=Table14[Year]),0)),"")</f>
        <v/>
      </c>
      <c r="DB24" t="str" cm="1">
        <f t="array" ref="DB24">_xlfn.IFNA(INDEX(Table14[Vigtuð vísitala],MATCH(1,(DB$2=Table14[Column1])*($X24=Table14[Year]),0)),"")</f>
        <v/>
      </c>
      <c r="DC24" cm="1">
        <f t="array" ref="DC24">_xlfn.IFNA(INDEX(Table14[Vigtuð vísitala],MATCH(1,(DC$2=Table14[Column1])*($X24=Table14[Year]),0)),"")</f>
        <v>243.45531026088099</v>
      </c>
      <c r="DD24" t="str" cm="1">
        <f t="array" ref="DD24">_xlfn.IFNA(INDEX(Table14[Vigtuð vísitala],MATCH(1,(DD$2=Table14[Column1])*($X24=Table14[Year]),0)),"")</f>
        <v/>
      </c>
      <c r="DE24" cm="1">
        <f t="array" ref="DE24">_xlfn.IFNA(INDEX(Table14[Vigtuð vísitala],MATCH(1,(DE$2=Table14[Column1])*($X24=Table14[Year]),0)),"")</f>
        <v>229.86887246375005</v>
      </c>
      <c r="DF24" t="str" cm="1">
        <f t="array" ref="DF24">_xlfn.IFNA(INDEX(Table14[Vigtuð vísitala],MATCH(1,(DF$2=Table14[Column1])*($X24=Table14[Year]),0)),"")</f>
        <v/>
      </c>
    </row>
    <row r="25" spans="1:110">
      <c r="A25" t="s">
        <v>58</v>
      </c>
      <c r="B25">
        <v>2016</v>
      </c>
      <c r="C25" s="16">
        <v>-1.49E-2</v>
      </c>
      <c r="D25" s="1">
        <v>308270082.58999997</v>
      </c>
      <c r="E25" s="29">
        <f>Table14[[#This Row],[Ávöxtun]]*Table14[[#This Row],[Eignir]]/SUMIFS(Table14[Eignir],Table14[Year],Table14[[#This Row],[Year]])</f>
        <v>-1.4353616436840173E-3</v>
      </c>
      <c r="F25" s="23" t="str">
        <f>IF(B25=1997, 100, IF(COUNTIF(A$1:A24,A25)=0, "NEW", F24*(1+Table14[[#This Row],[Ávöxtun]])))</f>
        <v>NEW</v>
      </c>
      <c r="G25" s="18" t="str" cm="1">
        <f t="array" ref="G25">IFERROR(_xlfn.IFS(ISNUMBER(Table14[[#This Row],[Column3]]),Table14[[#This Row],[Column3]],Table14[[#This Row],[Column3]]="NEW",Table14[[#This Row],[Column3]]),"")</f>
        <v>NEW</v>
      </c>
      <c r="H25" s="15" cm="1">
        <f t="array" ref="H25">_xlfn.IFS(Table14[[#This Row],[Column4]]="NEW",AVERAGEIFS(Table14[Column4],Table14[Year],Table14[[#This Row],[Year]]),ISNUMBER(Table14[[#This Row],[Column4]]),Table14[[#This Row],[Column4]],Table14[[#This Row],[Column4]]="",H24*(1+Table14[[#This Row],[Ávöxtun]]))</f>
        <v>203.54245352961544</v>
      </c>
      <c r="I25" cm="1">
        <f t="array" ref="I25">_xlfn.IFS(Table14[[#This Row],[Column4]]="NEW",_xlfn.XLOOKUP(Table14[[#This Row],[Year]],$M$2:$M$27,$O$2:$O$27),ISNUMBER(Table14[[#This Row],[Column4]]),Table14[[#This Row],[Column4]],Table14[[#This Row],[Column4]]="",I24*(1+Table14[[#This Row],[Ávöxtun]]))</f>
        <v>225.71206190614538</v>
      </c>
      <c r="L25" s="33">
        <v>225.71206190614538</v>
      </c>
      <c r="M25">
        <v>2019</v>
      </c>
      <c r="N25" s="27">
        <f>SUMIFS(Table14[Column2],Table14[Year],M25)</f>
        <v>0.16035282354463598</v>
      </c>
      <c r="O25">
        <f t="shared" si="0"/>
        <v>289.67114949928572</v>
      </c>
      <c r="P25" s="26" cm="1">
        <f t="array" ref="P25">_xlfn.QUARTILE.EXC(IF($B$2:$B$939 = M25, $I$2:$I$939), 3)</f>
        <v>270.09247902587356</v>
      </c>
      <c r="Q25" s="26" cm="1">
        <f t="array" ref="Q25">_xlfn.QUARTILE.EXC(IF($B$2:$B$939 = M25, $I$2:$I$939), 1)</f>
        <v>204.32055545538481</v>
      </c>
      <c r="R25" s="26" cm="1">
        <f t="array" ref="R25">_xlfn.QUARTILE.EXC(IF($B$2:$B$939 = M25, $I$2:$I$939), 2)</f>
        <v>258.86009778955781</v>
      </c>
      <c r="S25" s="17" cm="1">
        <f t="array" ref="S25">_xlfn.QUARTILE.EXC(IF($B$2:$B$939 = M25, $C$2:$C$939), 3)</f>
        <v>0.11854999999999999</v>
      </c>
      <c r="T25" s="17" cm="1">
        <f t="array" ref="T25">_xlfn.QUARTILE.EXC(IF($B$2:$B$939 = M25, $C$2:$C$939), 1)</f>
        <v>0.09</v>
      </c>
      <c r="U25" s="17" cm="1">
        <f t="array" ref="U25">_xlfn.QUARTILE.EXC(IF($B$2:$B$939 = M25, $C$2:$C$939), 2)</f>
        <v>0.10189999999999999</v>
      </c>
      <c r="X25">
        <v>2019</v>
      </c>
      <c r="Y25">
        <f t="shared" si="1"/>
        <v>289.67114949928572</v>
      </c>
      <c r="Z25" cm="1">
        <f t="array" ref="Z25">_xlfn.IFNA(INDEX(Table14[Vigtuð vísitala],MATCH(1,(Z$2=Table14[Column1])*($X25=Table14[Year]),0)),"")</f>
        <v>183.10703830628881</v>
      </c>
      <c r="AB25" t="str" cm="1">
        <f t="array" ref="AB25">_xlfn.IFNA(INDEX(Table14[Vigtuð vísitala],MATCH(1,(AB$2=Table14[Column1])*($X25=Table14[Year]),0)),"")</f>
        <v/>
      </c>
      <c r="AC25" t="str" cm="1">
        <f t="array" ref="AC25">_xlfn.IFNA(INDEX(Table14[Vigtuð vísitala],MATCH(1,(AC$2=Table14[Column1])*($X25=Table14[Year]),0)),"")</f>
        <v/>
      </c>
      <c r="AD25" cm="1">
        <f t="array" ref="AD25">_xlfn.IFNA(INDEX(Table14[Vigtuð vísitala],MATCH(1,(AD$2=Table14[Column1])*($X25=Table14[Year]),0)),"")</f>
        <v>268.55627326048267</v>
      </c>
      <c r="AE25" cm="1">
        <f t="array" ref="AE25">_xlfn.IFNA(INDEX(Table14[Vigtuð vísitala],MATCH(1,(AE$2=Table14[Column1])*($X25=Table14[Year]),0)),"")</f>
        <v>346.23856968652314</v>
      </c>
      <c r="AF25" t="str" cm="1">
        <f t="array" ref="AF25">_xlfn.IFNA(INDEX(Table14[Vigtuð vísitala],MATCH(1,(AF$2=Table14[Column1])*($X25=Table14[Year]),0)),"")</f>
        <v/>
      </c>
      <c r="AG25" t="str" cm="1">
        <f t="array" ref="AG25">_xlfn.IFNA(INDEX(Table14[Vigtuð vísitala],MATCH(1,(AG$2=Table14[Column1])*($X25=Table14[Year]),0)),"")</f>
        <v/>
      </c>
      <c r="AH25" t="str" cm="1">
        <f t="array" ref="AH25">_xlfn.IFNA(INDEX(Table14[Vigtuð vísitala],MATCH(1,(AH$2=Table14[Column1])*($X25=Table14[Year]),0)),"")</f>
        <v/>
      </c>
      <c r="AI25" t="str" cm="1">
        <f t="array" ref="AI25">_xlfn.IFNA(INDEX(Table14[Vigtuð vísitala],MATCH(1,(AI$2=Table14[Column1])*($X25=Table14[Year]),0)),"")</f>
        <v/>
      </c>
      <c r="AJ25" t="str" cm="1">
        <f t="array" ref="AJ25">_xlfn.IFNA(INDEX(Table14[Vigtuð vísitala],MATCH(1,(AJ$2=Table14[Column1])*($X25=Table14[Year]),0)),"")</f>
        <v/>
      </c>
      <c r="AK25" t="str" cm="1">
        <f t="array" ref="AK25">_xlfn.IFNA(INDEX(Table14[Vigtuð vísitala],MATCH(1,(AK$2=Table14[Column1])*($X25=Table14[Year]),0)),"")</f>
        <v/>
      </c>
      <c r="AL25" cm="1">
        <f t="array" ref="AL25">_xlfn.IFNA(INDEX(Table14[Vigtuð vísitala],MATCH(1,(AL$2=Table14[Column1])*($X25=Table14[Year]),0)),"")</f>
        <v>210.74632373738993</v>
      </c>
      <c r="AM25" t="str" cm="1">
        <f t="array" ref="AM25">_xlfn.IFNA(INDEX(Table14[Vigtuð vísitala],MATCH(1,(AM$2=Table14[Column1])*($X25=Table14[Year]),0)),"")</f>
        <v/>
      </c>
      <c r="AN25" t="str" cm="1">
        <f t="array" ref="AN25">_xlfn.IFNA(INDEX(Table14[Vigtuð vísitala],MATCH(1,(AN$2=Table14[Column1])*($X25=Table14[Year]),0)),"")</f>
        <v/>
      </c>
      <c r="AO25" t="str" cm="1">
        <f t="array" ref="AO25">_xlfn.IFNA(INDEX(Table14[Vigtuð vísitala],MATCH(1,(AO$2=Table14[Column1])*($X25=Table14[Year]),0)),"")</f>
        <v/>
      </c>
      <c r="AP25" cm="1">
        <f t="array" ref="AP25">_xlfn.IFNA(INDEX(Table14[Vigtuð vísitala],MATCH(1,(AP$2=Table14[Column1])*($X25=Table14[Year]),0)),"")</f>
        <v>258.86009778955781</v>
      </c>
      <c r="AQ25" cm="1">
        <f t="array" ref="AQ25">_xlfn.IFNA(INDEX(Table14[Vigtuð vísitala],MATCH(1,(AQ$2=Table14[Column1])*($X25=Table14[Year]),0)),"")</f>
        <v>197.89478717337971</v>
      </c>
      <c r="AR25" cm="1">
        <f t="array" ref="AR25">_xlfn.IFNA(INDEX(Table14[Vigtuð vísitala],MATCH(1,(AR$2=Table14[Column1])*($X25=Table14[Year]),0)),"")</f>
        <v>238.75953682910682</v>
      </c>
      <c r="AS25" t="str" cm="1">
        <f t="array" ref="AS25">_xlfn.IFNA(INDEX(Table14[Vigtuð vísitala],MATCH(1,(AS$2=Table14[Column1])*($X25=Table14[Year]),0)),"")</f>
        <v/>
      </c>
      <c r="AT25" cm="1">
        <f t="array" ref="AT25">_xlfn.IFNA(INDEX(Table14[Vigtuð vísitala],MATCH(1,(AT$2=Table14[Column1])*($X25=Table14[Year]),0)),"")</f>
        <v>177.31145872045369</v>
      </c>
      <c r="AU25" t="str" cm="1">
        <f t="array" ref="AU25">_xlfn.IFNA(INDEX(Table14[Vigtuð vísitala],MATCH(1,(AU$2=Table14[Column1])*($X25=Table14[Year]),0)),"")</f>
        <v/>
      </c>
      <c r="AV25" t="str" cm="1">
        <f t="array" ref="AV25">_xlfn.IFNA(INDEX(Table14[Vigtuð vísitala],MATCH(1,(AV$2=Table14[Column1])*($X25=Table14[Year]),0)),"")</f>
        <v/>
      </c>
      <c r="AW25" t="str" cm="1">
        <f t="array" ref="AW25">_xlfn.IFNA(INDEX(Table14[Vigtuð vísitala],MATCH(1,(AW$2=Table14[Column1])*($X25=Table14[Year]),0)),"")</f>
        <v/>
      </c>
      <c r="AX25" t="str" cm="1">
        <f t="array" ref="AX25">_xlfn.IFNA(INDEX(Table14[Vigtuð vísitala],MATCH(1,(AX$2=Table14[Column1])*($X25=Table14[Year]),0)),"")</f>
        <v/>
      </c>
      <c r="AY25" t="str" cm="1">
        <f t="array" ref="AY25">_xlfn.IFNA(INDEX(Table14[Vigtuð vísitala],MATCH(1,(AY$2=Table14[Column1])*($X25=Table14[Year]),0)),"")</f>
        <v/>
      </c>
      <c r="AZ25" t="str" cm="1">
        <f t="array" ref="AZ25">_xlfn.IFNA(INDEX(Table14[Vigtuð vísitala],MATCH(1,(AZ$2=Table14[Column1])*($X25=Table14[Year]),0)),"")</f>
        <v/>
      </c>
      <c r="BA25" t="str" cm="1">
        <f t="array" ref="BA25">_xlfn.IFNA(INDEX(Table14[Vigtuð vísitala],MATCH(1,(BA$2=Table14[Column1])*($X25=Table14[Year]),0)),"")</f>
        <v/>
      </c>
      <c r="BB25" t="str" cm="1">
        <f t="array" ref="BB25">_xlfn.IFNA(INDEX(Table14[Vigtuð vísitala],MATCH(1,(BB$2=Table14[Column1])*($X25=Table14[Year]),0)),"")</f>
        <v/>
      </c>
      <c r="BC25" t="str" cm="1">
        <f t="array" ref="BC25">_xlfn.IFNA(INDEX(Table14[Vigtuð vísitala],MATCH(1,(BC$2=Table14[Column1])*($X25=Table14[Year]),0)),"")</f>
        <v/>
      </c>
      <c r="BD25" t="str" cm="1">
        <f t="array" ref="BD25">_xlfn.IFNA(INDEX(Table14[Vigtuð vísitala],MATCH(1,(BD$2=Table14[Column1])*($X25=Table14[Year]),0)),"")</f>
        <v/>
      </c>
      <c r="BE25" t="str" cm="1">
        <f t="array" ref="BE25">_xlfn.IFNA(INDEX(Table14[Vigtuð vísitala],MATCH(1,(BE$2=Table14[Column1])*($X25=Table14[Year]),0)),"")</f>
        <v/>
      </c>
      <c r="BF25" t="str" cm="1">
        <f t="array" ref="BF25">_xlfn.IFNA(INDEX(Table14[Vigtuð vísitala],MATCH(1,(BF$2=Table14[Column1])*($X25=Table14[Year]),0)),"")</f>
        <v/>
      </c>
      <c r="BG25" t="str" cm="1">
        <f t="array" ref="BG25">_xlfn.IFNA(INDEX(Table14[Vigtuð vísitala],MATCH(1,(BG$2=Table14[Column1])*($X25=Table14[Year]),0)),"")</f>
        <v/>
      </c>
      <c r="BH25" t="str" cm="1">
        <f t="array" ref="BH25">_xlfn.IFNA(INDEX(Table14[Vigtuð vísitala],MATCH(1,(BH$2=Table14[Column1])*($X25=Table14[Year]),0)),"")</f>
        <v/>
      </c>
      <c r="BI25" t="str" cm="1">
        <f t="array" ref="BI25">_xlfn.IFNA(INDEX(Table14[Vigtuð vísitala],MATCH(1,(BI$2=Table14[Column1])*($X25=Table14[Year]),0)),"")</f>
        <v/>
      </c>
      <c r="BJ25" t="str" cm="1">
        <f t="array" ref="BJ25">_xlfn.IFNA(INDEX(Table14[Vigtuð vísitala],MATCH(1,(BJ$2=Table14[Column1])*($X25=Table14[Year]),0)),"")</f>
        <v/>
      </c>
      <c r="BK25" t="str" cm="1">
        <f t="array" ref="BK25">_xlfn.IFNA(INDEX(Table14[Vigtuð vísitala],MATCH(1,(BK$2=Table14[Column1])*($X25=Table14[Year]),0)),"")</f>
        <v/>
      </c>
      <c r="BL25" t="str" cm="1">
        <f t="array" ref="BL25">_xlfn.IFNA(INDEX(Table14[Vigtuð vísitala],MATCH(1,(BL$2=Table14[Column1])*($X25=Table14[Year]),0)),"")</f>
        <v/>
      </c>
      <c r="BM25" t="str" cm="1">
        <f t="array" ref="BM25">_xlfn.IFNA(INDEX(Table14[Vigtuð vísitala],MATCH(1,(BM$2=Table14[Column1])*($X25=Table14[Year]),0)),"")</f>
        <v/>
      </c>
      <c r="BN25" t="str" cm="1">
        <f t="array" ref="BN25">_xlfn.IFNA(INDEX(Table14[Vigtuð vísitala],MATCH(1,(BN$2=Table14[Column1])*($X25=Table14[Year]),0)),"")</f>
        <v/>
      </c>
      <c r="BO25" t="str" cm="1">
        <f t="array" ref="BO25">_xlfn.IFNA(INDEX(Table14[Vigtuð vísitala],MATCH(1,(BO$2=Table14[Column1])*($X25=Table14[Year]),0)),"")</f>
        <v/>
      </c>
      <c r="BP25" t="str" cm="1">
        <f t="array" ref="BP25">_xlfn.IFNA(INDEX(Table14[Vigtuð vísitala],MATCH(1,(BP$2=Table14[Column1])*($X25=Table14[Year]),0)),"")</f>
        <v/>
      </c>
      <c r="BQ25" cm="1">
        <f t="array" ref="BQ25">_xlfn.IFNA(INDEX(Table14[Vigtuð vísitala],MATCH(1,(BQ$2=Table14[Column1])*($X25=Table14[Year]),0)),"")</f>
        <v>195.21743247633927</v>
      </c>
      <c r="BR25" cm="1">
        <f t="array" ref="BR25">_xlfn.IFNA(INDEX(Table14[Vigtuð vísitala],MATCH(1,(BR$2=Table14[Column1])*($X25=Table14[Year]),0)),"")</f>
        <v>432.36994613535285</v>
      </c>
      <c r="BS25" t="str" cm="1">
        <f t="array" ref="BS25">_xlfn.IFNA(INDEX(Table14[Vigtuð vísitala],MATCH(1,(BS$2=Table14[Column1])*($X25=Table14[Year]),0)),"")</f>
        <v/>
      </c>
      <c r="BT25" t="str" cm="1">
        <f t="array" ref="BT25">_xlfn.IFNA(INDEX(Table14[Vigtuð vísitala],MATCH(1,(BT$2=Table14[Column1])*($X25=Table14[Year]),0)),"")</f>
        <v/>
      </c>
      <c r="BU25" t="str" cm="1">
        <f t="array" ref="BU25">_xlfn.IFNA(INDEX(Table14[Vigtuð vísitala],MATCH(1,(BU$2=Table14[Column1])*($X25=Table14[Year]),0)),"")</f>
        <v/>
      </c>
      <c r="BV25" t="str" cm="1">
        <f t="array" ref="BV25">_xlfn.IFNA(INDEX(Table14[Vigtuð vísitala],MATCH(1,(BV$2=Table14[Column1])*($X25=Table14[Year]),0)),"")</f>
        <v/>
      </c>
      <c r="BW25" t="str" cm="1">
        <f t="array" ref="BW25">_xlfn.IFNA(INDEX(Table14[Vigtuð vísitala],MATCH(1,(BW$2=Table14[Column1])*($X25=Table14[Year]),0)),"")</f>
        <v/>
      </c>
      <c r="BX25" t="str" cm="1">
        <f t="array" ref="BX25">_xlfn.IFNA(INDEX(Table14[Vigtuð vísitala],MATCH(1,(BX$2=Table14[Column1])*($X25=Table14[Year]),0)),"")</f>
        <v/>
      </c>
      <c r="BY25" t="str" cm="1">
        <f t="array" ref="BY25">_xlfn.IFNA(INDEX(Table14[Vigtuð vísitala],MATCH(1,(BY$2=Table14[Column1])*($X25=Table14[Year]),0)),"")</f>
        <v/>
      </c>
      <c r="BZ25" t="str" cm="1">
        <f t="array" ref="BZ25">_xlfn.IFNA(INDEX(Table14[Vigtuð vísitala],MATCH(1,(BZ$2=Table14[Column1])*($X25=Table14[Year]),0)),"")</f>
        <v/>
      </c>
      <c r="CA25" t="str" cm="1">
        <f t="array" ref="CA25">_xlfn.IFNA(INDEX(Table14[Vigtuð vísitala],MATCH(1,(CA$2=Table14[Column1])*($X25=Table14[Year]),0)),"")</f>
        <v/>
      </c>
      <c r="CB25" cm="1">
        <f t="array" ref="CB25">_xlfn.IFNA(INDEX(Table14[Vigtuð vísitala],MATCH(1,(CB$2=Table14[Column1])*($X25=Table14[Year]),0)),"")</f>
        <v>219.18669440735349</v>
      </c>
      <c r="CC25" t="str" cm="1">
        <f t="array" ref="CC25">_xlfn.IFNA(INDEX(Table14[Vigtuð vísitala],MATCH(1,(CC$2=Table14[Column1])*($X25=Table14[Year]),0)),"")</f>
        <v/>
      </c>
      <c r="CD25" t="str" cm="1">
        <f t="array" ref="CD25">_xlfn.IFNA(INDEX(Table14[Vigtuð vísitala],MATCH(1,(CD$2=Table14[Column1])*($X25=Table14[Year]),0)),"")</f>
        <v/>
      </c>
      <c r="CE25" cm="1">
        <f t="array" ref="CE25">_xlfn.IFNA(INDEX(Table14[Vigtuð vísitala],MATCH(1,(CE$2=Table14[Column1])*($X25=Table14[Year]),0)),"")</f>
        <v>270.67992959295185</v>
      </c>
      <c r="CF25" cm="1">
        <f t="array" ref="CF25">_xlfn.IFNA(INDEX(Table14[Vigtuð vísitala],MATCH(1,(CF$2=Table14[Column1])*($X25=Table14[Year]),0)),"")</f>
        <v>396.40529862301446</v>
      </c>
      <c r="CG25" t="str" cm="1">
        <f t="array" ref="CG25">_xlfn.IFNA(INDEX(Table14[Vigtuð vísitala],MATCH(1,(CG$2=Table14[Column1])*($X25=Table14[Year]),0)),"")</f>
        <v/>
      </c>
      <c r="CH25" cm="1">
        <f t="array" ref="CH25">_xlfn.IFNA(INDEX(Table14[Vigtuð vísitala],MATCH(1,(CH$2=Table14[Column1])*($X25=Table14[Year]),0)),"")</f>
        <v>229.54736546242614</v>
      </c>
      <c r="CI25" cm="1">
        <f t="array" ref="CI25">_xlfn.IFNA(INDEX(Table14[Vigtuð vísitala],MATCH(1,(CI$2=Table14[Column1])*($X25=Table14[Year]),0)),"")</f>
        <v>471.03286045380452</v>
      </c>
      <c r="CJ25" t="str" cm="1">
        <f t="array" ref="CJ25">_xlfn.IFNA(INDEX(Table14[Vigtuð vísitala],MATCH(1,(CJ$2=Table14[Column1])*($X25=Table14[Year]),0)),"")</f>
        <v/>
      </c>
      <c r="CK25" t="str" cm="1">
        <f t="array" ref="CK25">_xlfn.IFNA(INDEX(Table14[Vigtuð vísitala],MATCH(1,(CK$2=Table14[Column1])*($X25=Table14[Year]),0)),"")</f>
        <v/>
      </c>
      <c r="CL25" t="str" cm="1">
        <f t="array" ref="CL25">_xlfn.IFNA(INDEX(Table14[Vigtuð vísitala],MATCH(1,(CL$2=Table14[Column1])*($X25=Table14[Year]),0)),"")</f>
        <v/>
      </c>
      <c r="CM25" t="str" cm="1">
        <f t="array" ref="CM25">_xlfn.IFNA(INDEX(Table14[Vigtuð vísitala],MATCH(1,(CM$2=Table14[Column1])*($X25=Table14[Year]),0)),"")</f>
        <v/>
      </c>
      <c r="CN25" cm="1">
        <f t="array" ref="CN25">_xlfn.IFNA(INDEX(Table14[Vigtuð vísitala],MATCH(1,(CN$2=Table14[Column1])*($X25=Table14[Year]),0)),"")</f>
        <v>182.71700669471264</v>
      </c>
      <c r="CO25" t="str" cm="1">
        <f t="array" ref="CO25">_xlfn.IFNA(INDEX(Table14[Vigtuð vísitala],MATCH(1,(CO$2=Table14[Column1])*($X25=Table14[Year]),0)),"")</f>
        <v/>
      </c>
      <c r="CP25" t="str" cm="1">
        <f t="array" ref="CP25">_xlfn.IFNA(INDEX(Table14[Vigtuð vísitala],MATCH(1,(CP$2=Table14[Column1])*($X25=Table14[Year]),0)),"")</f>
        <v/>
      </c>
      <c r="CQ25" t="str" cm="1">
        <f t="array" ref="CQ25">_xlfn.IFNA(INDEX(Table14[Vigtuð vísitala],MATCH(1,(CQ$2=Table14[Column1])*($X25=Table14[Year]),0)),"")</f>
        <v/>
      </c>
      <c r="CR25" cm="1">
        <f t="array" ref="CR25">_xlfn.IFNA(INDEX(Table14[Vigtuð vísitala],MATCH(1,(CR$2=Table14[Column1])*($X25=Table14[Year]),0)),"")</f>
        <v>264.25467006018965</v>
      </c>
      <c r="CS25" t="str" cm="1">
        <f t="array" ref="CS25">_xlfn.IFNA(INDEX(Table14[Vigtuð vísitala],MATCH(1,(CS$2=Table14[Column1])*($X25=Table14[Year]),0)),"")</f>
        <v/>
      </c>
      <c r="CT25" cm="1">
        <f t="array" ref="CT25">_xlfn.IFNA(INDEX(Table14[Vigtuð vísitala],MATCH(1,(CT$2=Table14[Column1])*($X25=Table14[Year]),0)),"")</f>
        <v>263.15381121232809</v>
      </c>
      <c r="CU25" t="str" cm="1">
        <f t="array" ref="CU25">_xlfn.IFNA(INDEX(Table14[Vigtuð vísitala],MATCH(1,(CU$2=Table14[Column1])*($X25=Table14[Year]),0)),"")</f>
        <v/>
      </c>
      <c r="CV25" t="str" cm="1">
        <f t="array" ref="CV25">_xlfn.IFNA(INDEX(Table14[Vigtuð vísitala],MATCH(1,(CV$2=Table14[Column1])*($X25=Table14[Year]),0)),"")</f>
        <v/>
      </c>
      <c r="CW25" t="str" cm="1">
        <f t="array" ref="CW25">_xlfn.IFNA(INDEX(Table14[Vigtuð vísitala],MATCH(1,(CW$2=Table14[Column1])*($X25=Table14[Year]),0)),"")</f>
        <v/>
      </c>
      <c r="CX25" t="str" cm="1">
        <f t="array" ref="CX25">_xlfn.IFNA(INDEX(Table14[Vigtuð vísitala],MATCH(1,(CX$2=Table14[Column1])*($X25=Table14[Year]),0)),"")</f>
        <v/>
      </c>
      <c r="CY25" cm="1">
        <f t="array" ref="CY25">_xlfn.IFNA(INDEX(Table14[Vigtuð vísitala],MATCH(1,(CY$2=Table14[Column1])*($X25=Table14[Year]),0)),"")</f>
        <v>260.35336740148165</v>
      </c>
      <c r="CZ25" t="str" cm="1">
        <f t="array" ref="CZ25">_xlfn.IFNA(INDEX(Table14[Vigtuð vísitala],MATCH(1,(CZ$2=Table14[Column1])*($X25=Table14[Year]),0)),"")</f>
        <v/>
      </c>
      <c r="DA25" t="str" cm="1">
        <f t="array" ref="DA25">_xlfn.IFNA(INDEX(Table14[Vigtuð vísitala],MATCH(1,(DA$2=Table14[Column1])*($X25=Table14[Year]),0)),"")</f>
        <v/>
      </c>
      <c r="DB25" t="str" cm="1">
        <f t="array" ref="DB25">_xlfn.IFNA(INDEX(Table14[Vigtuð vísitala],MATCH(1,(DB$2=Table14[Column1])*($X25=Table14[Year]),0)),"")</f>
        <v/>
      </c>
      <c r="DC25" cm="1">
        <f t="array" ref="DC25">_xlfn.IFNA(INDEX(Table14[Vigtuð vísitala],MATCH(1,(DC$2=Table14[Column1])*($X25=Table14[Year]),0)),"")</f>
        <v>269.50502845879527</v>
      </c>
      <c r="DD25" t="str" cm="1">
        <f t="array" ref="DD25">_xlfn.IFNA(INDEX(Table14[Vigtuð vísitala],MATCH(1,(DD$2=Table14[Column1])*($X25=Table14[Year]),0)),"")</f>
        <v/>
      </c>
      <c r="DE25" cm="1">
        <f t="array" ref="DE25">_xlfn.IFNA(INDEX(Table14[Vigtuð vísitala],MATCH(1,(DE$2=Table14[Column1])*($X25=Table14[Year]),0)),"")</f>
        <v>252.80978593563233</v>
      </c>
      <c r="DF25" t="str" cm="1">
        <f t="array" ref="DF25">_xlfn.IFNA(INDEX(Table14[Vigtuð vísitala],MATCH(1,(DF$2=Table14[Column1])*($X25=Table14[Year]),0)),"")</f>
        <v/>
      </c>
    </row>
    <row r="26" spans="1:110">
      <c r="A26" t="s">
        <v>58</v>
      </c>
      <c r="B26">
        <v>2017</v>
      </c>
      <c r="C26" s="16">
        <v>5.2000000000000005E-2</v>
      </c>
      <c r="D26" s="1">
        <v>334817869</v>
      </c>
      <c r="E26" s="29">
        <f>Table14[[#This Row],[Ávöxtun]]*Table14[[#This Row],[Eignir]]/SUMIFS(Table14[Eignir],Table14[Year],Table14[[#This Row],[Year]])</f>
        <v>4.8917642817475314E-3</v>
      </c>
      <c r="F26" s="23" t="e">
        <f>IF(B26=1997, 100, IF(COUNTIF(A$1:A25,A26)=0, "NEW", F25*(1+Table14[[#This Row],[Ávöxtun]])))</f>
        <v>#VALUE!</v>
      </c>
      <c r="G26" s="18" t="str" cm="1">
        <f t="array" ref="G26">IFERROR(_xlfn.IFS(ISNUMBER(Table14[[#This Row],[Column3]]),Table14[[#This Row],[Column3]],Table14[[#This Row],[Column3]]="NEW",Table14[[#This Row],[Column3]]),"")</f>
        <v/>
      </c>
      <c r="H26" s="15" cm="1">
        <f t="array" ref="H26">_xlfn.IFS(Table14[[#This Row],[Column4]]="NEW",AVERAGEIFS(Table14[Column4],Table14[Year],Table14[[#This Row],[Year]]),ISNUMBER(Table14[[#This Row],[Column4]]),Table14[[#This Row],[Column4]],Table14[[#This Row],[Column4]]="",H25*(1+Table14[[#This Row],[Ávöxtun]]))</f>
        <v>214.12666111315545</v>
      </c>
      <c r="I26" cm="1">
        <f t="array" ref="I26">_xlfn.IFS(Table14[[#This Row],[Column4]]="NEW",_xlfn.XLOOKUP(Table14[[#This Row],[Year]],$M$2:$M$27,$O$2:$O$27),ISNUMBER(Table14[[#This Row],[Column4]]),Table14[[#This Row],[Column4]],Table14[[#This Row],[Column4]]="",I25*(1+Table14[[#This Row],[Ávöxtun]]))</f>
        <v>237.44908912526495</v>
      </c>
      <c r="L26" s="33">
        <v>237.44908912526495</v>
      </c>
      <c r="M26">
        <v>2020</v>
      </c>
      <c r="N26" s="27">
        <f>SUMIFS(Table14[Column2],Table14[Year],M26)</f>
        <v>0.13104509362166816</v>
      </c>
      <c r="O26">
        <f t="shared" si="0"/>
        <v>327.63113240491583</v>
      </c>
      <c r="P26" s="26" cm="1">
        <f t="array" ref="P26">_xlfn.QUARTILE.EXC(IF($B$2:$B$939 = M26, $I$2:$I$939), 3)</f>
        <v>294.70280783781016</v>
      </c>
      <c r="Q26" s="26" cm="1">
        <f t="array" ref="Q26">_xlfn.QUARTILE.EXC(IF($B$2:$B$939 = M26, $I$2:$I$939), 1)</f>
        <v>221.14911910888387</v>
      </c>
      <c r="R26" s="26" cm="1">
        <f t="array" ref="R26">_xlfn.QUARTILE.EXC(IF($B$2:$B$939 = M26, $I$2:$I$939), 2)</f>
        <v>282.46813870796547</v>
      </c>
      <c r="S26" s="17" cm="1">
        <f t="array" ref="S26">_xlfn.QUARTILE.EXC(IF($B$2:$B$939 = M26, $C$2:$C$939), 3)</f>
        <v>0.10250000000000001</v>
      </c>
      <c r="T26" s="17" cm="1">
        <f t="array" ref="T26">_xlfn.QUARTILE.EXC(IF($B$2:$B$939 = M26, $C$2:$C$939), 1)</f>
        <v>7.8649999999999998E-2</v>
      </c>
      <c r="U26" s="17" cm="1">
        <f t="array" ref="U26">_xlfn.QUARTILE.EXC(IF($B$2:$B$939 = M26, $C$2:$C$939), 2)</f>
        <v>8.8900000000000007E-2</v>
      </c>
      <c r="X26">
        <v>2020</v>
      </c>
      <c r="Y26">
        <f t="shared" si="1"/>
        <v>327.63113240491583</v>
      </c>
      <c r="Z26" cm="1">
        <f t="array" ref="Z26">_xlfn.IFNA(INDEX(Table14[Vigtuð vísitala],MATCH(1,(Z$2=Table14[Column1])*($X26=Table14[Year]),0)),"")</f>
        <v>198.12181544740451</v>
      </c>
      <c r="AB26" t="str" cm="1">
        <f t="array" ref="AB26">_xlfn.IFNA(INDEX(Table14[Vigtuð vísitala],MATCH(1,(AB$2=Table14[Column1])*($X26=Table14[Year]),0)),"")</f>
        <v/>
      </c>
      <c r="AC26" t="str" cm="1">
        <f t="array" ref="AC26">_xlfn.IFNA(INDEX(Table14[Vigtuð vísitala],MATCH(1,(AC$2=Table14[Column1])*($X26=Table14[Year]),0)),"")</f>
        <v/>
      </c>
      <c r="AD26" cm="1">
        <f t="array" ref="AD26">_xlfn.IFNA(INDEX(Table14[Vigtuð vísitala],MATCH(1,(AD$2=Table14[Column1])*($X26=Table14[Year]),0)),"")</f>
        <v>292.43092595333957</v>
      </c>
      <c r="AE26" cm="1">
        <f t="array" ref="AE26">_xlfn.IFNA(INDEX(Table14[Vigtuð vísitala],MATCH(1,(AE$2=Table14[Column1])*($X26=Table14[Year]),0)),"")</f>
        <v>418.25619218131993</v>
      </c>
      <c r="AF26" t="str" cm="1">
        <f t="array" ref="AF26">_xlfn.IFNA(INDEX(Table14[Vigtuð vísitala],MATCH(1,(AF$2=Table14[Column1])*($X26=Table14[Year]),0)),"")</f>
        <v/>
      </c>
      <c r="AG26" t="str" cm="1">
        <f t="array" ref="AG26">_xlfn.IFNA(INDEX(Table14[Vigtuð vísitala],MATCH(1,(AG$2=Table14[Column1])*($X26=Table14[Year]),0)),"")</f>
        <v/>
      </c>
      <c r="AH26" t="str" cm="1">
        <f t="array" ref="AH26">_xlfn.IFNA(INDEX(Table14[Vigtuð vísitala],MATCH(1,(AH$2=Table14[Column1])*($X26=Table14[Year]),0)),"")</f>
        <v/>
      </c>
      <c r="AI26" t="str" cm="1">
        <f t="array" ref="AI26">_xlfn.IFNA(INDEX(Table14[Vigtuð vísitala],MATCH(1,(AI$2=Table14[Column1])*($X26=Table14[Year]),0)),"")</f>
        <v/>
      </c>
      <c r="AJ26" t="str" cm="1">
        <f t="array" ref="AJ26">_xlfn.IFNA(INDEX(Table14[Vigtuð vísitala],MATCH(1,(AJ$2=Table14[Column1])*($X26=Table14[Year]),0)),"")</f>
        <v/>
      </c>
      <c r="AK26" t="str" cm="1">
        <f t="array" ref="AK26">_xlfn.IFNA(INDEX(Table14[Vigtuð vísitala],MATCH(1,(AK$2=Table14[Column1])*($X26=Table14[Year]),0)),"")</f>
        <v/>
      </c>
      <c r="AL26" cm="1">
        <f t="array" ref="AL26">_xlfn.IFNA(INDEX(Table14[Vigtuð vísitala],MATCH(1,(AL$2=Table14[Column1])*($X26=Table14[Year]),0)),"")</f>
        <v>229.1655524320378</v>
      </c>
      <c r="AM26" t="str" cm="1">
        <f t="array" ref="AM26">_xlfn.IFNA(INDEX(Table14[Vigtuð vísitala],MATCH(1,(AM$2=Table14[Column1])*($X26=Table14[Year]),0)),"")</f>
        <v/>
      </c>
      <c r="AN26" t="str" cm="1">
        <f t="array" ref="AN26">_xlfn.IFNA(INDEX(Table14[Vigtuð vísitala],MATCH(1,(AN$2=Table14[Column1])*($X26=Table14[Year]),0)),"")</f>
        <v/>
      </c>
      <c r="AO26" t="str" cm="1">
        <f t="array" ref="AO26">_xlfn.IFNA(INDEX(Table14[Vigtuð vísitala],MATCH(1,(AO$2=Table14[Column1])*($X26=Table14[Year]),0)),"")</f>
        <v/>
      </c>
      <c r="AP26" cm="1">
        <f t="array" ref="AP26">_xlfn.IFNA(INDEX(Table14[Vigtuð vísitala],MATCH(1,(AP$2=Table14[Column1])*($X26=Table14[Year]),0)),"")</f>
        <v>282.46813870796547</v>
      </c>
      <c r="AQ26" cm="1">
        <f t="array" ref="AQ26">_xlfn.IFNA(INDEX(Table14[Vigtuð vísitala],MATCH(1,(AQ$2=Table14[Column1])*($X26=Table14[Year]),0)),"")</f>
        <v>213.13268578572993</v>
      </c>
      <c r="AR26" cm="1">
        <f t="array" ref="AR26">_xlfn.IFNA(INDEX(Table14[Vigtuð vísitala],MATCH(1,(AR$2=Table14[Column1])*($X26=Table14[Year]),0)),"")</f>
        <v>261.91921190153016</v>
      </c>
      <c r="AS26" t="str" cm="1">
        <f t="array" ref="AS26">_xlfn.IFNA(INDEX(Table14[Vigtuð vísitala],MATCH(1,(AS$2=Table14[Column1])*($X26=Table14[Year]),0)),"")</f>
        <v/>
      </c>
      <c r="AT26" cm="1">
        <f t="array" ref="AT26">_xlfn.IFNA(INDEX(Table14[Vigtuð vísitala],MATCH(1,(AT$2=Table14[Column1])*($X26=Table14[Year]),0)),"")</f>
        <v>192.54251302454068</v>
      </c>
      <c r="AU26" t="str" cm="1">
        <f t="array" ref="AU26">_xlfn.IFNA(INDEX(Table14[Vigtuð vísitala],MATCH(1,(AU$2=Table14[Column1])*($X26=Table14[Year]),0)),"")</f>
        <v/>
      </c>
      <c r="AV26" t="str" cm="1">
        <f t="array" ref="AV26">_xlfn.IFNA(INDEX(Table14[Vigtuð vísitala],MATCH(1,(AV$2=Table14[Column1])*($X26=Table14[Year]),0)),"")</f>
        <v/>
      </c>
      <c r="AW26" t="str" cm="1">
        <f t="array" ref="AW26">_xlfn.IFNA(INDEX(Table14[Vigtuð vísitala],MATCH(1,(AW$2=Table14[Column1])*($X26=Table14[Year]),0)),"")</f>
        <v/>
      </c>
      <c r="AX26" t="str" cm="1">
        <f t="array" ref="AX26">_xlfn.IFNA(INDEX(Table14[Vigtuð vísitala],MATCH(1,(AX$2=Table14[Column1])*($X26=Table14[Year]),0)),"")</f>
        <v/>
      </c>
      <c r="AY26" t="str" cm="1">
        <f t="array" ref="AY26">_xlfn.IFNA(INDEX(Table14[Vigtuð vísitala],MATCH(1,(AY$2=Table14[Column1])*($X26=Table14[Year]),0)),"")</f>
        <v/>
      </c>
      <c r="AZ26" t="str" cm="1">
        <f t="array" ref="AZ26">_xlfn.IFNA(INDEX(Table14[Vigtuð vísitala],MATCH(1,(AZ$2=Table14[Column1])*($X26=Table14[Year]),0)),"")</f>
        <v/>
      </c>
      <c r="BA26" t="str" cm="1">
        <f t="array" ref="BA26">_xlfn.IFNA(INDEX(Table14[Vigtuð vísitala],MATCH(1,(BA$2=Table14[Column1])*($X26=Table14[Year]),0)),"")</f>
        <v/>
      </c>
      <c r="BB26" t="str" cm="1">
        <f t="array" ref="BB26">_xlfn.IFNA(INDEX(Table14[Vigtuð vísitala],MATCH(1,(BB$2=Table14[Column1])*($X26=Table14[Year]),0)),"")</f>
        <v/>
      </c>
      <c r="BC26" t="str" cm="1">
        <f t="array" ref="BC26">_xlfn.IFNA(INDEX(Table14[Vigtuð vísitala],MATCH(1,(BC$2=Table14[Column1])*($X26=Table14[Year]),0)),"")</f>
        <v/>
      </c>
      <c r="BD26" t="str" cm="1">
        <f t="array" ref="BD26">_xlfn.IFNA(INDEX(Table14[Vigtuð vísitala],MATCH(1,(BD$2=Table14[Column1])*($X26=Table14[Year]),0)),"")</f>
        <v/>
      </c>
      <c r="BE26" t="str" cm="1">
        <f t="array" ref="BE26">_xlfn.IFNA(INDEX(Table14[Vigtuð vísitala],MATCH(1,(BE$2=Table14[Column1])*($X26=Table14[Year]),0)),"")</f>
        <v/>
      </c>
      <c r="BF26" t="str" cm="1">
        <f t="array" ref="BF26">_xlfn.IFNA(INDEX(Table14[Vigtuð vísitala],MATCH(1,(BF$2=Table14[Column1])*($X26=Table14[Year]),0)),"")</f>
        <v/>
      </c>
      <c r="BG26" t="str" cm="1">
        <f t="array" ref="BG26">_xlfn.IFNA(INDEX(Table14[Vigtuð vísitala],MATCH(1,(BG$2=Table14[Column1])*($X26=Table14[Year]),0)),"")</f>
        <v/>
      </c>
      <c r="BH26" t="str" cm="1">
        <f t="array" ref="BH26">_xlfn.IFNA(INDEX(Table14[Vigtuð vísitala],MATCH(1,(BH$2=Table14[Column1])*($X26=Table14[Year]),0)),"")</f>
        <v/>
      </c>
      <c r="BI26" t="str" cm="1">
        <f t="array" ref="BI26">_xlfn.IFNA(INDEX(Table14[Vigtuð vísitala],MATCH(1,(BI$2=Table14[Column1])*($X26=Table14[Year]),0)),"")</f>
        <v/>
      </c>
      <c r="BJ26" t="str" cm="1">
        <f t="array" ref="BJ26">_xlfn.IFNA(INDEX(Table14[Vigtuð vísitala],MATCH(1,(BJ$2=Table14[Column1])*($X26=Table14[Year]),0)),"")</f>
        <v/>
      </c>
      <c r="BK26" t="str" cm="1">
        <f t="array" ref="BK26">_xlfn.IFNA(INDEX(Table14[Vigtuð vísitala],MATCH(1,(BK$2=Table14[Column1])*($X26=Table14[Year]),0)),"")</f>
        <v/>
      </c>
      <c r="BL26" t="str" cm="1">
        <f t="array" ref="BL26">_xlfn.IFNA(INDEX(Table14[Vigtuð vísitala],MATCH(1,(BL$2=Table14[Column1])*($X26=Table14[Year]),0)),"")</f>
        <v/>
      </c>
      <c r="BM26" t="str" cm="1">
        <f t="array" ref="BM26">_xlfn.IFNA(INDEX(Table14[Vigtuð vísitala],MATCH(1,(BM$2=Table14[Column1])*($X26=Table14[Year]),0)),"")</f>
        <v/>
      </c>
      <c r="BN26" t="str" cm="1">
        <f t="array" ref="BN26">_xlfn.IFNA(INDEX(Table14[Vigtuð vísitala],MATCH(1,(BN$2=Table14[Column1])*($X26=Table14[Year]),0)),"")</f>
        <v/>
      </c>
      <c r="BO26" t="str" cm="1">
        <f t="array" ref="BO26">_xlfn.IFNA(INDEX(Table14[Vigtuð vísitala],MATCH(1,(BO$2=Table14[Column1])*($X26=Table14[Year]),0)),"")</f>
        <v/>
      </c>
      <c r="BP26" t="str" cm="1">
        <f t="array" ref="BP26">_xlfn.IFNA(INDEX(Table14[Vigtuð vísitala],MATCH(1,(BP$2=Table14[Column1])*($X26=Table14[Year]),0)),"")</f>
        <v/>
      </c>
      <c r="BQ26" cm="1">
        <f t="array" ref="BQ26">_xlfn.IFNA(INDEX(Table14[Vigtuð vísitala],MATCH(1,(BQ$2=Table14[Column1])*($X26=Table14[Year]),0)),"")</f>
        <v>211.42047937187542</v>
      </c>
      <c r="BR26" cm="1">
        <f t="array" ref="BR26">_xlfn.IFNA(INDEX(Table14[Vigtuð vísitala],MATCH(1,(BR$2=Table14[Column1])*($X26=Table14[Year]),0)),"")</f>
        <v>481.01156507558005</v>
      </c>
      <c r="BS26" t="str" cm="1">
        <f t="array" ref="BS26">_xlfn.IFNA(INDEX(Table14[Vigtuð vísitala],MATCH(1,(BS$2=Table14[Column1])*($X26=Table14[Year]),0)),"")</f>
        <v/>
      </c>
      <c r="BT26" t="str" cm="1">
        <f t="array" ref="BT26">_xlfn.IFNA(INDEX(Table14[Vigtuð vísitala],MATCH(1,(BT$2=Table14[Column1])*($X26=Table14[Year]),0)),"")</f>
        <v/>
      </c>
      <c r="BU26" t="str" cm="1">
        <f t="array" ref="BU26">_xlfn.IFNA(INDEX(Table14[Vigtuð vísitala],MATCH(1,(BU$2=Table14[Column1])*($X26=Table14[Year]),0)),"")</f>
        <v/>
      </c>
      <c r="BV26" t="str" cm="1">
        <f t="array" ref="BV26">_xlfn.IFNA(INDEX(Table14[Vigtuð vísitala],MATCH(1,(BV$2=Table14[Column1])*($X26=Table14[Year]),0)),"")</f>
        <v/>
      </c>
      <c r="BW26" t="str" cm="1">
        <f t="array" ref="BW26">_xlfn.IFNA(INDEX(Table14[Vigtuð vísitala],MATCH(1,(BW$2=Table14[Column1])*($X26=Table14[Year]),0)),"")</f>
        <v/>
      </c>
      <c r="BX26" t="str" cm="1">
        <f t="array" ref="BX26">_xlfn.IFNA(INDEX(Table14[Vigtuð vísitala],MATCH(1,(BX$2=Table14[Column1])*($X26=Table14[Year]),0)),"")</f>
        <v/>
      </c>
      <c r="BY26" t="str" cm="1">
        <f t="array" ref="BY26">_xlfn.IFNA(INDEX(Table14[Vigtuð vísitala],MATCH(1,(BY$2=Table14[Column1])*($X26=Table14[Year]),0)),"")</f>
        <v/>
      </c>
      <c r="BZ26" t="str" cm="1">
        <f t="array" ref="BZ26">_xlfn.IFNA(INDEX(Table14[Vigtuð vísitala],MATCH(1,(BZ$2=Table14[Column1])*($X26=Table14[Year]),0)),"")</f>
        <v/>
      </c>
      <c r="CA26" t="str" cm="1">
        <f t="array" ref="CA26">_xlfn.IFNA(INDEX(Table14[Vigtuð vísitala],MATCH(1,(CA$2=Table14[Column1])*($X26=Table14[Year]),0)),"")</f>
        <v/>
      </c>
      <c r="CB26" cm="1">
        <f t="array" ref="CB26">_xlfn.IFNA(INDEX(Table14[Vigtuð vísitala],MATCH(1,(CB$2=Table14[Column1])*($X26=Table14[Year]),0)),"")</f>
        <v>234.70511237139411</v>
      </c>
      <c r="CC26" t="str" cm="1">
        <f t="array" ref="CC26">_xlfn.IFNA(INDEX(Table14[Vigtuð vísitala],MATCH(1,(CC$2=Table14[Column1])*($X26=Table14[Year]),0)),"")</f>
        <v/>
      </c>
      <c r="CD26" t="str" cm="1">
        <f t="array" ref="CD26">_xlfn.IFNA(INDEX(Table14[Vigtuð vísitala],MATCH(1,(CD$2=Table14[Column1])*($X26=Table14[Year]),0)),"")</f>
        <v/>
      </c>
      <c r="CE26" cm="1">
        <f t="array" ref="CE26">_xlfn.IFNA(INDEX(Table14[Vigtuð vísitala],MATCH(1,(CE$2=Table14[Column1])*($X26=Table14[Year]),0)),"")</f>
        <v>290.7643803687489</v>
      </c>
      <c r="CF26" cm="1">
        <f t="array" ref="CF26">_xlfn.IFNA(INDEX(Table14[Vigtuð vísitala],MATCH(1,(CF$2=Table14[Column1])*($X26=Table14[Year]),0)),"")</f>
        <v>418.88147905493935</v>
      </c>
      <c r="CG26" t="str" cm="1">
        <f t="array" ref="CG26">_xlfn.IFNA(INDEX(Table14[Vigtuð vísitala],MATCH(1,(CG$2=Table14[Column1])*($X26=Table14[Year]),0)),"")</f>
        <v/>
      </c>
      <c r="CH26" cm="1">
        <f t="array" ref="CH26">_xlfn.IFNA(INDEX(Table14[Vigtuð vísitala],MATCH(1,(CH$2=Table14[Column1])*($X26=Table14[Year]),0)),"")</f>
        <v>239.6474495427729</v>
      </c>
      <c r="CI26" cm="1">
        <f t="array" ref="CI26">_xlfn.IFNA(INDEX(Table14[Vigtuð vísitala],MATCH(1,(CI$2=Table14[Column1])*($X26=Table14[Year]),0)),"")</f>
        <v>577.48628691636429</v>
      </c>
      <c r="CJ26" t="str" cm="1">
        <f t="array" ref="CJ26">_xlfn.IFNA(INDEX(Table14[Vigtuð vísitala],MATCH(1,(CJ$2=Table14[Column1])*($X26=Table14[Year]),0)),"")</f>
        <v/>
      </c>
      <c r="CK26" t="str" cm="1">
        <f t="array" ref="CK26">_xlfn.IFNA(INDEX(Table14[Vigtuð vísitala],MATCH(1,(CK$2=Table14[Column1])*($X26=Table14[Year]),0)),"")</f>
        <v/>
      </c>
      <c r="CL26" t="str" cm="1">
        <f t="array" ref="CL26">_xlfn.IFNA(INDEX(Table14[Vigtuð vísitala],MATCH(1,(CL$2=Table14[Column1])*($X26=Table14[Year]),0)),"")</f>
        <v/>
      </c>
      <c r="CM26" t="str" cm="1">
        <f t="array" ref="CM26">_xlfn.IFNA(INDEX(Table14[Vigtuð vísitala],MATCH(1,(CM$2=Table14[Column1])*($X26=Table14[Year]),0)),"")</f>
        <v/>
      </c>
      <c r="CN26" cm="1">
        <f t="array" ref="CN26">_xlfn.IFNA(INDEX(Table14[Vigtuð vísitala],MATCH(1,(CN$2=Table14[Column1])*($X26=Table14[Year]),0)),"")</f>
        <v>197.38918233229808</v>
      </c>
      <c r="CO26" t="str" cm="1">
        <f t="array" ref="CO26">_xlfn.IFNA(INDEX(Table14[Vigtuð vísitala],MATCH(1,(CO$2=Table14[Column1])*($X26=Table14[Year]),0)),"")</f>
        <v/>
      </c>
      <c r="CP26" t="str" cm="1">
        <f t="array" ref="CP26">_xlfn.IFNA(INDEX(Table14[Vigtuð vísitala],MATCH(1,(CP$2=Table14[Column1])*($X26=Table14[Year]),0)),"")</f>
        <v/>
      </c>
      <c r="CQ26" t="str" cm="1">
        <f t="array" ref="CQ26">_xlfn.IFNA(INDEX(Table14[Vigtuð vísitala],MATCH(1,(CQ$2=Table14[Column1])*($X26=Table14[Year]),0)),"")</f>
        <v/>
      </c>
      <c r="CR26" cm="1">
        <f t="array" ref="CR26">_xlfn.IFNA(INDEX(Table14[Vigtuð vísitala],MATCH(1,(CR$2=Table14[Column1])*($X26=Table14[Year]),0)),"")</f>
        <v>292.79417442669018</v>
      </c>
      <c r="CS26" t="str" cm="1">
        <f t="array" ref="CS26">_xlfn.IFNA(INDEX(Table14[Vigtuð vísitala],MATCH(1,(CS$2=Table14[Column1])*($X26=Table14[Year]),0)),"")</f>
        <v/>
      </c>
      <c r="CT26" cm="1">
        <f t="array" ref="CT26">_xlfn.IFNA(INDEX(Table14[Vigtuð vísitala],MATCH(1,(CT$2=Table14[Column1])*($X26=Table14[Year]),0)),"")</f>
        <v>293.75859945632186</v>
      </c>
      <c r="CU26" t="str" cm="1">
        <f t="array" ref="CU26">_xlfn.IFNA(INDEX(Table14[Vigtuð vísitala],MATCH(1,(CU$2=Table14[Column1])*($X26=Table14[Year]),0)),"")</f>
        <v/>
      </c>
      <c r="CV26" t="str" cm="1">
        <f t="array" ref="CV26">_xlfn.IFNA(INDEX(Table14[Vigtuð vísitala],MATCH(1,(CV$2=Table14[Column1])*($X26=Table14[Year]),0)),"")</f>
        <v/>
      </c>
      <c r="CW26" t="str" cm="1">
        <f t="array" ref="CW26">_xlfn.IFNA(INDEX(Table14[Vigtuð vísitala],MATCH(1,(CW$2=Table14[Column1])*($X26=Table14[Year]),0)),"")</f>
        <v/>
      </c>
      <c r="CX26" t="str" cm="1">
        <f t="array" ref="CX26">_xlfn.IFNA(INDEX(Table14[Vigtuð vísitala],MATCH(1,(CX$2=Table14[Column1])*($X26=Table14[Year]),0)),"")</f>
        <v/>
      </c>
      <c r="CY26" cm="1">
        <f t="array" ref="CY26">_xlfn.IFNA(INDEX(Table14[Vigtuð vísitala],MATCH(1,(CY$2=Table14[Column1])*($X26=Table14[Year]),0)),"")</f>
        <v>284.56623056981942</v>
      </c>
      <c r="CZ26" t="str" cm="1">
        <f t="array" ref="CZ26">_xlfn.IFNA(INDEX(Table14[Vigtuð vísitala],MATCH(1,(CZ$2=Table14[Column1])*($X26=Table14[Year]),0)),"")</f>
        <v/>
      </c>
      <c r="DA26" t="str" cm="1">
        <f t="array" ref="DA26">_xlfn.IFNA(INDEX(Table14[Vigtuð vísitala],MATCH(1,(DA$2=Table14[Column1])*($X26=Table14[Year]),0)),"")</f>
        <v/>
      </c>
      <c r="DB26" t="str" cm="1">
        <f t="array" ref="DB26">_xlfn.IFNA(INDEX(Table14[Vigtuð vísitala],MATCH(1,(DB$2=Table14[Column1])*($X26=Table14[Year]),0)),"")</f>
        <v/>
      </c>
      <c r="DC26" cm="1">
        <f t="array" ref="DC26">_xlfn.IFNA(INDEX(Table14[Vigtuð vísitala],MATCH(1,(DC$2=Table14[Column1])*($X26=Table14[Year]),0)),"")</f>
        <v>295.64701621929839</v>
      </c>
      <c r="DD26" t="str" cm="1">
        <f t="array" ref="DD26">_xlfn.IFNA(INDEX(Table14[Vigtuð vísitala],MATCH(1,(DD$2=Table14[Column1])*($X26=Table14[Year]),0)),"")</f>
        <v/>
      </c>
      <c r="DE26" cm="1">
        <f t="array" ref="DE26">_xlfn.IFNA(INDEX(Table14[Vigtuð vísitala],MATCH(1,(DE$2=Table14[Column1])*($X26=Table14[Year]),0)),"")</f>
        <v>275.9418813487427</v>
      </c>
      <c r="DF26" t="str" cm="1">
        <f t="array" ref="DF26">_xlfn.IFNA(INDEX(Table14[Vigtuð vísitala],MATCH(1,(DF$2=Table14[Column1])*($X26=Table14[Year]),0)),"")</f>
        <v/>
      </c>
    </row>
    <row r="27" spans="1:110">
      <c r="A27" t="s">
        <v>58</v>
      </c>
      <c r="B27">
        <v>2018</v>
      </c>
      <c r="C27" s="16">
        <v>1.7000000000000001E-2</v>
      </c>
      <c r="D27" s="1">
        <v>357802547</v>
      </c>
      <c r="E27" s="29">
        <f>Table14[[#This Row],[Ávöxtun]]*Table14[[#This Row],[Eignir]]/SUMIFS(Table14[Eignir],Table14[Year],Table14[[#This Row],[Year]])</f>
        <v>1.5930162563367785E-3</v>
      </c>
      <c r="F27" s="23" t="e">
        <f>IF(B27=1997, 100, IF(COUNTIF(A$1:A26,A27)=0, "NEW", F26*(1+Table14[[#This Row],[Ávöxtun]])))</f>
        <v>#VALUE!</v>
      </c>
      <c r="G27" s="18" t="str" cm="1">
        <f t="array" ref="G27">IFERROR(_xlfn.IFS(ISNUMBER(Table14[[#This Row],[Column3]]),Table14[[#This Row],[Column3]],Table14[[#This Row],[Column3]]="NEW",Table14[[#This Row],[Column3]]),"")</f>
        <v/>
      </c>
      <c r="H27" s="15" cm="1">
        <f t="array" ref="H27">_xlfn.IFS(Table14[[#This Row],[Column4]]="NEW",AVERAGEIFS(Table14[Column4],Table14[Year],Table14[[#This Row],[Year]]),ISNUMBER(Table14[[#This Row],[Column4]]),Table14[[#This Row],[Column4]],Table14[[#This Row],[Column4]]="",H26*(1+Table14[[#This Row],[Ávöxtun]]))</f>
        <v>217.76681435207908</v>
      </c>
      <c r="I27" cm="1">
        <f t="array" ref="I27">_xlfn.IFS(Table14[[#This Row],[Column4]]="NEW",_xlfn.XLOOKUP(Table14[[#This Row],[Year]],$M$2:$M$27,$O$2:$O$27),ISNUMBER(Table14[[#This Row],[Column4]]),Table14[[#This Row],[Column4]],Table14[[#This Row],[Column4]]="",I26*(1+Table14[[#This Row],[Ávöxtun]]))</f>
        <v>241.48572364039444</v>
      </c>
      <c r="L27" s="33">
        <v>241.48572364039444</v>
      </c>
      <c r="M27">
        <v>2021</v>
      </c>
      <c r="N27" s="27">
        <f>SUMIFS(Table14[Column2],Table14[Year],M27)</f>
        <v>0.13997775777110577</v>
      </c>
      <c r="O27">
        <f>O26*(1+N27)</f>
        <v>373.49220369496425</v>
      </c>
      <c r="P27" s="26" cm="1">
        <f t="array" ref="P27">_xlfn.QUARTILE.EXC(IF($B$2:$B$939 = M27, $I$2:$I$939), 3)</f>
        <v>337.11451854015456</v>
      </c>
      <c r="Q27" s="26" cm="1">
        <f t="array" ref="Q27">_xlfn.QUARTILE.EXC(IF($B$2:$B$939 = M27, $I$2:$I$939), 1)</f>
        <v>242.11856325170703</v>
      </c>
      <c r="R27" s="26" cm="1">
        <f t="array" ref="R27">_xlfn.QUARTILE.EXC(IF($B$2:$B$939 = M27, $I$2:$I$939), 2)</f>
        <v>313.53963396584169</v>
      </c>
      <c r="S27" s="17" cm="1">
        <f t="array" ref="S27">_xlfn.QUARTILE.EXC(IF($B$2:$B$939 = M27, $C$2:$C$939), 3)</f>
        <v>0.12585000000000002</v>
      </c>
      <c r="T27" s="17" cm="1">
        <f t="array" ref="T27">_xlfn.QUARTILE.EXC(IF($B$2:$B$939 = M27, $C$2:$C$939), 1)</f>
        <v>8.030000000000001E-2</v>
      </c>
      <c r="U27" s="17" cm="1">
        <f t="array" ref="U27">_xlfn.QUARTILE.EXC(IF($B$2:$B$939 = M27, $C$2:$C$939), 2)</f>
        <v>0.11</v>
      </c>
      <c r="X27">
        <v>2021</v>
      </c>
      <c r="Y27">
        <f t="shared" si="1"/>
        <v>373.49220369496425</v>
      </c>
      <c r="Z27" cm="1">
        <f t="array" ref="Z27">_xlfn.IFNA(INDEX(Table14[Vigtuð vísitala],MATCH(1,(Z$2=Table14[Column1])*($X27=Table14[Year]),0)),"")</f>
        <v>218.3302406230398</v>
      </c>
      <c r="AB27" t="str" cm="1">
        <f t="array" ref="AB27">_xlfn.IFNA(INDEX(Table14[Vigtuð vísitala],MATCH(1,(AB$2=Table14[Column1])*($X27=Table14[Year]),0)),"")</f>
        <v/>
      </c>
      <c r="AC27" t="str" cm="1">
        <f t="array" ref="AC27">_xlfn.IFNA(INDEX(Table14[Vigtuð vísitala],MATCH(1,(AC$2=Table14[Column1])*($X27=Table14[Year]),0)),"")</f>
        <v/>
      </c>
      <c r="AD27" cm="1">
        <f t="array" ref="AD27">_xlfn.IFNA(INDEX(Table14[Vigtuð vísitala],MATCH(1,(AD$2=Table14[Column1])*($X27=Table14[Year]),0)),"")</f>
        <v>321.99569256722219</v>
      </c>
      <c r="AE27" cm="1">
        <f t="array" ref="AE27">_xlfn.IFNA(INDEX(Table14[Vigtuð vísitala],MATCH(1,(AE$2=Table14[Column1])*($X27=Table14[Year]),0)),"")</f>
        <v>522.40198403446868</v>
      </c>
      <c r="AF27" t="str" cm="1">
        <f t="array" ref="AF27">_xlfn.IFNA(INDEX(Table14[Vigtuð vísitala],MATCH(1,(AF$2=Table14[Column1])*($X27=Table14[Year]),0)),"")</f>
        <v/>
      </c>
      <c r="AG27" t="str" cm="1">
        <f t="array" ref="AG27">_xlfn.IFNA(INDEX(Table14[Vigtuð vísitala],MATCH(1,(AG$2=Table14[Column1])*($X27=Table14[Year]),0)),"")</f>
        <v/>
      </c>
      <c r="AH27" t="str" cm="1">
        <f t="array" ref="AH27">_xlfn.IFNA(INDEX(Table14[Vigtuð vísitala],MATCH(1,(AH$2=Table14[Column1])*($X27=Table14[Year]),0)),"")</f>
        <v/>
      </c>
      <c r="AI27" t="str" cm="1">
        <f t="array" ref="AI27">_xlfn.IFNA(INDEX(Table14[Vigtuð vísitala],MATCH(1,(AI$2=Table14[Column1])*($X27=Table14[Year]),0)),"")</f>
        <v/>
      </c>
      <c r="AJ27" t="str" cm="1">
        <f t="array" ref="AJ27">_xlfn.IFNA(INDEX(Table14[Vigtuð vísitala],MATCH(1,(AJ$2=Table14[Column1])*($X27=Table14[Year]),0)),"")</f>
        <v/>
      </c>
      <c r="AK27" t="str" cm="1">
        <f t="array" ref="AK27">_xlfn.IFNA(INDEX(Table14[Vigtuð vísitala],MATCH(1,(AK$2=Table14[Column1])*($X27=Table14[Year]),0)),"")</f>
        <v/>
      </c>
      <c r="AL27" cm="1">
        <f t="array" ref="AL27">_xlfn.IFNA(INDEX(Table14[Vigtuð vísitala],MATCH(1,(AL$2=Table14[Column1])*($X27=Table14[Year]),0)),"")</f>
        <v>255.01542674637167</v>
      </c>
      <c r="AM27" t="str" cm="1">
        <f t="array" ref="AM27">_xlfn.IFNA(INDEX(Table14[Vigtuð vísitala],MATCH(1,(AM$2=Table14[Column1])*($X27=Table14[Year]),0)),"")</f>
        <v/>
      </c>
      <c r="AN27" t="str" cm="1">
        <f t="array" ref="AN27">_xlfn.IFNA(INDEX(Table14[Vigtuð vísitala],MATCH(1,(AN$2=Table14[Column1])*($X27=Table14[Year]),0)),"")</f>
        <v/>
      </c>
      <c r="AO27" t="str" cm="1">
        <f t="array" ref="AO27">_xlfn.IFNA(INDEX(Table14[Vigtuð vísitala],MATCH(1,(AO$2=Table14[Column1])*($X27=Table14[Year]),0)),"")</f>
        <v/>
      </c>
      <c r="AP27" cm="1">
        <f t="array" ref="AP27">_xlfn.IFNA(INDEX(Table14[Vigtuð vísitala],MATCH(1,(AP$2=Table14[Column1])*($X27=Table14[Year]),0)),"")</f>
        <v>313.53963396584169</v>
      </c>
      <c r="AQ27" cm="1">
        <f t="array" ref="AQ27">_xlfn.IFNA(INDEX(Table14[Vigtuð vísitala],MATCH(1,(AQ$2=Table14[Column1])*($X27=Table14[Year]),0)),"")</f>
        <v>231.88836213487417</v>
      </c>
      <c r="AR27" cm="1">
        <f t="array" ref="AR27">_xlfn.IFNA(INDEX(Table14[Vigtuð vísitala],MATCH(1,(AR$2=Table14[Column1])*($X27=Table14[Year]),0)),"")</f>
        <v>294.39719417731993</v>
      </c>
      <c r="AS27" t="str" cm="1">
        <f t="array" ref="AS27">_xlfn.IFNA(INDEX(Table14[Vigtuð vísitala],MATCH(1,(AS$2=Table14[Column1])*($X27=Table14[Year]),0)),"")</f>
        <v/>
      </c>
      <c r="AT27" cm="1">
        <f t="array" ref="AT27">_xlfn.IFNA(INDEX(Table14[Vigtuð vísitala],MATCH(1,(AT$2=Table14[Column1])*($X27=Table14[Year]),0)),"")</f>
        <v>207.36828652743031</v>
      </c>
      <c r="AU27" t="str" cm="1">
        <f t="array" ref="AU27">_xlfn.IFNA(INDEX(Table14[Vigtuð vísitala],MATCH(1,(AU$2=Table14[Column1])*($X27=Table14[Year]),0)),"")</f>
        <v/>
      </c>
      <c r="AV27" t="str" cm="1">
        <f t="array" ref="AV27">_xlfn.IFNA(INDEX(Table14[Vigtuð vísitala],MATCH(1,(AV$2=Table14[Column1])*($X27=Table14[Year]),0)),"")</f>
        <v/>
      </c>
      <c r="AW27" t="str" cm="1">
        <f t="array" ref="AW27">_xlfn.IFNA(INDEX(Table14[Vigtuð vísitala],MATCH(1,(AW$2=Table14[Column1])*($X27=Table14[Year]),0)),"")</f>
        <v/>
      </c>
      <c r="AX27" t="str" cm="1">
        <f t="array" ref="AX27">_xlfn.IFNA(INDEX(Table14[Vigtuð vísitala],MATCH(1,(AX$2=Table14[Column1])*($X27=Table14[Year]),0)),"")</f>
        <v/>
      </c>
      <c r="AY27" t="str" cm="1">
        <f t="array" ref="AY27">_xlfn.IFNA(INDEX(Table14[Vigtuð vísitala],MATCH(1,(AY$2=Table14[Column1])*($X27=Table14[Year]),0)),"")</f>
        <v/>
      </c>
      <c r="AZ27" t="str" cm="1">
        <f t="array" ref="AZ27">_xlfn.IFNA(INDEX(Table14[Vigtuð vísitala],MATCH(1,(AZ$2=Table14[Column1])*($X27=Table14[Year]),0)),"")</f>
        <v/>
      </c>
      <c r="BA27" t="str" cm="1">
        <f t="array" ref="BA27">_xlfn.IFNA(INDEX(Table14[Vigtuð vísitala],MATCH(1,(BA$2=Table14[Column1])*($X27=Table14[Year]),0)),"")</f>
        <v/>
      </c>
      <c r="BB27" t="str" cm="1">
        <f t="array" ref="BB27">_xlfn.IFNA(INDEX(Table14[Vigtuð vísitala],MATCH(1,(BB$2=Table14[Column1])*($X27=Table14[Year]),0)),"")</f>
        <v/>
      </c>
      <c r="BC27" t="str" cm="1">
        <f t="array" ref="BC27">_xlfn.IFNA(INDEX(Table14[Vigtuð vísitala],MATCH(1,(BC$2=Table14[Column1])*($X27=Table14[Year]),0)),"")</f>
        <v/>
      </c>
      <c r="BD27" t="str" cm="1">
        <f t="array" ref="BD27">_xlfn.IFNA(INDEX(Table14[Vigtuð vísitala],MATCH(1,(BD$2=Table14[Column1])*($X27=Table14[Year]),0)),"")</f>
        <v/>
      </c>
      <c r="BE27" t="str" cm="1">
        <f t="array" ref="BE27">_xlfn.IFNA(INDEX(Table14[Vigtuð vísitala],MATCH(1,(BE$2=Table14[Column1])*($X27=Table14[Year]),0)),"")</f>
        <v/>
      </c>
      <c r="BF27" t="str" cm="1">
        <f t="array" ref="BF27">_xlfn.IFNA(INDEX(Table14[Vigtuð vísitala],MATCH(1,(BF$2=Table14[Column1])*($X27=Table14[Year]),0)),"")</f>
        <v/>
      </c>
      <c r="BG27" t="str" cm="1">
        <f t="array" ref="BG27">_xlfn.IFNA(INDEX(Table14[Vigtuð vísitala],MATCH(1,(BG$2=Table14[Column1])*($X27=Table14[Year]),0)),"")</f>
        <v/>
      </c>
      <c r="BH27" t="str" cm="1">
        <f t="array" ref="BH27">_xlfn.IFNA(INDEX(Table14[Vigtuð vísitala],MATCH(1,(BH$2=Table14[Column1])*($X27=Table14[Year]),0)),"")</f>
        <v/>
      </c>
      <c r="BI27" t="str" cm="1">
        <f t="array" ref="BI27">_xlfn.IFNA(INDEX(Table14[Vigtuð vísitala],MATCH(1,(BI$2=Table14[Column1])*($X27=Table14[Year]),0)),"")</f>
        <v/>
      </c>
      <c r="BJ27" t="str" cm="1">
        <f t="array" ref="BJ27">_xlfn.IFNA(INDEX(Table14[Vigtuð vísitala],MATCH(1,(BJ$2=Table14[Column1])*($X27=Table14[Year]),0)),"")</f>
        <v/>
      </c>
      <c r="BK27" t="str" cm="1">
        <f t="array" ref="BK27">_xlfn.IFNA(INDEX(Table14[Vigtuð vísitala],MATCH(1,(BK$2=Table14[Column1])*($X27=Table14[Year]),0)),"")</f>
        <v/>
      </c>
      <c r="BL27" t="str" cm="1">
        <f t="array" ref="BL27">_xlfn.IFNA(INDEX(Table14[Vigtuð vísitala],MATCH(1,(BL$2=Table14[Column1])*($X27=Table14[Year]),0)),"")</f>
        <v/>
      </c>
      <c r="BM27" t="str" cm="1">
        <f t="array" ref="BM27">_xlfn.IFNA(INDEX(Table14[Vigtuð vísitala],MATCH(1,(BM$2=Table14[Column1])*($X27=Table14[Year]),0)),"")</f>
        <v/>
      </c>
      <c r="BN27" t="str" cm="1">
        <f t="array" ref="BN27">_xlfn.IFNA(INDEX(Table14[Vigtuð vísitala],MATCH(1,(BN$2=Table14[Column1])*($X27=Table14[Year]),0)),"")</f>
        <v/>
      </c>
      <c r="BO27" t="str" cm="1">
        <f t="array" ref="BO27">_xlfn.IFNA(INDEX(Table14[Vigtuð vísitala],MATCH(1,(BO$2=Table14[Column1])*($X27=Table14[Year]),0)),"")</f>
        <v/>
      </c>
      <c r="BP27" t="str" cm="1">
        <f t="array" ref="BP27">_xlfn.IFNA(INDEX(Table14[Vigtuð vísitala],MATCH(1,(BP$2=Table14[Column1])*($X27=Table14[Year]),0)),"")</f>
        <v/>
      </c>
      <c r="BQ27" cm="1">
        <f t="array" ref="BQ27">_xlfn.IFNA(INDEX(Table14[Vigtuð vísitala],MATCH(1,(BQ$2=Table14[Column1])*($X27=Table14[Year]),0)),"")</f>
        <v>228.27069157781386</v>
      </c>
      <c r="BR27" cm="1">
        <f t="array" ref="BR27">_xlfn.IFNA(INDEX(Table14[Vigtuð vísitala],MATCH(1,(BR$2=Table14[Column1])*($X27=Table14[Year]),0)),"")</f>
        <v>552.82659174136415</v>
      </c>
      <c r="BS27" t="str" cm="1">
        <f t="array" ref="BS27">_xlfn.IFNA(INDEX(Table14[Vigtuð vísitala],MATCH(1,(BS$2=Table14[Column1])*($X27=Table14[Year]),0)),"")</f>
        <v/>
      </c>
      <c r="BT27" t="str" cm="1">
        <f t="array" ref="BT27">_xlfn.IFNA(INDEX(Table14[Vigtuð vísitala],MATCH(1,(BT$2=Table14[Column1])*($X27=Table14[Year]),0)),"")</f>
        <v/>
      </c>
      <c r="BU27" t="str" cm="1">
        <f t="array" ref="BU27">_xlfn.IFNA(INDEX(Table14[Vigtuð vísitala],MATCH(1,(BU$2=Table14[Column1])*($X27=Table14[Year]),0)),"")</f>
        <v/>
      </c>
      <c r="BV27" t="str" cm="1">
        <f t="array" ref="BV27">_xlfn.IFNA(INDEX(Table14[Vigtuð vísitala],MATCH(1,(BV$2=Table14[Column1])*($X27=Table14[Year]),0)),"")</f>
        <v/>
      </c>
      <c r="BW27" t="str" cm="1">
        <f t="array" ref="BW27">_xlfn.IFNA(INDEX(Table14[Vigtuð vísitala],MATCH(1,(BW$2=Table14[Column1])*($X27=Table14[Year]),0)),"")</f>
        <v/>
      </c>
      <c r="BX27" t="str" cm="1">
        <f t="array" ref="BX27">_xlfn.IFNA(INDEX(Table14[Vigtuð vísitala],MATCH(1,(BX$2=Table14[Column1])*($X27=Table14[Year]),0)),"")</f>
        <v/>
      </c>
      <c r="BY27" t="str" cm="1">
        <f t="array" ref="BY27">_xlfn.IFNA(INDEX(Table14[Vigtuð vísitala],MATCH(1,(BY$2=Table14[Column1])*($X27=Table14[Year]),0)),"")</f>
        <v/>
      </c>
      <c r="BZ27" t="str" cm="1">
        <f t="array" ref="BZ27">_xlfn.IFNA(INDEX(Table14[Vigtuð vísitala],MATCH(1,(BZ$2=Table14[Column1])*($X27=Table14[Year]),0)),"")</f>
        <v/>
      </c>
      <c r="CA27" t="str" cm="1">
        <f t="array" ref="CA27">_xlfn.IFNA(INDEX(Table14[Vigtuð vísitala],MATCH(1,(CA$2=Table14[Column1])*($X27=Table14[Year]),0)),"")</f>
        <v/>
      </c>
      <c r="CB27" cm="1">
        <f t="array" ref="CB27">_xlfn.IFNA(INDEX(Table14[Vigtuð vísitala],MATCH(1,(CB$2=Table14[Column1])*($X27=Table14[Year]),0)),"")</f>
        <v>253.62234442852846</v>
      </c>
      <c r="CC27" t="str" cm="1">
        <f t="array" ref="CC27">_xlfn.IFNA(INDEX(Table14[Vigtuð vísitala],MATCH(1,(CC$2=Table14[Column1])*($X27=Table14[Year]),0)),"")</f>
        <v/>
      </c>
      <c r="CD27" t="str" cm="1">
        <f t="array" ref="CD27">_xlfn.IFNA(INDEX(Table14[Vigtuð vísitala],MATCH(1,(CD$2=Table14[Column1])*($X27=Table14[Year]),0)),"")</f>
        <v/>
      </c>
      <c r="CE27" cm="1">
        <f t="array" ref="CE27">_xlfn.IFNA(INDEX(Table14[Vigtuð vísitala],MATCH(1,(CE$2=Table14[Column1])*($X27=Table14[Year]),0)),"")</f>
        <v>314.02553079824884</v>
      </c>
      <c r="CF27" cm="1">
        <f t="array" ref="CF27">_xlfn.IFNA(INDEX(Table14[Vigtuð vísitala],MATCH(1,(CF$2=Table14[Column1])*($X27=Table14[Year]),0)),"")</f>
        <v>453.43920107697187</v>
      </c>
      <c r="CG27" t="str" cm="1">
        <f t="array" ref="CG27">_xlfn.IFNA(INDEX(Table14[Vigtuð vísitala],MATCH(1,(CG$2=Table14[Column1])*($X27=Table14[Year]),0)),"")</f>
        <v/>
      </c>
      <c r="CH27" cm="1">
        <f t="array" ref="CH27">_xlfn.IFNA(INDEX(Table14[Vigtuð vísitala],MATCH(1,(CH$2=Table14[Column1])*($X27=Table14[Year]),0)),"")</f>
        <v>252.34876436853986</v>
      </c>
      <c r="CI27" cm="1">
        <f t="array" ref="CI27">_xlfn.IFNA(INDEX(Table14[Vigtuð vísitala],MATCH(1,(CI$2=Table14[Column1])*($X27=Table14[Year]),0)),"")</f>
        <v>691.25108543888814</v>
      </c>
      <c r="CJ27" t="str" cm="1">
        <f t="array" ref="CJ27">_xlfn.IFNA(INDEX(Table14[Vigtuð vísitala],MATCH(1,(CJ$2=Table14[Column1])*($X27=Table14[Year]),0)),"")</f>
        <v/>
      </c>
      <c r="CK27" t="str" cm="1">
        <f t="array" ref="CK27">_xlfn.IFNA(INDEX(Table14[Vigtuð vísitala],MATCH(1,(CK$2=Table14[Column1])*($X27=Table14[Year]),0)),"")</f>
        <v/>
      </c>
      <c r="CL27" t="str" cm="1">
        <f t="array" ref="CL27">_xlfn.IFNA(INDEX(Table14[Vigtuð vísitala],MATCH(1,(CL$2=Table14[Column1])*($X27=Table14[Year]),0)),"")</f>
        <v/>
      </c>
      <c r="CM27" t="str" cm="1">
        <f t="array" ref="CM27">_xlfn.IFNA(INDEX(Table14[Vigtuð vísitala],MATCH(1,(CM$2=Table14[Column1])*($X27=Table14[Year]),0)),"")</f>
        <v/>
      </c>
      <c r="CN27" cm="1">
        <f t="array" ref="CN27">_xlfn.IFNA(INDEX(Table14[Vigtuð vísitala],MATCH(1,(CN$2=Table14[Column1])*($X27=Table14[Year]),0)),"")</f>
        <v>209.76548406453315</v>
      </c>
      <c r="CO27" t="str" cm="1">
        <f t="array" ref="CO27">_xlfn.IFNA(INDEX(Table14[Vigtuð vísitala],MATCH(1,(CO$2=Table14[Column1])*($X27=Table14[Year]),0)),"")</f>
        <v/>
      </c>
      <c r="CP27" t="str" cm="1">
        <f t="array" ref="CP27">_xlfn.IFNA(INDEX(Table14[Vigtuð vísitala],MATCH(1,(CP$2=Table14[Column1])*($X27=Table14[Year]),0)),"")</f>
        <v/>
      </c>
      <c r="CQ27" t="str" cm="1">
        <f t="array" ref="CQ27">_xlfn.IFNA(INDEX(Table14[Vigtuð vísitala],MATCH(1,(CQ$2=Table14[Column1])*($X27=Table14[Year]),0)),"")</f>
        <v/>
      </c>
      <c r="CR27" cm="1">
        <f t="array" ref="CR27">_xlfn.IFNA(INDEX(Table14[Vigtuð vísitala],MATCH(1,(CR$2=Table14[Column1])*($X27=Table14[Year]),0)),"")</f>
        <v>326.46550448575954</v>
      </c>
      <c r="CS27" t="str" cm="1">
        <f t="array" ref="CS27">_xlfn.IFNA(INDEX(Table14[Vigtuð vísitala],MATCH(1,(CS$2=Table14[Column1])*($X27=Table14[Year]),0)),"")</f>
        <v/>
      </c>
      <c r="CT27" cm="1">
        <f t="array" ref="CT27">_xlfn.IFNA(INDEX(Table14[Vigtuð vísitala],MATCH(1,(CT$2=Table14[Column1])*($X27=Table14[Year]),0)),"")</f>
        <v>343.99131996335291</v>
      </c>
      <c r="CU27" t="str" cm="1">
        <f t="array" ref="CU27">_xlfn.IFNA(INDEX(Table14[Vigtuð vísitala],MATCH(1,(CU$2=Table14[Column1])*($X27=Table14[Year]),0)),"")</f>
        <v/>
      </c>
      <c r="CV27" t="str" cm="1">
        <f t="array" ref="CV27">_xlfn.IFNA(INDEX(Table14[Vigtuð vísitala],MATCH(1,(CV$2=Table14[Column1])*($X27=Table14[Year]),0)),"")</f>
        <v/>
      </c>
      <c r="CW27" t="str" cm="1">
        <f t="array" ref="CW27">_xlfn.IFNA(INDEX(Table14[Vigtuð vísitala],MATCH(1,(CW$2=Table14[Column1])*($X27=Table14[Year]),0)),"")</f>
        <v/>
      </c>
      <c r="CX27" t="str" cm="1">
        <f t="array" ref="CX27">_xlfn.IFNA(INDEX(Table14[Vigtuð vísitala],MATCH(1,(CX$2=Table14[Column1])*($X27=Table14[Year]),0)),"")</f>
        <v/>
      </c>
      <c r="CY27" cm="1">
        <f t="array" ref="CY27">_xlfn.IFNA(INDEX(Table14[Vigtuð vísitala],MATCH(1,(CY$2=Table14[Column1])*($X27=Table14[Year]),0)),"")</f>
        <v>318.42961200762795</v>
      </c>
      <c r="CZ27" t="str" cm="1">
        <f t="array" ref="CZ27">_xlfn.IFNA(INDEX(Table14[Vigtuð vísitala],MATCH(1,(CZ$2=Table14[Column1])*($X27=Table14[Year]),0)),"")</f>
        <v/>
      </c>
      <c r="DA27" t="str" cm="1">
        <f t="array" ref="DA27">_xlfn.IFNA(INDEX(Table14[Vigtuð vísitala],MATCH(1,(DA$2=Table14[Column1])*($X27=Table14[Year]),0)),"")</f>
        <v/>
      </c>
      <c r="DB27" t="str" cm="1">
        <f t="array" ref="DB27">_xlfn.IFNA(INDEX(Table14[Vigtuð vísitala],MATCH(1,(DB$2=Table14[Column1])*($X27=Table14[Year]),0)),"")</f>
        <v/>
      </c>
      <c r="DC27" cm="1">
        <f t="array" ref="DC27">_xlfn.IFNA(INDEX(Table14[Vigtuð vísitala],MATCH(1,(DC$2=Table14[Column1])*($X27=Table14[Year]),0)),"")</f>
        <v>330.23771711695628</v>
      </c>
      <c r="DD27" t="str" cm="1">
        <f t="array" ref="DD27">_xlfn.IFNA(INDEX(Table14[Vigtuð vísitala],MATCH(1,(DD$2=Table14[Column1])*($X27=Table14[Year]),0)),"")</f>
        <v/>
      </c>
      <c r="DE27" cm="1">
        <f t="array" ref="DE27">_xlfn.IFNA(INDEX(Table14[Vigtuð vísitala],MATCH(1,(DE$2=Table14[Column1])*($X27=Table14[Year]),0)),"")</f>
        <v>311.1796595969771</v>
      </c>
      <c r="DF27" t="str" cm="1">
        <f t="array" ref="DF27">_xlfn.IFNA(INDEX(Table14[Vigtuð vísitala],MATCH(1,(DF$2=Table14[Column1])*($X27=Table14[Year]),0)),"")</f>
        <v/>
      </c>
    </row>
    <row r="28" spans="1:110">
      <c r="A28" t="s">
        <v>58</v>
      </c>
      <c r="B28">
        <v>2019</v>
      </c>
      <c r="C28" s="16">
        <v>0.11210000000000001</v>
      </c>
      <c r="D28" s="1">
        <v>415234049.41000003</v>
      </c>
      <c r="E28" s="29">
        <f>Table14[[#This Row],[Ávöxtun]]*Table14[[#This Row],[Eignir]]/SUMIFS(Table14[Eignir],Table14[Year],Table14[[#This Row],[Year]])</f>
        <v>1.0514797460609588E-2</v>
      </c>
      <c r="F28" s="23" t="e">
        <f>IF(B28=1997, 100, IF(COUNTIF(A$1:A27,A28)=0, "NEW", F27*(1+Table14[[#This Row],[Ávöxtun]])))</f>
        <v>#VALUE!</v>
      </c>
      <c r="G28" s="18" t="str" cm="1">
        <f t="array" ref="G28">IFERROR(_xlfn.IFS(ISNUMBER(Table14[[#This Row],[Column3]]),Table14[[#This Row],[Column3]],Table14[[#This Row],[Column3]]="NEW",Table14[[#This Row],[Column3]]),"")</f>
        <v/>
      </c>
      <c r="H28" s="15" cm="1">
        <f t="array" ref="H28">_xlfn.IFS(Table14[[#This Row],[Column4]]="NEW",AVERAGEIFS(Table14[Column4],Table14[Year],Table14[[#This Row],[Year]]),ISNUMBER(Table14[[#This Row],[Column4]]),Table14[[#This Row],[Column4]],Table14[[#This Row],[Column4]]="",H27*(1+Table14[[#This Row],[Ávöxtun]]))</f>
        <v>242.17847424094717</v>
      </c>
      <c r="I28" cm="1">
        <f t="array" ref="I28">_xlfn.IFS(Table14[[#This Row],[Column4]]="NEW",_xlfn.XLOOKUP(Table14[[#This Row],[Year]],$M$2:$M$27,$O$2:$O$27),ISNUMBER(Table14[[#This Row],[Column4]]),Table14[[#This Row],[Column4]],Table14[[#This Row],[Column4]]="",I27*(1+Table14[[#This Row],[Ávöxtun]]))</f>
        <v>268.55627326048267</v>
      </c>
      <c r="L28" s="33">
        <v>268.55627326048267</v>
      </c>
    </row>
    <row r="29" spans="1:110">
      <c r="A29" t="s">
        <v>58</v>
      </c>
      <c r="B29">
        <v>2020</v>
      </c>
      <c r="C29" s="16">
        <v>8.8900000000000007E-2</v>
      </c>
      <c r="D29" s="1">
        <v>472667958.5</v>
      </c>
      <c r="E29" s="29">
        <f>Table14[[#This Row],[Ávöxtun]]*Table14[[#This Row],[Eignir]]/SUMIFS(Table14[Eignir],Table14[Year],Table14[[#This Row],[Year]])</f>
        <v>8.1805221611389294E-3</v>
      </c>
      <c r="F29" s="23" t="e">
        <f>IF(B29=1997, 100, IF(COUNTIF(A$1:A28,A29)=0, "NEW", F28*(1+Table14[[#This Row],[Ávöxtun]])))</f>
        <v>#VALUE!</v>
      </c>
      <c r="G29" s="18" t="str" cm="1">
        <f t="array" ref="G29">IFERROR(_xlfn.IFS(ISNUMBER(Table14[[#This Row],[Column3]]),Table14[[#This Row],[Column3]],Table14[[#This Row],[Column3]]="NEW",Table14[[#This Row],[Column3]]),"")</f>
        <v/>
      </c>
      <c r="H29" s="15" cm="1">
        <f t="array" ref="H29">_xlfn.IFS(Table14[[#This Row],[Column4]]="NEW",AVERAGEIFS(Table14[Column4],Table14[Year],Table14[[#This Row],[Year]]),ISNUMBER(Table14[[#This Row],[Column4]]),Table14[[#This Row],[Column4]],Table14[[#This Row],[Column4]]="",H28*(1+Table14[[#This Row],[Ávöxtun]]))</f>
        <v>263.70814060096734</v>
      </c>
      <c r="I29" cm="1">
        <f t="array" ref="I29">_xlfn.IFS(Table14[[#This Row],[Column4]]="NEW",_xlfn.XLOOKUP(Table14[[#This Row],[Year]],$M$2:$M$27,$O$2:$O$27),ISNUMBER(Table14[[#This Row],[Column4]]),Table14[[#This Row],[Column4]],Table14[[#This Row],[Column4]]="",I28*(1+Table14[[#This Row],[Ávöxtun]]))</f>
        <v>292.43092595333957</v>
      </c>
      <c r="L29" s="33">
        <v>292.43092595333957</v>
      </c>
    </row>
    <row r="30" spans="1:110" ht="19">
      <c r="A30" t="s">
        <v>58</v>
      </c>
      <c r="B30">
        <v>2021</v>
      </c>
      <c r="C30" s="16">
        <v>0.1011</v>
      </c>
      <c r="D30" s="1">
        <v>550440991.62</v>
      </c>
      <c r="E30" s="29">
        <f>Table14[[#This Row],[Ávöxtun]]*Table14[[#This Row],[Eignir]]/SUMIFS(Table14[Eignir],Table14[Year],Table14[[#This Row],[Year]])</f>
        <v>9.2142728255319058E-3</v>
      </c>
      <c r="F30" s="23" t="e">
        <f>IF(B30=1997, 100, IF(COUNTIF(A$1:A29,A30)=0, "NEW", F29*(1+Table14[[#This Row],[Ávöxtun]])))</f>
        <v>#VALUE!</v>
      </c>
      <c r="G30" s="18" t="str" cm="1">
        <f t="array" ref="G30">IFERROR(_xlfn.IFS(ISNUMBER(Table14[[#This Row],[Column3]]),Table14[[#This Row],[Column3]],Table14[[#This Row],[Column3]]="NEW",Table14[[#This Row],[Column3]]),"")</f>
        <v/>
      </c>
      <c r="H30" s="15" cm="1">
        <f t="array" ref="H30">_xlfn.IFS(Table14[[#This Row],[Column4]]="NEW",AVERAGEIFS(Table14[Column4],Table14[Year],Table14[[#This Row],[Year]]),ISNUMBER(Table14[[#This Row],[Column4]]),Table14[[#This Row],[Column4]],Table14[[#This Row],[Column4]]="",H29*(1+Table14[[#This Row],[Ávöxtun]]))</f>
        <v>290.36903361572513</v>
      </c>
      <c r="I30" cm="1">
        <f t="array" ref="I30">_xlfn.IFS(Table14[[#This Row],[Column4]]="NEW",_xlfn.XLOOKUP(Table14[[#This Row],[Year]],$M$2:$M$27,$O$2:$O$27),ISNUMBER(Table14[[#This Row],[Column4]]),Table14[[#This Row],[Column4]],Table14[[#This Row],[Column4]]="",I29*(1+Table14[[#This Row],[Ávöxtun]]))</f>
        <v>321.99569256722219</v>
      </c>
      <c r="L30" s="33">
        <v>321.99569256722219</v>
      </c>
      <c r="N30" s="35"/>
      <c r="Y30" t="s">
        <v>164</v>
      </c>
      <c r="Z30" t="s">
        <v>54</v>
      </c>
      <c r="AA30" t="s">
        <v>55</v>
      </c>
      <c r="AB30" t="s">
        <v>56</v>
      </c>
      <c r="AC30" t="s">
        <v>57</v>
      </c>
      <c r="AD30" t="s">
        <v>58</v>
      </c>
      <c r="AE30" t="s">
        <v>59</v>
      </c>
      <c r="AF30" t="s">
        <v>60</v>
      </c>
      <c r="AG30" t="s">
        <v>61</v>
      </c>
      <c r="AH30" t="s">
        <v>62</v>
      </c>
      <c r="AI30" t="s">
        <v>63</v>
      </c>
      <c r="AJ30" t="s">
        <v>64</v>
      </c>
      <c r="AK30" t="s">
        <v>65</v>
      </c>
      <c r="AL30" t="s">
        <v>66</v>
      </c>
      <c r="AM30" t="s">
        <v>67</v>
      </c>
      <c r="AN30" t="s">
        <v>68</v>
      </c>
      <c r="AO30" t="s">
        <v>69</v>
      </c>
      <c r="AP30" t="s">
        <v>70</v>
      </c>
      <c r="AQ30" t="s">
        <v>71</v>
      </c>
      <c r="AR30" t="s">
        <v>72</v>
      </c>
      <c r="AS30" t="s">
        <v>135</v>
      </c>
      <c r="AT30" t="s">
        <v>136</v>
      </c>
      <c r="AU30" t="s">
        <v>73</v>
      </c>
      <c r="AV30" t="s">
        <v>74</v>
      </c>
      <c r="AW30" t="s">
        <v>75</v>
      </c>
      <c r="AX30" t="s">
        <v>77</v>
      </c>
      <c r="AY30" t="s">
        <v>76</v>
      </c>
      <c r="AZ30" t="s">
        <v>78</v>
      </c>
      <c r="BA30" t="s">
        <v>79</v>
      </c>
      <c r="BB30" t="s">
        <v>80</v>
      </c>
      <c r="BC30" t="s">
        <v>81</v>
      </c>
      <c r="BD30" t="s">
        <v>82</v>
      </c>
      <c r="BE30" t="s">
        <v>83</v>
      </c>
      <c r="BF30" t="s">
        <v>84</v>
      </c>
      <c r="BG30" t="s">
        <v>85</v>
      </c>
      <c r="BH30" t="s">
        <v>86</v>
      </c>
      <c r="BI30" t="s">
        <v>87</v>
      </c>
      <c r="BJ30" t="s">
        <v>88</v>
      </c>
      <c r="BK30" t="s">
        <v>90</v>
      </c>
      <c r="BL30" t="s">
        <v>89</v>
      </c>
      <c r="BM30" t="s">
        <v>91</v>
      </c>
      <c r="BN30" t="s">
        <v>140</v>
      </c>
      <c r="BO30" t="s">
        <v>92</v>
      </c>
      <c r="BP30" t="s">
        <v>93</v>
      </c>
      <c r="BQ30" t="s">
        <v>108</v>
      </c>
      <c r="BR30" t="s">
        <v>106</v>
      </c>
      <c r="BS30" t="s">
        <v>107</v>
      </c>
      <c r="BT30" t="s">
        <v>95</v>
      </c>
      <c r="BU30" t="s">
        <v>94</v>
      </c>
      <c r="BV30" t="s">
        <v>109</v>
      </c>
      <c r="BW30" t="s">
        <v>96</v>
      </c>
      <c r="BX30" t="s">
        <v>110</v>
      </c>
      <c r="BY30" t="s">
        <v>97</v>
      </c>
      <c r="BZ30" t="s">
        <v>98</v>
      </c>
      <c r="CA30" t="s">
        <v>141</v>
      </c>
      <c r="CB30" t="s">
        <v>99</v>
      </c>
      <c r="CC30" t="s">
        <v>111</v>
      </c>
      <c r="CD30" t="s">
        <v>112</v>
      </c>
      <c r="CE30" t="s">
        <v>113</v>
      </c>
      <c r="CF30" t="s">
        <v>114</v>
      </c>
      <c r="CG30" t="s">
        <v>115</v>
      </c>
      <c r="CH30" t="s">
        <v>116</v>
      </c>
      <c r="CI30" t="s">
        <v>117</v>
      </c>
      <c r="CJ30" t="s">
        <v>118</v>
      </c>
      <c r="CK30" t="s">
        <v>119</v>
      </c>
      <c r="CL30" t="s">
        <v>100</v>
      </c>
      <c r="CM30" t="s">
        <v>102</v>
      </c>
      <c r="CN30" t="s">
        <v>101</v>
      </c>
      <c r="CO30" t="s">
        <v>120</v>
      </c>
      <c r="CP30" t="s">
        <v>121</v>
      </c>
      <c r="CQ30" t="s">
        <v>122</v>
      </c>
      <c r="CR30" t="s">
        <v>123</v>
      </c>
      <c r="CS30" t="s">
        <v>103</v>
      </c>
      <c r="CT30" t="s">
        <v>104</v>
      </c>
      <c r="CU30" t="s">
        <v>105</v>
      </c>
      <c r="CV30" t="s">
        <v>124</v>
      </c>
      <c r="CW30" t="s">
        <v>125</v>
      </c>
      <c r="CX30" t="s">
        <v>126</v>
      </c>
      <c r="CY30" t="s">
        <v>127</v>
      </c>
      <c r="CZ30" t="s">
        <v>128</v>
      </c>
      <c r="DA30" t="s">
        <v>129</v>
      </c>
      <c r="DB30" t="s">
        <v>132</v>
      </c>
      <c r="DC30" t="s">
        <v>133</v>
      </c>
      <c r="DD30" t="s">
        <v>130</v>
      </c>
      <c r="DE30" t="s">
        <v>131</v>
      </c>
      <c r="DF30" t="s">
        <v>134</v>
      </c>
    </row>
    <row r="31" spans="1:110">
      <c r="A31" t="s">
        <v>59</v>
      </c>
      <c r="B31">
        <v>2016</v>
      </c>
      <c r="C31" s="16">
        <v>0</v>
      </c>
      <c r="D31" s="1">
        <v>0</v>
      </c>
      <c r="E31" s="29">
        <f>Table14[[#This Row],[Ávöxtun]]*Table14[[#This Row],[Eignir]]/SUMIFS(Table14[Eignir],Table14[Year],Table14[[#This Row],[Year]])</f>
        <v>0</v>
      </c>
      <c r="F31" s="23" t="str">
        <f>IF(B31=1997, 100, IF(COUNTIF(A$1:A30,A31)=0, "NEW", F30*(1+Table14[[#This Row],[Ávöxtun]])))</f>
        <v>NEW</v>
      </c>
      <c r="G31" s="18" t="str" cm="1">
        <f t="array" ref="G31">IFERROR(_xlfn.IFS(ISNUMBER(Table14[[#This Row],[Column3]]),Table14[[#This Row],[Column3]],Table14[[#This Row],[Column3]]="NEW",Table14[[#This Row],[Column3]]),"")</f>
        <v>NEW</v>
      </c>
      <c r="H31" s="15" cm="1">
        <f t="array" ref="H31">_xlfn.IFS(Table14[[#This Row],[Column4]]="NEW",AVERAGEIFS(Table14[Column4],Table14[Year],Table14[[#This Row],[Year]]),ISNUMBER(Table14[[#This Row],[Column4]]),Table14[[#This Row],[Column4]],Table14[[#This Row],[Column4]]="",H30*(1+Table14[[#This Row],[Ávöxtun]]))</f>
        <v>203.54245352961544</v>
      </c>
      <c r="I31" cm="1">
        <f t="array" ref="I31">_xlfn.IFS(Table14[[#This Row],[Column4]]="NEW",_xlfn.XLOOKUP(Table14[[#This Row],[Year]],$M$2:$M$27,$O$2:$O$27),ISNUMBER(Table14[[#This Row],[Column4]]),Table14[[#This Row],[Column4]],Table14[[#This Row],[Column4]]="",I30*(1+Table14[[#This Row],[Ávöxtun]]))</f>
        <v>225.71206190614538</v>
      </c>
      <c r="L31" s="33">
        <v>225.71206190614538</v>
      </c>
      <c r="X31">
        <v>1997</v>
      </c>
      <c r="Y31" s="28"/>
      <c r="Z31" s="28" t="str" cm="1">
        <f t="array" ref="Z31">_xlfn.IFNA(INDEX(Table14[Ávöxtun],MATCH(1,(Z$2=Table14[Column1])*($X31=Table14[Year]),0)),"")</f>
        <v/>
      </c>
      <c r="AA31" s="28" t="str" cm="1">
        <f t="array" ref="AA31">_xlfn.IFNA(INDEX(Table14[Ávöxtun],MATCH(1,(AA$2=Table14[Column1])*($X31=Table14[Year]),0)),"")</f>
        <v/>
      </c>
      <c r="AB31" s="28" t="str" cm="1">
        <f t="array" ref="AB31">_xlfn.IFNA(INDEX(Table14[Ávöxtun],MATCH(1,(AB$2=Table14[Column1])*($X31=Table14[Year]),0)),"")</f>
        <v/>
      </c>
      <c r="AC31" s="28" t="str" cm="1">
        <f t="array" ref="AC31">_xlfn.IFNA(INDEX(Table14[Ávöxtun],MATCH(1,(AC$2=Table14[Column1])*($X31=Table14[Year]),0)),"")</f>
        <v/>
      </c>
      <c r="AD31" s="28" t="str" cm="1">
        <f t="array" ref="AD31">_xlfn.IFNA(INDEX(Table14[Ávöxtun],MATCH(1,(AD$2=Table14[Column1])*($X31=Table14[Year]),0)),"")</f>
        <v/>
      </c>
      <c r="AE31" s="28" t="str" cm="1">
        <f t="array" ref="AE31">_xlfn.IFNA(INDEX(Table14[Ávöxtun],MATCH(1,(AE$2=Table14[Column1])*($X31=Table14[Year]),0)),"")</f>
        <v/>
      </c>
      <c r="AF31" s="28" cm="1">
        <f t="array" ref="AF31">_xlfn.IFNA(INDEX(Table14[Ávöxtun],MATCH(1,(AF$2=Table14[Column1])*($X31=Table14[Year]),0)),"")</f>
        <v>0.05</v>
      </c>
      <c r="AG31" s="28" cm="1">
        <f t="array" ref="AG31">_xlfn.IFNA(INDEX(Table14[Ávöxtun],MATCH(1,(AG$2=Table14[Column1])*($X31=Table14[Year]),0)),"")</f>
        <v>7.0000000000000007E-2</v>
      </c>
      <c r="AH31" s="28" cm="1">
        <f t="array" ref="AH31">_xlfn.IFNA(INDEX(Table14[Ávöxtun],MATCH(1,(AH$2=Table14[Column1])*($X31=Table14[Year]),0)),"")</f>
        <v>0.06</v>
      </c>
      <c r="AI31" s="28" t="str" cm="1">
        <f t="array" ref="AI31">_xlfn.IFNA(INDEX(Table14[Ávöxtun],MATCH(1,(AI$2=Table14[Column1])*($X31=Table14[Year]),0)),"")</f>
        <v/>
      </c>
      <c r="AJ31" s="28" cm="1">
        <f t="array" ref="AJ31">_xlfn.IFNA(INDEX(Table14[Ávöxtun],MATCH(1,(AJ$2=Table14[Column1])*($X31=Table14[Year]),0)),"")</f>
        <v>0.06</v>
      </c>
      <c r="AK31" s="28" cm="1">
        <f t="array" ref="AK31">_xlfn.IFNA(INDEX(Table14[Ávöxtun],MATCH(1,(AK$2=Table14[Column1])*($X31=Table14[Year]),0)),"")</f>
        <v>0.06</v>
      </c>
      <c r="AL31" s="28" cm="1">
        <f t="array" ref="AL31">_xlfn.IFNA(INDEX(Table14[Ávöxtun],MATCH(1,(AL$2=Table14[Column1])*($X31=Table14[Year]),0)),"")</f>
        <v>0.06</v>
      </c>
      <c r="AM31" s="28" cm="1">
        <f t="array" ref="AM31">_xlfn.IFNA(INDEX(Table14[Ávöxtun],MATCH(1,(AM$2=Table14[Column1])*($X31=Table14[Year]),0)),"")</f>
        <v>0.05</v>
      </c>
      <c r="AN31" s="28" cm="1">
        <f t="array" ref="AN31">_xlfn.IFNA(INDEX(Table14[Ávöxtun],MATCH(1,(AN$2=Table14[Column1])*($X31=Table14[Year]),0)),"")</f>
        <v>7.0000000000000007E-2</v>
      </c>
      <c r="AO31" s="28" cm="1">
        <f t="array" ref="AO31">_xlfn.IFNA(INDEX(Table14[Ávöxtun],MATCH(1,(AO$2=Table14[Column1])*($X31=Table14[Year]),0)),"")</f>
        <v>0.03</v>
      </c>
      <c r="AP31" s="28" t="str" cm="1">
        <f t="array" ref="AP31">_xlfn.IFNA(INDEX(Table14[Ávöxtun],MATCH(1,(AP$2=Table14[Column1])*($X31=Table14[Year]),0)),"")</f>
        <v/>
      </c>
      <c r="AQ31" s="28" t="str" cm="1">
        <f t="array" ref="AQ31">_xlfn.IFNA(INDEX(Table14[Ávöxtun],MATCH(1,(AQ$2=Table14[Column1])*($X31=Table14[Year]),0)),"")</f>
        <v/>
      </c>
      <c r="AR31" s="28" t="str" cm="1">
        <f t="array" ref="AR31">_xlfn.IFNA(INDEX(Table14[Ávöxtun],MATCH(1,(AR$2=Table14[Column1])*($X31=Table14[Year]),0)),"")</f>
        <v/>
      </c>
      <c r="AS31" s="28" t="str" cm="1">
        <f t="array" ref="AS31">_xlfn.IFNA(INDEX(Table14[Ávöxtun],MATCH(1,(AS$2=Table14[Column1])*($X31=Table14[Year]),0)),"")</f>
        <v/>
      </c>
      <c r="AT31" s="28" t="str" cm="1">
        <f t="array" ref="AT31">_xlfn.IFNA(INDEX(Table14[Ávöxtun],MATCH(1,(AT$2=Table14[Column1])*($X31=Table14[Year]),0)),"")</f>
        <v/>
      </c>
      <c r="AU31" s="28" t="str" cm="1">
        <f t="array" ref="AU31">_xlfn.IFNA(INDEX(Table14[Ávöxtun],MATCH(1,(AU$2=Table14[Column1])*($X31=Table14[Year]),0)),"")</f>
        <v/>
      </c>
      <c r="AV31" s="28" t="str" cm="1">
        <f t="array" ref="AV31">_xlfn.IFNA(INDEX(Table14[Ávöxtun],MATCH(1,(AV$2=Table14[Column1])*($X31=Table14[Year]),0)),"")</f>
        <v/>
      </c>
      <c r="AW31" s="28" t="str" cm="1">
        <f t="array" ref="AW31">_xlfn.IFNA(INDEX(Table14[Ávöxtun],MATCH(1,(AW$2=Table14[Column1])*($X31=Table14[Year]),0)),"")</f>
        <v/>
      </c>
      <c r="AX31" s="28" cm="1">
        <f t="array" ref="AX31">_xlfn.IFNA(INDEX(Table14[Ávöxtun],MATCH(1,(AX$2=Table14[Column1])*($X31=Table14[Year]),0)),"")</f>
        <v>0.08</v>
      </c>
      <c r="AY31" s="28" t="str" cm="1">
        <f t="array" ref="AY31">_xlfn.IFNA(INDEX(Table14[Ávöxtun],MATCH(1,(AY$2=Table14[Column1])*($X31=Table14[Year]),0)),"")</f>
        <v/>
      </c>
      <c r="AZ31" s="28" cm="1">
        <f t="array" ref="AZ31">_xlfn.IFNA(INDEX(Table14[Ávöxtun],MATCH(1,(AZ$2=Table14[Column1])*($X31=Table14[Year]),0)),"")</f>
        <v>7.0000000000000007E-2</v>
      </c>
      <c r="BA31" s="28" t="str" cm="1">
        <f t="array" ref="BA31">_xlfn.IFNA(INDEX(Table14[Ávöxtun],MATCH(1,(BA$2=Table14[Column1])*($X31=Table14[Year]),0)),"")</f>
        <v/>
      </c>
      <c r="BB31" s="28" cm="1">
        <f t="array" ref="BB31">_xlfn.IFNA(INDEX(Table14[Ávöxtun],MATCH(1,(BB$2=Table14[Column1])*($X31=Table14[Year]),0)),"")</f>
        <v>0.13</v>
      </c>
      <c r="BC31" s="28" cm="1">
        <f t="array" ref="BC31">_xlfn.IFNA(INDEX(Table14[Ávöxtun],MATCH(1,(BC$2=Table14[Column1])*($X31=Table14[Year]),0)),"")</f>
        <v>0.06</v>
      </c>
      <c r="BD31" s="28" cm="1">
        <f t="array" ref="BD31">_xlfn.IFNA(INDEX(Table14[Ávöxtun],MATCH(1,(BD$2=Table14[Column1])*($X31=Table14[Year]),0)),"")</f>
        <v>7.0000000000000007E-2</v>
      </c>
      <c r="BE31" s="28" cm="1">
        <f t="array" ref="BE31">_xlfn.IFNA(INDEX(Table14[Ávöxtun],MATCH(1,(BE$2=Table14[Column1])*($X31=Table14[Year]),0)),"")</f>
        <v>0.08</v>
      </c>
      <c r="BF31" s="28" t="str" cm="1">
        <f t="array" ref="BF31">_xlfn.IFNA(INDEX(Table14[Ávöxtun],MATCH(1,(BF$2=Table14[Column1])*($X31=Table14[Year]),0)),"")</f>
        <v/>
      </c>
      <c r="BG31" s="28" cm="1">
        <f t="array" ref="BG31">_xlfn.IFNA(INDEX(Table14[Ávöxtun],MATCH(1,(BG$2=Table14[Column1])*($X31=Table14[Year]),0)),"")</f>
        <v>0.05</v>
      </c>
      <c r="BH31" s="28" cm="1">
        <f t="array" ref="BH31">_xlfn.IFNA(INDEX(Table14[Ávöxtun],MATCH(1,(BH$2=Table14[Column1])*($X31=Table14[Year]),0)),"")</f>
        <v>0.06</v>
      </c>
      <c r="BI31" s="28" cm="1">
        <f t="array" ref="BI31">_xlfn.IFNA(INDEX(Table14[Ávöxtun],MATCH(1,(BI$2=Table14[Column1])*($X31=Table14[Year]),0)),"")</f>
        <v>0.08</v>
      </c>
      <c r="BJ31" s="28" cm="1">
        <f t="array" ref="BJ31">_xlfn.IFNA(INDEX(Table14[Ávöxtun],MATCH(1,(BJ$2=Table14[Column1])*($X31=Table14[Year]),0)),"")</f>
        <v>0.08</v>
      </c>
      <c r="BK31" s="28" t="str" cm="1">
        <f t="array" ref="BK31">_xlfn.IFNA(INDEX(Table14[Ávöxtun],MATCH(1,(BK$2=Table14[Column1])*($X31=Table14[Year]),0)),"")</f>
        <v/>
      </c>
      <c r="BL31" s="28" cm="1">
        <f t="array" ref="BL31">_xlfn.IFNA(INDEX(Table14[Ávöxtun],MATCH(1,(BL$2=Table14[Column1])*($X31=Table14[Year]),0)),"")</f>
        <v>7.0000000000000007E-2</v>
      </c>
      <c r="BM31" s="28" cm="1">
        <f t="array" ref="BM31">_xlfn.IFNA(INDEX(Table14[Ávöxtun],MATCH(1,(BM$2=Table14[Column1])*($X31=Table14[Year]),0)),"")</f>
        <v>0.08</v>
      </c>
      <c r="BN31" s="28" cm="1">
        <f t="array" ref="BN31">_xlfn.IFNA(INDEX(Table14[Ávöxtun],MATCH(1,(BN$2=Table14[Column1])*($X31=Table14[Year]),0)),"")</f>
        <v>0</v>
      </c>
      <c r="BO31" s="28" cm="1">
        <f t="array" ref="BO31">_xlfn.IFNA(INDEX(Table14[Ávöxtun],MATCH(1,(BO$2=Table14[Column1])*($X31=Table14[Year]),0)),"")</f>
        <v>7.0000000000000007E-2</v>
      </c>
      <c r="BP31" s="28" cm="1">
        <f t="array" ref="BP31">_xlfn.IFNA(INDEX(Table14[Ávöxtun],MATCH(1,(BP$2=Table14[Column1])*($X31=Table14[Year]),0)),"")</f>
        <v>0.13</v>
      </c>
      <c r="BQ31" s="28" cm="1">
        <f t="array" ref="BQ31">_xlfn.IFNA(INDEX(Table14[Ávöxtun],MATCH(1,(BQ$2=Table14[Column1])*($X31=Table14[Year]),0)),"")</f>
        <v>0.09</v>
      </c>
      <c r="BR31" s="28" t="str" cm="1">
        <f t="array" ref="BR31">_xlfn.IFNA(INDEX(Table14[Ávöxtun],MATCH(1,(BR$2=Table14[Column1])*($X31=Table14[Year]),0)),"")</f>
        <v/>
      </c>
      <c r="BS31" s="28" cm="1">
        <f t="array" ref="BS31">_xlfn.IFNA(INDEX(Table14[Ávöxtun],MATCH(1,(BS$2=Table14[Column1])*($X31=Table14[Year]),0)),"")</f>
        <v>0.06</v>
      </c>
      <c r="BT31" s="28" t="str" cm="1">
        <f t="array" ref="BT31">_xlfn.IFNA(INDEX(Table14[Ávöxtun],MATCH(1,(BT$2=Table14[Column1])*($X31=Table14[Year]),0)),"")</f>
        <v/>
      </c>
      <c r="BU31" s="28" cm="1">
        <f t="array" ref="BU31">_xlfn.IFNA(INDEX(Table14[Ávöxtun],MATCH(1,(BU$2=Table14[Column1])*($X31=Table14[Year]),0)),"")</f>
        <v>0.06</v>
      </c>
      <c r="BV31" s="28" cm="1">
        <f t="array" ref="BV31">_xlfn.IFNA(INDEX(Table14[Ávöxtun],MATCH(1,(BV$2=Table14[Column1])*($X31=Table14[Year]),0)),"")</f>
        <v>0.06</v>
      </c>
      <c r="BW31" s="28" t="str" cm="1">
        <f t="array" ref="BW31">_xlfn.IFNA(INDEX(Table14[Ávöxtun],MATCH(1,(BW$2=Table14[Column1])*($X31=Table14[Year]),0)),"")</f>
        <v/>
      </c>
      <c r="BX31" s="28" cm="1">
        <f t="array" ref="BX31">_xlfn.IFNA(INDEX(Table14[Ávöxtun],MATCH(1,(BX$2=Table14[Column1])*($X31=Table14[Year]),0)),"")</f>
        <v>0.06</v>
      </c>
      <c r="BY31" s="28" cm="1">
        <f t="array" ref="BY31">_xlfn.IFNA(INDEX(Table14[Ávöxtun],MATCH(1,(BY$2=Table14[Column1])*($X31=Table14[Year]),0)),"")</f>
        <v>0.06</v>
      </c>
      <c r="BZ31" s="28" cm="1">
        <f t="array" ref="BZ31">_xlfn.IFNA(INDEX(Table14[Ávöxtun],MATCH(1,(BZ$2=Table14[Column1])*($X31=Table14[Year]),0)),"")</f>
        <v>0.08</v>
      </c>
      <c r="CA31" s="28" cm="1">
        <f t="array" ref="CA31">_xlfn.IFNA(INDEX(Table14[Ávöxtun],MATCH(1,(CA$2=Table14[Column1])*($X31=Table14[Year]),0)),"")</f>
        <v>0</v>
      </c>
      <c r="CB31" s="28" cm="1">
        <f t="array" ref="CB31">_xlfn.IFNA(INDEX(Table14[Ávöxtun],MATCH(1,(CB$2=Table14[Column1])*($X31=Table14[Year]),0)),"")</f>
        <v>0.05</v>
      </c>
      <c r="CC31" s="28" cm="1">
        <f t="array" ref="CC31">_xlfn.IFNA(INDEX(Table14[Ávöxtun],MATCH(1,(CC$2=Table14[Column1])*($X31=Table14[Year]),0)),"")</f>
        <v>7.0000000000000007E-2</v>
      </c>
      <c r="CD31" s="28" cm="1">
        <f t="array" ref="CD31">_xlfn.IFNA(INDEX(Table14[Ávöxtun],MATCH(1,(CD$2=Table14[Column1])*($X31=Table14[Year]),0)),"")</f>
        <v>0.05</v>
      </c>
      <c r="CE31" s="28" cm="1">
        <f t="array" ref="CE31">_xlfn.IFNA(INDEX(Table14[Ávöxtun],MATCH(1,(CE$2=Table14[Column1])*($X31=Table14[Year]),0)),"")</f>
        <v>0.05</v>
      </c>
      <c r="CF31" s="28" cm="1">
        <f t="array" ref="CF31">_xlfn.IFNA(INDEX(Table14[Ávöxtun],MATCH(1,(CF$2=Table14[Column1])*($X31=Table14[Year]),0)),"")</f>
        <v>0.02</v>
      </c>
      <c r="CG31" s="28" cm="1">
        <f t="array" ref="CG31">_xlfn.IFNA(INDEX(Table14[Ávöxtun],MATCH(1,(CG$2=Table14[Column1])*($X31=Table14[Year]),0)),"")</f>
        <v>0.09</v>
      </c>
      <c r="CH31" s="28" cm="1">
        <f t="array" ref="CH31">_xlfn.IFNA(INDEX(Table14[Ávöxtun],MATCH(1,(CH$2=Table14[Column1])*($X31=Table14[Year]),0)),"")</f>
        <v>0.04</v>
      </c>
      <c r="CI31" s="28" cm="1">
        <f t="array" ref="CI31">_xlfn.IFNA(INDEX(Table14[Ávöxtun],MATCH(1,(CI$2=Table14[Column1])*($X31=Table14[Year]),0)),"")</f>
        <v>0.03</v>
      </c>
      <c r="CJ31" s="28" t="str" cm="1">
        <f t="array" ref="CJ31">_xlfn.IFNA(INDEX(Table14[Ávöxtun],MATCH(1,(CJ$2=Table14[Column1])*($X31=Table14[Year]),0)),"")</f>
        <v/>
      </c>
      <c r="CK31" s="28" cm="1">
        <f t="array" ref="CK31">_xlfn.IFNA(INDEX(Table14[Ávöxtun],MATCH(1,(CK$2=Table14[Column1])*($X31=Table14[Year]),0)),"")</f>
        <v>0.06</v>
      </c>
      <c r="CL31" s="28" cm="1">
        <f t="array" ref="CL31">_xlfn.IFNA(INDEX(Table14[Ávöxtun],MATCH(1,(CL$2=Table14[Column1])*($X31=Table14[Year]),0)),"")</f>
        <v>7.0000000000000007E-2</v>
      </c>
      <c r="CM31" s="28" t="str" cm="1">
        <f t="array" ref="CM31">_xlfn.IFNA(INDEX(Table14[Ávöxtun],MATCH(1,(CM$2=Table14[Column1])*($X31=Table14[Year]),0)),"")</f>
        <v/>
      </c>
      <c r="CN31" s="28" t="str" cm="1">
        <f t="array" ref="CN31">_xlfn.IFNA(INDEX(Table14[Ávöxtun],MATCH(1,(CN$2=Table14[Column1])*($X31=Table14[Year]),0)),"")</f>
        <v/>
      </c>
      <c r="CO31" s="28" cm="1">
        <f t="array" ref="CO31">_xlfn.IFNA(INDEX(Table14[Ávöxtun],MATCH(1,(CO$2=Table14[Column1])*($X31=Table14[Year]),0)),"")</f>
        <v>0.05</v>
      </c>
      <c r="CP31" s="28" cm="1">
        <f t="array" ref="CP31">_xlfn.IFNA(INDEX(Table14[Ávöxtun],MATCH(1,(CP$2=Table14[Column1])*($X31=Table14[Year]),0)),"")</f>
        <v>0.06</v>
      </c>
      <c r="CQ31" s="28" cm="1">
        <f t="array" ref="CQ31">_xlfn.IFNA(INDEX(Table14[Ávöxtun],MATCH(1,(CQ$2=Table14[Column1])*($X31=Table14[Year]),0)),"")</f>
        <v>7.0000000000000007E-2</v>
      </c>
      <c r="CR31" s="28" cm="1">
        <f t="array" ref="CR31">_xlfn.IFNA(INDEX(Table14[Ávöxtun],MATCH(1,(CR$2=Table14[Column1])*($X31=Table14[Year]),0)),"")</f>
        <v>0.1</v>
      </c>
      <c r="CS31" s="28" cm="1">
        <f t="array" ref="CS31">_xlfn.IFNA(INDEX(Table14[Ávöxtun],MATCH(1,(CS$2=Table14[Column1])*($X31=Table14[Year]),0)),"")</f>
        <v>0.06</v>
      </c>
      <c r="CT31" s="28" cm="1">
        <f t="array" ref="CT31">_xlfn.IFNA(INDEX(Table14[Ávöxtun],MATCH(1,(CT$2=Table14[Column1])*($X31=Table14[Year]),0)),"")</f>
        <v>7.0000000000000007E-2</v>
      </c>
      <c r="CU31" s="28" cm="1">
        <f t="array" ref="CU31">_xlfn.IFNA(INDEX(Table14[Ávöxtun],MATCH(1,(CU$2=Table14[Column1])*($X31=Table14[Year]),0)),"")</f>
        <v>0.06</v>
      </c>
      <c r="CV31" s="28" cm="1">
        <f t="array" ref="CV31">_xlfn.IFNA(INDEX(Table14[Ávöxtun],MATCH(1,(CV$2=Table14[Column1])*($X31=Table14[Year]),0)),"")</f>
        <v>0.08</v>
      </c>
      <c r="CW31" s="28" cm="1">
        <f t="array" ref="CW31">_xlfn.IFNA(INDEX(Table14[Ávöxtun],MATCH(1,(CW$2=Table14[Column1])*($X31=Table14[Year]),0)),"")</f>
        <v>0.1</v>
      </c>
      <c r="CX31" s="28" t="str" cm="1">
        <f t="array" ref="CX31">_xlfn.IFNA(INDEX(Table14[Ávöxtun],MATCH(1,(CX$2=Table14[Column1])*($X31=Table14[Year]),0)),"")</f>
        <v/>
      </c>
      <c r="CY31" s="28" t="str" cm="1">
        <f t="array" ref="CY31">_xlfn.IFNA(INDEX(Table14[Ávöxtun],MATCH(1,(CY$2=Table14[Column1])*($X31=Table14[Year]),0)),"")</f>
        <v/>
      </c>
      <c r="CZ31" s="28" cm="1">
        <f t="array" ref="CZ31">_xlfn.IFNA(INDEX(Table14[Ávöxtun],MATCH(1,(CZ$2=Table14[Column1])*($X31=Table14[Year]),0)),"")</f>
        <v>0.08</v>
      </c>
      <c r="DA31" s="28" cm="1">
        <f t="array" ref="DA31">_xlfn.IFNA(INDEX(Table14[Ávöxtun],MATCH(1,(DA$2=Table14[Column1])*($X31=Table14[Year]),0)),"")</f>
        <v>0.13</v>
      </c>
      <c r="DB31" s="28" t="str" cm="1">
        <f t="array" ref="DB31">_xlfn.IFNA(INDEX(Table14[Ávöxtun],MATCH(1,(DB$2=Table14[Column1])*($X31=Table14[Year]),0)),"")</f>
        <v/>
      </c>
      <c r="DC31" s="28" cm="1">
        <f t="array" ref="DC31">_xlfn.IFNA(INDEX(Table14[Ávöxtun],MATCH(1,(DC$2=Table14[Column1])*($X31=Table14[Year]),0)),"")</f>
        <v>0.09</v>
      </c>
      <c r="DD31" s="28" t="str" cm="1">
        <f t="array" ref="DD31">_xlfn.IFNA(INDEX(Table14[Ávöxtun],MATCH(1,(DD$2=Table14[Column1])*($X31=Table14[Year]),0)),"")</f>
        <v/>
      </c>
      <c r="DE31" s="28" t="str" cm="1">
        <f t="array" ref="DE31">_xlfn.IFNA(INDEX(Table14[Ávöxtun],MATCH(1,(DE$2=Table14[Column1])*($X31=Table14[Year]),0)),"")</f>
        <v/>
      </c>
      <c r="DF31" s="28" t="str" cm="1">
        <f t="array" ref="DF31">_xlfn.IFNA(INDEX(Table14[Ávöxtun],MATCH(1,(DF$2=Table14[Column1])*($X31=Table14[Year]),0)),"")</f>
        <v/>
      </c>
    </row>
    <row r="32" spans="1:110">
      <c r="A32" t="s">
        <v>59</v>
      </c>
      <c r="B32">
        <v>2017</v>
      </c>
      <c r="C32" s="16">
        <v>0.16500000000000001</v>
      </c>
      <c r="D32" s="1">
        <v>193252610</v>
      </c>
      <c r="E32" s="29">
        <f>Table14[[#This Row],[Ávöxtun]]*Table14[[#This Row],[Eignir]]/SUMIFS(Table14[Eignir],Table14[Year],Table14[[#This Row],[Year]])</f>
        <v>8.9590686062930806E-3</v>
      </c>
      <c r="F32" s="23" t="e">
        <f>IF(B32=1997, 100, IF(COUNTIF(A$1:A31,A32)=0, "NEW", F31*(1+Table14[[#This Row],[Ávöxtun]])))</f>
        <v>#VALUE!</v>
      </c>
      <c r="G32" s="18" t="str" cm="1">
        <f t="array" ref="G32">IFERROR(_xlfn.IFS(ISNUMBER(Table14[[#This Row],[Column3]]),Table14[[#This Row],[Column3]],Table14[[#This Row],[Column3]]="NEW",Table14[[#This Row],[Column3]]),"")</f>
        <v/>
      </c>
      <c r="H32" s="15" cm="1">
        <f t="array" ref="H32">_xlfn.IFS(Table14[[#This Row],[Column4]]="NEW",AVERAGEIFS(Table14[Column4],Table14[Year],Table14[[#This Row],[Year]]),ISNUMBER(Table14[[#This Row],[Column4]]),Table14[[#This Row],[Column4]],Table14[[#This Row],[Column4]]="",H31*(1+Table14[[#This Row],[Ávöxtun]]))</f>
        <v>237.126958362002</v>
      </c>
      <c r="I32" cm="1">
        <f t="array" ref="I32">_xlfn.IFS(Table14[[#This Row],[Column4]]="NEW",_xlfn.XLOOKUP(Table14[[#This Row],[Year]],$M$2:$M$27,$O$2:$O$27),ISNUMBER(Table14[[#This Row],[Column4]]),Table14[[#This Row],[Column4]],Table14[[#This Row],[Column4]]="",I31*(1+Table14[[#This Row],[Ávöxtun]]))</f>
        <v>262.9545521206594</v>
      </c>
      <c r="L32" s="33">
        <v>262.9545521206594</v>
      </c>
      <c r="X32">
        <v>1998</v>
      </c>
      <c r="Y32" s="28">
        <f>Y4/Y3-1</f>
        <v>7.1118656567369598E-2</v>
      </c>
      <c r="Z32" s="28" t="str" cm="1">
        <f t="array" ref="Z32">_xlfn.IFNA(INDEX(Table14[Ávöxtun],MATCH(1,(Z$2=Table14[Column1])*($X32=Table14[Year]),0)),"")</f>
        <v/>
      </c>
      <c r="AA32" s="28" t="str" cm="1">
        <f t="array" ref="AA32">_xlfn.IFNA(INDEX(Table14[Ávöxtun],MATCH(1,(AA$2=Table14[Column1])*($X32=Table14[Year]),0)),"")</f>
        <v/>
      </c>
      <c r="AB32" s="28" t="str" cm="1">
        <f t="array" ref="AB32">_xlfn.IFNA(INDEX(Table14[Ávöxtun],MATCH(1,(AB$2=Table14[Column1])*($X32=Table14[Year]),0)),"")</f>
        <v/>
      </c>
      <c r="AC32" s="28" t="str" cm="1">
        <f t="array" ref="AC32">_xlfn.IFNA(INDEX(Table14[Ávöxtun],MATCH(1,(AC$2=Table14[Column1])*($X32=Table14[Year]),0)),"")</f>
        <v/>
      </c>
      <c r="AD32" s="28" t="str" cm="1">
        <f t="array" ref="AD32">_xlfn.IFNA(INDEX(Table14[Ávöxtun],MATCH(1,(AD$2=Table14[Column1])*($X32=Table14[Year]),0)),"")</f>
        <v/>
      </c>
      <c r="AE32" s="28" t="str" cm="1">
        <f t="array" ref="AE32">_xlfn.IFNA(INDEX(Table14[Ávöxtun],MATCH(1,(AE$2=Table14[Column1])*($X32=Table14[Year]),0)),"")</f>
        <v/>
      </c>
      <c r="AF32" s="28" t="str" cm="1">
        <f t="array" ref="AF32">_xlfn.IFNA(INDEX(Table14[Ávöxtun],MATCH(1,(AF$2=Table14[Column1])*($X32=Table14[Year]),0)),"")</f>
        <v/>
      </c>
      <c r="AG32" s="28" cm="1">
        <f t="array" ref="AG32">_xlfn.IFNA(INDEX(Table14[Ávöxtun],MATCH(1,(AG$2=Table14[Column1])*($X32=Table14[Year]),0)),"")</f>
        <v>7.0000000000000007E-2</v>
      </c>
      <c r="AH32" s="28" cm="1">
        <f t="array" ref="AH32">_xlfn.IFNA(INDEX(Table14[Ávöxtun],MATCH(1,(AH$2=Table14[Column1])*($X32=Table14[Year]),0)),"")</f>
        <v>0.1</v>
      </c>
      <c r="AI32" s="28" t="str" cm="1">
        <f t="array" ref="AI32">_xlfn.IFNA(INDEX(Table14[Ávöxtun],MATCH(1,(AI$2=Table14[Column1])*($X32=Table14[Year]),0)),"")</f>
        <v/>
      </c>
      <c r="AJ32" s="28" cm="1">
        <f t="array" ref="AJ32">_xlfn.IFNA(INDEX(Table14[Ávöxtun],MATCH(1,(AJ$2=Table14[Column1])*($X32=Table14[Year]),0)),"")</f>
        <v>0.08</v>
      </c>
      <c r="AK32" s="28" cm="1">
        <f t="array" ref="AK32">_xlfn.IFNA(INDEX(Table14[Ávöxtun],MATCH(1,(AK$2=Table14[Column1])*($X32=Table14[Year]),0)),"")</f>
        <v>0.06</v>
      </c>
      <c r="AL32" s="28" cm="1">
        <f t="array" ref="AL32">_xlfn.IFNA(INDEX(Table14[Ávöxtun],MATCH(1,(AL$2=Table14[Column1])*($X32=Table14[Year]),0)),"")</f>
        <v>7.0000000000000007E-2</v>
      </c>
      <c r="AM32" s="28" cm="1">
        <f t="array" ref="AM32">_xlfn.IFNA(INDEX(Table14[Ávöxtun],MATCH(1,(AM$2=Table14[Column1])*($X32=Table14[Year]),0)),"")</f>
        <v>0.06</v>
      </c>
      <c r="AN32" s="28" cm="1">
        <f t="array" ref="AN32">_xlfn.IFNA(INDEX(Table14[Ávöxtun],MATCH(1,(AN$2=Table14[Column1])*($X32=Table14[Year]),0)),"")</f>
        <v>0.11</v>
      </c>
      <c r="AO32" s="28" cm="1">
        <f t="array" ref="AO32">_xlfn.IFNA(INDEX(Table14[Ávöxtun],MATCH(1,(AO$2=Table14[Column1])*($X32=Table14[Year]),0)),"")</f>
        <v>0.04</v>
      </c>
      <c r="AP32" s="28" t="str" cm="1">
        <f t="array" ref="AP32">_xlfn.IFNA(INDEX(Table14[Ávöxtun],MATCH(1,(AP$2=Table14[Column1])*($X32=Table14[Year]),0)),"")</f>
        <v/>
      </c>
      <c r="AQ32" s="28" t="str" cm="1">
        <f t="array" ref="AQ32">_xlfn.IFNA(INDEX(Table14[Ávöxtun],MATCH(1,(AQ$2=Table14[Column1])*($X32=Table14[Year]),0)),"")</f>
        <v/>
      </c>
      <c r="AR32" s="28" t="str" cm="1">
        <f t="array" ref="AR32">_xlfn.IFNA(INDEX(Table14[Ávöxtun],MATCH(1,(AR$2=Table14[Column1])*($X32=Table14[Year]),0)),"")</f>
        <v/>
      </c>
      <c r="AS32" s="28" t="str" cm="1">
        <f t="array" ref="AS32">_xlfn.IFNA(INDEX(Table14[Ávöxtun],MATCH(1,(AS$2=Table14[Column1])*($X32=Table14[Year]),0)),"")</f>
        <v/>
      </c>
      <c r="AT32" s="28" t="str" cm="1">
        <f t="array" ref="AT32">_xlfn.IFNA(INDEX(Table14[Ávöxtun],MATCH(1,(AT$2=Table14[Column1])*($X32=Table14[Year]),0)),"")</f>
        <v/>
      </c>
      <c r="AU32" s="28" t="str" cm="1">
        <f t="array" ref="AU32">_xlfn.IFNA(INDEX(Table14[Ávöxtun],MATCH(1,(AU$2=Table14[Column1])*($X32=Table14[Year]),0)),"")</f>
        <v/>
      </c>
      <c r="AV32" s="28" t="str" cm="1">
        <f t="array" ref="AV32">_xlfn.IFNA(INDEX(Table14[Ávöxtun],MATCH(1,(AV$2=Table14[Column1])*($X32=Table14[Year]),0)),"")</f>
        <v/>
      </c>
      <c r="AW32" s="28" t="str" cm="1">
        <f t="array" ref="AW32">_xlfn.IFNA(INDEX(Table14[Ávöxtun],MATCH(1,(AW$2=Table14[Column1])*($X32=Table14[Year]),0)),"")</f>
        <v/>
      </c>
      <c r="AX32" s="28" cm="1">
        <f t="array" ref="AX32">_xlfn.IFNA(INDEX(Table14[Ávöxtun],MATCH(1,(AX$2=Table14[Column1])*($X32=Table14[Year]),0)),"")</f>
        <v>0.08</v>
      </c>
      <c r="AY32" s="28" cm="1">
        <f t="array" ref="AY32">_xlfn.IFNA(INDEX(Table14[Ávöxtun],MATCH(1,(AY$2=Table14[Column1])*($X32=Table14[Year]),0)),"")</f>
        <v>7.0000000000000007E-2</v>
      </c>
      <c r="AZ32" s="28" cm="1">
        <f t="array" ref="AZ32">_xlfn.IFNA(INDEX(Table14[Ávöxtun],MATCH(1,(AZ$2=Table14[Column1])*($X32=Table14[Year]),0)),"")</f>
        <v>0.08</v>
      </c>
      <c r="BA32" s="28" t="str" cm="1">
        <f t="array" ref="BA32">_xlfn.IFNA(INDEX(Table14[Ávöxtun],MATCH(1,(BA$2=Table14[Column1])*($X32=Table14[Year]),0)),"")</f>
        <v/>
      </c>
      <c r="BB32" s="28" cm="1">
        <f t="array" ref="BB32">_xlfn.IFNA(INDEX(Table14[Ávöxtun],MATCH(1,(BB$2=Table14[Column1])*($X32=Table14[Year]),0)),"")</f>
        <v>0.02</v>
      </c>
      <c r="BC32" s="28" cm="1">
        <f t="array" ref="BC32">_xlfn.IFNA(INDEX(Table14[Ávöxtun],MATCH(1,(BC$2=Table14[Column1])*($X32=Table14[Year]),0)),"")</f>
        <v>0.06</v>
      </c>
      <c r="BD32" s="28" cm="1">
        <f t="array" ref="BD32">_xlfn.IFNA(INDEX(Table14[Ávöxtun],MATCH(1,(BD$2=Table14[Column1])*($X32=Table14[Year]),0)),"")</f>
        <v>7.0000000000000007E-2</v>
      </c>
      <c r="BE32" s="28" cm="1">
        <f t="array" ref="BE32">_xlfn.IFNA(INDEX(Table14[Ávöxtun],MATCH(1,(BE$2=Table14[Column1])*($X32=Table14[Year]),0)),"")</f>
        <v>0.11</v>
      </c>
      <c r="BF32" s="28" t="str" cm="1">
        <f t="array" ref="BF32">_xlfn.IFNA(INDEX(Table14[Ávöxtun],MATCH(1,(BF$2=Table14[Column1])*($X32=Table14[Year]),0)),"")</f>
        <v/>
      </c>
      <c r="BG32" s="28" cm="1">
        <f t="array" ref="BG32">_xlfn.IFNA(INDEX(Table14[Ávöxtun],MATCH(1,(BG$2=Table14[Column1])*($X32=Table14[Year]),0)),"")</f>
        <v>0.03</v>
      </c>
      <c r="BH32" s="28" cm="1">
        <f t="array" ref="BH32">_xlfn.IFNA(INDEX(Table14[Ávöxtun],MATCH(1,(BH$2=Table14[Column1])*($X32=Table14[Year]),0)),"")</f>
        <v>0.05</v>
      </c>
      <c r="BI32" s="28" cm="1">
        <f t="array" ref="BI32">_xlfn.IFNA(INDEX(Table14[Ávöxtun],MATCH(1,(BI$2=Table14[Column1])*($X32=Table14[Year]),0)),"")</f>
        <v>0.08</v>
      </c>
      <c r="BJ32" s="28" cm="1">
        <f t="array" ref="BJ32">_xlfn.IFNA(INDEX(Table14[Ávöxtun],MATCH(1,(BJ$2=Table14[Column1])*($X32=Table14[Year]),0)),"")</f>
        <v>0.04</v>
      </c>
      <c r="BK32" s="28" cm="1">
        <f t="array" ref="BK32">_xlfn.IFNA(INDEX(Table14[Ávöxtun],MATCH(1,(BK$2=Table14[Column1])*($X32=Table14[Year]),0)),"")</f>
        <v>7.0000000000000007E-2</v>
      </c>
      <c r="BL32" s="28" cm="1">
        <f t="array" ref="BL32">_xlfn.IFNA(INDEX(Table14[Ávöxtun],MATCH(1,(BL$2=Table14[Column1])*($X32=Table14[Year]),0)),"")</f>
        <v>0.06</v>
      </c>
      <c r="BM32" s="28" cm="1">
        <f t="array" ref="BM32">_xlfn.IFNA(INDEX(Table14[Ávöxtun],MATCH(1,(BM$2=Table14[Column1])*($X32=Table14[Year]),0)),"")</f>
        <v>7.0000000000000007E-2</v>
      </c>
      <c r="BN32" s="28" cm="1">
        <f t="array" ref="BN32">_xlfn.IFNA(INDEX(Table14[Ávöxtun],MATCH(1,(BN$2=Table14[Column1])*($X32=Table14[Year]),0)),"")</f>
        <v>0</v>
      </c>
      <c r="BO32" s="28" t="str" cm="1">
        <f t="array" ref="BO32">_xlfn.IFNA(INDEX(Table14[Ávöxtun],MATCH(1,(BO$2=Table14[Column1])*($X32=Table14[Year]),0)),"")</f>
        <v/>
      </c>
      <c r="BP32" s="28" cm="1">
        <f t="array" ref="BP32">_xlfn.IFNA(INDEX(Table14[Ávöxtun],MATCH(1,(BP$2=Table14[Column1])*($X32=Table14[Year]),0)),"")</f>
        <v>0.02</v>
      </c>
      <c r="BQ32" s="28" cm="1">
        <f t="array" ref="BQ32">_xlfn.IFNA(INDEX(Table14[Ávöxtun],MATCH(1,(BQ$2=Table14[Column1])*($X32=Table14[Year]),0)),"")</f>
        <v>0.09</v>
      </c>
      <c r="BR32" s="28" cm="1">
        <f t="array" ref="BR32">_xlfn.IFNA(INDEX(Table14[Ávöxtun],MATCH(1,(BR$2=Table14[Column1])*($X32=Table14[Year]),0)),"")</f>
        <v>0</v>
      </c>
      <c r="BS32" s="28" cm="1">
        <f t="array" ref="BS32">_xlfn.IFNA(INDEX(Table14[Ávöxtun],MATCH(1,(BS$2=Table14[Column1])*($X32=Table14[Year]),0)),"")</f>
        <v>0.11</v>
      </c>
      <c r="BT32" s="28" t="str" cm="1">
        <f t="array" ref="BT32">_xlfn.IFNA(INDEX(Table14[Ávöxtun],MATCH(1,(BT$2=Table14[Column1])*($X32=Table14[Year]),0)),"")</f>
        <v/>
      </c>
      <c r="BU32" s="28" cm="1">
        <f t="array" ref="BU32">_xlfn.IFNA(INDEX(Table14[Ávöxtun],MATCH(1,(BU$2=Table14[Column1])*($X32=Table14[Year]),0)),"")</f>
        <v>7.0000000000000007E-2</v>
      </c>
      <c r="BV32" s="28" cm="1">
        <f t="array" ref="BV32">_xlfn.IFNA(INDEX(Table14[Ávöxtun],MATCH(1,(BV$2=Table14[Column1])*($X32=Table14[Year]),0)),"")</f>
        <v>7.0000000000000007E-2</v>
      </c>
      <c r="BW32" s="28" t="str" cm="1">
        <f t="array" ref="BW32">_xlfn.IFNA(INDEX(Table14[Ávöxtun],MATCH(1,(BW$2=Table14[Column1])*($X32=Table14[Year]),0)),"")</f>
        <v/>
      </c>
      <c r="BX32" s="28" cm="1">
        <f t="array" ref="BX32">_xlfn.IFNA(INDEX(Table14[Ávöxtun],MATCH(1,(BX$2=Table14[Column1])*($X32=Table14[Year]),0)),"")</f>
        <v>0.06</v>
      </c>
      <c r="BY32" s="28" cm="1">
        <f t="array" ref="BY32">_xlfn.IFNA(INDEX(Table14[Ávöxtun],MATCH(1,(BY$2=Table14[Column1])*($X32=Table14[Year]),0)),"")</f>
        <v>0.06</v>
      </c>
      <c r="BZ32" s="28" cm="1">
        <f t="array" ref="BZ32">_xlfn.IFNA(INDEX(Table14[Ávöxtun],MATCH(1,(BZ$2=Table14[Column1])*($X32=Table14[Year]),0)),"")</f>
        <v>0.1</v>
      </c>
      <c r="CA32" s="28" cm="1">
        <f t="array" ref="CA32">_xlfn.IFNA(INDEX(Table14[Ávöxtun],MATCH(1,(CA$2=Table14[Column1])*($X32=Table14[Year]),0)),"")</f>
        <v>0</v>
      </c>
      <c r="CB32" s="28" cm="1">
        <f t="array" ref="CB32">_xlfn.IFNA(INDEX(Table14[Ávöxtun],MATCH(1,(CB$2=Table14[Column1])*($X32=Table14[Year]),0)),"")</f>
        <v>0.06</v>
      </c>
      <c r="CC32" s="28" cm="1">
        <f t="array" ref="CC32">_xlfn.IFNA(INDEX(Table14[Ávöxtun],MATCH(1,(CC$2=Table14[Column1])*($X32=Table14[Year]),0)),"")</f>
        <v>0.08</v>
      </c>
      <c r="CD32" s="28" cm="1">
        <f t="array" ref="CD32">_xlfn.IFNA(INDEX(Table14[Ávöxtun],MATCH(1,(CD$2=Table14[Column1])*($X32=Table14[Year]),0)),"")</f>
        <v>0.05</v>
      </c>
      <c r="CE32" s="28" cm="1">
        <f t="array" ref="CE32">_xlfn.IFNA(INDEX(Table14[Ávöxtun],MATCH(1,(CE$2=Table14[Column1])*($X32=Table14[Year]),0)),"")</f>
        <v>7.0000000000000007E-2</v>
      </c>
      <c r="CF32" s="28" cm="1">
        <f t="array" ref="CF32">_xlfn.IFNA(INDEX(Table14[Ávöxtun],MATCH(1,(CF$2=Table14[Column1])*($X32=Table14[Year]),0)),"")</f>
        <v>0.1</v>
      </c>
      <c r="CG32" s="28" cm="1">
        <f t="array" ref="CG32">_xlfn.IFNA(INDEX(Table14[Ávöxtun],MATCH(1,(CG$2=Table14[Column1])*($X32=Table14[Year]),0)),"")</f>
        <v>0.08</v>
      </c>
      <c r="CH32" s="28" cm="1">
        <f t="array" ref="CH32">_xlfn.IFNA(INDEX(Table14[Ávöxtun],MATCH(1,(CH$2=Table14[Column1])*($X32=Table14[Year]),0)),"")</f>
        <v>0.05</v>
      </c>
      <c r="CI32" s="28" cm="1">
        <f t="array" ref="CI32">_xlfn.IFNA(INDEX(Table14[Ávöxtun],MATCH(1,(CI$2=Table14[Column1])*($X32=Table14[Year]),0)),"")</f>
        <v>0.06</v>
      </c>
      <c r="CJ32" s="28" cm="1">
        <f t="array" ref="CJ32">_xlfn.IFNA(INDEX(Table14[Ávöxtun],MATCH(1,(CJ$2=Table14[Column1])*($X32=Table14[Year]),0)),"")</f>
        <v>0</v>
      </c>
      <c r="CK32" s="28" cm="1">
        <f t="array" ref="CK32">_xlfn.IFNA(INDEX(Table14[Ávöxtun],MATCH(1,(CK$2=Table14[Column1])*($X32=Table14[Year]),0)),"")</f>
        <v>7.0000000000000007E-2</v>
      </c>
      <c r="CL32" s="28" cm="1">
        <f t="array" ref="CL32">_xlfn.IFNA(INDEX(Table14[Ávöxtun],MATCH(1,(CL$2=Table14[Column1])*($X32=Table14[Year]),0)),"")</f>
        <v>0.09</v>
      </c>
      <c r="CM32" s="28" t="str" cm="1">
        <f t="array" ref="CM32">_xlfn.IFNA(INDEX(Table14[Ávöxtun],MATCH(1,(CM$2=Table14[Column1])*($X32=Table14[Year]),0)),"")</f>
        <v/>
      </c>
      <c r="CN32" s="28" t="str" cm="1">
        <f t="array" ref="CN32">_xlfn.IFNA(INDEX(Table14[Ávöxtun],MATCH(1,(CN$2=Table14[Column1])*($X32=Table14[Year]),0)),"")</f>
        <v/>
      </c>
      <c r="CO32" s="28" cm="1">
        <f t="array" ref="CO32">_xlfn.IFNA(INDEX(Table14[Ávöxtun],MATCH(1,(CO$2=Table14[Column1])*($X32=Table14[Year]),0)),"")</f>
        <v>0.05</v>
      </c>
      <c r="CP32" s="28" t="str" cm="1">
        <f t="array" ref="CP32">_xlfn.IFNA(INDEX(Table14[Ávöxtun],MATCH(1,(CP$2=Table14[Column1])*($X32=Table14[Year]),0)),"")</f>
        <v/>
      </c>
      <c r="CQ32" s="28" cm="1">
        <f t="array" ref="CQ32">_xlfn.IFNA(INDEX(Table14[Ávöxtun],MATCH(1,(CQ$2=Table14[Column1])*($X32=Table14[Year]),0)),"")</f>
        <v>0.11</v>
      </c>
      <c r="CR32" s="28" cm="1">
        <f t="array" ref="CR32">_xlfn.IFNA(INDEX(Table14[Ávöxtun],MATCH(1,(CR$2=Table14[Column1])*($X32=Table14[Year]),0)),"")</f>
        <v>0.08</v>
      </c>
      <c r="CS32" s="28" cm="1">
        <f t="array" ref="CS32">_xlfn.IFNA(INDEX(Table14[Ávöxtun],MATCH(1,(CS$2=Table14[Column1])*($X32=Table14[Year]),0)),"")</f>
        <v>0.08</v>
      </c>
      <c r="CT32" s="28" cm="1">
        <f t="array" ref="CT32">_xlfn.IFNA(INDEX(Table14[Ávöxtun],MATCH(1,(CT$2=Table14[Column1])*($X32=Table14[Year]),0)),"")</f>
        <v>7.0000000000000007E-2</v>
      </c>
      <c r="CU32" s="28" cm="1">
        <f t="array" ref="CU32">_xlfn.IFNA(INDEX(Table14[Ávöxtun],MATCH(1,(CU$2=Table14[Column1])*($X32=Table14[Year]),0)),"")</f>
        <v>7.0000000000000007E-2</v>
      </c>
      <c r="CV32" s="28" cm="1">
        <f t="array" ref="CV32">_xlfn.IFNA(INDEX(Table14[Ávöxtun],MATCH(1,(CV$2=Table14[Column1])*($X32=Table14[Year]),0)),"")</f>
        <v>0.08</v>
      </c>
      <c r="CW32" s="28" cm="1">
        <f t="array" ref="CW32">_xlfn.IFNA(INDEX(Table14[Ávöxtun],MATCH(1,(CW$2=Table14[Column1])*($X32=Table14[Year]),0)),"")</f>
        <v>0.05</v>
      </c>
      <c r="CX32" s="28" t="str" cm="1">
        <f t="array" ref="CX32">_xlfn.IFNA(INDEX(Table14[Ávöxtun],MATCH(1,(CX$2=Table14[Column1])*($X32=Table14[Year]),0)),"")</f>
        <v/>
      </c>
      <c r="CY32" s="28" t="str" cm="1">
        <f t="array" ref="CY32">_xlfn.IFNA(INDEX(Table14[Ávöxtun],MATCH(1,(CY$2=Table14[Column1])*($X32=Table14[Year]),0)),"")</f>
        <v/>
      </c>
      <c r="CZ32" s="28" cm="1">
        <f t="array" ref="CZ32">_xlfn.IFNA(INDEX(Table14[Ávöxtun],MATCH(1,(CZ$2=Table14[Column1])*($X32=Table14[Year]),0)),"")</f>
        <v>7.0000000000000007E-2</v>
      </c>
      <c r="DA32" s="28" cm="1">
        <f t="array" ref="DA32">_xlfn.IFNA(INDEX(Table14[Ávöxtun],MATCH(1,(DA$2=Table14[Column1])*($X32=Table14[Year]),0)),"")</f>
        <v>7.0000000000000007E-2</v>
      </c>
      <c r="DB32" s="28" t="str" cm="1">
        <f t="array" ref="DB32">_xlfn.IFNA(INDEX(Table14[Ávöxtun],MATCH(1,(DB$2=Table14[Column1])*($X32=Table14[Year]),0)),"")</f>
        <v/>
      </c>
      <c r="DC32" s="28" cm="1">
        <f t="array" ref="DC32">_xlfn.IFNA(INDEX(Table14[Ávöxtun],MATCH(1,(DC$2=Table14[Column1])*($X32=Table14[Year]),0)),"")</f>
        <v>0.06</v>
      </c>
      <c r="DD32" s="28" t="str" cm="1">
        <f t="array" ref="DD32">_xlfn.IFNA(INDEX(Table14[Ávöxtun],MATCH(1,(DD$2=Table14[Column1])*($X32=Table14[Year]),0)),"")</f>
        <v/>
      </c>
      <c r="DE32" s="28" t="str" cm="1">
        <f t="array" ref="DE32">_xlfn.IFNA(INDEX(Table14[Ávöxtun],MATCH(1,(DE$2=Table14[Column1])*($X32=Table14[Year]),0)),"")</f>
        <v/>
      </c>
      <c r="DF32" s="28" t="str" cm="1">
        <f t="array" ref="DF32">_xlfn.IFNA(INDEX(Table14[Ávöxtun],MATCH(1,(DF$2=Table14[Column1])*($X32=Table14[Year]),0)),"")</f>
        <v/>
      </c>
    </row>
    <row r="33" spans="1:110">
      <c r="A33" t="s">
        <v>59</v>
      </c>
      <c r="B33">
        <v>2018</v>
      </c>
      <c r="C33" s="16">
        <v>7.400000000000001E-2</v>
      </c>
      <c r="D33" s="1">
        <v>216996109</v>
      </c>
      <c r="E33" s="29">
        <f>Table14[[#This Row],[Ávöxtun]]*Table14[[#This Row],[Eignir]]/SUMIFS(Table14[Eignir],Table14[Year],Table14[[#This Row],[Year]])</f>
        <v>4.205440809741166E-3</v>
      </c>
      <c r="F33" s="23" t="e">
        <f>IF(B33=1997, 100, IF(COUNTIF(A$1:A32,A33)=0, "NEW", F32*(1+Table14[[#This Row],[Ávöxtun]])))</f>
        <v>#VALUE!</v>
      </c>
      <c r="G33" s="18" t="str" cm="1">
        <f t="array" ref="G33">IFERROR(_xlfn.IFS(ISNUMBER(Table14[[#This Row],[Column3]]),Table14[[#This Row],[Column3]],Table14[[#This Row],[Column3]]="NEW",Table14[[#This Row],[Column3]]),"")</f>
        <v/>
      </c>
      <c r="H33" s="15" cm="1">
        <f t="array" ref="H33">_xlfn.IFS(Table14[[#This Row],[Column4]]="NEW",AVERAGEIFS(Table14[Column4],Table14[Year],Table14[[#This Row],[Year]]),ISNUMBER(Table14[[#This Row],[Column4]]),Table14[[#This Row],[Column4]],Table14[[#This Row],[Column4]]="",H32*(1+Table14[[#This Row],[Ávöxtun]]))</f>
        <v>254.67435328079017</v>
      </c>
      <c r="I33" cm="1">
        <f t="array" ref="I33">_xlfn.IFS(Table14[[#This Row],[Column4]]="NEW",_xlfn.XLOOKUP(Table14[[#This Row],[Year]],$M$2:$M$27,$O$2:$O$27),ISNUMBER(Table14[[#This Row],[Column4]]),Table14[[#This Row],[Column4]],Table14[[#This Row],[Column4]]="",I32*(1+Table14[[#This Row],[Ávöxtun]]))</f>
        <v>282.41318897758822</v>
      </c>
      <c r="L33" s="33">
        <v>282.41318897758822</v>
      </c>
      <c r="X33">
        <v>1999</v>
      </c>
      <c r="Y33" s="28">
        <f t="shared" ref="Y33:Y55" si="2">Y5/Y4-1</f>
        <v>0.12051385644059298</v>
      </c>
      <c r="Z33" s="28" t="str" cm="1">
        <f t="array" ref="Z33">_xlfn.IFNA(INDEX(Table14[Ávöxtun],MATCH(1,(Z$2=Table14[Column1])*($X33=Table14[Year]),0)),"")</f>
        <v/>
      </c>
      <c r="AA33" s="28" cm="1">
        <f t="array" ref="AA33">_xlfn.IFNA(INDEX(Table14[Ávöxtun],MATCH(1,(AA$2=Table14[Column1])*($X33=Table14[Year]),0)),"")</f>
        <v>0.08</v>
      </c>
      <c r="AB33" s="28" t="str" cm="1">
        <f t="array" ref="AB33">_xlfn.IFNA(INDEX(Table14[Ávöxtun],MATCH(1,(AB$2=Table14[Column1])*($X33=Table14[Year]),0)),"")</f>
        <v/>
      </c>
      <c r="AC33" s="28" t="str" cm="1">
        <f t="array" ref="AC33">_xlfn.IFNA(INDEX(Table14[Ávöxtun],MATCH(1,(AC$2=Table14[Column1])*($X33=Table14[Year]),0)),"")</f>
        <v/>
      </c>
      <c r="AD33" s="28" t="str" cm="1">
        <f t="array" ref="AD33">_xlfn.IFNA(INDEX(Table14[Ávöxtun],MATCH(1,(AD$2=Table14[Column1])*($X33=Table14[Year]),0)),"")</f>
        <v/>
      </c>
      <c r="AE33" s="28" t="str" cm="1">
        <f t="array" ref="AE33">_xlfn.IFNA(INDEX(Table14[Ávöxtun],MATCH(1,(AE$2=Table14[Column1])*($X33=Table14[Year]),0)),"")</f>
        <v/>
      </c>
      <c r="AF33" s="28" t="str" cm="1">
        <f t="array" ref="AF33">_xlfn.IFNA(INDEX(Table14[Ávöxtun],MATCH(1,(AF$2=Table14[Column1])*($X33=Table14[Year]),0)),"")</f>
        <v/>
      </c>
      <c r="AG33" s="28" cm="1">
        <f t="array" ref="AG33">_xlfn.IFNA(INDEX(Table14[Ávöxtun],MATCH(1,(AG$2=Table14[Column1])*($X33=Table14[Year]),0)),"")</f>
        <v>0.08</v>
      </c>
      <c r="AH33" s="28" cm="1">
        <f t="array" ref="AH33">_xlfn.IFNA(INDEX(Table14[Ávöxtun],MATCH(1,(AH$2=Table14[Column1])*($X33=Table14[Year]),0)),"")</f>
        <v>0.06</v>
      </c>
      <c r="AI33" s="28" t="str" cm="1">
        <f t="array" ref="AI33">_xlfn.IFNA(INDEX(Table14[Ávöxtun],MATCH(1,(AI$2=Table14[Column1])*($X33=Table14[Year]),0)),"")</f>
        <v/>
      </c>
      <c r="AJ33" s="28" cm="1">
        <f t="array" ref="AJ33">_xlfn.IFNA(INDEX(Table14[Ávöxtun],MATCH(1,(AJ$2=Table14[Column1])*($X33=Table14[Year]),0)),"")</f>
        <v>0.08</v>
      </c>
      <c r="AK33" s="28" cm="1">
        <f t="array" ref="AK33">_xlfn.IFNA(INDEX(Table14[Ávöxtun],MATCH(1,(AK$2=Table14[Column1])*($X33=Table14[Year]),0)),"")</f>
        <v>7.0000000000000007E-2</v>
      </c>
      <c r="AL33" s="28" cm="1">
        <f t="array" ref="AL33">_xlfn.IFNA(INDEX(Table14[Ávöxtun],MATCH(1,(AL$2=Table14[Column1])*($X33=Table14[Year]),0)),"")</f>
        <v>0.08</v>
      </c>
      <c r="AM33" s="28" cm="1">
        <f t="array" ref="AM33">_xlfn.IFNA(INDEX(Table14[Ávöxtun],MATCH(1,(AM$2=Table14[Column1])*($X33=Table14[Year]),0)),"")</f>
        <v>0.06</v>
      </c>
      <c r="AN33" s="28" cm="1">
        <f t="array" ref="AN33">_xlfn.IFNA(INDEX(Table14[Ávöxtun],MATCH(1,(AN$2=Table14[Column1])*($X33=Table14[Year]),0)),"")</f>
        <v>0.08</v>
      </c>
      <c r="AO33" s="28" cm="1">
        <f t="array" ref="AO33">_xlfn.IFNA(INDEX(Table14[Ávöxtun],MATCH(1,(AO$2=Table14[Column1])*($X33=Table14[Year]),0)),"")</f>
        <v>0</v>
      </c>
      <c r="AP33" s="28" t="str" cm="1">
        <f t="array" ref="AP33">_xlfn.IFNA(INDEX(Table14[Ávöxtun],MATCH(1,(AP$2=Table14[Column1])*($X33=Table14[Year]),0)),"")</f>
        <v/>
      </c>
      <c r="AQ33" s="28" cm="1">
        <f t="array" ref="AQ33">_xlfn.IFNA(INDEX(Table14[Ávöxtun],MATCH(1,(AQ$2=Table14[Column1])*($X33=Table14[Year]),0)),"")</f>
        <v>0.1</v>
      </c>
      <c r="AR33" s="28" t="str" cm="1">
        <f t="array" ref="AR33">_xlfn.IFNA(INDEX(Table14[Ávöxtun],MATCH(1,(AR$2=Table14[Column1])*($X33=Table14[Year]),0)),"")</f>
        <v/>
      </c>
      <c r="AS33" s="28" t="str" cm="1">
        <f t="array" ref="AS33">_xlfn.IFNA(INDEX(Table14[Ávöxtun],MATCH(1,(AS$2=Table14[Column1])*($X33=Table14[Year]),0)),"")</f>
        <v/>
      </c>
      <c r="AT33" s="28" cm="1">
        <f t="array" ref="AT33">_xlfn.IFNA(INDEX(Table14[Ávöxtun],MATCH(1,(AT$2=Table14[Column1])*($X33=Table14[Year]),0)),"")</f>
        <v>0.1</v>
      </c>
      <c r="AU33" s="28" t="str" cm="1">
        <f t="array" ref="AU33">_xlfn.IFNA(INDEX(Table14[Ávöxtun],MATCH(1,(AU$2=Table14[Column1])*($X33=Table14[Year]),0)),"")</f>
        <v/>
      </c>
      <c r="AV33" s="28" t="str" cm="1">
        <f t="array" ref="AV33">_xlfn.IFNA(INDEX(Table14[Ávöxtun],MATCH(1,(AV$2=Table14[Column1])*($X33=Table14[Year]),0)),"")</f>
        <v/>
      </c>
      <c r="AW33" s="28" t="str" cm="1">
        <f t="array" ref="AW33">_xlfn.IFNA(INDEX(Table14[Ávöxtun],MATCH(1,(AW$2=Table14[Column1])*($X33=Table14[Year]),0)),"")</f>
        <v/>
      </c>
      <c r="AX33" s="28" cm="1">
        <f t="array" ref="AX33">_xlfn.IFNA(INDEX(Table14[Ávöxtun],MATCH(1,(AX$2=Table14[Column1])*($X33=Table14[Year]),0)),"")</f>
        <v>0.16</v>
      </c>
      <c r="AY33" s="28" cm="1">
        <f t="array" ref="AY33">_xlfn.IFNA(INDEX(Table14[Ávöxtun],MATCH(1,(AY$2=Table14[Column1])*($X33=Table14[Year]),0)),"")</f>
        <v>0.14000000000000001</v>
      </c>
      <c r="AZ33" s="28" cm="1">
        <f t="array" ref="AZ33">_xlfn.IFNA(INDEX(Table14[Ávöxtun],MATCH(1,(AZ$2=Table14[Column1])*($X33=Table14[Year]),0)),"")</f>
        <v>7.0000000000000007E-2</v>
      </c>
      <c r="BA33" s="28" cm="1">
        <f t="array" ref="BA33">_xlfn.IFNA(INDEX(Table14[Ávöxtun],MATCH(1,(BA$2=Table14[Column1])*($X33=Table14[Year]),0)),"")</f>
        <v>0.1</v>
      </c>
      <c r="BB33" s="28" cm="1">
        <f t="array" ref="BB33">_xlfn.IFNA(INDEX(Table14[Ávöxtun],MATCH(1,(BB$2=Table14[Column1])*($X33=Table14[Year]),0)),"")</f>
        <v>0.22</v>
      </c>
      <c r="BC33" s="28" cm="1">
        <f t="array" ref="BC33">_xlfn.IFNA(INDEX(Table14[Ávöxtun],MATCH(1,(BC$2=Table14[Column1])*($X33=Table14[Year]),0)),"")</f>
        <v>0.05</v>
      </c>
      <c r="BD33" s="28" cm="1">
        <f t="array" ref="BD33">_xlfn.IFNA(INDEX(Table14[Ávöxtun],MATCH(1,(BD$2=Table14[Column1])*($X33=Table14[Year]),0)),"")</f>
        <v>0.08</v>
      </c>
      <c r="BE33" s="28" cm="1">
        <f t="array" ref="BE33">_xlfn.IFNA(INDEX(Table14[Ávöxtun],MATCH(1,(BE$2=Table14[Column1])*($X33=Table14[Year]),0)),"")</f>
        <v>0.16</v>
      </c>
      <c r="BF33" s="28" t="str" cm="1">
        <f t="array" ref="BF33">_xlfn.IFNA(INDEX(Table14[Ávöxtun],MATCH(1,(BF$2=Table14[Column1])*($X33=Table14[Year]),0)),"")</f>
        <v/>
      </c>
      <c r="BG33" s="28" cm="1">
        <f t="array" ref="BG33">_xlfn.IFNA(INDEX(Table14[Ávöxtun],MATCH(1,(BG$2=Table14[Column1])*($X33=Table14[Year]),0)),"")</f>
        <v>0.04</v>
      </c>
      <c r="BH33" s="28" cm="1">
        <f t="array" ref="BH33">_xlfn.IFNA(INDEX(Table14[Ávöxtun],MATCH(1,(BH$2=Table14[Column1])*($X33=Table14[Year]),0)),"")</f>
        <v>0.05</v>
      </c>
      <c r="BI33" s="28" cm="1">
        <f t="array" ref="BI33">_xlfn.IFNA(INDEX(Table14[Ávöxtun],MATCH(1,(BI$2=Table14[Column1])*($X33=Table14[Year]),0)),"")</f>
        <v>0.01</v>
      </c>
      <c r="BJ33" s="28" cm="1">
        <f t="array" ref="BJ33">_xlfn.IFNA(INDEX(Table14[Ávöxtun],MATCH(1,(BJ$2=Table14[Column1])*($X33=Table14[Year]),0)),"")</f>
        <v>0.03</v>
      </c>
      <c r="BK33" s="28" cm="1">
        <f t="array" ref="BK33">_xlfn.IFNA(INDEX(Table14[Ávöxtun],MATCH(1,(BK$2=Table14[Column1])*($X33=Table14[Year]),0)),"")</f>
        <v>0.09</v>
      </c>
      <c r="BL33" s="28" cm="1">
        <f t="array" ref="BL33">_xlfn.IFNA(INDEX(Table14[Ávöxtun],MATCH(1,(BL$2=Table14[Column1])*($X33=Table14[Year]),0)),"")</f>
        <v>0.08</v>
      </c>
      <c r="BM33" s="28" cm="1">
        <f t="array" ref="BM33">_xlfn.IFNA(INDEX(Table14[Ávöxtun],MATCH(1,(BM$2=Table14[Column1])*($X33=Table14[Year]),0)),"")</f>
        <v>7.0000000000000007E-2</v>
      </c>
      <c r="BN33" s="28" t="str" cm="1">
        <f t="array" ref="BN33">_xlfn.IFNA(INDEX(Table14[Ávöxtun],MATCH(1,(BN$2=Table14[Column1])*($X33=Table14[Year]),0)),"")</f>
        <v/>
      </c>
      <c r="BO33" s="28" t="str" cm="1">
        <f t="array" ref="BO33">_xlfn.IFNA(INDEX(Table14[Ávöxtun],MATCH(1,(BO$2=Table14[Column1])*($X33=Table14[Year]),0)),"")</f>
        <v/>
      </c>
      <c r="BP33" s="28" cm="1">
        <f t="array" ref="BP33">_xlfn.IFNA(INDEX(Table14[Ávöxtun],MATCH(1,(BP$2=Table14[Column1])*($X33=Table14[Year]),0)),"")</f>
        <v>0.08</v>
      </c>
      <c r="BQ33" s="28" cm="1">
        <f t="array" ref="BQ33">_xlfn.IFNA(INDEX(Table14[Ávöxtun],MATCH(1,(BQ$2=Table14[Column1])*($X33=Table14[Year]),0)),"")</f>
        <v>0.1</v>
      </c>
      <c r="BR33" s="28" cm="1">
        <f t="array" ref="BR33">_xlfn.IFNA(INDEX(Table14[Ávöxtun],MATCH(1,(BR$2=Table14[Column1])*($X33=Table14[Year]),0)),"")</f>
        <v>7.0000000000000007E-2</v>
      </c>
      <c r="BS33" s="28" cm="1">
        <f t="array" ref="BS33">_xlfn.IFNA(INDEX(Table14[Ávöxtun],MATCH(1,(BS$2=Table14[Column1])*($X33=Table14[Year]),0)),"")</f>
        <v>0.06</v>
      </c>
      <c r="BT33" s="28" t="str" cm="1">
        <f t="array" ref="BT33">_xlfn.IFNA(INDEX(Table14[Ávöxtun],MATCH(1,(BT$2=Table14[Column1])*($X33=Table14[Year]),0)),"")</f>
        <v/>
      </c>
      <c r="BU33" s="28" cm="1">
        <f t="array" ref="BU33">_xlfn.IFNA(INDEX(Table14[Ávöxtun],MATCH(1,(BU$2=Table14[Column1])*($X33=Table14[Year]),0)),"")</f>
        <v>0.1</v>
      </c>
      <c r="BV33" s="28" cm="1">
        <f t="array" ref="BV33">_xlfn.IFNA(INDEX(Table14[Ávöxtun],MATCH(1,(BV$2=Table14[Column1])*($X33=Table14[Year]),0)),"")</f>
        <v>0.09</v>
      </c>
      <c r="BW33" s="28" t="str" cm="1">
        <f t="array" ref="BW33">_xlfn.IFNA(INDEX(Table14[Ávöxtun],MATCH(1,(BW$2=Table14[Column1])*($X33=Table14[Year]),0)),"")</f>
        <v/>
      </c>
      <c r="BX33" s="28" cm="1">
        <f t="array" ref="BX33">_xlfn.IFNA(INDEX(Table14[Ávöxtun],MATCH(1,(BX$2=Table14[Column1])*($X33=Table14[Year]),0)),"")</f>
        <v>0.06</v>
      </c>
      <c r="BY33" s="28" cm="1">
        <f t="array" ref="BY33">_xlfn.IFNA(INDEX(Table14[Ávöxtun],MATCH(1,(BY$2=Table14[Column1])*($X33=Table14[Year]),0)),"")</f>
        <v>0.09</v>
      </c>
      <c r="BZ33" s="28" cm="1">
        <f t="array" ref="BZ33">_xlfn.IFNA(INDEX(Table14[Ávöxtun],MATCH(1,(BZ$2=Table14[Column1])*($X33=Table14[Year]),0)),"")</f>
        <v>0.16</v>
      </c>
      <c r="CA33" s="28" t="str" cm="1">
        <f t="array" ref="CA33">_xlfn.IFNA(INDEX(Table14[Ávöxtun],MATCH(1,(CA$2=Table14[Column1])*($X33=Table14[Year]),0)),"")</f>
        <v/>
      </c>
      <c r="CB33" s="28" cm="1">
        <f t="array" ref="CB33">_xlfn.IFNA(INDEX(Table14[Ávöxtun],MATCH(1,(CB$2=Table14[Column1])*($X33=Table14[Year]),0)),"")</f>
        <v>0.05</v>
      </c>
      <c r="CC33" s="28" cm="1">
        <f t="array" ref="CC33">_xlfn.IFNA(INDEX(Table14[Ávöxtun],MATCH(1,(CC$2=Table14[Column1])*($X33=Table14[Year]),0)),"")</f>
        <v>0.12</v>
      </c>
      <c r="CD33" s="28" cm="1">
        <f t="array" ref="CD33">_xlfn.IFNA(INDEX(Table14[Ávöxtun],MATCH(1,(CD$2=Table14[Column1])*($X33=Table14[Year]),0)),"")</f>
        <v>0.06</v>
      </c>
      <c r="CE33" s="28" cm="1">
        <f t="array" ref="CE33">_xlfn.IFNA(INDEX(Table14[Ávöxtun],MATCH(1,(CE$2=Table14[Column1])*($X33=Table14[Year]),0)),"")</f>
        <v>0.09</v>
      </c>
      <c r="CF33" s="28" cm="1">
        <f t="array" ref="CF33">_xlfn.IFNA(INDEX(Table14[Ávöxtun],MATCH(1,(CF$2=Table14[Column1])*($X33=Table14[Year]),0)),"")</f>
        <v>0.14000000000000001</v>
      </c>
      <c r="CG33" s="28" cm="1">
        <f t="array" ref="CG33">_xlfn.IFNA(INDEX(Table14[Ávöxtun],MATCH(1,(CG$2=Table14[Column1])*($X33=Table14[Year]),0)),"")</f>
        <v>0.08</v>
      </c>
      <c r="CH33" s="28" cm="1">
        <f t="array" ref="CH33">_xlfn.IFNA(INDEX(Table14[Ávöxtun],MATCH(1,(CH$2=Table14[Column1])*($X33=Table14[Year]),0)),"")</f>
        <v>0.04</v>
      </c>
      <c r="CI33" s="28" cm="1">
        <f t="array" ref="CI33">_xlfn.IFNA(INDEX(Table14[Ávöxtun],MATCH(1,(CI$2=Table14[Column1])*($X33=Table14[Year]),0)),"")</f>
        <v>0.08</v>
      </c>
      <c r="CJ33" s="28" cm="1">
        <f t="array" ref="CJ33">_xlfn.IFNA(INDEX(Table14[Ávöxtun],MATCH(1,(CJ$2=Table14[Column1])*($X33=Table14[Year]),0)),"")</f>
        <v>0</v>
      </c>
      <c r="CK33" s="28" cm="1">
        <f t="array" ref="CK33">_xlfn.IFNA(INDEX(Table14[Ávöxtun],MATCH(1,(CK$2=Table14[Column1])*($X33=Table14[Year]),0)),"")</f>
        <v>0.06</v>
      </c>
      <c r="CL33" s="28" cm="1">
        <f t="array" ref="CL33">_xlfn.IFNA(INDEX(Table14[Ávöxtun],MATCH(1,(CL$2=Table14[Column1])*($X33=Table14[Year]),0)),"")</f>
        <v>0.09</v>
      </c>
      <c r="CM33" s="28" t="str" cm="1">
        <f t="array" ref="CM33">_xlfn.IFNA(INDEX(Table14[Ávöxtun],MATCH(1,(CM$2=Table14[Column1])*($X33=Table14[Year]),0)),"")</f>
        <v/>
      </c>
      <c r="CN33" s="28" cm="1">
        <f t="array" ref="CN33">_xlfn.IFNA(INDEX(Table14[Ávöxtun],MATCH(1,(CN$2=Table14[Column1])*($X33=Table14[Year]),0)),"")</f>
        <v>0.12</v>
      </c>
      <c r="CO33" s="28" cm="1">
        <f t="array" ref="CO33">_xlfn.IFNA(INDEX(Table14[Ávöxtun],MATCH(1,(CO$2=Table14[Column1])*($X33=Table14[Year]),0)),"")</f>
        <v>0.05</v>
      </c>
      <c r="CP33" s="28" t="str" cm="1">
        <f t="array" ref="CP33">_xlfn.IFNA(INDEX(Table14[Ávöxtun],MATCH(1,(CP$2=Table14[Column1])*($X33=Table14[Year]),0)),"")</f>
        <v/>
      </c>
      <c r="CQ33" s="28" cm="1">
        <f t="array" ref="CQ33">_xlfn.IFNA(INDEX(Table14[Ávöxtun],MATCH(1,(CQ$2=Table14[Column1])*($X33=Table14[Year]),0)),"")</f>
        <v>0.22</v>
      </c>
      <c r="CR33" s="28" cm="1">
        <f t="array" ref="CR33">_xlfn.IFNA(INDEX(Table14[Ávöxtun],MATCH(1,(CR$2=Table14[Column1])*($X33=Table14[Year]),0)),"")</f>
        <v>0.12</v>
      </c>
      <c r="CS33" s="28" cm="1">
        <f t="array" ref="CS33">_xlfn.IFNA(INDEX(Table14[Ávöxtun],MATCH(1,(CS$2=Table14[Column1])*($X33=Table14[Year]),0)),"")</f>
        <v>0.14000000000000001</v>
      </c>
      <c r="CT33" s="28" cm="1">
        <f t="array" ref="CT33">_xlfn.IFNA(INDEX(Table14[Ávöxtun],MATCH(1,(CT$2=Table14[Column1])*($X33=Table14[Year]),0)),"")</f>
        <v>0.13</v>
      </c>
      <c r="CU33" s="28" cm="1">
        <f t="array" ref="CU33">_xlfn.IFNA(INDEX(Table14[Ávöxtun],MATCH(1,(CU$2=Table14[Column1])*($X33=Table14[Year]),0)),"")</f>
        <v>0.16</v>
      </c>
      <c r="CV33" s="28" cm="1">
        <f t="array" ref="CV33">_xlfn.IFNA(INDEX(Table14[Ávöxtun],MATCH(1,(CV$2=Table14[Column1])*($X33=Table14[Year]),0)),"")</f>
        <v>0.15</v>
      </c>
      <c r="CW33" s="28" cm="1">
        <f t="array" ref="CW33">_xlfn.IFNA(INDEX(Table14[Ávöxtun],MATCH(1,(CW$2=Table14[Column1])*($X33=Table14[Year]),0)),"")</f>
        <v>0.14000000000000001</v>
      </c>
      <c r="CX33" s="28" t="str" cm="1">
        <f t="array" ref="CX33">_xlfn.IFNA(INDEX(Table14[Ávöxtun],MATCH(1,(CX$2=Table14[Column1])*($X33=Table14[Year]),0)),"")</f>
        <v/>
      </c>
      <c r="CY33" s="28" t="str" cm="1">
        <f t="array" ref="CY33">_xlfn.IFNA(INDEX(Table14[Ávöxtun],MATCH(1,(CY$2=Table14[Column1])*($X33=Table14[Year]),0)),"")</f>
        <v/>
      </c>
      <c r="CZ33" s="28" cm="1">
        <f t="array" ref="CZ33">_xlfn.IFNA(INDEX(Table14[Ávöxtun],MATCH(1,(CZ$2=Table14[Column1])*($X33=Table14[Year]),0)),"")</f>
        <v>0.18</v>
      </c>
      <c r="DA33" s="28" cm="1">
        <f t="array" ref="DA33">_xlfn.IFNA(INDEX(Table14[Ávöxtun],MATCH(1,(DA$2=Table14[Column1])*($X33=Table14[Year]),0)),"")</f>
        <v>0.13</v>
      </c>
      <c r="DB33" s="28" cm="1">
        <f t="array" ref="DB33">_xlfn.IFNA(INDEX(Table14[Ávöxtun],MATCH(1,(DB$2=Table14[Column1])*($X33=Table14[Year]),0)),"")</f>
        <v>0.22</v>
      </c>
      <c r="DC33" s="28" cm="1">
        <f t="array" ref="DC33">_xlfn.IFNA(INDEX(Table14[Ávöxtun],MATCH(1,(DC$2=Table14[Column1])*($X33=Table14[Year]),0)),"")</f>
        <v>0.1</v>
      </c>
      <c r="DD33" s="28" t="str" cm="1">
        <f t="array" ref="DD33">_xlfn.IFNA(INDEX(Table14[Ávöxtun],MATCH(1,(DD$2=Table14[Column1])*($X33=Table14[Year]),0)),"")</f>
        <v/>
      </c>
      <c r="DE33" s="28" t="str" cm="1">
        <f t="array" ref="DE33">_xlfn.IFNA(INDEX(Table14[Ávöxtun],MATCH(1,(DE$2=Table14[Column1])*($X33=Table14[Year]),0)),"")</f>
        <v/>
      </c>
      <c r="DF33" s="28" cm="1">
        <f t="array" ref="DF33">_xlfn.IFNA(INDEX(Table14[Ávöxtun],MATCH(1,(DF$2=Table14[Column1])*($X33=Table14[Year]),0)),"")</f>
        <v>0.05</v>
      </c>
    </row>
    <row r="34" spans="1:110">
      <c r="A34" t="s">
        <v>59</v>
      </c>
      <c r="B34">
        <v>2019</v>
      </c>
      <c r="C34" s="16">
        <v>0.22600000000000001</v>
      </c>
      <c r="D34" s="1">
        <v>249497222.91999999</v>
      </c>
      <c r="E34" s="29">
        <f>Table14[[#This Row],[Ávöxtun]]*Table14[[#This Row],[Eignir]]/SUMIFS(Table14[Eignir],Table14[Year],Table14[[#This Row],[Year]])</f>
        <v>1.2737274121234154E-2</v>
      </c>
      <c r="F34" s="23" t="e">
        <f>IF(B34=1997, 100, IF(COUNTIF(A$1:A33,A34)=0, "NEW", F33*(1+Table14[[#This Row],[Ávöxtun]])))</f>
        <v>#VALUE!</v>
      </c>
      <c r="G34" s="18" t="str" cm="1">
        <f t="array" ref="G34">IFERROR(_xlfn.IFS(ISNUMBER(Table14[[#This Row],[Column3]]),Table14[[#This Row],[Column3]],Table14[[#This Row],[Column3]]="NEW",Table14[[#This Row],[Column3]]),"")</f>
        <v/>
      </c>
      <c r="H34" s="15" cm="1">
        <f t="array" ref="H34">_xlfn.IFS(Table14[[#This Row],[Column4]]="NEW",AVERAGEIFS(Table14[Column4],Table14[Year],Table14[[#This Row],[Year]]),ISNUMBER(Table14[[#This Row],[Column4]]),Table14[[#This Row],[Column4]],Table14[[#This Row],[Column4]]="",H33*(1+Table14[[#This Row],[Ávöxtun]]))</f>
        <v>312.23075712224875</v>
      </c>
      <c r="I34" cm="1">
        <f t="array" ref="I34">_xlfn.IFS(Table14[[#This Row],[Column4]]="NEW",_xlfn.XLOOKUP(Table14[[#This Row],[Year]],$M$2:$M$27,$O$2:$O$27),ISNUMBER(Table14[[#This Row],[Column4]]),Table14[[#This Row],[Column4]],Table14[[#This Row],[Column4]]="",I33*(1+Table14[[#This Row],[Ávöxtun]]))</f>
        <v>346.23856968652314</v>
      </c>
      <c r="L34" s="33">
        <v>346.23856968652314</v>
      </c>
      <c r="X34">
        <v>2000</v>
      </c>
      <c r="Y34" s="28">
        <f t="shared" si="2"/>
        <v>2.3923047182192736E-3</v>
      </c>
      <c r="Z34" s="28" t="str" cm="1">
        <f t="array" ref="Z34">_xlfn.IFNA(INDEX(Table14[Ávöxtun],MATCH(1,(Z$2=Table14[Column1])*($X34=Table14[Year]),0)),"")</f>
        <v/>
      </c>
      <c r="AA34" s="28" cm="1">
        <f t="array" ref="AA34">_xlfn.IFNA(INDEX(Table14[Ávöxtun],MATCH(1,(AA$2=Table14[Column1])*($X34=Table14[Year]),0)),"")</f>
        <v>-0.03</v>
      </c>
      <c r="AB34" s="28" t="str" cm="1">
        <f t="array" ref="AB34">_xlfn.IFNA(INDEX(Table14[Ávöxtun],MATCH(1,(AB$2=Table14[Column1])*($X34=Table14[Year]),0)),"")</f>
        <v/>
      </c>
      <c r="AC34" s="28" t="str" cm="1">
        <f t="array" ref="AC34">_xlfn.IFNA(INDEX(Table14[Ávöxtun],MATCH(1,(AC$2=Table14[Column1])*($X34=Table14[Year]),0)),"")</f>
        <v/>
      </c>
      <c r="AD34" s="28" t="str" cm="1">
        <f t="array" ref="AD34">_xlfn.IFNA(INDEX(Table14[Ávöxtun],MATCH(1,(AD$2=Table14[Column1])*($X34=Table14[Year]),0)),"")</f>
        <v/>
      </c>
      <c r="AE34" s="28" t="str" cm="1">
        <f t="array" ref="AE34">_xlfn.IFNA(INDEX(Table14[Ávöxtun],MATCH(1,(AE$2=Table14[Column1])*($X34=Table14[Year]),0)),"")</f>
        <v/>
      </c>
      <c r="AF34" s="28" t="str" cm="1">
        <f t="array" ref="AF34">_xlfn.IFNA(INDEX(Table14[Ávöxtun],MATCH(1,(AF$2=Table14[Column1])*($X34=Table14[Year]),0)),"")</f>
        <v/>
      </c>
      <c r="AG34" s="28" cm="1">
        <f t="array" ref="AG34">_xlfn.IFNA(INDEX(Table14[Ávöxtun],MATCH(1,(AG$2=Table14[Column1])*($X34=Table14[Year]),0)),"")</f>
        <v>-0.02</v>
      </c>
      <c r="AH34" s="28" cm="1">
        <f t="array" ref="AH34">_xlfn.IFNA(INDEX(Table14[Ávöxtun],MATCH(1,(AH$2=Table14[Column1])*($X34=Table14[Year]),0)),"")</f>
        <v>-0.03</v>
      </c>
      <c r="AI34" s="28" t="str" cm="1">
        <f t="array" ref="AI34">_xlfn.IFNA(INDEX(Table14[Ávöxtun],MATCH(1,(AI$2=Table14[Column1])*($X34=Table14[Year]),0)),"")</f>
        <v/>
      </c>
      <c r="AJ34" s="28" cm="1">
        <f t="array" ref="AJ34">_xlfn.IFNA(INDEX(Table14[Ávöxtun],MATCH(1,(AJ$2=Table14[Column1])*($X34=Table14[Year]),0)),"")</f>
        <v>-0.1</v>
      </c>
      <c r="AK34" s="28" cm="1">
        <f t="array" ref="AK34">_xlfn.IFNA(INDEX(Table14[Ávöxtun],MATCH(1,(AK$2=Table14[Column1])*($X34=Table14[Year]),0)),"")</f>
        <v>0.03</v>
      </c>
      <c r="AL34" s="28" cm="1">
        <f t="array" ref="AL34">_xlfn.IFNA(INDEX(Table14[Ávöxtun],MATCH(1,(AL$2=Table14[Column1])*($X34=Table14[Year]),0)),"")</f>
        <v>0.03</v>
      </c>
      <c r="AM34" s="28" cm="1">
        <f t="array" ref="AM34">_xlfn.IFNA(INDEX(Table14[Ávöxtun],MATCH(1,(AM$2=Table14[Column1])*($X34=Table14[Year]),0)),"")</f>
        <v>0</v>
      </c>
      <c r="AN34" s="28" cm="1">
        <f t="array" ref="AN34">_xlfn.IFNA(INDEX(Table14[Ávöxtun],MATCH(1,(AN$2=Table14[Column1])*($X34=Table14[Year]),0)),"")</f>
        <v>-0.06</v>
      </c>
      <c r="AO34" s="28" cm="1">
        <f t="array" ref="AO34">_xlfn.IFNA(INDEX(Table14[Ávöxtun],MATCH(1,(AO$2=Table14[Column1])*($X34=Table14[Year]),0)),"")</f>
        <v>0.02</v>
      </c>
      <c r="AP34" s="28" t="str" cm="1">
        <f t="array" ref="AP34">_xlfn.IFNA(INDEX(Table14[Ávöxtun],MATCH(1,(AP$2=Table14[Column1])*($X34=Table14[Year]),0)),"")</f>
        <v/>
      </c>
      <c r="AQ34" s="28" cm="1">
        <f t="array" ref="AQ34">_xlfn.IFNA(INDEX(Table14[Ávöxtun],MATCH(1,(AQ$2=Table14[Column1])*($X34=Table14[Year]),0)),"")</f>
        <v>-0.01</v>
      </c>
      <c r="AR34" s="28" t="str" cm="1">
        <f t="array" ref="AR34">_xlfn.IFNA(INDEX(Table14[Ávöxtun],MATCH(1,(AR$2=Table14[Column1])*($X34=Table14[Year]),0)),"")</f>
        <v/>
      </c>
      <c r="AS34" s="28" t="str" cm="1">
        <f t="array" ref="AS34">_xlfn.IFNA(INDEX(Table14[Ávöxtun],MATCH(1,(AS$2=Table14[Column1])*($X34=Table14[Year]),0)),"")</f>
        <v/>
      </c>
      <c r="AT34" s="28" cm="1">
        <f t="array" ref="AT34">_xlfn.IFNA(INDEX(Table14[Ávöxtun],MATCH(1,(AT$2=Table14[Column1])*($X34=Table14[Year]),0)),"")</f>
        <v>-0.05</v>
      </c>
      <c r="AU34" s="28" t="str" cm="1">
        <f t="array" ref="AU34">_xlfn.IFNA(INDEX(Table14[Ávöxtun],MATCH(1,(AU$2=Table14[Column1])*($X34=Table14[Year]),0)),"")</f>
        <v/>
      </c>
      <c r="AV34" s="28" t="str" cm="1">
        <f t="array" ref="AV34">_xlfn.IFNA(INDEX(Table14[Ávöxtun],MATCH(1,(AV$2=Table14[Column1])*($X34=Table14[Year]),0)),"")</f>
        <v/>
      </c>
      <c r="AW34" s="28" t="str" cm="1">
        <f t="array" ref="AW34">_xlfn.IFNA(INDEX(Table14[Ávöxtun],MATCH(1,(AW$2=Table14[Column1])*($X34=Table14[Year]),0)),"")</f>
        <v/>
      </c>
      <c r="AX34" s="28" cm="1">
        <f t="array" ref="AX34">_xlfn.IFNA(INDEX(Table14[Ávöxtun],MATCH(1,(AX$2=Table14[Column1])*($X34=Table14[Year]),0)),"")</f>
        <v>-0.04</v>
      </c>
      <c r="AY34" s="28" cm="1">
        <f t="array" ref="AY34">_xlfn.IFNA(INDEX(Table14[Ávöxtun],MATCH(1,(AY$2=Table14[Column1])*($X34=Table14[Year]),0)),"")</f>
        <v>-0.02</v>
      </c>
      <c r="AZ34" s="28" cm="1">
        <f t="array" ref="AZ34">_xlfn.IFNA(INDEX(Table14[Ávöxtun],MATCH(1,(AZ$2=Table14[Column1])*($X34=Table14[Year]),0)),"")</f>
        <v>7.0000000000000007E-2</v>
      </c>
      <c r="BA34" s="28" cm="1">
        <f t="array" ref="BA34">_xlfn.IFNA(INDEX(Table14[Ávöxtun],MATCH(1,(BA$2=Table14[Column1])*($X34=Table14[Year]),0)),"")</f>
        <v>-7.0000000000000007E-2</v>
      </c>
      <c r="BB34" s="28" cm="1">
        <f t="array" ref="BB34">_xlfn.IFNA(INDEX(Table14[Ávöxtun],MATCH(1,(BB$2=Table14[Column1])*($X34=Table14[Year]),0)),"")</f>
        <v>0.04</v>
      </c>
      <c r="BC34" s="28" cm="1">
        <f t="array" ref="BC34">_xlfn.IFNA(INDEX(Table14[Ávöxtun],MATCH(1,(BC$2=Table14[Column1])*($X34=Table14[Year]),0)),"")</f>
        <v>0.06</v>
      </c>
      <c r="BD34" s="28" cm="1">
        <f t="array" ref="BD34">_xlfn.IFNA(INDEX(Table14[Ávöxtun],MATCH(1,(BD$2=Table14[Column1])*($X34=Table14[Year]),0)),"")</f>
        <v>-0.06</v>
      </c>
      <c r="BE34" s="28" cm="1">
        <f t="array" ref="BE34">_xlfn.IFNA(INDEX(Table14[Ávöxtun],MATCH(1,(BE$2=Table14[Column1])*($X34=Table14[Year]),0)),"")</f>
        <v>-0.16</v>
      </c>
      <c r="BF34" s="28" t="str" cm="1">
        <f t="array" ref="BF34">_xlfn.IFNA(INDEX(Table14[Ávöxtun],MATCH(1,(BF$2=Table14[Column1])*($X34=Table14[Year]),0)),"")</f>
        <v/>
      </c>
      <c r="BG34" s="28" cm="1">
        <f t="array" ref="BG34">_xlfn.IFNA(INDEX(Table14[Ávöxtun],MATCH(1,(BG$2=Table14[Column1])*($X34=Table14[Year]),0)),"")</f>
        <v>0</v>
      </c>
      <c r="BH34" s="28" cm="1">
        <f t="array" ref="BH34">_xlfn.IFNA(INDEX(Table14[Ávöxtun],MATCH(1,(BH$2=Table14[Column1])*($X34=Table14[Year]),0)),"")</f>
        <v>0.03</v>
      </c>
      <c r="BI34" s="28" cm="1">
        <f t="array" ref="BI34">_xlfn.IFNA(INDEX(Table14[Ávöxtun],MATCH(1,(BI$2=Table14[Column1])*($X34=Table14[Year]),0)),"")</f>
        <v>-0.03</v>
      </c>
      <c r="BJ34" s="28" cm="1">
        <f t="array" ref="BJ34">_xlfn.IFNA(INDEX(Table14[Ávöxtun],MATCH(1,(BJ$2=Table14[Column1])*($X34=Table14[Year]),0)),"")</f>
        <v>0.03</v>
      </c>
      <c r="BK34" s="28" cm="1">
        <f t="array" ref="BK34">_xlfn.IFNA(INDEX(Table14[Ávöxtun],MATCH(1,(BK$2=Table14[Column1])*($X34=Table14[Year]),0)),"")</f>
        <v>-0.04</v>
      </c>
      <c r="BL34" s="28" cm="1">
        <f t="array" ref="BL34">_xlfn.IFNA(INDEX(Table14[Ávöxtun],MATCH(1,(BL$2=Table14[Column1])*($X34=Table14[Year]),0)),"")</f>
        <v>0.04</v>
      </c>
      <c r="BM34" s="28" cm="1">
        <f t="array" ref="BM34">_xlfn.IFNA(INDEX(Table14[Ávöxtun],MATCH(1,(BM$2=Table14[Column1])*($X34=Table14[Year]),0)),"")</f>
        <v>0.03</v>
      </c>
      <c r="BN34" s="28" t="str" cm="1">
        <f t="array" ref="BN34">_xlfn.IFNA(INDEX(Table14[Ávöxtun],MATCH(1,(BN$2=Table14[Column1])*($X34=Table14[Year]),0)),"")</f>
        <v/>
      </c>
      <c r="BO34" s="28" t="str" cm="1">
        <f t="array" ref="BO34">_xlfn.IFNA(INDEX(Table14[Ávöxtun],MATCH(1,(BO$2=Table14[Column1])*($X34=Table14[Year]),0)),"")</f>
        <v/>
      </c>
      <c r="BP34" s="28" cm="1">
        <f t="array" ref="BP34">_xlfn.IFNA(INDEX(Table14[Ávöxtun],MATCH(1,(BP$2=Table14[Column1])*($X34=Table14[Year]),0)),"")</f>
        <v>-0.04</v>
      </c>
      <c r="BQ34" s="28" cm="1">
        <f t="array" ref="BQ34">_xlfn.IFNA(INDEX(Table14[Ávöxtun],MATCH(1,(BQ$2=Table14[Column1])*($X34=Table14[Year]),0)),"")</f>
        <v>-0.02</v>
      </c>
      <c r="BR34" s="28" cm="1">
        <f t="array" ref="BR34">_xlfn.IFNA(INDEX(Table14[Ávöxtun],MATCH(1,(BR$2=Table14[Column1])*($X34=Table14[Year]),0)),"")</f>
        <v>-0.08</v>
      </c>
      <c r="BS34" s="28" t="str" cm="1">
        <f t="array" ref="BS34">_xlfn.IFNA(INDEX(Table14[Ávöxtun],MATCH(1,(BS$2=Table14[Column1])*($X34=Table14[Year]),0)),"")</f>
        <v/>
      </c>
      <c r="BT34" s="28" t="str" cm="1">
        <f t="array" ref="BT34">_xlfn.IFNA(INDEX(Table14[Ávöxtun],MATCH(1,(BT$2=Table14[Column1])*($X34=Table14[Year]),0)),"")</f>
        <v/>
      </c>
      <c r="BU34" s="28" cm="1">
        <f t="array" ref="BU34">_xlfn.IFNA(INDEX(Table14[Ávöxtun],MATCH(1,(BU$2=Table14[Column1])*($X34=Table14[Year]),0)),"")</f>
        <v>0.02</v>
      </c>
      <c r="BV34" s="28" cm="1">
        <f t="array" ref="BV34">_xlfn.IFNA(INDEX(Table14[Ávöxtun],MATCH(1,(BV$2=Table14[Column1])*($X34=Table14[Year]),0)),"")</f>
        <v>0.01</v>
      </c>
      <c r="BW34" s="28" t="str" cm="1">
        <f t="array" ref="BW34">_xlfn.IFNA(INDEX(Table14[Ávöxtun],MATCH(1,(BW$2=Table14[Column1])*($X34=Table14[Year]),0)),"")</f>
        <v/>
      </c>
      <c r="BX34" s="28" t="str" cm="1">
        <f t="array" ref="BX34">_xlfn.IFNA(INDEX(Table14[Ávöxtun],MATCH(1,(BX$2=Table14[Column1])*($X34=Table14[Year]),0)),"")</f>
        <v/>
      </c>
      <c r="BY34" s="28" cm="1">
        <f t="array" ref="BY34">_xlfn.IFNA(INDEX(Table14[Ávöxtun],MATCH(1,(BY$2=Table14[Column1])*($X34=Table14[Year]),0)),"")</f>
        <v>0.03</v>
      </c>
      <c r="BZ34" s="28" cm="1">
        <f t="array" ref="BZ34">_xlfn.IFNA(INDEX(Table14[Ávöxtun],MATCH(1,(BZ$2=Table14[Column1])*($X34=Table14[Year]),0)),"")</f>
        <v>-0.03</v>
      </c>
      <c r="CA34" s="28" t="str" cm="1">
        <f t="array" ref="CA34">_xlfn.IFNA(INDEX(Table14[Ávöxtun],MATCH(1,(CA$2=Table14[Column1])*($X34=Table14[Year]),0)),"")</f>
        <v/>
      </c>
      <c r="CB34" s="28" cm="1">
        <f t="array" ref="CB34">_xlfn.IFNA(INDEX(Table14[Ávöxtun],MATCH(1,(CB$2=Table14[Column1])*($X34=Table14[Year]),0)),"")</f>
        <v>0.03</v>
      </c>
      <c r="CC34" s="28" cm="1">
        <f t="array" ref="CC34">_xlfn.IFNA(INDEX(Table14[Ávöxtun],MATCH(1,(CC$2=Table14[Column1])*($X34=Table14[Year]),0)),"")</f>
        <v>-0.01</v>
      </c>
      <c r="CD34" s="28" t="str" cm="1">
        <f t="array" ref="CD34">_xlfn.IFNA(INDEX(Table14[Ávöxtun],MATCH(1,(CD$2=Table14[Column1])*($X34=Table14[Year]),0)),"")</f>
        <v/>
      </c>
      <c r="CE34" s="28" cm="1">
        <f t="array" ref="CE34">_xlfn.IFNA(INDEX(Table14[Ávöxtun],MATCH(1,(CE$2=Table14[Column1])*($X34=Table14[Year]),0)),"")</f>
        <v>0.03</v>
      </c>
      <c r="CF34" s="28" cm="1">
        <f t="array" ref="CF34">_xlfn.IFNA(INDEX(Table14[Ávöxtun],MATCH(1,(CF$2=Table14[Column1])*($X34=Table14[Year]),0)),"")</f>
        <v>-0.01</v>
      </c>
      <c r="CG34" s="28" cm="1">
        <f t="array" ref="CG34">_xlfn.IFNA(INDEX(Table14[Ávöxtun],MATCH(1,(CG$2=Table14[Column1])*($X34=Table14[Year]),0)),"")</f>
        <v>0.02</v>
      </c>
      <c r="CH34" s="28" cm="1">
        <f t="array" ref="CH34">_xlfn.IFNA(INDEX(Table14[Ávöxtun],MATCH(1,(CH$2=Table14[Column1])*($X34=Table14[Year]),0)),"")</f>
        <v>0</v>
      </c>
      <c r="CI34" s="28" cm="1">
        <f t="array" ref="CI34">_xlfn.IFNA(INDEX(Table14[Ávöxtun],MATCH(1,(CI$2=Table14[Column1])*($X34=Table14[Year]),0)),"")</f>
        <v>7.0000000000000007E-2</v>
      </c>
      <c r="CJ34" s="28" cm="1">
        <f t="array" ref="CJ34">_xlfn.IFNA(INDEX(Table14[Ávöxtun],MATCH(1,(CJ$2=Table14[Column1])*($X34=Table14[Year]),0)),"")</f>
        <v>-0.28999999999999998</v>
      </c>
      <c r="CK34" s="28" cm="1">
        <f t="array" ref="CK34">_xlfn.IFNA(INDEX(Table14[Ávöxtun],MATCH(1,(CK$2=Table14[Column1])*($X34=Table14[Year]),0)),"")</f>
        <v>0</v>
      </c>
      <c r="CL34" s="28" cm="1">
        <f t="array" ref="CL34">_xlfn.IFNA(INDEX(Table14[Ávöxtun],MATCH(1,(CL$2=Table14[Column1])*($X34=Table14[Year]),0)),"")</f>
        <v>-0.04</v>
      </c>
      <c r="CM34" s="28" t="str" cm="1">
        <f t="array" ref="CM34">_xlfn.IFNA(INDEX(Table14[Ávöxtun],MATCH(1,(CM$2=Table14[Column1])*($X34=Table14[Year]),0)),"")</f>
        <v/>
      </c>
      <c r="CN34" s="28" cm="1">
        <f t="array" ref="CN34">_xlfn.IFNA(INDEX(Table14[Ávöxtun],MATCH(1,(CN$2=Table14[Column1])*($X34=Table14[Year]),0)),"")</f>
        <v>-0.09</v>
      </c>
      <c r="CO34" s="28" t="str" cm="1">
        <f t="array" ref="CO34">_xlfn.IFNA(INDEX(Table14[Ávöxtun],MATCH(1,(CO$2=Table14[Column1])*($X34=Table14[Year]),0)),"")</f>
        <v/>
      </c>
      <c r="CP34" s="28" t="str" cm="1">
        <f t="array" ref="CP34">_xlfn.IFNA(INDEX(Table14[Ávöxtun],MATCH(1,(CP$2=Table14[Column1])*($X34=Table14[Year]),0)),"")</f>
        <v/>
      </c>
      <c r="CQ34" s="28" cm="1">
        <f t="array" ref="CQ34">_xlfn.IFNA(INDEX(Table14[Ávöxtun],MATCH(1,(CQ$2=Table14[Column1])*($X34=Table14[Year]),0)),"")</f>
        <v>-0.08</v>
      </c>
      <c r="CR34" s="28" cm="1">
        <f t="array" ref="CR34">_xlfn.IFNA(INDEX(Table14[Ávöxtun],MATCH(1,(CR$2=Table14[Column1])*($X34=Table14[Year]),0)),"")</f>
        <v>0.01</v>
      </c>
      <c r="CS34" s="28" cm="1">
        <f t="array" ref="CS34">_xlfn.IFNA(INDEX(Table14[Ávöxtun],MATCH(1,(CS$2=Table14[Column1])*($X34=Table14[Year]),0)),"")</f>
        <v>-0.05</v>
      </c>
      <c r="CT34" s="28" cm="1">
        <f t="array" ref="CT34">_xlfn.IFNA(INDEX(Table14[Ávöxtun],MATCH(1,(CT$2=Table14[Column1])*($X34=Table14[Year]),0)),"")</f>
        <v>0</v>
      </c>
      <c r="CU34" s="28" cm="1">
        <f t="array" ref="CU34">_xlfn.IFNA(INDEX(Table14[Ávöxtun],MATCH(1,(CU$2=Table14[Column1])*($X34=Table14[Year]),0)),"")</f>
        <v>-0.03</v>
      </c>
      <c r="CV34" s="28" cm="1">
        <f t="array" ref="CV34">_xlfn.IFNA(INDEX(Table14[Ávöxtun],MATCH(1,(CV$2=Table14[Column1])*($X34=Table14[Year]),0)),"")</f>
        <v>-0.01</v>
      </c>
      <c r="CW34" s="28" cm="1">
        <f t="array" ref="CW34">_xlfn.IFNA(INDEX(Table14[Ávöxtun],MATCH(1,(CW$2=Table14[Column1])*($X34=Table14[Year]),0)),"")</f>
        <v>0</v>
      </c>
      <c r="CX34" s="28" t="str" cm="1">
        <f t="array" ref="CX34">_xlfn.IFNA(INDEX(Table14[Ávöxtun],MATCH(1,(CX$2=Table14[Column1])*($X34=Table14[Year]),0)),"")</f>
        <v/>
      </c>
      <c r="CY34" s="28" t="str" cm="1">
        <f t="array" ref="CY34">_xlfn.IFNA(INDEX(Table14[Ávöxtun],MATCH(1,(CY$2=Table14[Column1])*($X34=Table14[Year]),0)),"")</f>
        <v/>
      </c>
      <c r="CZ34" s="28" cm="1">
        <f t="array" ref="CZ34">_xlfn.IFNA(INDEX(Table14[Ávöxtun],MATCH(1,(CZ$2=Table14[Column1])*($X34=Table14[Year]),0)),"")</f>
        <v>0</v>
      </c>
      <c r="DA34" s="28" cm="1">
        <f t="array" ref="DA34">_xlfn.IFNA(INDEX(Table14[Ávöxtun],MATCH(1,(DA$2=Table14[Column1])*($X34=Table14[Year]),0)),"")</f>
        <v>0.02</v>
      </c>
      <c r="DB34" s="28" cm="1">
        <f t="array" ref="DB34">_xlfn.IFNA(INDEX(Table14[Ávöxtun],MATCH(1,(DB$2=Table14[Column1])*($X34=Table14[Year]),0)),"")</f>
        <v>-0.09</v>
      </c>
      <c r="DC34" s="28" cm="1">
        <f t="array" ref="DC34">_xlfn.IFNA(INDEX(Table14[Ávöxtun],MATCH(1,(DC$2=Table14[Column1])*($X34=Table14[Year]),0)),"")</f>
        <v>0.02</v>
      </c>
      <c r="DD34" s="28" t="str" cm="1">
        <f t="array" ref="DD34">_xlfn.IFNA(INDEX(Table14[Ávöxtun],MATCH(1,(DD$2=Table14[Column1])*($X34=Table14[Year]),0)),"")</f>
        <v/>
      </c>
      <c r="DE34" s="28" t="str" cm="1">
        <f t="array" ref="DE34">_xlfn.IFNA(INDEX(Table14[Ávöxtun],MATCH(1,(DE$2=Table14[Column1])*($X34=Table14[Year]),0)),"")</f>
        <v/>
      </c>
      <c r="DF34" s="28" cm="1">
        <f t="array" ref="DF34">_xlfn.IFNA(INDEX(Table14[Ávöxtun],MATCH(1,(DF$2=Table14[Column1])*($X34=Table14[Year]),0)),"")</f>
        <v>0.05</v>
      </c>
    </row>
    <row r="35" spans="1:110">
      <c r="A35" t="s">
        <v>59</v>
      </c>
      <c r="B35">
        <v>2020</v>
      </c>
      <c r="C35" s="16">
        <v>0.20800000000000002</v>
      </c>
      <c r="D35" s="1">
        <v>289890993.74000001</v>
      </c>
      <c r="E35" s="29">
        <f>Table14[[#This Row],[Ávöxtun]]*Table14[[#This Row],[Eignir]]/SUMIFS(Table14[Eignir],Table14[Year],Table14[[#This Row],[Year]])</f>
        <v>1.173873123762569E-2</v>
      </c>
      <c r="F35" s="23" t="e">
        <f>IF(B35=1997, 100, IF(COUNTIF(A$1:A34,A35)=0, "NEW", F34*(1+Table14[[#This Row],[Ávöxtun]])))</f>
        <v>#VALUE!</v>
      </c>
      <c r="G35" s="18" t="str" cm="1">
        <f t="array" ref="G35">IFERROR(_xlfn.IFS(ISNUMBER(Table14[[#This Row],[Column3]]),Table14[[#This Row],[Column3]],Table14[[#This Row],[Column3]]="NEW",Table14[[#This Row],[Column3]]),"")</f>
        <v/>
      </c>
      <c r="H35" s="15" cm="1">
        <f t="array" ref="H35">_xlfn.IFS(Table14[[#This Row],[Column4]]="NEW",AVERAGEIFS(Table14[Column4],Table14[Year],Table14[[#This Row],[Year]]),ISNUMBER(Table14[[#This Row],[Column4]]),Table14[[#This Row],[Column4]],Table14[[#This Row],[Column4]]="",H34*(1+Table14[[#This Row],[Ávöxtun]]))</f>
        <v>377.17475460367649</v>
      </c>
      <c r="I35" cm="1">
        <f t="array" ref="I35">_xlfn.IFS(Table14[[#This Row],[Column4]]="NEW",_xlfn.XLOOKUP(Table14[[#This Row],[Year]],$M$2:$M$27,$O$2:$O$27),ISNUMBER(Table14[[#This Row],[Column4]]),Table14[[#This Row],[Column4]],Table14[[#This Row],[Column4]]="",I34*(1+Table14[[#This Row],[Ávöxtun]]))</f>
        <v>418.25619218131993</v>
      </c>
      <c r="L35" s="33">
        <v>418.25619218131993</v>
      </c>
      <c r="X35">
        <v>2001</v>
      </c>
      <c r="Y35" s="28">
        <f t="shared" si="2"/>
        <v>-2.7250195392976684E-2</v>
      </c>
      <c r="Z35" s="28" t="str" cm="1">
        <f t="array" ref="Z35">_xlfn.IFNA(INDEX(Table14[Ávöxtun],MATCH(1,(Z$2=Table14[Column1])*($X35=Table14[Year]),0)),"")</f>
        <v/>
      </c>
      <c r="AA35" s="28" cm="1">
        <f t="array" ref="AA35">_xlfn.IFNA(INDEX(Table14[Ávöxtun],MATCH(1,(AA$2=Table14[Column1])*($X35=Table14[Year]),0)),"")</f>
        <v>0</v>
      </c>
      <c r="AB35" s="28" t="str" cm="1">
        <f t="array" ref="AB35">_xlfn.IFNA(INDEX(Table14[Ávöxtun],MATCH(1,(AB$2=Table14[Column1])*($X35=Table14[Year]),0)),"")</f>
        <v/>
      </c>
      <c r="AC35" s="28" t="str" cm="1">
        <f t="array" ref="AC35">_xlfn.IFNA(INDEX(Table14[Ávöxtun],MATCH(1,(AC$2=Table14[Column1])*($X35=Table14[Year]),0)),"")</f>
        <v/>
      </c>
      <c r="AD35" s="28" t="str" cm="1">
        <f t="array" ref="AD35">_xlfn.IFNA(INDEX(Table14[Ávöxtun],MATCH(1,(AD$2=Table14[Column1])*($X35=Table14[Year]),0)),"")</f>
        <v/>
      </c>
      <c r="AE35" s="28" t="str" cm="1">
        <f t="array" ref="AE35">_xlfn.IFNA(INDEX(Table14[Ávöxtun],MATCH(1,(AE$2=Table14[Column1])*($X35=Table14[Year]),0)),"")</f>
        <v/>
      </c>
      <c r="AF35" s="28" t="str" cm="1">
        <f t="array" ref="AF35">_xlfn.IFNA(INDEX(Table14[Ávöxtun],MATCH(1,(AF$2=Table14[Column1])*($X35=Table14[Year]),0)),"")</f>
        <v/>
      </c>
      <c r="AG35" s="28" cm="1">
        <f t="array" ref="AG35">_xlfn.IFNA(INDEX(Table14[Ávöxtun],MATCH(1,(AG$2=Table14[Column1])*($X35=Table14[Year]),0)),"")</f>
        <v>-0.08</v>
      </c>
      <c r="AH35" s="28" cm="1">
        <f t="array" ref="AH35">_xlfn.IFNA(INDEX(Table14[Ávöxtun],MATCH(1,(AH$2=Table14[Column1])*($X35=Table14[Year]),0)),"")</f>
        <v>-0.01</v>
      </c>
      <c r="AI35" s="28" t="str" cm="1">
        <f t="array" ref="AI35">_xlfn.IFNA(INDEX(Table14[Ávöxtun],MATCH(1,(AI$2=Table14[Column1])*($X35=Table14[Year]),0)),"")</f>
        <v/>
      </c>
      <c r="AJ35" s="28" cm="1">
        <f t="array" ref="AJ35">_xlfn.IFNA(INDEX(Table14[Ávöxtun],MATCH(1,(AJ$2=Table14[Column1])*($X35=Table14[Year]),0)),"")</f>
        <v>0.02</v>
      </c>
      <c r="AK35" s="28" cm="1">
        <f t="array" ref="AK35">_xlfn.IFNA(INDEX(Table14[Ávöxtun],MATCH(1,(AK$2=Table14[Column1])*($X35=Table14[Year]),0)),"")</f>
        <v>0.04</v>
      </c>
      <c r="AL35" s="28" cm="1">
        <f t="array" ref="AL35">_xlfn.IFNA(INDEX(Table14[Ávöxtun],MATCH(1,(AL$2=Table14[Column1])*($X35=Table14[Year]),0)),"")</f>
        <v>7.0000000000000007E-2</v>
      </c>
      <c r="AM35" s="28" cm="1">
        <f t="array" ref="AM35">_xlfn.IFNA(INDEX(Table14[Ávöxtun],MATCH(1,(AM$2=Table14[Column1])*($X35=Table14[Year]),0)),"")</f>
        <v>-0.02</v>
      </c>
      <c r="AN35" s="28" cm="1">
        <f t="array" ref="AN35">_xlfn.IFNA(INDEX(Table14[Ávöxtun],MATCH(1,(AN$2=Table14[Column1])*($X35=Table14[Year]),0)),"")</f>
        <v>-7.0000000000000007E-2</v>
      </c>
      <c r="AO35" s="28" cm="1">
        <f t="array" ref="AO35">_xlfn.IFNA(INDEX(Table14[Ávöxtun],MATCH(1,(AO$2=Table14[Column1])*($X35=Table14[Year]),0)),"")</f>
        <v>0</v>
      </c>
      <c r="AP35" s="28" t="str" cm="1">
        <f t="array" ref="AP35">_xlfn.IFNA(INDEX(Table14[Ávöxtun],MATCH(1,(AP$2=Table14[Column1])*($X35=Table14[Year]),0)),"")</f>
        <v/>
      </c>
      <c r="AQ35" s="28" cm="1">
        <f t="array" ref="AQ35">_xlfn.IFNA(INDEX(Table14[Ávöxtun],MATCH(1,(AQ$2=Table14[Column1])*($X35=Table14[Year]),0)),"")</f>
        <v>-0.05</v>
      </c>
      <c r="AR35" s="28" t="str" cm="1">
        <f t="array" ref="AR35">_xlfn.IFNA(INDEX(Table14[Ávöxtun],MATCH(1,(AR$2=Table14[Column1])*($X35=Table14[Year]),0)),"")</f>
        <v/>
      </c>
      <c r="AS35" s="28" t="str" cm="1">
        <f t="array" ref="AS35">_xlfn.IFNA(INDEX(Table14[Ávöxtun],MATCH(1,(AS$2=Table14[Column1])*($X35=Table14[Year]),0)),"")</f>
        <v/>
      </c>
      <c r="AT35" s="28" cm="1">
        <f t="array" ref="AT35">_xlfn.IFNA(INDEX(Table14[Ávöxtun],MATCH(1,(AT$2=Table14[Column1])*($X35=Table14[Year]),0)),"")</f>
        <v>-0.05</v>
      </c>
      <c r="AU35" s="28" t="str" cm="1">
        <f t="array" ref="AU35">_xlfn.IFNA(INDEX(Table14[Ávöxtun],MATCH(1,(AU$2=Table14[Column1])*($X35=Table14[Year]),0)),"")</f>
        <v/>
      </c>
      <c r="AV35" s="28" t="str" cm="1">
        <f t="array" ref="AV35">_xlfn.IFNA(INDEX(Table14[Ávöxtun],MATCH(1,(AV$2=Table14[Column1])*($X35=Table14[Year]),0)),"")</f>
        <v/>
      </c>
      <c r="AW35" s="28" t="str" cm="1">
        <f t="array" ref="AW35">_xlfn.IFNA(INDEX(Table14[Ávöxtun],MATCH(1,(AW$2=Table14[Column1])*($X35=Table14[Year]),0)),"")</f>
        <v/>
      </c>
      <c r="AX35" s="28" cm="1">
        <f t="array" ref="AX35">_xlfn.IFNA(INDEX(Table14[Ávöxtun],MATCH(1,(AX$2=Table14[Column1])*($X35=Table14[Year]),0)),"")</f>
        <v>-0.03</v>
      </c>
      <c r="AY35" s="28" cm="1">
        <f t="array" ref="AY35">_xlfn.IFNA(INDEX(Table14[Ávöxtun],MATCH(1,(AY$2=Table14[Column1])*($X35=Table14[Year]),0)),"")</f>
        <v>-0.06</v>
      </c>
      <c r="AZ35" s="28" cm="1">
        <f t="array" ref="AZ35">_xlfn.IFNA(INDEX(Table14[Ávöxtun],MATCH(1,(AZ$2=Table14[Column1])*($X35=Table14[Year]),0)),"")</f>
        <v>0.06</v>
      </c>
      <c r="BA35" s="28" cm="1">
        <f t="array" ref="BA35">_xlfn.IFNA(INDEX(Table14[Ávöxtun],MATCH(1,(BA$2=Table14[Column1])*($X35=Table14[Year]),0)),"")</f>
        <v>-0.08</v>
      </c>
      <c r="BB35" s="28" cm="1">
        <f t="array" ref="BB35">_xlfn.IFNA(INDEX(Table14[Ávöxtun],MATCH(1,(BB$2=Table14[Column1])*($X35=Table14[Year]),0)),"")</f>
        <v>-0.23</v>
      </c>
      <c r="BC35" s="28" cm="1">
        <f t="array" ref="BC35">_xlfn.IFNA(INDEX(Table14[Ávöxtun],MATCH(1,(BC$2=Table14[Column1])*($X35=Table14[Year]),0)),"")</f>
        <v>0.04</v>
      </c>
      <c r="BD35" s="28" cm="1">
        <f t="array" ref="BD35">_xlfn.IFNA(INDEX(Table14[Ávöxtun],MATCH(1,(BD$2=Table14[Column1])*($X35=Table14[Year]),0)),"")</f>
        <v>-0.04</v>
      </c>
      <c r="BE35" s="28" cm="1">
        <f t="array" ref="BE35">_xlfn.IFNA(INDEX(Table14[Ávöxtun],MATCH(1,(BE$2=Table14[Column1])*($X35=Table14[Year]),0)),"")</f>
        <v>-0.03</v>
      </c>
      <c r="BF35" s="28" t="str" cm="1">
        <f t="array" ref="BF35">_xlfn.IFNA(INDEX(Table14[Ávöxtun],MATCH(1,(BF$2=Table14[Column1])*($X35=Table14[Year]),0)),"")</f>
        <v/>
      </c>
      <c r="BG35" s="28" cm="1">
        <f t="array" ref="BG35">_xlfn.IFNA(INDEX(Table14[Ávöxtun],MATCH(1,(BG$2=Table14[Column1])*($X35=Table14[Year]),0)),"")</f>
        <v>0.03</v>
      </c>
      <c r="BH35" s="28" cm="1">
        <f t="array" ref="BH35">_xlfn.IFNA(INDEX(Table14[Ávöxtun],MATCH(1,(BH$2=Table14[Column1])*($X35=Table14[Year]),0)),"")</f>
        <v>0.04</v>
      </c>
      <c r="BI35" s="28" cm="1">
        <f t="array" ref="BI35">_xlfn.IFNA(INDEX(Table14[Ávöxtun],MATCH(1,(BI$2=Table14[Column1])*($X35=Table14[Year]),0)),"")</f>
        <v>0.06</v>
      </c>
      <c r="BJ35" s="28" cm="1">
        <f t="array" ref="BJ35">_xlfn.IFNA(INDEX(Table14[Ávöxtun],MATCH(1,(BJ$2=Table14[Column1])*($X35=Table14[Year]),0)),"")</f>
        <v>-0.02</v>
      </c>
      <c r="BK35" s="28" cm="1">
        <f t="array" ref="BK35">_xlfn.IFNA(INDEX(Table14[Ávöxtun],MATCH(1,(BK$2=Table14[Column1])*($X35=Table14[Year]),0)),"")</f>
        <v>0</v>
      </c>
      <c r="BL35" s="28" t="str" cm="1">
        <f t="array" ref="BL35">_xlfn.IFNA(INDEX(Table14[Ávöxtun],MATCH(1,(BL$2=Table14[Column1])*($X35=Table14[Year]),0)),"")</f>
        <v/>
      </c>
      <c r="BM35" s="28" t="str" cm="1">
        <f t="array" ref="BM35">_xlfn.IFNA(INDEX(Table14[Ávöxtun],MATCH(1,(BM$2=Table14[Column1])*($X35=Table14[Year]),0)),"")</f>
        <v/>
      </c>
      <c r="BN35" s="28" t="str" cm="1">
        <f t="array" ref="BN35">_xlfn.IFNA(INDEX(Table14[Ávöxtun],MATCH(1,(BN$2=Table14[Column1])*($X35=Table14[Year]),0)),"")</f>
        <v/>
      </c>
      <c r="BO35" s="28" t="str" cm="1">
        <f t="array" ref="BO35">_xlfn.IFNA(INDEX(Table14[Ávöxtun],MATCH(1,(BO$2=Table14[Column1])*($X35=Table14[Year]),0)),"")</f>
        <v/>
      </c>
      <c r="BP35" s="28" cm="1">
        <f t="array" ref="BP35">_xlfn.IFNA(INDEX(Table14[Ávöxtun],MATCH(1,(BP$2=Table14[Column1])*($X35=Table14[Year]),0)),"")</f>
        <v>-0.1</v>
      </c>
      <c r="BQ35" s="28" cm="1">
        <f t="array" ref="BQ35">_xlfn.IFNA(INDEX(Table14[Ávöxtun],MATCH(1,(BQ$2=Table14[Column1])*($X35=Table14[Year]),0)),"")</f>
        <v>-0.03</v>
      </c>
      <c r="BR35" s="28" cm="1">
        <f t="array" ref="BR35">_xlfn.IFNA(INDEX(Table14[Ávöxtun],MATCH(1,(BR$2=Table14[Column1])*($X35=Table14[Year]),0)),"")</f>
        <v>0</v>
      </c>
      <c r="BS35" s="28" t="str" cm="1">
        <f t="array" ref="BS35">_xlfn.IFNA(INDEX(Table14[Ávöxtun],MATCH(1,(BS$2=Table14[Column1])*($X35=Table14[Year]),0)),"")</f>
        <v/>
      </c>
      <c r="BT35" s="28" t="str" cm="1">
        <f t="array" ref="BT35">_xlfn.IFNA(INDEX(Table14[Ávöxtun],MATCH(1,(BT$2=Table14[Column1])*($X35=Table14[Year]),0)),"")</f>
        <v/>
      </c>
      <c r="BU35" s="28" cm="1">
        <f t="array" ref="BU35">_xlfn.IFNA(INDEX(Table14[Ávöxtun],MATCH(1,(BU$2=Table14[Column1])*($X35=Table14[Year]),0)),"")</f>
        <v>0.01</v>
      </c>
      <c r="BV35" s="28" cm="1">
        <f t="array" ref="BV35">_xlfn.IFNA(INDEX(Table14[Ávöxtun],MATCH(1,(BV$2=Table14[Column1])*($X35=Table14[Year]),0)),"")</f>
        <v>-0.01</v>
      </c>
      <c r="BW35" s="28" t="str" cm="1">
        <f t="array" ref="BW35">_xlfn.IFNA(INDEX(Table14[Ávöxtun],MATCH(1,(BW$2=Table14[Column1])*($X35=Table14[Year]),0)),"")</f>
        <v/>
      </c>
      <c r="BX35" s="28" t="str" cm="1">
        <f t="array" ref="BX35">_xlfn.IFNA(INDEX(Table14[Ávöxtun],MATCH(1,(BX$2=Table14[Column1])*($X35=Table14[Year]),0)),"")</f>
        <v/>
      </c>
      <c r="BY35" s="28" cm="1">
        <f t="array" ref="BY35">_xlfn.IFNA(INDEX(Table14[Ávöxtun],MATCH(1,(BY$2=Table14[Column1])*($X35=Table14[Year]),0)),"")</f>
        <v>0.03</v>
      </c>
      <c r="BZ35" s="28" cm="1">
        <f t="array" ref="BZ35">_xlfn.IFNA(INDEX(Table14[Ávöxtun],MATCH(1,(BZ$2=Table14[Column1])*($X35=Table14[Year]),0)),"")</f>
        <v>-0.04</v>
      </c>
      <c r="CA35" s="28" t="str" cm="1">
        <f t="array" ref="CA35">_xlfn.IFNA(INDEX(Table14[Ávöxtun],MATCH(1,(CA$2=Table14[Column1])*($X35=Table14[Year]),0)),"")</f>
        <v/>
      </c>
      <c r="CB35" s="28" cm="1">
        <f t="array" ref="CB35">_xlfn.IFNA(INDEX(Table14[Ávöxtun],MATCH(1,(CB$2=Table14[Column1])*($X35=Table14[Year]),0)),"")</f>
        <v>0.04</v>
      </c>
      <c r="CC35" s="28" cm="1">
        <f t="array" ref="CC35">_xlfn.IFNA(INDEX(Table14[Ávöxtun],MATCH(1,(CC$2=Table14[Column1])*($X35=Table14[Year]),0)),"")</f>
        <v>-0.03</v>
      </c>
      <c r="CD35" s="28" t="str" cm="1">
        <f t="array" ref="CD35">_xlfn.IFNA(INDEX(Table14[Ávöxtun],MATCH(1,(CD$2=Table14[Column1])*($X35=Table14[Year]),0)),"")</f>
        <v/>
      </c>
      <c r="CE35" s="28" cm="1">
        <f t="array" ref="CE35">_xlfn.IFNA(INDEX(Table14[Ávöxtun],MATCH(1,(CE$2=Table14[Column1])*($X35=Table14[Year]),0)),"")</f>
        <v>0</v>
      </c>
      <c r="CF35" s="28" cm="1">
        <f t="array" ref="CF35">_xlfn.IFNA(INDEX(Table14[Ávöxtun],MATCH(1,(CF$2=Table14[Column1])*($X35=Table14[Year]),0)),"")</f>
        <v>-0.02</v>
      </c>
      <c r="CG35" s="28" cm="1">
        <f t="array" ref="CG35">_xlfn.IFNA(INDEX(Table14[Ávöxtun],MATCH(1,(CG$2=Table14[Column1])*($X35=Table14[Year]),0)),"")</f>
        <v>0.01</v>
      </c>
      <c r="CH35" s="28" cm="1">
        <f t="array" ref="CH35">_xlfn.IFNA(INDEX(Table14[Ávöxtun],MATCH(1,(CH$2=Table14[Column1])*($X35=Table14[Year]),0)),"")</f>
        <v>0.01</v>
      </c>
      <c r="CI35" s="28" cm="1">
        <f t="array" ref="CI35">_xlfn.IFNA(INDEX(Table14[Ávöxtun],MATCH(1,(CI$2=Table14[Column1])*($X35=Table14[Year]),0)),"")</f>
        <v>0.01</v>
      </c>
      <c r="CJ35" s="28" cm="1">
        <f t="array" ref="CJ35">_xlfn.IFNA(INDEX(Table14[Ávöxtun],MATCH(1,(CJ$2=Table14[Column1])*($X35=Table14[Year]),0)),"")</f>
        <v>-0.12</v>
      </c>
      <c r="CK35" s="28" cm="1">
        <f t="array" ref="CK35">_xlfn.IFNA(INDEX(Table14[Ávöxtun],MATCH(1,(CK$2=Table14[Column1])*($X35=Table14[Year]),0)),"")</f>
        <v>0.02</v>
      </c>
      <c r="CL35" s="28" cm="1">
        <f t="array" ref="CL35">_xlfn.IFNA(INDEX(Table14[Ávöxtun],MATCH(1,(CL$2=Table14[Column1])*($X35=Table14[Year]),0)),"")</f>
        <v>-0.05</v>
      </c>
      <c r="CM35" s="28" t="str" cm="1">
        <f t="array" ref="CM35">_xlfn.IFNA(INDEX(Table14[Ávöxtun],MATCH(1,(CM$2=Table14[Column1])*($X35=Table14[Year]),0)),"")</f>
        <v/>
      </c>
      <c r="CN35" s="28" cm="1">
        <f t="array" ref="CN35">_xlfn.IFNA(INDEX(Table14[Ávöxtun],MATCH(1,(CN$2=Table14[Column1])*($X35=Table14[Year]),0)),"")</f>
        <v>-0.05</v>
      </c>
      <c r="CO35" s="28" t="str" cm="1">
        <f t="array" ref="CO35">_xlfn.IFNA(INDEX(Table14[Ávöxtun],MATCH(1,(CO$2=Table14[Column1])*($X35=Table14[Year]),0)),"")</f>
        <v/>
      </c>
      <c r="CP35" s="28" t="str" cm="1">
        <f t="array" ref="CP35">_xlfn.IFNA(INDEX(Table14[Ávöxtun],MATCH(1,(CP$2=Table14[Column1])*($X35=Table14[Year]),0)),"")</f>
        <v/>
      </c>
      <c r="CQ35" s="28" cm="1">
        <f t="array" ref="CQ35">_xlfn.IFNA(INDEX(Table14[Ávöxtun],MATCH(1,(CQ$2=Table14[Column1])*($X35=Table14[Year]),0)),"")</f>
        <v>-0.1</v>
      </c>
      <c r="CR35" s="28" cm="1">
        <f t="array" ref="CR35">_xlfn.IFNA(INDEX(Table14[Ávöxtun],MATCH(1,(CR$2=Table14[Column1])*($X35=Table14[Year]),0)),"")</f>
        <v>-0.02</v>
      </c>
      <c r="CS35" s="28" cm="1">
        <f t="array" ref="CS35">_xlfn.IFNA(INDEX(Table14[Ávöxtun],MATCH(1,(CS$2=Table14[Column1])*($X35=Table14[Year]),0)),"")</f>
        <v>-0.08</v>
      </c>
      <c r="CT35" s="28" cm="1">
        <f t="array" ref="CT35">_xlfn.IFNA(INDEX(Table14[Ávöxtun],MATCH(1,(CT$2=Table14[Column1])*($X35=Table14[Year]),0)),"")</f>
        <v>-0.04</v>
      </c>
      <c r="CU35" s="28" cm="1">
        <f t="array" ref="CU35">_xlfn.IFNA(INDEX(Table14[Ávöxtun],MATCH(1,(CU$2=Table14[Column1])*($X35=Table14[Year]),0)),"")</f>
        <v>-0.03</v>
      </c>
      <c r="CV35" s="28" cm="1">
        <f t="array" ref="CV35">_xlfn.IFNA(INDEX(Table14[Ávöxtun],MATCH(1,(CV$2=Table14[Column1])*($X35=Table14[Year]),0)),"")</f>
        <v>-0.05</v>
      </c>
      <c r="CW35" s="28" cm="1">
        <f t="array" ref="CW35">_xlfn.IFNA(INDEX(Table14[Ávöxtun],MATCH(1,(CW$2=Table14[Column1])*($X35=Table14[Year]),0)),"")</f>
        <v>-0.1</v>
      </c>
      <c r="CX35" s="28" t="str" cm="1">
        <f t="array" ref="CX35">_xlfn.IFNA(INDEX(Table14[Ávöxtun],MATCH(1,(CX$2=Table14[Column1])*($X35=Table14[Year]),0)),"")</f>
        <v/>
      </c>
      <c r="CY35" s="28" t="str" cm="1">
        <f t="array" ref="CY35">_xlfn.IFNA(INDEX(Table14[Ávöxtun],MATCH(1,(CY$2=Table14[Column1])*($X35=Table14[Year]),0)),"")</f>
        <v/>
      </c>
      <c r="CZ35" s="28" cm="1">
        <f t="array" ref="CZ35">_xlfn.IFNA(INDEX(Table14[Ávöxtun],MATCH(1,(CZ$2=Table14[Column1])*($X35=Table14[Year]),0)),"")</f>
        <v>-0.06</v>
      </c>
      <c r="DA35" s="28" cm="1">
        <f t="array" ref="DA35">_xlfn.IFNA(INDEX(Table14[Ávöxtun],MATCH(1,(DA$2=Table14[Column1])*($X35=Table14[Year]),0)),"")</f>
        <v>0</v>
      </c>
      <c r="DB35" s="28" cm="1">
        <f t="array" ref="DB35">_xlfn.IFNA(INDEX(Table14[Ávöxtun],MATCH(1,(DB$2=Table14[Column1])*($X35=Table14[Year]),0)),"")</f>
        <v>0</v>
      </c>
      <c r="DC35" s="28" cm="1">
        <f t="array" ref="DC35">_xlfn.IFNA(INDEX(Table14[Ávöxtun],MATCH(1,(DC$2=Table14[Column1])*($X35=Table14[Year]),0)),"")</f>
        <v>0.02</v>
      </c>
      <c r="DD35" s="28" t="str" cm="1">
        <f t="array" ref="DD35">_xlfn.IFNA(INDEX(Table14[Ávöxtun],MATCH(1,(DD$2=Table14[Column1])*($X35=Table14[Year]),0)),"")</f>
        <v/>
      </c>
      <c r="DE35" s="28" t="str" cm="1">
        <f t="array" ref="DE35">_xlfn.IFNA(INDEX(Table14[Ávöxtun],MATCH(1,(DE$2=Table14[Column1])*($X35=Table14[Year]),0)),"")</f>
        <v/>
      </c>
      <c r="DF35" s="28" cm="1">
        <f t="array" ref="DF35">_xlfn.IFNA(INDEX(Table14[Ávöxtun],MATCH(1,(DF$2=Table14[Column1])*($X35=Table14[Year]),0)),"")</f>
        <v>0</v>
      </c>
    </row>
    <row r="36" spans="1:110">
      <c r="A36" t="s">
        <v>59</v>
      </c>
      <c r="B36">
        <v>2021</v>
      </c>
      <c r="C36" s="16">
        <v>0.249</v>
      </c>
      <c r="D36" s="1">
        <v>342407199.69999999</v>
      </c>
      <c r="E36" s="29">
        <f>Table14[[#This Row],[Ávöxtun]]*Table14[[#This Row],[Eignir]]/SUMIFS(Table14[Eignir],Table14[Year],Table14[[#This Row],[Year]])</f>
        <v>1.4116966300081767E-2</v>
      </c>
      <c r="F36" s="23" t="e">
        <f>IF(B36=1997, 100, IF(COUNTIF(A$1:A35,A36)=0, "NEW", F35*(1+Table14[[#This Row],[Ávöxtun]])))</f>
        <v>#VALUE!</v>
      </c>
      <c r="G36" s="18" t="str" cm="1">
        <f t="array" ref="G36">IFERROR(_xlfn.IFS(ISNUMBER(Table14[[#This Row],[Column3]]),Table14[[#This Row],[Column3]],Table14[[#This Row],[Column3]]="NEW",Table14[[#This Row],[Column3]]),"")</f>
        <v/>
      </c>
      <c r="H36" s="15" cm="1">
        <f t="array" ref="H36">_xlfn.IFS(Table14[[#This Row],[Column4]]="NEW",AVERAGEIFS(Table14[Column4],Table14[Year],Table14[[#This Row],[Year]]),ISNUMBER(Table14[[#This Row],[Column4]]),Table14[[#This Row],[Column4]],Table14[[#This Row],[Column4]]="",H35*(1+Table14[[#This Row],[Ávöxtun]]))</f>
        <v>471.091268499992</v>
      </c>
      <c r="I36" cm="1">
        <f t="array" ref="I36">_xlfn.IFS(Table14[[#This Row],[Column4]]="NEW",_xlfn.XLOOKUP(Table14[[#This Row],[Year]],$M$2:$M$27,$O$2:$O$27),ISNUMBER(Table14[[#This Row],[Column4]]),Table14[[#This Row],[Column4]],Table14[[#This Row],[Column4]]="",I35*(1+Table14[[#This Row],[Ávöxtun]]))</f>
        <v>522.40198403446868</v>
      </c>
      <c r="L36" s="33">
        <v>522.40198403446868</v>
      </c>
      <c r="X36">
        <v>2002</v>
      </c>
      <c r="Y36" s="28">
        <f t="shared" si="2"/>
        <v>-1.3712975398049054E-2</v>
      </c>
      <c r="Z36" s="28" t="str" cm="1">
        <f t="array" ref="Z36">_xlfn.IFNA(INDEX(Table14[Ávöxtun],MATCH(1,(Z$2=Table14[Column1])*($X36=Table14[Year]),0)),"")</f>
        <v/>
      </c>
      <c r="AA36" s="28" cm="1">
        <f t="array" ref="AA36">_xlfn.IFNA(INDEX(Table14[Ávöxtun],MATCH(1,(AA$2=Table14[Column1])*($X36=Table14[Year]),0)),"")</f>
        <v>-7.0000000000000007E-2</v>
      </c>
      <c r="AB36" s="28" t="str" cm="1">
        <f t="array" ref="AB36">_xlfn.IFNA(INDEX(Table14[Ávöxtun],MATCH(1,(AB$2=Table14[Column1])*($X36=Table14[Year]),0)),"")</f>
        <v/>
      </c>
      <c r="AC36" s="28" t="str" cm="1">
        <f t="array" ref="AC36">_xlfn.IFNA(INDEX(Table14[Ávöxtun],MATCH(1,(AC$2=Table14[Column1])*($X36=Table14[Year]),0)),"")</f>
        <v/>
      </c>
      <c r="AD36" s="28" t="str" cm="1">
        <f t="array" ref="AD36">_xlfn.IFNA(INDEX(Table14[Ávöxtun],MATCH(1,(AD$2=Table14[Column1])*($X36=Table14[Year]),0)),"")</f>
        <v/>
      </c>
      <c r="AE36" s="28" t="str" cm="1">
        <f t="array" ref="AE36">_xlfn.IFNA(INDEX(Table14[Ávöxtun],MATCH(1,(AE$2=Table14[Column1])*($X36=Table14[Year]),0)),"")</f>
        <v/>
      </c>
      <c r="AF36" s="28" t="str" cm="1">
        <f t="array" ref="AF36">_xlfn.IFNA(INDEX(Table14[Ávöxtun],MATCH(1,(AF$2=Table14[Column1])*($X36=Table14[Year]),0)),"")</f>
        <v/>
      </c>
      <c r="AG36" s="28" cm="1">
        <f t="array" ref="AG36">_xlfn.IFNA(INDEX(Table14[Ávöxtun],MATCH(1,(AG$2=Table14[Column1])*($X36=Table14[Year]),0)),"")</f>
        <v>0.03</v>
      </c>
      <c r="AH36" s="28" cm="1">
        <f t="array" ref="AH36">_xlfn.IFNA(INDEX(Table14[Ávöxtun],MATCH(1,(AH$2=Table14[Column1])*($X36=Table14[Year]),0)),"")</f>
        <v>-0.03</v>
      </c>
      <c r="AI36" s="28" t="str" cm="1">
        <f t="array" ref="AI36">_xlfn.IFNA(INDEX(Table14[Ávöxtun],MATCH(1,(AI$2=Table14[Column1])*($X36=Table14[Year]),0)),"")</f>
        <v/>
      </c>
      <c r="AJ36" s="28" cm="1">
        <f t="array" ref="AJ36">_xlfn.IFNA(INDEX(Table14[Ávöxtun],MATCH(1,(AJ$2=Table14[Column1])*($X36=Table14[Year]),0)),"")</f>
        <v>-0.02</v>
      </c>
      <c r="AK36" s="28" cm="1">
        <f t="array" ref="AK36">_xlfn.IFNA(INDEX(Table14[Ávöxtun],MATCH(1,(AK$2=Table14[Column1])*($X36=Table14[Year]),0)),"")</f>
        <v>0.06</v>
      </c>
      <c r="AL36" s="28" cm="1">
        <f t="array" ref="AL36">_xlfn.IFNA(INDEX(Table14[Ávöxtun],MATCH(1,(AL$2=Table14[Column1])*($X36=Table14[Year]),0)),"")</f>
        <v>-0.04</v>
      </c>
      <c r="AM36" s="28" cm="1">
        <f t="array" ref="AM36">_xlfn.IFNA(INDEX(Table14[Ávöxtun],MATCH(1,(AM$2=Table14[Column1])*($X36=Table14[Year]),0)),"")</f>
        <v>-0.04</v>
      </c>
      <c r="AN36" s="28" cm="1">
        <f t="array" ref="AN36">_xlfn.IFNA(INDEX(Table14[Ávöxtun],MATCH(1,(AN$2=Table14[Column1])*($X36=Table14[Year]),0)),"")</f>
        <v>-0.03</v>
      </c>
      <c r="AO36" s="28" cm="1">
        <f t="array" ref="AO36">_xlfn.IFNA(INDEX(Table14[Ávöxtun],MATCH(1,(AO$2=Table14[Column1])*($X36=Table14[Year]),0)),"")</f>
        <v>0.02</v>
      </c>
      <c r="AP36" s="28" t="str" cm="1">
        <f t="array" ref="AP36">_xlfn.IFNA(INDEX(Table14[Ávöxtun],MATCH(1,(AP$2=Table14[Column1])*($X36=Table14[Year]),0)),"")</f>
        <v/>
      </c>
      <c r="AQ36" s="28" cm="1">
        <f t="array" ref="AQ36">_xlfn.IFNA(INDEX(Table14[Ávöxtun],MATCH(1,(AQ$2=Table14[Column1])*($X36=Table14[Year]),0)),"")</f>
        <v>-0.09</v>
      </c>
      <c r="AR36" s="28" t="str" cm="1">
        <f t="array" ref="AR36">_xlfn.IFNA(INDEX(Table14[Ávöxtun],MATCH(1,(AR$2=Table14[Column1])*($X36=Table14[Year]),0)),"")</f>
        <v/>
      </c>
      <c r="AS36" s="28" t="str" cm="1">
        <f t="array" ref="AS36">_xlfn.IFNA(INDEX(Table14[Ávöxtun],MATCH(1,(AS$2=Table14[Column1])*($X36=Table14[Year]),0)),"")</f>
        <v/>
      </c>
      <c r="AT36" s="28" cm="1">
        <f t="array" ref="AT36">_xlfn.IFNA(INDEX(Table14[Ávöxtun],MATCH(1,(AT$2=Table14[Column1])*($X36=Table14[Year]),0)),"")</f>
        <v>-0.02</v>
      </c>
      <c r="AU36" s="28" t="str" cm="1">
        <f t="array" ref="AU36">_xlfn.IFNA(INDEX(Table14[Ávöxtun],MATCH(1,(AU$2=Table14[Column1])*($X36=Table14[Year]),0)),"")</f>
        <v/>
      </c>
      <c r="AV36" s="28" t="str" cm="1">
        <f t="array" ref="AV36">_xlfn.IFNA(INDEX(Table14[Ávöxtun],MATCH(1,(AV$2=Table14[Column1])*($X36=Table14[Year]),0)),"")</f>
        <v/>
      </c>
      <c r="AW36" s="28" t="str" cm="1">
        <f t="array" ref="AW36">_xlfn.IFNA(INDEX(Table14[Ávöxtun],MATCH(1,(AW$2=Table14[Column1])*($X36=Table14[Year]),0)),"")</f>
        <v/>
      </c>
      <c r="AX36" s="28" cm="1">
        <f t="array" ref="AX36">_xlfn.IFNA(INDEX(Table14[Ávöxtun],MATCH(1,(AX$2=Table14[Column1])*($X36=Table14[Year]),0)),"")</f>
        <v>-0.04</v>
      </c>
      <c r="AY36" s="28" cm="1">
        <f t="array" ref="AY36">_xlfn.IFNA(INDEX(Table14[Ávöxtun],MATCH(1,(AY$2=Table14[Column1])*($X36=Table14[Year]),0)),"")</f>
        <v>-0.05</v>
      </c>
      <c r="AZ36" s="28" cm="1">
        <f t="array" ref="AZ36">_xlfn.IFNA(INDEX(Table14[Ávöxtun],MATCH(1,(AZ$2=Table14[Column1])*($X36=Table14[Year]),0)),"")</f>
        <v>7.0000000000000007E-2</v>
      </c>
      <c r="BA36" s="28" t="str" cm="1">
        <f t="array" ref="BA36">_xlfn.IFNA(INDEX(Table14[Ávöxtun],MATCH(1,(BA$2=Table14[Column1])*($X36=Table14[Year]),0)),"")</f>
        <v/>
      </c>
      <c r="BB36" s="28" t="str" cm="1">
        <f t="array" ref="BB36">_xlfn.IFNA(INDEX(Table14[Ávöxtun],MATCH(1,(BB$2=Table14[Column1])*($X36=Table14[Year]),0)),"")</f>
        <v/>
      </c>
      <c r="BC36" s="28" cm="1">
        <f t="array" ref="BC36">_xlfn.IFNA(INDEX(Table14[Ávöxtun],MATCH(1,(BC$2=Table14[Column1])*($X36=Table14[Year]),0)),"")</f>
        <v>-0.04</v>
      </c>
      <c r="BD36" s="28" cm="1">
        <f t="array" ref="BD36">_xlfn.IFNA(INDEX(Table14[Ávöxtun],MATCH(1,(BD$2=Table14[Column1])*($X36=Table14[Year]),0)),"")</f>
        <v>-0.08</v>
      </c>
      <c r="BE36" s="28" cm="1">
        <f t="array" ref="BE36">_xlfn.IFNA(INDEX(Table14[Ávöxtun],MATCH(1,(BE$2=Table14[Column1])*($X36=Table14[Year]),0)),"")</f>
        <v>0.08</v>
      </c>
      <c r="BF36" s="28" t="str" cm="1">
        <f t="array" ref="BF36">_xlfn.IFNA(INDEX(Table14[Ávöxtun],MATCH(1,(BF$2=Table14[Column1])*($X36=Table14[Year]),0)),"")</f>
        <v/>
      </c>
      <c r="BG36" s="28" cm="1">
        <f t="array" ref="BG36">_xlfn.IFNA(INDEX(Table14[Ávöxtun],MATCH(1,(BG$2=Table14[Column1])*($X36=Table14[Year]),0)),"")</f>
        <v>0.04</v>
      </c>
      <c r="BH36" s="28" cm="1">
        <f t="array" ref="BH36">_xlfn.IFNA(INDEX(Table14[Ávöxtun],MATCH(1,(BH$2=Table14[Column1])*($X36=Table14[Year]),0)),"")</f>
        <v>0.05</v>
      </c>
      <c r="BI36" s="28" cm="1">
        <f t="array" ref="BI36">_xlfn.IFNA(INDEX(Table14[Ávöxtun],MATCH(1,(BI$2=Table14[Column1])*($X36=Table14[Year]),0)),"")</f>
        <v>0.08</v>
      </c>
      <c r="BJ36" s="28" cm="1">
        <f t="array" ref="BJ36">_xlfn.IFNA(INDEX(Table14[Ávöxtun],MATCH(1,(BJ$2=Table14[Column1])*($X36=Table14[Year]),0)),"")</f>
        <v>0.02</v>
      </c>
      <c r="BK36" s="28" cm="1">
        <f t="array" ref="BK36">_xlfn.IFNA(INDEX(Table14[Ávöxtun],MATCH(1,(BK$2=Table14[Column1])*($X36=Table14[Year]),0)),"")</f>
        <v>-7.0000000000000007E-2</v>
      </c>
      <c r="BL36" s="28" t="str" cm="1">
        <f t="array" ref="BL36">_xlfn.IFNA(INDEX(Table14[Ávöxtun],MATCH(1,(BL$2=Table14[Column1])*($X36=Table14[Year]),0)),"")</f>
        <v/>
      </c>
      <c r="BM36" s="28" t="str" cm="1">
        <f t="array" ref="BM36">_xlfn.IFNA(INDEX(Table14[Ávöxtun],MATCH(1,(BM$2=Table14[Column1])*($X36=Table14[Year]),0)),"")</f>
        <v/>
      </c>
      <c r="BN36" s="28" t="str" cm="1">
        <f t="array" ref="BN36">_xlfn.IFNA(INDEX(Table14[Ávöxtun],MATCH(1,(BN$2=Table14[Column1])*($X36=Table14[Year]),0)),"")</f>
        <v/>
      </c>
      <c r="BO36" s="28" t="str" cm="1">
        <f t="array" ref="BO36">_xlfn.IFNA(INDEX(Table14[Ávöxtun],MATCH(1,(BO$2=Table14[Column1])*($X36=Table14[Year]),0)),"")</f>
        <v/>
      </c>
      <c r="BP36" s="28" cm="1">
        <f t="array" ref="BP36">_xlfn.IFNA(INDEX(Table14[Ávöxtun],MATCH(1,(BP$2=Table14[Column1])*($X36=Table14[Year]),0)),"")</f>
        <v>-0.11</v>
      </c>
      <c r="BQ36" s="28" cm="1">
        <f t="array" ref="BQ36">_xlfn.IFNA(INDEX(Table14[Ávöxtun],MATCH(1,(BQ$2=Table14[Column1])*($X36=Table14[Year]),0)),"")</f>
        <v>-0.05</v>
      </c>
      <c r="BR36" s="28" cm="1">
        <f t="array" ref="BR36">_xlfn.IFNA(INDEX(Table14[Ávöxtun],MATCH(1,(BR$2=Table14[Column1])*($X36=Table14[Year]),0)),"")</f>
        <v>0</v>
      </c>
      <c r="BS36" s="28" t="str" cm="1">
        <f t="array" ref="BS36">_xlfn.IFNA(INDEX(Table14[Ávöxtun],MATCH(1,(BS$2=Table14[Column1])*($X36=Table14[Year]),0)),"")</f>
        <v/>
      </c>
      <c r="BT36" s="28" t="str" cm="1">
        <f t="array" ref="BT36">_xlfn.IFNA(INDEX(Table14[Ávöxtun],MATCH(1,(BT$2=Table14[Column1])*($X36=Table14[Year]),0)),"")</f>
        <v/>
      </c>
      <c r="BU36" s="28" cm="1">
        <f t="array" ref="BU36">_xlfn.IFNA(INDEX(Table14[Ávöxtun],MATCH(1,(BU$2=Table14[Column1])*($X36=Table14[Year]),0)),"")</f>
        <v>0.03</v>
      </c>
      <c r="BV36" s="28" cm="1">
        <f t="array" ref="BV36">_xlfn.IFNA(INDEX(Table14[Ávöxtun],MATCH(1,(BV$2=Table14[Column1])*($X36=Table14[Year]),0)),"")</f>
        <v>-0.03</v>
      </c>
      <c r="BW36" s="28" t="str" cm="1">
        <f t="array" ref="BW36">_xlfn.IFNA(INDEX(Table14[Ávöxtun],MATCH(1,(BW$2=Table14[Column1])*($X36=Table14[Year]),0)),"")</f>
        <v/>
      </c>
      <c r="BX36" s="28" t="str" cm="1">
        <f t="array" ref="BX36">_xlfn.IFNA(INDEX(Table14[Ávöxtun],MATCH(1,(BX$2=Table14[Column1])*($X36=Table14[Year]),0)),"")</f>
        <v/>
      </c>
      <c r="BY36" s="28" cm="1">
        <f t="array" ref="BY36">_xlfn.IFNA(INDEX(Table14[Ávöxtun],MATCH(1,(BY$2=Table14[Column1])*($X36=Table14[Year]),0)),"")</f>
        <v>0.03</v>
      </c>
      <c r="BZ36" s="28" cm="1">
        <f t="array" ref="BZ36">_xlfn.IFNA(INDEX(Table14[Ávöxtun],MATCH(1,(BZ$2=Table14[Column1])*($X36=Table14[Year]),0)),"")</f>
        <v>-0.02</v>
      </c>
      <c r="CA36" s="28" t="str" cm="1">
        <f t="array" ref="CA36">_xlfn.IFNA(INDEX(Table14[Ávöxtun],MATCH(1,(CA$2=Table14[Column1])*($X36=Table14[Year]),0)),"")</f>
        <v/>
      </c>
      <c r="CB36" s="28" cm="1">
        <f t="array" ref="CB36">_xlfn.IFNA(INDEX(Table14[Ávöxtun],MATCH(1,(CB$2=Table14[Column1])*($X36=Table14[Year]),0)),"")</f>
        <v>0.04</v>
      </c>
      <c r="CC36" s="28" cm="1">
        <f t="array" ref="CC36">_xlfn.IFNA(INDEX(Table14[Ávöxtun],MATCH(1,(CC$2=Table14[Column1])*($X36=Table14[Year]),0)),"")</f>
        <v>0</v>
      </c>
      <c r="CD36" s="28" t="str" cm="1">
        <f t="array" ref="CD36">_xlfn.IFNA(INDEX(Table14[Ávöxtun],MATCH(1,(CD$2=Table14[Column1])*($X36=Table14[Year]),0)),"")</f>
        <v/>
      </c>
      <c r="CE36" s="28" cm="1">
        <f t="array" ref="CE36">_xlfn.IFNA(INDEX(Table14[Ávöxtun],MATCH(1,(CE$2=Table14[Column1])*($X36=Table14[Year]),0)),"")</f>
        <v>-0.02</v>
      </c>
      <c r="CF36" s="28" cm="1">
        <f t="array" ref="CF36">_xlfn.IFNA(INDEX(Table14[Ávöxtun],MATCH(1,(CF$2=Table14[Column1])*($X36=Table14[Year]),0)),"")</f>
        <v>0.05</v>
      </c>
      <c r="CG36" s="28" cm="1">
        <f t="array" ref="CG36">_xlfn.IFNA(INDEX(Table14[Ávöxtun],MATCH(1,(CG$2=Table14[Column1])*($X36=Table14[Year]),0)),"")</f>
        <v>-0.08</v>
      </c>
      <c r="CH36" s="28" cm="1">
        <f t="array" ref="CH36">_xlfn.IFNA(INDEX(Table14[Ávöxtun],MATCH(1,(CH$2=Table14[Column1])*($X36=Table14[Year]),0)),"")</f>
        <v>0.03</v>
      </c>
      <c r="CI36" s="28" cm="1">
        <f t="array" ref="CI36">_xlfn.IFNA(INDEX(Table14[Ávöxtun],MATCH(1,(CI$2=Table14[Column1])*($X36=Table14[Year]),0)),"")</f>
        <v>0.09</v>
      </c>
      <c r="CJ36" s="28" cm="1">
        <f t="array" ref="CJ36">_xlfn.IFNA(INDEX(Table14[Ávöxtun],MATCH(1,(CJ$2=Table14[Column1])*($X36=Table14[Year]),0)),"")</f>
        <v>-0.05</v>
      </c>
      <c r="CK36" s="28" cm="1">
        <f t="array" ref="CK36">_xlfn.IFNA(INDEX(Table14[Ávöxtun],MATCH(1,(CK$2=Table14[Column1])*($X36=Table14[Year]),0)),"")</f>
        <v>7.0000000000000007E-2</v>
      </c>
      <c r="CL36" s="28" cm="1">
        <f t="array" ref="CL36">_xlfn.IFNA(INDEX(Table14[Ávöxtun],MATCH(1,(CL$2=Table14[Column1])*($X36=Table14[Year]),0)),"")</f>
        <v>-0.04</v>
      </c>
      <c r="CM36" s="28" t="str" cm="1">
        <f t="array" ref="CM36">_xlfn.IFNA(INDEX(Table14[Ávöxtun],MATCH(1,(CM$2=Table14[Column1])*($X36=Table14[Year]),0)),"")</f>
        <v/>
      </c>
      <c r="CN36" s="28" cm="1">
        <f t="array" ref="CN36">_xlfn.IFNA(INDEX(Table14[Ávöxtun],MATCH(1,(CN$2=Table14[Column1])*($X36=Table14[Year]),0)),"")</f>
        <v>0.01</v>
      </c>
      <c r="CO36" s="28" t="str" cm="1">
        <f t="array" ref="CO36">_xlfn.IFNA(INDEX(Table14[Ávöxtun],MATCH(1,(CO$2=Table14[Column1])*($X36=Table14[Year]),0)),"")</f>
        <v/>
      </c>
      <c r="CP36" s="28" t="str" cm="1">
        <f t="array" ref="CP36">_xlfn.IFNA(INDEX(Table14[Ávöxtun],MATCH(1,(CP$2=Table14[Column1])*($X36=Table14[Year]),0)),"")</f>
        <v/>
      </c>
      <c r="CQ36" s="28" cm="1">
        <f t="array" ref="CQ36">_xlfn.IFNA(INDEX(Table14[Ávöxtun],MATCH(1,(CQ$2=Table14[Column1])*($X36=Table14[Year]),0)),"")</f>
        <v>-0.11</v>
      </c>
      <c r="CR36" s="28" cm="1">
        <f t="array" ref="CR36">_xlfn.IFNA(INDEX(Table14[Ávöxtun],MATCH(1,(CR$2=Table14[Column1])*($X36=Table14[Year]),0)),"")</f>
        <v>-0.03</v>
      </c>
      <c r="CS36" s="28" cm="1">
        <f t="array" ref="CS36">_xlfn.IFNA(INDEX(Table14[Ávöxtun],MATCH(1,(CS$2=Table14[Column1])*($X36=Table14[Year]),0)),"")</f>
        <v>0.02</v>
      </c>
      <c r="CT36" s="28" cm="1">
        <f t="array" ref="CT36">_xlfn.IFNA(INDEX(Table14[Ávöxtun],MATCH(1,(CT$2=Table14[Column1])*($X36=Table14[Year]),0)),"")</f>
        <v>0</v>
      </c>
      <c r="CU36" s="28" cm="1">
        <f t="array" ref="CU36">_xlfn.IFNA(INDEX(Table14[Ávöxtun],MATCH(1,(CU$2=Table14[Column1])*($X36=Table14[Year]),0)),"")</f>
        <v>0</v>
      </c>
      <c r="CV36" s="28" cm="1">
        <f t="array" ref="CV36">_xlfn.IFNA(INDEX(Table14[Ávöxtun],MATCH(1,(CV$2=Table14[Column1])*($X36=Table14[Year]),0)),"")</f>
        <v>-0.01</v>
      </c>
      <c r="CW36" s="28" cm="1">
        <f t="array" ref="CW36">_xlfn.IFNA(INDEX(Table14[Ávöxtun],MATCH(1,(CW$2=Table14[Column1])*($X36=Table14[Year]),0)),"")</f>
        <v>-0.04</v>
      </c>
      <c r="CX36" s="28" t="str" cm="1">
        <f t="array" ref="CX36">_xlfn.IFNA(INDEX(Table14[Ávöxtun],MATCH(1,(CX$2=Table14[Column1])*($X36=Table14[Year]),0)),"")</f>
        <v/>
      </c>
      <c r="CY36" s="28" t="str" cm="1">
        <f t="array" ref="CY36">_xlfn.IFNA(INDEX(Table14[Ávöxtun],MATCH(1,(CY$2=Table14[Column1])*($X36=Table14[Year]),0)),"")</f>
        <v/>
      </c>
      <c r="CZ36" s="28" cm="1">
        <f t="array" ref="CZ36">_xlfn.IFNA(INDEX(Table14[Ávöxtun],MATCH(1,(CZ$2=Table14[Column1])*($X36=Table14[Year]),0)),"")</f>
        <v>-0.19</v>
      </c>
      <c r="DA36" s="28" cm="1">
        <f t="array" ref="DA36">_xlfn.IFNA(INDEX(Table14[Ávöxtun],MATCH(1,(DA$2=Table14[Column1])*($X36=Table14[Year]),0)),"")</f>
        <v>0.02</v>
      </c>
      <c r="DB36" s="28" cm="1">
        <f t="array" ref="DB36">_xlfn.IFNA(INDEX(Table14[Ávöxtun],MATCH(1,(DB$2=Table14[Column1])*($X36=Table14[Year]),0)),"")</f>
        <v>-0.04</v>
      </c>
      <c r="DC36" s="28" cm="1">
        <f t="array" ref="DC36">_xlfn.IFNA(INDEX(Table14[Ávöxtun],MATCH(1,(DC$2=Table14[Column1])*($X36=Table14[Year]),0)),"")</f>
        <v>0</v>
      </c>
      <c r="DD36" s="28" t="str" cm="1">
        <f t="array" ref="DD36">_xlfn.IFNA(INDEX(Table14[Ávöxtun],MATCH(1,(DD$2=Table14[Column1])*($X36=Table14[Year]),0)),"")</f>
        <v/>
      </c>
      <c r="DE36" s="28" t="str" cm="1">
        <f t="array" ref="DE36">_xlfn.IFNA(INDEX(Table14[Ávöxtun],MATCH(1,(DE$2=Table14[Column1])*($X36=Table14[Year]),0)),"")</f>
        <v/>
      </c>
      <c r="DF36" s="28" t="str" cm="1">
        <f t="array" ref="DF36">_xlfn.IFNA(INDEX(Table14[Ávöxtun],MATCH(1,(DF$2=Table14[Column1])*($X36=Table14[Year]),0)),"")</f>
        <v/>
      </c>
    </row>
    <row r="37" spans="1:110">
      <c r="A37" t="s">
        <v>60</v>
      </c>
      <c r="B37">
        <v>1997</v>
      </c>
      <c r="C37" s="16">
        <v>0.05</v>
      </c>
      <c r="D37" s="1">
        <v>7098596.3200000003</v>
      </c>
      <c r="E37" s="29">
        <f>Table14[[#This Row],[Ávöxtun]]*Table14[[#This Row],[Eignir]]/SUMIFS(Table14[Eignir],Table14[Year],Table14[[#This Row],[Year]])</f>
        <v>1.0469123468025729E-3</v>
      </c>
      <c r="F37" s="23">
        <f>IF(B37=1997, 100, IF(COUNTIF(A$1:A36,A37)=0, "NEW", F36*(1+Table14[[#This Row],[Ávöxtun]])))</f>
        <v>100</v>
      </c>
      <c r="G37" s="18" cm="1">
        <f t="array" ref="G37">IFERROR(_xlfn.IFS(ISNUMBER(Table14[[#This Row],[Column3]]),Table14[[#This Row],[Column3]],Table14[[#This Row],[Column3]]="NEW",Table14[[#This Row],[Column3]]),"")</f>
        <v>100</v>
      </c>
      <c r="H37" s="15" cm="1">
        <f t="array" ref="H37">_xlfn.IFS(Table14[[#This Row],[Column4]]="NEW",AVERAGEIFS(Table14[Column4],Table14[Year],Table14[[#This Row],[Year]]),ISNUMBER(Table14[[#This Row],[Column4]]),Table14[[#This Row],[Column4]],Table14[[#This Row],[Column4]]="",H36*(1+Table14[[#This Row],[Ávöxtun]]))</f>
        <v>100</v>
      </c>
      <c r="I37" cm="1">
        <f t="array" ref="I37">_xlfn.IFS(Table14[[#This Row],[Column4]]="NEW",_xlfn.XLOOKUP(Table14[[#This Row],[Year]],$M$2:$M$27,$O$2:$O$27),ISNUMBER(Table14[[#This Row],[Column4]]),Table14[[#This Row],[Column4]],Table14[[#This Row],[Column4]]="",I36*(1+Table14[[#This Row],[Ávöxtun]]))</f>
        <v>100</v>
      </c>
      <c r="L37" s="33">
        <v>100</v>
      </c>
      <c r="X37">
        <v>2003</v>
      </c>
      <c r="Y37" s="28">
        <f t="shared" si="2"/>
        <v>0.15393382447133952</v>
      </c>
      <c r="Z37" s="28" cm="1">
        <f t="array" ref="Z37">_xlfn.IFNA(INDEX(Table14[Ávöxtun],MATCH(1,(Z$2=Table14[Column1])*($X37=Table14[Year]),0)),"")</f>
        <v>0.13</v>
      </c>
      <c r="AA37" s="28" t="str" cm="1">
        <f t="array" ref="AA37">_xlfn.IFNA(INDEX(Table14[Ávöxtun],MATCH(1,(AA$2=Table14[Column1])*($X37=Table14[Year]),0)),"")</f>
        <v/>
      </c>
      <c r="AB37" s="28" t="str" cm="1">
        <f t="array" ref="AB37">_xlfn.IFNA(INDEX(Table14[Ávöxtun],MATCH(1,(AB$2=Table14[Column1])*($X37=Table14[Year]),0)),"")</f>
        <v/>
      </c>
      <c r="AC37" s="28" t="str" cm="1">
        <f t="array" ref="AC37">_xlfn.IFNA(INDEX(Table14[Ávöxtun],MATCH(1,(AC$2=Table14[Column1])*($X37=Table14[Year]),0)),"")</f>
        <v/>
      </c>
      <c r="AD37" s="28" t="str" cm="1">
        <f t="array" ref="AD37">_xlfn.IFNA(INDEX(Table14[Ávöxtun],MATCH(1,(AD$2=Table14[Column1])*($X37=Table14[Year]),0)),"")</f>
        <v/>
      </c>
      <c r="AE37" s="28" t="str" cm="1">
        <f t="array" ref="AE37">_xlfn.IFNA(INDEX(Table14[Ávöxtun],MATCH(1,(AE$2=Table14[Column1])*($X37=Table14[Year]),0)),"")</f>
        <v/>
      </c>
      <c r="AF37" s="28" t="str" cm="1">
        <f t="array" ref="AF37">_xlfn.IFNA(INDEX(Table14[Ávöxtun],MATCH(1,(AF$2=Table14[Column1])*($X37=Table14[Year]),0)),"")</f>
        <v/>
      </c>
      <c r="AG37" s="28" cm="1">
        <f t="array" ref="AG37">_xlfn.IFNA(INDEX(Table14[Ávöxtun],MATCH(1,(AG$2=Table14[Column1])*($X37=Table14[Year]),0)),"")</f>
        <v>7.0000000000000007E-2</v>
      </c>
      <c r="AH37" s="28" cm="1">
        <f t="array" ref="AH37">_xlfn.IFNA(INDEX(Table14[Ávöxtun],MATCH(1,(AH$2=Table14[Column1])*($X37=Table14[Year]),0)),"")</f>
        <v>0.09</v>
      </c>
      <c r="AI37" s="28" t="str" cm="1">
        <f t="array" ref="AI37">_xlfn.IFNA(INDEX(Table14[Ávöxtun],MATCH(1,(AI$2=Table14[Column1])*($X37=Table14[Year]),0)),"")</f>
        <v/>
      </c>
      <c r="AJ37" s="28" cm="1">
        <f t="array" ref="AJ37">_xlfn.IFNA(INDEX(Table14[Ávöxtun],MATCH(1,(AJ$2=Table14[Column1])*($X37=Table14[Year]),0)),"")</f>
        <v>0.08</v>
      </c>
      <c r="AK37" s="28" cm="1">
        <f t="array" ref="AK37">_xlfn.IFNA(INDEX(Table14[Ávöxtun],MATCH(1,(AK$2=Table14[Column1])*($X37=Table14[Year]),0)),"")</f>
        <v>0.09</v>
      </c>
      <c r="AL37" s="28" cm="1">
        <f t="array" ref="AL37">_xlfn.IFNA(INDEX(Table14[Ávöxtun],MATCH(1,(AL$2=Table14[Column1])*($X37=Table14[Year]),0)),"")</f>
        <v>0.1</v>
      </c>
      <c r="AM37" s="28" cm="1">
        <f t="array" ref="AM37">_xlfn.IFNA(INDEX(Table14[Ávöxtun],MATCH(1,(AM$2=Table14[Column1])*($X37=Table14[Year]),0)),"")</f>
        <v>0.08</v>
      </c>
      <c r="AN37" s="28" cm="1">
        <f t="array" ref="AN37">_xlfn.IFNA(INDEX(Table14[Ávöxtun],MATCH(1,(AN$2=Table14[Column1])*($X37=Table14[Year]),0)),"")</f>
        <v>7.0000000000000007E-2</v>
      </c>
      <c r="AO37" s="28" cm="1">
        <f t="array" ref="AO37">_xlfn.IFNA(INDEX(Table14[Ávöxtun],MATCH(1,(AO$2=Table14[Column1])*($X37=Table14[Year]),0)),"")</f>
        <v>0.01</v>
      </c>
      <c r="AP37" s="28" t="str" cm="1">
        <f t="array" ref="AP37">_xlfn.IFNA(INDEX(Table14[Ávöxtun],MATCH(1,(AP$2=Table14[Column1])*($X37=Table14[Year]),0)),"")</f>
        <v/>
      </c>
      <c r="AQ37" s="28" cm="1">
        <f t="array" ref="AQ37">_xlfn.IFNA(INDEX(Table14[Ávöxtun],MATCH(1,(AQ$2=Table14[Column1])*($X37=Table14[Year]),0)),"")</f>
        <v>0.16</v>
      </c>
      <c r="AR37" s="28" t="str" cm="1">
        <f t="array" ref="AR37">_xlfn.IFNA(INDEX(Table14[Ávöxtun],MATCH(1,(AR$2=Table14[Column1])*($X37=Table14[Year]),0)),"")</f>
        <v/>
      </c>
      <c r="AS37" s="28" t="str" cm="1">
        <f t="array" ref="AS37">_xlfn.IFNA(INDEX(Table14[Ávöxtun],MATCH(1,(AS$2=Table14[Column1])*($X37=Table14[Year]),0)),"")</f>
        <v/>
      </c>
      <c r="AT37" s="28" cm="1">
        <f t="array" ref="AT37">_xlfn.IFNA(INDEX(Table14[Ávöxtun],MATCH(1,(AT$2=Table14[Column1])*($X37=Table14[Year]),0)),"")</f>
        <v>0.1</v>
      </c>
      <c r="AU37" s="28" t="str" cm="1">
        <f t="array" ref="AU37">_xlfn.IFNA(INDEX(Table14[Ávöxtun],MATCH(1,(AU$2=Table14[Column1])*($X37=Table14[Year]),0)),"")</f>
        <v/>
      </c>
      <c r="AV37" s="28" t="str" cm="1">
        <f t="array" ref="AV37">_xlfn.IFNA(INDEX(Table14[Ávöxtun],MATCH(1,(AV$2=Table14[Column1])*($X37=Table14[Year]),0)),"")</f>
        <v/>
      </c>
      <c r="AW37" s="28" t="str" cm="1">
        <f t="array" ref="AW37">_xlfn.IFNA(INDEX(Table14[Ávöxtun],MATCH(1,(AW$2=Table14[Column1])*($X37=Table14[Year]),0)),"")</f>
        <v/>
      </c>
      <c r="AX37" s="28" cm="1">
        <f t="array" ref="AX37">_xlfn.IFNA(INDEX(Table14[Ávöxtun],MATCH(1,(AX$2=Table14[Column1])*($X37=Table14[Year]),0)),"")</f>
        <v>0.13</v>
      </c>
      <c r="AY37" s="28" cm="1">
        <f t="array" ref="AY37">_xlfn.IFNA(INDEX(Table14[Ávöxtun],MATCH(1,(AY$2=Table14[Column1])*($X37=Table14[Year]),0)),"")</f>
        <v>0.11</v>
      </c>
      <c r="AZ37" s="28" cm="1">
        <f t="array" ref="AZ37">_xlfn.IFNA(INDEX(Table14[Ávöxtun],MATCH(1,(AZ$2=Table14[Column1])*($X37=Table14[Year]),0)),"")</f>
        <v>0.08</v>
      </c>
      <c r="BA37" s="28" t="str" cm="1">
        <f t="array" ref="BA37">_xlfn.IFNA(INDEX(Table14[Ávöxtun],MATCH(1,(BA$2=Table14[Column1])*($X37=Table14[Year]),0)),"")</f>
        <v/>
      </c>
      <c r="BB37" s="28" t="str" cm="1">
        <f t="array" ref="BB37">_xlfn.IFNA(INDEX(Table14[Ávöxtun],MATCH(1,(BB$2=Table14[Column1])*($X37=Table14[Year]),0)),"")</f>
        <v/>
      </c>
      <c r="BC37" s="28" cm="1">
        <f t="array" ref="BC37">_xlfn.IFNA(INDEX(Table14[Ávöxtun],MATCH(1,(BC$2=Table14[Column1])*($X37=Table14[Year]),0)),"")</f>
        <v>0.13</v>
      </c>
      <c r="BD37" s="28" cm="1">
        <f t="array" ref="BD37">_xlfn.IFNA(INDEX(Table14[Ávöxtun],MATCH(1,(BD$2=Table14[Column1])*($X37=Table14[Year]),0)),"")</f>
        <v>0.09</v>
      </c>
      <c r="BE37" s="28" cm="1">
        <f t="array" ref="BE37">_xlfn.IFNA(INDEX(Table14[Ávöxtun],MATCH(1,(BE$2=Table14[Column1])*($X37=Table14[Year]),0)),"")</f>
        <v>0.1</v>
      </c>
      <c r="BF37" s="28" t="str" cm="1">
        <f t="array" ref="BF37">_xlfn.IFNA(INDEX(Table14[Ávöxtun],MATCH(1,(BF$2=Table14[Column1])*($X37=Table14[Year]),0)),"")</f>
        <v/>
      </c>
      <c r="BG37" s="28" cm="1">
        <f t="array" ref="BG37">_xlfn.IFNA(INDEX(Table14[Ávöxtun],MATCH(1,(BG$2=Table14[Column1])*($X37=Table14[Year]),0)),"")</f>
        <v>0.05</v>
      </c>
      <c r="BH37" s="28" cm="1">
        <f t="array" ref="BH37">_xlfn.IFNA(INDEX(Table14[Ávöxtun],MATCH(1,(BH$2=Table14[Column1])*($X37=Table14[Year]),0)),"")</f>
        <v>0.05</v>
      </c>
      <c r="BI37" s="28" cm="1">
        <f t="array" ref="BI37">_xlfn.IFNA(INDEX(Table14[Ávöxtun],MATCH(1,(BI$2=Table14[Column1])*($X37=Table14[Year]),0)),"")</f>
        <v>0.02</v>
      </c>
      <c r="BJ37" s="28" cm="1">
        <f t="array" ref="BJ37">_xlfn.IFNA(INDEX(Table14[Ávöxtun],MATCH(1,(BJ$2=Table14[Column1])*($X37=Table14[Year]),0)),"")</f>
        <v>-0.04</v>
      </c>
      <c r="BK37" s="28" t="str" cm="1">
        <f t="array" ref="BK37">_xlfn.IFNA(INDEX(Table14[Ávöxtun],MATCH(1,(BK$2=Table14[Column1])*($X37=Table14[Year]),0)),"")</f>
        <v/>
      </c>
      <c r="BL37" s="28" t="str" cm="1">
        <f t="array" ref="BL37">_xlfn.IFNA(INDEX(Table14[Ávöxtun],MATCH(1,(BL$2=Table14[Column1])*($X37=Table14[Year]),0)),"")</f>
        <v/>
      </c>
      <c r="BM37" s="28" t="str" cm="1">
        <f t="array" ref="BM37">_xlfn.IFNA(INDEX(Table14[Ávöxtun],MATCH(1,(BM$2=Table14[Column1])*($X37=Table14[Year]),0)),"")</f>
        <v/>
      </c>
      <c r="BN37" s="28" t="str" cm="1">
        <f t="array" ref="BN37">_xlfn.IFNA(INDEX(Table14[Ávöxtun],MATCH(1,(BN$2=Table14[Column1])*($X37=Table14[Year]),0)),"")</f>
        <v/>
      </c>
      <c r="BO37" s="28" t="str" cm="1">
        <f t="array" ref="BO37">_xlfn.IFNA(INDEX(Table14[Ávöxtun],MATCH(1,(BO$2=Table14[Column1])*($X37=Table14[Year]),0)),"")</f>
        <v/>
      </c>
      <c r="BP37" s="28" cm="1">
        <f t="array" ref="BP37">_xlfn.IFNA(INDEX(Table14[Ávöxtun],MATCH(1,(BP$2=Table14[Column1])*($X37=Table14[Year]),0)),"")</f>
        <v>0.11</v>
      </c>
      <c r="BQ37" s="28" cm="1">
        <f t="array" ref="BQ37">_xlfn.IFNA(INDEX(Table14[Ávöxtun],MATCH(1,(BQ$2=Table14[Column1])*($X37=Table14[Year]),0)),"")</f>
        <v>0.11</v>
      </c>
      <c r="BR37" s="28" cm="1">
        <f t="array" ref="BR37">_xlfn.IFNA(INDEX(Table14[Ávöxtun],MATCH(1,(BR$2=Table14[Column1])*($X37=Table14[Year]),0)),"")</f>
        <v>0.18</v>
      </c>
      <c r="BS37" s="28" t="str" cm="1">
        <f t="array" ref="BS37">_xlfn.IFNA(INDEX(Table14[Ávöxtun],MATCH(1,(BS$2=Table14[Column1])*($X37=Table14[Year]),0)),"")</f>
        <v/>
      </c>
      <c r="BT37" s="28" t="str" cm="1">
        <f t="array" ref="BT37">_xlfn.IFNA(INDEX(Table14[Ávöxtun],MATCH(1,(BT$2=Table14[Column1])*($X37=Table14[Year]),0)),"")</f>
        <v/>
      </c>
      <c r="BU37" s="28" cm="1">
        <f t="array" ref="BU37">_xlfn.IFNA(INDEX(Table14[Ávöxtun],MATCH(1,(BU$2=Table14[Column1])*($X37=Table14[Year]),0)),"")</f>
        <v>0.09</v>
      </c>
      <c r="BV37" s="28" cm="1">
        <f t="array" ref="BV37">_xlfn.IFNA(INDEX(Table14[Ávöxtun],MATCH(1,(BV$2=Table14[Column1])*($X37=Table14[Year]),0)),"")</f>
        <v>0.12</v>
      </c>
      <c r="BW37" s="28" t="str" cm="1">
        <f t="array" ref="BW37">_xlfn.IFNA(INDEX(Table14[Ávöxtun],MATCH(1,(BW$2=Table14[Column1])*($X37=Table14[Year]),0)),"")</f>
        <v/>
      </c>
      <c r="BX37" s="28" t="str" cm="1">
        <f t="array" ref="BX37">_xlfn.IFNA(INDEX(Table14[Ávöxtun],MATCH(1,(BX$2=Table14[Column1])*($X37=Table14[Year]),0)),"")</f>
        <v/>
      </c>
      <c r="BY37" s="28" cm="1">
        <f t="array" ref="BY37">_xlfn.IFNA(INDEX(Table14[Ávöxtun],MATCH(1,(BY$2=Table14[Column1])*($X37=Table14[Year]),0)),"")</f>
        <v>0.12</v>
      </c>
      <c r="BZ37" s="28" cm="1">
        <f t="array" ref="BZ37">_xlfn.IFNA(INDEX(Table14[Ávöxtun],MATCH(1,(BZ$2=Table14[Column1])*($X37=Table14[Year]),0)),"")</f>
        <v>0.09</v>
      </c>
      <c r="CA37" s="28" t="str" cm="1">
        <f t="array" ref="CA37">_xlfn.IFNA(INDEX(Table14[Ávöxtun],MATCH(1,(CA$2=Table14[Column1])*($X37=Table14[Year]),0)),"")</f>
        <v/>
      </c>
      <c r="CB37" s="28" cm="1">
        <f t="array" ref="CB37">_xlfn.IFNA(INDEX(Table14[Ávöxtun],MATCH(1,(CB$2=Table14[Column1])*($X37=Table14[Year]),0)),"")</f>
        <v>7.0000000000000007E-2</v>
      </c>
      <c r="CC37" s="28" cm="1">
        <f t="array" ref="CC37">_xlfn.IFNA(INDEX(Table14[Ávöxtun],MATCH(1,(CC$2=Table14[Column1])*($X37=Table14[Year]),0)),"")</f>
        <v>0.15</v>
      </c>
      <c r="CD37" s="28" t="str" cm="1">
        <f t="array" ref="CD37">_xlfn.IFNA(INDEX(Table14[Ávöxtun],MATCH(1,(CD$2=Table14[Column1])*($X37=Table14[Year]),0)),"")</f>
        <v/>
      </c>
      <c r="CE37" s="28" cm="1">
        <f t="array" ref="CE37">_xlfn.IFNA(INDEX(Table14[Ávöxtun],MATCH(1,(CE$2=Table14[Column1])*($X37=Table14[Year]),0)),"")</f>
        <v>0.08</v>
      </c>
      <c r="CF37" s="28" cm="1">
        <f t="array" ref="CF37">_xlfn.IFNA(INDEX(Table14[Ávöxtun],MATCH(1,(CF$2=Table14[Column1])*($X37=Table14[Year]),0)),"")</f>
        <v>0.11</v>
      </c>
      <c r="CG37" s="28" cm="1">
        <f t="array" ref="CG37">_xlfn.IFNA(INDEX(Table14[Ávöxtun],MATCH(1,(CG$2=Table14[Column1])*($X37=Table14[Year]),0)),"")</f>
        <v>0.11</v>
      </c>
      <c r="CH37" s="28" cm="1">
        <f t="array" ref="CH37">_xlfn.IFNA(INDEX(Table14[Ávöxtun],MATCH(1,(CH$2=Table14[Column1])*($X37=Table14[Year]),0)),"")</f>
        <v>0.11</v>
      </c>
      <c r="CI37" s="28" cm="1">
        <f t="array" ref="CI37">_xlfn.IFNA(INDEX(Table14[Ávöxtun],MATCH(1,(CI$2=Table14[Column1])*($X37=Table14[Year]),0)),"")</f>
        <v>0.26</v>
      </c>
      <c r="CJ37" s="28" cm="1">
        <f t="array" ref="CJ37">_xlfn.IFNA(INDEX(Table14[Ávöxtun],MATCH(1,(CJ$2=Table14[Column1])*($X37=Table14[Year]),0)),"")</f>
        <v>0.19</v>
      </c>
      <c r="CK37" s="28" cm="1">
        <f t="array" ref="CK37">_xlfn.IFNA(INDEX(Table14[Ávöxtun],MATCH(1,(CK$2=Table14[Column1])*($X37=Table14[Year]),0)),"")</f>
        <v>0.09</v>
      </c>
      <c r="CL37" s="28" cm="1">
        <f t="array" ref="CL37">_xlfn.IFNA(INDEX(Table14[Ávöxtun],MATCH(1,(CL$2=Table14[Column1])*($X37=Table14[Year]),0)),"")</f>
        <v>0.1</v>
      </c>
      <c r="CM37" s="28" t="str" cm="1">
        <f t="array" ref="CM37">_xlfn.IFNA(INDEX(Table14[Ávöxtun],MATCH(1,(CM$2=Table14[Column1])*($X37=Table14[Year]),0)),"")</f>
        <v/>
      </c>
      <c r="CN37" s="28" cm="1">
        <f t="array" ref="CN37">_xlfn.IFNA(INDEX(Table14[Ávöxtun],MATCH(1,(CN$2=Table14[Column1])*($X37=Table14[Year]),0)),"")</f>
        <v>0.13</v>
      </c>
      <c r="CO37" s="28" t="str" cm="1">
        <f t="array" ref="CO37">_xlfn.IFNA(INDEX(Table14[Ávöxtun],MATCH(1,(CO$2=Table14[Column1])*($X37=Table14[Year]),0)),"")</f>
        <v/>
      </c>
      <c r="CP37" s="28" t="str" cm="1">
        <f t="array" ref="CP37">_xlfn.IFNA(INDEX(Table14[Ávöxtun],MATCH(1,(CP$2=Table14[Column1])*($X37=Table14[Year]),0)),"")</f>
        <v/>
      </c>
      <c r="CQ37" s="28" cm="1">
        <f t="array" ref="CQ37">_xlfn.IFNA(INDEX(Table14[Ávöxtun],MATCH(1,(CQ$2=Table14[Column1])*($X37=Table14[Year]),0)),"")</f>
        <v>0.1</v>
      </c>
      <c r="CR37" s="28" cm="1">
        <f t="array" ref="CR37">_xlfn.IFNA(INDEX(Table14[Ávöxtun],MATCH(1,(CR$2=Table14[Column1])*($X37=Table14[Year]),0)),"")</f>
        <v>0.12</v>
      </c>
      <c r="CS37" s="28" cm="1">
        <f t="array" ref="CS37">_xlfn.IFNA(INDEX(Table14[Ávöxtun],MATCH(1,(CS$2=Table14[Column1])*($X37=Table14[Year]),0)),"")</f>
        <v>0.23</v>
      </c>
      <c r="CT37" s="28" cm="1">
        <f t="array" ref="CT37">_xlfn.IFNA(INDEX(Table14[Ávöxtun],MATCH(1,(CT$2=Table14[Column1])*($X37=Table14[Year]),0)),"")</f>
        <v>0.09</v>
      </c>
      <c r="CU37" s="28" cm="1">
        <f t="array" ref="CU37">_xlfn.IFNA(INDEX(Table14[Ávöxtun],MATCH(1,(CU$2=Table14[Column1])*($X37=Table14[Year]),0)),"")</f>
        <v>0.1</v>
      </c>
      <c r="CV37" s="28" cm="1">
        <f t="array" ref="CV37">_xlfn.IFNA(INDEX(Table14[Ávöxtun],MATCH(1,(CV$2=Table14[Column1])*($X37=Table14[Year]),0)),"")</f>
        <v>0.14000000000000001</v>
      </c>
      <c r="CW37" s="28" cm="1">
        <f t="array" ref="CW37">_xlfn.IFNA(INDEX(Table14[Ávöxtun],MATCH(1,(CW$2=Table14[Column1])*($X37=Table14[Year]),0)),"")</f>
        <v>0.1</v>
      </c>
      <c r="CX37" s="28" t="str" cm="1">
        <f t="array" ref="CX37">_xlfn.IFNA(INDEX(Table14[Ávöxtun],MATCH(1,(CX$2=Table14[Column1])*($X37=Table14[Year]),0)),"")</f>
        <v/>
      </c>
      <c r="CY37" s="28" t="str" cm="1">
        <f t="array" ref="CY37">_xlfn.IFNA(INDEX(Table14[Ávöxtun],MATCH(1,(CY$2=Table14[Column1])*($X37=Table14[Year]),0)),"")</f>
        <v/>
      </c>
      <c r="CZ37" s="28" cm="1">
        <f t="array" ref="CZ37">_xlfn.IFNA(INDEX(Table14[Ávöxtun],MATCH(1,(CZ$2=Table14[Column1])*($X37=Table14[Year]),0)),"")</f>
        <v>0.14000000000000001</v>
      </c>
      <c r="DA37" s="28" cm="1">
        <f t="array" ref="DA37">_xlfn.IFNA(INDEX(Table14[Ávöxtun],MATCH(1,(DA$2=Table14[Column1])*($X37=Table14[Year]),0)),"")</f>
        <v>0.24</v>
      </c>
      <c r="DB37" s="28" cm="1">
        <f t="array" ref="DB37">_xlfn.IFNA(INDEX(Table14[Ávöxtun],MATCH(1,(DB$2=Table14[Column1])*($X37=Table14[Year]),0)),"")</f>
        <v>0.12</v>
      </c>
      <c r="DC37" s="28" cm="1">
        <f t="array" ref="DC37">_xlfn.IFNA(INDEX(Table14[Ávöxtun],MATCH(1,(DC$2=Table14[Column1])*($X37=Table14[Year]),0)),"")</f>
        <v>0.1</v>
      </c>
      <c r="DD37" s="28" t="str" cm="1">
        <f t="array" ref="DD37">_xlfn.IFNA(INDEX(Table14[Ávöxtun],MATCH(1,(DD$2=Table14[Column1])*($X37=Table14[Year]),0)),"")</f>
        <v/>
      </c>
      <c r="DE37" s="28" t="str" cm="1">
        <f t="array" ref="DE37">_xlfn.IFNA(INDEX(Table14[Ávöxtun],MATCH(1,(DE$2=Table14[Column1])*($X37=Table14[Year]),0)),"")</f>
        <v/>
      </c>
      <c r="DF37" s="28" t="str" cm="1">
        <f t="array" ref="DF37">_xlfn.IFNA(INDEX(Table14[Ávöxtun],MATCH(1,(DF$2=Table14[Column1])*($X37=Table14[Year]),0)),"")</f>
        <v/>
      </c>
    </row>
    <row r="38" spans="1:110">
      <c r="A38" t="s">
        <v>61</v>
      </c>
      <c r="B38">
        <v>1997</v>
      </c>
      <c r="C38" s="16">
        <v>7.0000000000000007E-2</v>
      </c>
      <c r="D38" s="1">
        <v>620570.21</v>
      </c>
      <c r="E38" s="29">
        <f>Table14[[#This Row],[Ávöxtun]]*Table14[[#This Row],[Eignir]]/SUMIFS(Table14[Eignir],Table14[Year],Table14[[#This Row],[Year]])</f>
        <v>1.2813176293839619E-4</v>
      </c>
      <c r="F38" s="23">
        <f>IF(B38=1997, 100, IF(COUNTIF(A$1:A37,A38)=0, "NEW", F37*(1+Table14[[#This Row],[Ávöxtun]])))</f>
        <v>100</v>
      </c>
      <c r="G38" s="18" cm="1">
        <f t="array" ref="G38">IFERROR(_xlfn.IFS(ISNUMBER(Table14[[#This Row],[Column3]]),Table14[[#This Row],[Column3]],Table14[[#This Row],[Column3]]="NEW",Table14[[#This Row],[Column3]]),"")</f>
        <v>100</v>
      </c>
      <c r="H38" s="15" cm="1">
        <f t="array" ref="H38">_xlfn.IFS(Table14[[#This Row],[Column4]]="NEW",AVERAGEIFS(Table14[Column4],Table14[Year],Table14[[#This Row],[Year]]),ISNUMBER(Table14[[#This Row],[Column4]]),Table14[[#This Row],[Column4]],Table14[[#This Row],[Column4]]="",H37*(1+Table14[[#This Row],[Ávöxtun]]))</f>
        <v>100</v>
      </c>
      <c r="I38" cm="1">
        <f t="array" ref="I38">_xlfn.IFS(Table14[[#This Row],[Column4]]="NEW",_xlfn.XLOOKUP(Table14[[#This Row],[Year]],$M$2:$M$27,$O$2:$O$27),ISNUMBER(Table14[[#This Row],[Column4]]),Table14[[#This Row],[Column4]],Table14[[#This Row],[Column4]]="",I37*(1+Table14[[#This Row],[Ávöxtun]]))</f>
        <v>100</v>
      </c>
      <c r="L38" s="33">
        <v>100</v>
      </c>
      <c r="X38">
        <v>2004</v>
      </c>
      <c r="Y38" s="28">
        <f t="shared" si="2"/>
        <v>0.13684586600562731</v>
      </c>
      <c r="Z38" s="28" cm="1">
        <f t="array" ref="Z38">_xlfn.IFNA(INDEX(Table14[Ávöxtun],MATCH(1,(Z$2=Table14[Column1])*($X38=Table14[Year]),0)),"")</f>
        <v>0.08</v>
      </c>
      <c r="AA38" s="28" t="str" cm="1">
        <f t="array" ref="AA38">_xlfn.IFNA(INDEX(Table14[Ávöxtun],MATCH(1,(AA$2=Table14[Column1])*($X38=Table14[Year]),0)),"")</f>
        <v/>
      </c>
      <c r="AB38" s="28" t="str" cm="1">
        <f t="array" ref="AB38">_xlfn.IFNA(INDEX(Table14[Ávöxtun],MATCH(1,(AB$2=Table14[Column1])*($X38=Table14[Year]),0)),"")</f>
        <v/>
      </c>
      <c r="AC38" s="28" t="str" cm="1">
        <f t="array" ref="AC38">_xlfn.IFNA(INDEX(Table14[Ávöxtun],MATCH(1,(AC$2=Table14[Column1])*($X38=Table14[Year]),0)),"")</f>
        <v/>
      </c>
      <c r="AD38" s="28" t="str" cm="1">
        <f t="array" ref="AD38">_xlfn.IFNA(INDEX(Table14[Ávöxtun],MATCH(1,(AD$2=Table14[Column1])*($X38=Table14[Year]),0)),"")</f>
        <v/>
      </c>
      <c r="AE38" s="28" t="str" cm="1">
        <f t="array" ref="AE38">_xlfn.IFNA(INDEX(Table14[Ávöxtun],MATCH(1,(AE$2=Table14[Column1])*($X38=Table14[Year]),0)),"")</f>
        <v/>
      </c>
      <c r="AF38" s="28" t="str" cm="1">
        <f t="array" ref="AF38">_xlfn.IFNA(INDEX(Table14[Ávöxtun],MATCH(1,(AF$2=Table14[Column1])*($X38=Table14[Year]),0)),"")</f>
        <v/>
      </c>
      <c r="AG38" s="28" cm="1">
        <f t="array" ref="AG38">_xlfn.IFNA(INDEX(Table14[Ávöxtun],MATCH(1,(AG$2=Table14[Column1])*($X38=Table14[Year]),0)),"")</f>
        <v>0.06</v>
      </c>
      <c r="AH38" s="28" cm="1">
        <f t="array" ref="AH38">_xlfn.IFNA(INDEX(Table14[Ávöxtun],MATCH(1,(AH$2=Table14[Column1])*($X38=Table14[Year]),0)),"")</f>
        <v>0.09</v>
      </c>
      <c r="AI38" s="28" t="str" cm="1">
        <f t="array" ref="AI38">_xlfn.IFNA(INDEX(Table14[Ávöxtun],MATCH(1,(AI$2=Table14[Column1])*($X38=Table14[Year]),0)),"")</f>
        <v/>
      </c>
      <c r="AJ38" s="28" cm="1">
        <f t="array" ref="AJ38">_xlfn.IFNA(INDEX(Table14[Ávöxtun],MATCH(1,(AJ$2=Table14[Column1])*($X38=Table14[Year]),0)),"")</f>
        <v>0.06</v>
      </c>
      <c r="AK38" s="28" cm="1">
        <f t="array" ref="AK38">_xlfn.IFNA(INDEX(Table14[Ávöxtun],MATCH(1,(AK$2=Table14[Column1])*($X38=Table14[Year]),0)),"")</f>
        <v>0.08</v>
      </c>
      <c r="AL38" s="28" cm="1">
        <f t="array" ref="AL38">_xlfn.IFNA(INDEX(Table14[Ávöxtun],MATCH(1,(AL$2=Table14[Column1])*($X38=Table14[Year]),0)),"")</f>
        <v>0.06</v>
      </c>
      <c r="AM38" s="28" cm="1">
        <f t="array" ref="AM38">_xlfn.IFNA(INDEX(Table14[Ávöxtun],MATCH(1,(AM$2=Table14[Column1])*($X38=Table14[Year]),0)),"")</f>
        <v>0.06</v>
      </c>
      <c r="AN38" s="28" t="str" cm="1">
        <f t="array" ref="AN38">_xlfn.IFNA(INDEX(Table14[Ávöxtun],MATCH(1,(AN$2=Table14[Column1])*($X38=Table14[Year]),0)),"")</f>
        <v/>
      </c>
      <c r="AO38" s="28" cm="1">
        <f t="array" ref="AO38">_xlfn.IFNA(INDEX(Table14[Ávöxtun],MATCH(1,(AO$2=Table14[Column1])*($X38=Table14[Year]),0)),"")</f>
        <v>0.01</v>
      </c>
      <c r="AP38" s="28" t="str" cm="1">
        <f t="array" ref="AP38">_xlfn.IFNA(INDEX(Table14[Ávöxtun],MATCH(1,(AP$2=Table14[Column1])*($X38=Table14[Year]),0)),"")</f>
        <v/>
      </c>
      <c r="AQ38" s="28" cm="1">
        <f t="array" ref="AQ38">_xlfn.IFNA(INDEX(Table14[Ávöxtun],MATCH(1,(AQ$2=Table14[Column1])*($X38=Table14[Year]),0)),"")</f>
        <v>0.09</v>
      </c>
      <c r="AR38" s="28" t="str" cm="1">
        <f t="array" ref="AR38">_xlfn.IFNA(INDEX(Table14[Ávöxtun],MATCH(1,(AR$2=Table14[Column1])*($X38=Table14[Year]),0)),"")</f>
        <v/>
      </c>
      <c r="AS38" s="28" t="str" cm="1">
        <f t="array" ref="AS38">_xlfn.IFNA(INDEX(Table14[Ávöxtun],MATCH(1,(AS$2=Table14[Column1])*($X38=Table14[Year]),0)),"")</f>
        <v/>
      </c>
      <c r="AT38" s="28" cm="1">
        <f t="array" ref="AT38">_xlfn.IFNA(INDEX(Table14[Ávöxtun],MATCH(1,(AT$2=Table14[Column1])*($X38=Table14[Year]),0)),"")</f>
        <v>0.06</v>
      </c>
      <c r="AU38" s="28" t="str" cm="1">
        <f t="array" ref="AU38">_xlfn.IFNA(INDEX(Table14[Ávöxtun],MATCH(1,(AU$2=Table14[Column1])*($X38=Table14[Year]),0)),"")</f>
        <v/>
      </c>
      <c r="AV38" s="28" t="str" cm="1">
        <f t="array" ref="AV38">_xlfn.IFNA(INDEX(Table14[Ávöxtun],MATCH(1,(AV$2=Table14[Column1])*($X38=Table14[Year]),0)),"")</f>
        <v/>
      </c>
      <c r="AW38" s="28" t="str" cm="1">
        <f t="array" ref="AW38">_xlfn.IFNA(INDEX(Table14[Ávöxtun],MATCH(1,(AW$2=Table14[Column1])*($X38=Table14[Year]),0)),"")</f>
        <v/>
      </c>
      <c r="AX38" s="28" cm="1">
        <f t="array" ref="AX38">_xlfn.IFNA(INDEX(Table14[Ávöxtun],MATCH(1,(AX$2=Table14[Column1])*($X38=Table14[Year]),0)),"")</f>
        <v>0.12</v>
      </c>
      <c r="AY38" s="28" cm="1">
        <f t="array" ref="AY38">_xlfn.IFNA(INDEX(Table14[Ávöxtun],MATCH(1,(AY$2=Table14[Column1])*($X38=Table14[Year]),0)),"")</f>
        <v>7.0000000000000007E-2</v>
      </c>
      <c r="AZ38" s="28" cm="1">
        <f t="array" ref="AZ38">_xlfn.IFNA(INDEX(Table14[Ávöxtun],MATCH(1,(AZ$2=Table14[Column1])*($X38=Table14[Year]),0)),"")</f>
        <v>0.06</v>
      </c>
      <c r="BA38" s="28" t="str" cm="1">
        <f t="array" ref="BA38">_xlfn.IFNA(INDEX(Table14[Ávöxtun],MATCH(1,(BA$2=Table14[Column1])*($X38=Table14[Year]),0)),"")</f>
        <v/>
      </c>
      <c r="BB38" s="28" t="str" cm="1">
        <f t="array" ref="BB38">_xlfn.IFNA(INDEX(Table14[Ávöxtun],MATCH(1,(BB$2=Table14[Column1])*($X38=Table14[Year]),0)),"")</f>
        <v/>
      </c>
      <c r="BC38" s="28" cm="1">
        <f t="array" ref="BC38">_xlfn.IFNA(INDEX(Table14[Ávöxtun],MATCH(1,(BC$2=Table14[Column1])*($X38=Table14[Year]),0)),"")</f>
        <v>0.09</v>
      </c>
      <c r="BD38" s="28" cm="1">
        <f t="array" ref="BD38">_xlfn.IFNA(INDEX(Table14[Ávöxtun],MATCH(1,(BD$2=Table14[Column1])*($X38=Table14[Year]),0)),"")</f>
        <v>0.06</v>
      </c>
      <c r="BE38" s="28" cm="1">
        <f t="array" ref="BE38">_xlfn.IFNA(INDEX(Table14[Ávöxtun],MATCH(1,(BE$2=Table14[Column1])*($X38=Table14[Year]),0)),"")</f>
        <v>0.25</v>
      </c>
      <c r="BF38" s="28" t="str" cm="1">
        <f t="array" ref="BF38">_xlfn.IFNA(INDEX(Table14[Ávöxtun],MATCH(1,(BF$2=Table14[Column1])*($X38=Table14[Year]),0)),"")</f>
        <v/>
      </c>
      <c r="BG38" s="28" cm="1">
        <f t="array" ref="BG38">_xlfn.IFNA(INDEX(Table14[Ávöxtun],MATCH(1,(BG$2=Table14[Column1])*($X38=Table14[Year]),0)),"")</f>
        <v>0.06</v>
      </c>
      <c r="BH38" s="28" cm="1">
        <f t="array" ref="BH38">_xlfn.IFNA(INDEX(Table14[Ávöxtun],MATCH(1,(BH$2=Table14[Column1])*($X38=Table14[Year]),0)),"")</f>
        <v>7.0000000000000007E-2</v>
      </c>
      <c r="BI38" s="28" cm="1">
        <f t="array" ref="BI38">_xlfn.IFNA(INDEX(Table14[Ávöxtun],MATCH(1,(BI$2=Table14[Column1])*($X38=Table14[Year]),0)),"")</f>
        <v>0.01</v>
      </c>
      <c r="BJ38" s="28" cm="1">
        <f t="array" ref="BJ38">_xlfn.IFNA(INDEX(Table14[Ávöxtun],MATCH(1,(BJ$2=Table14[Column1])*($X38=Table14[Year]),0)),"")</f>
        <v>2.15</v>
      </c>
      <c r="BK38" s="28" t="str" cm="1">
        <f t="array" ref="BK38">_xlfn.IFNA(INDEX(Table14[Ávöxtun],MATCH(1,(BK$2=Table14[Column1])*($X38=Table14[Year]),0)),"")</f>
        <v/>
      </c>
      <c r="BL38" s="28" t="str" cm="1">
        <f t="array" ref="BL38">_xlfn.IFNA(INDEX(Table14[Ávöxtun],MATCH(1,(BL$2=Table14[Column1])*($X38=Table14[Year]),0)),"")</f>
        <v/>
      </c>
      <c r="BM38" s="28" t="str" cm="1">
        <f t="array" ref="BM38">_xlfn.IFNA(INDEX(Table14[Ávöxtun],MATCH(1,(BM$2=Table14[Column1])*($X38=Table14[Year]),0)),"")</f>
        <v/>
      </c>
      <c r="BN38" s="28" t="str" cm="1">
        <f t="array" ref="BN38">_xlfn.IFNA(INDEX(Table14[Ávöxtun],MATCH(1,(BN$2=Table14[Column1])*($X38=Table14[Year]),0)),"")</f>
        <v/>
      </c>
      <c r="BO38" s="28" t="str" cm="1">
        <f t="array" ref="BO38">_xlfn.IFNA(INDEX(Table14[Ávöxtun],MATCH(1,(BO$2=Table14[Column1])*($X38=Table14[Year]),0)),"")</f>
        <v/>
      </c>
      <c r="BP38" s="28" cm="1">
        <f t="array" ref="BP38">_xlfn.IFNA(INDEX(Table14[Ávöxtun],MATCH(1,(BP$2=Table14[Column1])*($X38=Table14[Year]),0)),"")</f>
        <v>0.09</v>
      </c>
      <c r="BQ38" s="28" cm="1">
        <f t="array" ref="BQ38">_xlfn.IFNA(INDEX(Table14[Ávöxtun],MATCH(1,(BQ$2=Table14[Column1])*($X38=Table14[Year]),0)),"")</f>
        <v>7.0000000000000007E-2</v>
      </c>
      <c r="BR38" s="28" cm="1">
        <f t="array" ref="BR38">_xlfn.IFNA(INDEX(Table14[Ávöxtun],MATCH(1,(BR$2=Table14[Column1])*($X38=Table14[Year]),0)),"")</f>
        <v>0.18</v>
      </c>
      <c r="BS38" s="28" t="str" cm="1">
        <f t="array" ref="BS38">_xlfn.IFNA(INDEX(Table14[Ávöxtun],MATCH(1,(BS$2=Table14[Column1])*($X38=Table14[Year]),0)),"")</f>
        <v/>
      </c>
      <c r="BT38" s="28" t="str" cm="1">
        <f t="array" ref="BT38">_xlfn.IFNA(INDEX(Table14[Ávöxtun],MATCH(1,(BT$2=Table14[Column1])*($X38=Table14[Year]),0)),"")</f>
        <v/>
      </c>
      <c r="BU38" s="28" cm="1">
        <f t="array" ref="BU38">_xlfn.IFNA(INDEX(Table14[Ávöxtun],MATCH(1,(BU$2=Table14[Column1])*($X38=Table14[Year]),0)),"")</f>
        <v>0.08</v>
      </c>
      <c r="BV38" s="28" cm="1">
        <f t="array" ref="BV38">_xlfn.IFNA(INDEX(Table14[Ávöxtun],MATCH(1,(BV$2=Table14[Column1])*($X38=Table14[Year]),0)),"")</f>
        <v>0.09</v>
      </c>
      <c r="BW38" s="28" t="str" cm="1">
        <f t="array" ref="BW38">_xlfn.IFNA(INDEX(Table14[Ávöxtun],MATCH(1,(BW$2=Table14[Column1])*($X38=Table14[Year]),0)),"")</f>
        <v/>
      </c>
      <c r="BX38" s="28" t="str" cm="1">
        <f t="array" ref="BX38">_xlfn.IFNA(INDEX(Table14[Ávöxtun],MATCH(1,(BX$2=Table14[Column1])*($X38=Table14[Year]),0)),"")</f>
        <v/>
      </c>
      <c r="BY38" s="28" cm="1">
        <f t="array" ref="BY38">_xlfn.IFNA(INDEX(Table14[Ávöxtun],MATCH(1,(BY$2=Table14[Column1])*($X38=Table14[Year]),0)),"")</f>
        <v>0.09</v>
      </c>
      <c r="BZ38" s="28" cm="1">
        <f t="array" ref="BZ38">_xlfn.IFNA(INDEX(Table14[Ávöxtun],MATCH(1,(BZ$2=Table14[Column1])*($X38=Table14[Year]),0)),"")</f>
        <v>0.13</v>
      </c>
      <c r="CA38" s="28" t="str" cm="1">
        <f t="array" ref="CA38">_xlfn.IFNA(INDEX(Table14[Ávöxtun],MATCH(1,(CA$2=Table14[Column1])*($X38=Table14[Year]),0)),"")</f>
        <v/>
      </c>
      <c r="CB38" s="28" cm="1">
        <f t="array" ref="CB38">_xlfn.IFNA(INDEX(Table14[Ávöxtun],MATCH(1,(CB$2=Table14[Column1])*($X38=Table14[Year]),0)),"")</f>
        <v>0.05</v>
      </c>
      <c r="CC38" s="28" cm="1">
        <f t="array" ref="CC38">_xlfn.IFNA(INDEX(Table14[Ávöxtun],MATCH(1,(CC$2=Table14[Column1])*($X38=Table14[Year]),0)),"")</f>
        <v>0.16</v>
      </c>
      <c r="CD38" s="28" t="str" cm="1">
        <f t="array" ref="CD38">_xlfn.IFNA(INDEX(Table14[Ávöxtun],MATCH(1,(CD$2=Table14[Column1])*($X38=Table14[Year]),0)),"")</f>
        <v/>
      </c>
      <c r="CE38" s="28" cm="1">
        <f t="array" ref="CE38">_xlfn.IFNA(INDEX(Table14[Ávöxtun],MATCH(1,(CE$2=Table14[Column1])*($X38=Table14[Year]),0)),"")</f>
        <v>0.11</v>
      </c>
      <c r="CF38" s="28" cm="1">
        <f t="array" ref="CF38">_xlfn.IFNA(INDEX(Table14[Ávöxtun],MATCH(1,(CF$2=Table14[Column1])*($X38=Table14[Year]),0)),"")</f>
        <v>0.19</v>
      </c>
      <c r="CG38" s="28" cm="1">
        <f t="array" ref="CG38">_xlfn.IFNA(INDEX(Table14[Ávöxtun],MATCH(1,(CG$2=Table14[Column1])*($X38=Table14[Year]),0)),"")</f>
        <v>0.05</v>
      </c>
      <c r="CH38" s="28" cm="1">
        <f t="array" ref="CH38">_xlfn.IFNA(INDEX(Table14[Ávöxtun],MATCH(1,(CH$2=Table14[Column1])*($X38=Table14[Year]),0)),"")</f>
        <v>0.03</v>
      </c>
      <c r="CI38" s="28" cm="1">
        <f t="array" ref="CI38">_xlfn.IFNA(INDEX(Table14[Ávöxtun],MATCH(1,(CI$2=Table14[Column1])*($X38=Table14[Year]),0)),"")</f>
        <v>0.19</v>
      </c>
      <c r="CJ38" s="28" cm="1">
        <f t="array" ref="CJ38">_xlfn.IFNA(INDEX(Table14[Ávöxtun],MATCH(1,(CJ$2=Table14[Column1])*($X38=Table14[Year]),0)),"")</f>
        <v>0.1</v>
      </c>
      <c r="CK38" s="28" cm="1">
        <f t="array" ref="CK38">_xlfn.IFNA(INDEX(Table14[Ávöxtun],MATCH(1,(CK$2=Table14[Column1])*($X38=Table14[Year]),0)),"")</f>
        <v>7.0000000000000007E-2</v>
      </c>
      <c r="CL38" s="28" cm="1">
        <f t="array" ref="CL38">_xlfn.IFNA(INDEX(Table14[Ávöxtun],MATCH(1,(CL$2=Table14[Column1])*($X38=Table14[Year]),0)),"")</f>
        <v>0.06</v>
      </c>
      <c r="CM38" s="28" t="str" cm="1">
        <f t="array" ref="CM38">_xlfn.IFNA(INDEX(Table14[Ávöxtun],MATCH(1,(CM$2=Table14[Column1])*($X38=Table14[Year]),0)),"")</f>
        <v/>
      </c>
      <c r="CN38" s="28" cm="1">
        <f t="array" ref="CN38">_xlfn.IFNA(INDEX(Table14[Ávöxtun],MATCH(1,(CN$2=Table14[Column1])*($X38=Table14[Year]),0)),"")</f>
        <v>0.08</v>
      </c>
      <c r="CO38" s="28" t="str" cm="1">
        <f t="array" ref="CO38">_xlfn.IFNA(INDEX(Table14[Ávöxtun],MATCH(1,(CO$2=Table14[Column1])*($X38=Table14[Year]),0)),"")</f>
        <v/>
      </c>
      <c r="CP38" s="28" t="str" cm="1">
        <f t="array" ref="CP38">_xlfn.IFNA(INDEX(Table14[Ávöxtun],MATCH(1,(CP$2=Table14[Column1])*($X38=Table14[Year]),0)),"")</f>
        <v/>
      </c>
      <c r="CQ38" s="28" cm="1">
        <f t="array" ref="CQ38">_xlfn.IFNA(INDEX(Table14[Ávöxtun],MATCH(1,(CQ$2=Table14[Column1])*($X38=Table14[Year]),0)),"")</f>
        <v>0.06</v>
      </c>
      <c r="CR38" s="28" cm="1">
        <f t="array" ref="CR38">_xlfn.IFNA(INDEX(Table14[Ávöxtun],MATCH(1,(CR$2=Table14[Column1])*($X38=Table14[Year]),0)),"")</f>
        <v>0.12</v>
      </c>
      <c r="CS38" s="28" cm="1">
        <f t="array" ref="CS38">_xlfn.IFNA(INDEX(Table14[Ávöxtun],MATCH(1,(CS$2=Table14[Column1])*($X38=Table14[Year]),0)),"")</f>
        <v>0.12</v>
      </c>
      <c r="CT38" s="28" cm="1">
        <f t="array" ref="CT38">_xlfn.IFNA(INDEX(Table14[Ávöxtun],MATCH(1,(CT$2=Table14[Column1])*($X38=Table14[Year]),0)),"")</f>
        <v>0.11</v>
      </c>
      <c r="CU38" s="28" cm="1">
        <f t="array" ref="CU38">_xlfn.IFNA(INDEX(Table14[Ávöxtun],MATCH(1,(CU$2=Table14[Column1])*($X38=Table14[Year]),0)),"")</f>
        <v>0.11</v>
      </c>
      <c r="CV38" s="28" cm="1">
        <f t="array" ref="CV38">_xlfn.IFNA(INDEX(Table14[Ávöxtun],MATCH(1,(CV$2=Table14[Column1])*($X38=Table14[Year]),0)),"")</f>
        <v>0.14000000000000001</v>
      </c>
      <c r="CW38" s="28" cm="1">
        <f t="array" ref="CW38">_xlfn.IFNA(INDEX(Table14[Ávöxtun],MATCH(1,(CW$2=Table14[Column1])*($X38=Table14[Year]),0)),"")</f>
        <v>0.09</v>
      </c>
      <c r="CX38" s="28" t="str" cm="1">
        <f t="array" ref="CX38">_xlfn.IFNA(INDEX(Table14[Ávöxtun],MATCH(1,(CX$2=Table14[Column1])*($X38=Table14[Year]),0)),"")</f>
        <v/>
      </c>
      <c r="CY38" s="28" t="str" cm="1">
        <f t="array" ref="CY38">_xlfn.IFNA(INDEX(Table14[Ávöxtun],MATCH(1,(CY$2=Table14[Column1])*($X38=Table14[Year]),0)),"")</f>
        <v/>
      </c>
      <c r="CZ38" s="28" cm="1">
        <f t="array" ref="CZ38">_xlfn.IFNA(INDEX(Table14[Ávöxtun],MATCH(1,(CZ$2=Table14[Column1])*($X38=Table14[Year]),0)),"")</f>
        <v>0.13</v>
      </c>
      <c r="DA38" s="28" cm="1">
        <f t="array" ref="DA38">_xlfn.IFNA(INDEX(Table14[Ávöxtun],MATCH(1,(DA$2=Table14[Column1])*($X38=Table14[Year]),0)),"")</f>
        <v>0.3</v>
      </c>
      <c r="DB38" s="28" t="str" cm="1">
        <f t="array" ref="DB38">_xlfn.IFNA(INDEX(Table14[Ávöxtun],MATCH(1,(DB$2=Table14[Column1])*($X38=Table14[Year]),0)),"")</f>
        <v/>
      </c>
      <c r="DC38" s="28" cm="1">
        <f t="array" ref="DC38">_xlfn.IFNA(INDEX(Table14[Ávöxtun],MATCH(1,(DC$2=Table14[Column1])*($X38=Table14[Year]),0)),"")</f>
        <v>0.1</v>
      </c>
      <c r="DD38" s="28" t="str" cm="1">
        <f t="array" ref="DD38">_xlfn.IFNA(INDEX(Table14[Ávöxtun],MATCH(1,(DD$2=Table14[Column1])*($X38=Table14[Year]),0)),"")</f>
        <v/>
      </c>
      <c r="DE38" s="28" t="str" cm="1">
        <f t="array" ref="DE38">_xlfn.IFNA(INDEX(Table14[Ávöxtun],MATCH(1,(DE$2=Table14[Column1])*($X38=Table14[Year]),0)),"")</f>
        <v/>
      </c>
      <c r="DF38" s="28" t="str" cm="1">
        <f t="array" ref="DF38">_xlfn.IFNA(INDEX(Table14[Ávöxtun],MATCH(1,(DF$2=Table14[Column1])*($X38=Table14[Year]),0)),"")</f>
        <v/>
      </c>
    </row>
    <row r="39" spans="1:110">
      <c r="A39" t="s">
        <v>61</v>
      </c>
      <c r="B39">
        <v>1998</v>
      </c>
      <c r="C39" s="16">
        <v>7.0000000000000007E-2</v>
      </c>
      <c r="D39" s="1">
        <v>632094.66</v>
      </c>
      <c r="E39" s="29">
        <f>Table14[[#This Row],[Ávöxtun]]*Table14[[#This Row],[Eignir]]/SUMIFS(Table14[Eignir],Table14[Year],Table14[[#This Row],[Year]])</f>
        <v>1.1297926966561025E-4</v>
      </c>
      <c r="F39" s="23">
        <f>IF(B39=1997, 100, IF(COUNTIF(A$1:A38,A39)=0, "NEW", F38*(1+Table14[[#This Row],[Ávöxtun]])))</f>
        <v>107</v>
      </c>
      <c r="G39" s="18" cm="1">
        <f t="array" ref="G39">IFERROR(_xlfn.IFS(ISNUMBER(Table14[[#This Row],[Column3]]),Table14[[#This Row],[Column3]],Table14[[#This Row],[Column3]]="NEW",Table14[[#This Row],[Column3]]),"")</f>
        <v>107</v>
      </c>
      <c r="H39" s="15" cm="1">
        <f t="array" ref="H39">_xlfn.IFS(Table14[[#This Row],[Column4]]="NEW",AVERAGEIFS(Table14[Column4],Table14[Year],Table14[[#This Row],[Year]]),ISNUMBER(Table14[[#This Row],[Column4]]),Table14[[#This Row],[Column4]],Table14[[#This Row],[Column4]]="",H38*(1+Table14[[#This Row],[Ávöxtun]]))</f>
        <v>107</v>
      </c>
      <c r="I39" cm="1">
        <f t="array" ref="I39">_xlfn.IFS(Table14[[#This Row],[Column4]]="NEW",_xlfn.XLOOKUP(Table14[[#This Row],[Year]],$M$2:$M$27,$O$2:$O$27),ISNUMBER(Table14[[#This Row],[Column4]]),Table14[[#This Row],[Column4]],Table14[[#This Row],[Column4]]="",I38*(1+Table14[[#This Row],[Ávöxtun]]))</f>
        <v>107</v>
      </c>
      <c r="L39" s="33">
        <v>107</v>
      </c>
      <c r="X39">
        <v>2005</v>
      </c>
      <c r="Y39" s="28">
        <f t="shared" si="2"/>
        <v>0.17835940065803957</v>
      </c>
      <c r="Z39" s="28" cm="1">
        <f t="array" ref="Z39">_xlfn.IFNA(INDEX(Table14[Ávöxtun],MATCH(1,(Z$2=Table14[Column1])*($X39=Table14[Year]),0)),"")</f>
        <v>0.1</v>
      </c>
      <c r="AA39" s="28" t="str" cm="1">
        <f t="array" ref="AA39">_xlfn.IFNA(INDEX(Table14[Ávöxtun],MATCH(1,(AA$2=Table14[Column1])*($X39=Table14[Year]),0)),"")</f>
        <v/>
      </c>
      <c r="AB39" s="28" t="str" cm="1">
        <f t="array" ref="AB39">_xlfn.IFNA(INDEX(Table14[Ávöxtun],MATCH(1,(AB$2=Table14[Column1])*($X39=Table14[Year]),0)),"")</f>
        <v/>
      </c>
      <c r="AC39" s="28" t="str" cm="1">
        <f t="array" ref="AC39">_xlfn.IFNA(INDEX(Table14[Ávöxtun],MATCH(1,(AC$2=Table14[Column1])*($X39=Table14[Year]),0)),"")</f>
        <v/>
      </c>
      <c r="AD39" s="28" t="str" cm="1">
        <f t="array" ref="AD39">_xlfn.IFNA(INDEX(Table14[Ávöxtun],MATCH(1,(AD$2=Table14[Column1])*($X39=Table14[Year]),0)),"")</f>
        <v/>
      </c>
      <c r="AE39" s="28" t="str" cm="1">
        <f t="array" ref="AE39">_xlfn.IFNA(INDEX(Table14[Ávöxtun],MATCH(1,(AE$2=Table14[Column1])*($X39=Table14[Year]),0)),"")</f>
        <v/>
      </c>
      <c r="AF39" s="28" t="str" cm="1">
        <f t="array" ref="AF39">_xlfn.IFNA(INDEX(Table14[Ávöxtun],MATCH(1,(AF$2=Table14[Column1])*($X39=Table14[Year]),0)),"")</f>
        <v/>
      </c>
      <c r="AG39" s="28" cm="1">
        <f t="array" ref="AG39">_xlfn.IFNA(INDEX(Table14[Ávöxtun],MATCH(1,(AG$2=Table14[Column1])*($X39=Table14[Year]),0)),"")</f>
        <v>0.08</v>
      </c>
      <c r="AH39" s="28" cm="1">
        <f t="array" ref="AH39">_xlfn.IFNA(INDEX(Table14[Ávöxtun],MATCH(1,(AH$2=Table14[Column1])*($X39=Table14[Year]),0)),"")</f>
        <v>0.01</v>
      </c>
      <c r="AI39" s="28" t="str" cm="1">
        <f t="array" ref="AI39">_xlfn.IFNA(INDEX(Table14[Ávöxtun],MATCH(1,(AI$2=Table14[Column1])*($X39=Table14[Year]),0)),"")</f>
        <v/>
      </c>
      <c r="AJ39" s="28" cm="1">
        <f t="array" ref="AJ39">_xlfn.IFNA(INDEX(Table14[Ávöxtun],MATCH(1,(AJ$2=Table14[Column1])*($X39=Table14[Year]),0)),"")</f>
        <v>0.1</v>
      </c>
      <c r="AK39" s="28" cm="1">
        <f t="array" ref="AK39">_xlfn.IFNA(INDEX(Table14[Ávöxtun],MATCH(1,(AK$2=Table14[Column1])*($X39=Table14[Year]),0)),"")</f>
        <v>0.06</v>
      </c>
      <c r="AL39" s="28" cm="1">
        <f t="array" ref="AL39">_xlfn.IFNA(INDEX(Table14[Ávöxtun],MATCH(1,(AL$2=Table14[Column1])*($X39=Table14[Year]),0)),"")</f>
        <v>7.0000000000000007E-2</v>
      </c>
      <c r="AM39" s="28" cm="1">
        <f t="array" ref="AM39">_xlfn.IFNA(INDEX(Table14[Ávöxtun],MATCH(1,(AM$2=Table14[Column1])*($X39=Table14[Year]),0)),"")</f>
        <v>0.08</v>
      </c>
      <c r="AN39" s="28" t="str" cm="1">
        <f t="array" ref="AN39">_xlfn.IFNA(INDEX(Table14[Ávöxtun],MATCH(1,(AN$2=Table14[Column1])*($X39=Table14[Year]),0)),"")</f>
        <v/>
      </c>
      <c r="AO39" s="28" cm="1">
        <f t="array" ref="AO39">_xlfn.IFNA(INDEX(Table14[Ávöxtun],MATCH(1,(AO$2=Table14[Column1])*($X39=Table14[Year]),0)),"")</f>
        <v>0</v>
      </c>
      <c r="AP39" s="28" t="str" cm="1">
        <f t="array" ref="AP39">_xlfn.IFNA(INDEX(Table14[Ávöxtun],MATCH(1,(AP$2=Table14[Column1])*($X39=Table14[Year]),0)),"")</f>
        <v/>
      </c>
      <c r="AQ39" s="28" cm="1">
        <f t="array" ref="AQ39">_xlfn.IFNA(INDEX(Table14[Ávöxtun],MATCH(1,(AQ$2=Table14[Column1])*($X39=Table14[Year]),0)),"")</f>
        <v>0.12</v>
      </c>
      <c r="AR39" s="28" cm="1">
        <f t="array" ref="AR39">_xlfn.IFNA(INDEX(Table14[Ávöxtun],MATCH(1,(AR$2=Table14[Column1])*($X39=Table14[Year]),0)),"")</f>
        <v>0.18</v>
      </c>
      <c r="AS39" s="28" t="str" cm="1">
        <f t="array" ref="AS39">_xlfn.IFNA(INDEX(Table14[Ávöxtun],MATCH(1,(AS$2=Table14[Column1])*($X39=Table14[Year]),0)),"")</f>
        <v/>
      </c>
      <c r="AT39" s="28" cm="1">
        <f t="array" ref="AT39">_xlfn.IFNA(INDEX(Table14[Ávöxtun],MATCH(1,(AT$2=Table14[Column1])*($X39=Table14[Year]),0)),"")</f>
        <v>0.1</v>
      </c>
      <c r="AU39" s="28" t="str" cm="1">
        <f t="array" ref="AU39">_xlfn.IFNA(INDEX(Table14[Ávöxtun],MATCH(1,(AU$2=Table14[Column1])*($X39=Table14[Year]),0)),"")</f>
        <v/>
      </c>
      <c r="AV39" s="28" t="str" cm="1">
        <f t="array" ref="AV39">_xlfn.IFNA(INDEX(Table14[Ávöxtun],MATCH(1,(AV$2=Table14[Column1])*($X39=Table14[Year]),0)),"")</f>
        <v/>
      </c>
      <c r="AW39" s="28" t="str" cm="1">
        <f t="array" ref="AW39">_xlfn.IFNA(INDEX(Table14[Ávöxtun],MATCH(1,(AW$2=Table14[Column1])*($X39=Table14[Year]),0)),"")</f>
        <v/>
      </c>
      <c r="AX39" s="28" cm="1">
        <f t="array" ref="AX39">_xlfn.IFNA(INDEX(Table14[Ávöxtun],MATCH(1,(AX$2=Table14[Column1])*($X39=Table14[Year]),0)),"")</f>
        <v>0.12</v>
      </c>
      <c r="AY39" s="28" cm="1">
        <f t="array" ref="AY39">_xlfn.IFNA(INDEX(Table14[Ávöxtun],MATCH(1,(AY$2=Table14[Column1])*($X39=Table14[Year]),0)),"")</f>
        <v>0.06</v>
      </c>
      <c r="AZ39" s="28" cm="1">
        <f t="array" ref="AZ39">_xlfn.IFNA(INDEX(Table14[Ávöxtun],MATCH(1,(AZ$2=Table14[Column1])*($X39=Table14[Year]),0)),"")</f>
        <v>0.05</v>
      </c>
      <c r="BA39" s="28" t="str" cm="1">
        <f t="array" ref="BA39">_xlfn.IFNA(INDEX(Table14[Ávöxtun],MATCH(1,(BA$2=Table14[Column1])*($X39=Table14[Year]),0)),"")</f>
        <v/>
      </c>
      <c r="BB39" s="28" t="str" cm="1">
        <f t="array" ref="BB39">_xlfn.IFNA(INDEX(Table14[Ávöxtun],MATCH(1,(BB$2=Table14[Column1])*($X39=Table14[Year]),0)),"")</f>
        <v/>
      </c>
      <c r="BC39" s="28" cm="1">
        <f t="array" ref="BC39">_xlfn.IFNA(INDEX(Table14[Ávöxtun],MATCH(1,(BC$2=Table14[Column1])*($X39=Table14[Year]),0)),"")</f>
        <v>0.1</v>
      </c>
      <c r="BD39" s="28" cm="1">
        <f t="array" ref="BD39">_xlfn.IFNA(INDEX(Table14[Ávöxtun],MATCH(1,(BD$2=Table14[Column1])*($X39=Table14[Year]),0)),"")</f>
        <v>0.08</v>
      </c>
      <c r="BE39" s="28" cm="1">
        <f t="array" ref="BE39">_xlfn.IFNA(INDEX(Table14[Ávöxtun],MATCH(1,(BE$2=Table14[Column1])*($X39=Table14[Year]),0)),"")</f>
        <v>0.18</v>
      </c>
      <c r="BF39" s="28" t="str" cm="1">
        <f t="array" ref="BF39">_xlfn.IFNA(INDEX(Table14[Ávöxtun],MATCH(1,(BF$2=Table14[Column1])*($X39=Table14[Year]),0)),"")</f>
        <v/>
      </c>
      <c r="BG39" s="28" cm="1">
        <f t="array" ref="BG39">_xlfn.IFNA(INDEX(Table14[Ávöxtun],MATCH(1,(BG$2=Table14[Column1])*($X39=Table14[Year]),0)),"")</f>
        <v>0</v>
      </c>
      <c r="BH39" s="28" cm="1">
        <f t="array" ref="BH39">_xlfn.IFNA(INDEX(Table14[Ávöxtun],MATCH(1,(BH$2=Table14[Column1])*($X39=Table14[Year]),0)),"")</f>
        <v>0.03</v>
      </c>
      <c r="BI39" s="28" cm="1">
        <f t="array" ref="BI39">_xlfn.IFNA(INDEX(Table14[Ávöxtun],MATCH(1,(BI$2=Table14[Column1])*($X39=Table14[Year]),0)),"")</f>
        <v>0.02</v>
      </c>
      <c r="BJ39" s="28" cm="1">
        <f t="array" ref="BJ39">_xlfn.IFNA(INDEX(Table14[Ávöxtun],MATCH(1,(BJ$2=Table14[Column1])*($X39=Table14[Year]),0)),"")</f>
        <v>0</v>
      </c>
      <c r="BK39" s="28" t="str" cm="1">
        <f t="array" ref="BK39">_xlfn.IFNA(INDEX(Table14[Ávöxtun],MATCH(1,(BK$2=Table14[Column1])*($X39=Table14[Year]),0)),"")</f>
        <v/>
      </c>
      <c r="BL39" s="28" t="str" cm="1">
        <f t="array" ref="BL39">_xlfn.IFNA(INDEX(Table14[Ávöxtun],MATCH(1,(BL$2=Table14[Column1])*($X39=Table14[Year]),0)),"")</f>
        <v/>
      </c>
      <c r="BM39" s="28" t="str" cm="1">
        <f t="array" ref="BM39">_xlfn.IFNA(INDEX(Table14[Ávöxtun],MATCH(1,(BM$2=Table14[Column1])*($X39=Table14[Year]),0)),"")</f>
        <v/>
      </c>
      <c r="BN39" s="28" t="str" cm="1">
        <f t="array" ref="BN39">_xlfn.IFNA(INDEX(Table14[Ávöxtun],MATCH(1,(BN$2=Table14[Column1])*($X39=Table14[Year]),0)),"")</f>
        <v/>
      </c>
      <c r="BO39" s="28" t="str" cm="1">
        <f t="array" ref="BO39">_xlfn.IFNA(INDEX(Table14[Ávöxtun],MATCH(1,(BO$2=Table14[Column1])*($X39=Table14[Year]),0)),"")</f>
        <v/>
      </c>
      <c r="BP39" s="28" cm="1">
        <f t="array" ref="BP39">_xlfn.IFNA(INDEX(Table14[Ávöxtun],MATCH(1,(BP$2=Table14[Column1])*($X39=Table14[Year]),0)),"")</f>
        <v>0.1</v>
      </c>
      <c r="BQ39" s="28" cm="1">
        <f t="array" ref="BQ39">_xlfn.IFNA(INDEX(Table14[Ávöxtun],MATCH(1,(BQ$2=Table14[Column1])*($X39=Table14[Year]),0)),"")</f>
        <v>0.08</v>
      </c>
      <c r="BR39" s="28" cm="1">
        <f t="array" ref="BR39">_xlfn.IFNA(INDEX(Table14[Ávöxtun],MATCH(1,(BR$2=Table14[Column1])*($X39=Table14[Year]),0)),"")</f>
        <v>0.16</v>
      </c>
      <c r="BS39" s="28" t="str" cm="1">
        <f t="array" ref="BS39">_xlfn.IFNA(INDEX(Table14[Ávöxtun],MATCH(1,(BS$2=Table14[Column1])*($X39=Table14[Year]),0)),"")</f>
        <v/>
      </c>
      <c r="BT39" s="28" t="str" cm="1">
        <f t="array" ref="BT39">_xlfn.IFNA(INDEX(Table14[Ávöxtun],MATCH(1,(BT$2=Table14[Column1])*($X39=Table14[Year]),0)),"")</f>
        <v/>
      </c>
      <c r="BU39" s="28" cm="1">
        <f t="array" ref="BU39">_xlfn.IFNA(INDEX(Table14[Ávöxtun],MATCH(1,(BU$2=Table14[Column1])*($X39=Table14[Year]),0)),"")</f>
        <v>0.09</v>
      </c>
      <c r="BV39" s="28" cm="1">
        <f t="array" ref="BV39">_xlfn.IFNA(INDEX(Table14[Ávöxtun],MATCH(1,(BV$2=Table14[Column1])*($X39=Table14[Year]),0)),"")</f>
        <v>0.14000000000000001</v>
      </c>
      <c r="BW39" s="28" t="str" cm="1">
        <f t="array" ref="BW39">_xlfn.IFNA(INDEX(Table14[Ávöxtun],MATCH(1,(BW$2=Table14[Column1])*($X39=Table14[Year]),0)),"")</f>
        <v/>
      </c>
      <c r="BX39" s="28" t="str" cm="1">
        <f t="array" ref="BX39">_xlfn.IFNA(INDEX(Table14[Ávöxtun],MATCH(1,(BX$2=Table14[Column1])*($X39=Table14[Year]),0)),"")</f>
        <v/>
      </c>
      <c r="BY39" s="28" cm="1">
        <f t="array" ref="BY39">_xlfn.IFNA(INDEX(Table14[Ávöxtun],MATCH(1,(BY$2=Table14[Column1])*($X39=Table14[Year]),0)),"")</f>
        <v>0.08</v>
      </c>
      <c r="BZ39" s="28" cm="1">
        <f t="array" ref="BZ39">_xlfn.IFNA(INDEX(Table14[Ávöxtun],MATCH(1,(BZ$2=Table14[Column1])*($X39=Table14[Year]),0)),"")</f>
        <v>0.14000000000000001</v>
      </c>
      <c r="CA39" s="28" t="str" cm="1">
        <f t="array" ref="CA39">_xlfn.IFNA(INDEX(Table14[Ávöxtun],MATCH(1,(CA$2=Table14[Column1])*($X39=Table14[Year]),0)),"")</f>
        <v/>
      </c>
      <c r="CB39" s="28" cm="1">
        <f t="array" ref="CB39">_xlfn.IFNA(INDEX(Table14[Ávöxtun],MATCH(1,(CB$2=Table14[Column1])*($X39=Table14[Year]),0)),"")</f>
        <v>0.06</v>
      </c>
      <c r="CC39" s="28" t="str" cm="1">
        <f t="array" ref="CC39">_xlfn.IFNA(INDEX(Table14[Ávöxtun],MATCH(1,(CC$2=Table14[Column1])*($X39=Table14[Year]),0)),"")</f>
        <v/>
      </c>
      <c r="CD39" s="28" t="str" cm="1">
        <f t="array" ref="CD39">_xlfn.IFNA(INDEX(Table14[Ávöxtun],MATCH(1,(CD$2=Table14[Column1])*($X39=Table14[Year]),0)),"")</f>
        <v/>
      </c>
      <c r="CE39" s="28" cm="1">
        <f t="array" ref="CE39">_xlfn.IFNA(INDEX(Table14[Ávöxtun],MATCH(1,(CE$2=Table14[Column1])*($X39=Table14[Year]),0)),"")</f>
        <v>0.1</v>
      </c>
      <c r="CF39" s="28" cm="1">
        <f t="array" ref="CF39">_xlfn.IFNA(INDEX(Table14[Ávöxtun],MATCH(1,(CF$2=Table14[Column1])*($X39=Table14[Year]),0)),"")</f>
        <v>0.16</v>
      </c>
      <c r="CG39" s="28" cm="1">
        <f t="array" ref="CG39">_xlfn.IFNA(INDEX(Table14[Ávöxtun],MATCH(1,(CG$2=Table14[Column1])*($X39=Table14[Year]),0)),"")</f>
        <v>0.15</v>
      </c>
      <c r="CH39" s="28" cm="1">
        <f t="array" ref="CH39">_xlfn.IFNA(INDEX(Table14[Ávöxtun],MATCH(1,(CH$2=Table14[Column1])*($X39=Table14[Year]),0)),"")</f>
        <v>0.03</v>
      </c>
      <c r="CI39" s="28" cm="1">
        <f t="array" ref="CI39">_xlfn.IFNA(INDEX(Table14[Ávöxtun],MATCH(1,(CI$2=Table14[Column1])*($X39=Table14[Year]),0)),"")</f>
        <v>0.28000000000000003</v>
      </c>
      <c r="CJ39" s="28" cm="1">
        <f t="array" ref="CJ39">_xlfn.IFNA(INDEX(Table14[Ávöxtun],MATCH(1,(CJ$2=Table14[Column1])*($X39=Table14[Year]),0)),"")</f>
        <v>0.14000000000000001</v>
      </c>
      <c r="CK39" s="28" cm="1">
        <f t="array" ref="CK39">_xlfn.IFNA(INDEX(Table14[Ávöxtun],MATCH(1,(CK$2=Table14[Column1])*($X39=Table14[Year]),0)),"")</f>
        <v>0.05</v>
      </c>
      <c r="CL39" s="28" t="str" cm="1">
        <f t="array" ref="CL39">_xlfn.IFNA(INDEX(Table14[Ávöxtun],MATCH(1,(CL$2=Table14[Column1])*($X39=Table14[Year]),0)),"")</f>
        <v/>
      </c>
      <c r="CM39" s="28" t="str" cm="1">
        <f t="array" ref="CM39">_xlfn.IFNA(INDEX(Table14[Ávöxtun],MATCH(1,(CM$2=Table14[Column1])*($X39=Table14[Year]),0)),"")</f>
        <v/>
      </c>
      <c r="CN39" s="28" cm="1">
        <f t="array" ref="CN39">_xlfn.IFNA(INDEX(Table14[Ávöxtun],MATCH(1,(CN$2=Table14[Column1])*($X39=Table14[Year]),0)),"")</f>
        <v>7.0000000000000007E-2</v>
      </c>
      <c r="CO39" s="28" t="str" cm="1">
        <f t="array" ref="CO39">_xlfn.IFNA(INDEX(Table14[Ávöxtun],MATCH(1,(CO$2=Table14[Column1])*($X39=Table14[Year]),0)),"")</f>
        <v/>
      </c>
      <c r="CP39" s="28" t="str" cm="1">
        <f t="array" ref="CP39">_xlfn.IFNA(INDEX(Table14[Ávöxtun],MATCH(1,(CP$2=Table14[Column1])*($X39=Table14[Year]),0)),"")</f>
        <v/>
      </c>
      <c r="CQ39" s="28" cm="1">
        <f t="array" ref="CQ39">_xlfn.IFNA(INDEX(Table14[Ávöxtun],MATCH(1,(CQ$2=Table14[Column1])*($X39=Table14[Year]),0)),"")</f>
        <v>0.11</v>
      </c>
      <c r="CR39" s="28" cm="1">
        <f t="array" ref="CR39">_xlfn.IFNA(INDEX(Table14[Ávöxtun],MATCH(1,(CR$2=Table14[Column1])*($X39=Table14[Year]),0)),"")</f>
        <v>0.16</v>
      </c>
      <c r="CS39" s="28" cm="1">
        <f t="array" ref="CS39">_xlfn.IFNA(INDEX(Table14[Ávöxtun],MATCH(1,(CS$2=Table14[Column1])*($X39=Table14[Year]),0)),"")</f>
        <v>0.17</v>
      </c>
      <c r="CT39" s="28" cm="1">
        <f t="array" ref="CT39">_xlfn.IFNA(INDEX(Table14[Ávöxtun],MATCH(1,(CT$2=Table14[Column1])*($X39=Table14[Year]),0)),"")</f>
        <v>0.12</v>
      </c>
      <c r="CU39" s="28" cm="1">
        <f t="array" ref="CU39">_xlfn.IFNA(INDEX(Table14[Ávöxtun],MATCH(1,(CU$2=Table14[Column1])*($X39=Table14[Year]),0)),"")</f>
        <v>0.1</v>
      </c>
      <c r="CV39" s="28" t="str" cm="1">
        <f t="array" ref="CV39">_xlfn.IFNA(INDEX(Table14[Ávöxtun],MATCH(1,(CV$2=Table14[Column1])*($X39=Table14[Year]),0)),"")</f>
        <v/>
      </c>
      <c r="CW39" s="28" cm="1">
        <f t="array" ref="CW39">_xlfn.IFNA(INDEX(Table14[Ávöxtun],MATCH(1,(CW$2=Table14[Column1])*($X39=Table14[Year]),0)),"")</f>
        <v>0.11</v>
      </c>
      <c r="CX39" s="28" t="str" cm="1">
        <f t="array" ref="CX39">_xlfn.IFNA(INDEX(Table14[Ávöxtun],MATCH(1,(CX$2=Table14[Column1])*($X39=Table14[Year]),0)),"")</f>
        <v/>
      </c>
      <c r="CY39" s="28" t="str" cm="1">
        <f t="array" ref="CY39">_xlfn.IFNA(INDEX(Table14[Ávöxtun],MATCH(1,(CY$2=Table14[Column1])*($X39=Table14[Year]),0)),"")</f>
        <v/>
      </c>
      <c r="CZ39" s="28" cm="1">
        <f t="array" ref="CZ39">_xlfn.IFNA(INDEX(Table14[Ávöxtun],MATCH(1,(CZ$2=Table14[Column1])*($X39=Table14[Year]),0)),"")</f>
        <v>0.24</v>
      </c>
      <c r="DA39" s="28" cm="1">
        <f t="array" ref="DA39">_xlfn.IFNA(INDEX(Table14[Ávöxtun],MATCH(1,(DA$2=Table14[Column1])*($X39=Table14[Year]),0)),"")</f>
        <v>0.28000000000000003</v>
      </c>
      <c r="DB39" s="28" t="str" cm="1">
        <f t="array" ref="DB39">_xlfn.IFNA(INDEX(Table14[Ávöxtun],MATCH(1,(DB$2=Table14[Column1])*($X39=Table14[Year]),0)),"")</f>
        <v/>
      </c>
      <c r="DC39" s="28" cm="1">
        <f t="array" ref="DC39">_xlfn.IFNA(INDEX(Table14[Ávöxtun],MATCH(1,(DC$2=Table14[Column1])*($X39=Table14[Year]),0)),"")</f>
        <v>0.13</v>
      </c>
      <c r="DD39" s="28" t="str" cm="1">
        <f t="array" ref="DD39">_xlfn.IFNA(INDEX(Table14[Ávöxtun],MATCH(1,(DD$2=Table14[Column1])*($X39=Table14[Year]),0)),"")</f>
        <v/>
      </c>
      <c r="DE39" s="28" t="str" cm="1">
        <f t="array" ref="DE39">_xlfn.IFNA(INDEX(Table14[Ávöxtun],MATCH(1,(DE$2=Table14[Column1])*($X39=Table14[Year]),0)),"")</f>
        <v/>
      </c>
      <c r="DF39" s="28" t="str" cm="1">
        <f t="array" ref="DF39">_xlfn.IFNA(INDEX(Table14[Ávöxtun],MATCH(1,(DF$2=Table14[Column1])*($X39=Table14[Year]),0)),"")</f>
        <v/>
      </c>
    </row>
    <row r="40" spans="1:110">
      <c r="A40" t="s">
        <v>61</v>
      </c>
      <c r="B40">
        <v>1999</v>
      </c>
      <c r="C40" s="16">
        <v>0.08</v>
      </c>
      <c r="D40" s="1">
        <v>665400.62</v>
      </c>
      <c r="E40" s="29">
        <f>Table14[[#This Row],[Ávöxtun]]*Table14[[#This Row],[Eignir]]/SUMIFS(Table14[Eignir],Table14[Year],Table14[[#This Row],[Year]])</f>
        <v>1.0222843053898669E-4</v>
      </c>
      <c r="F40" s="23">
        <f>IF(B40=1997, 100, IF(COUNTIF(A$1:A39,A40)=0, "NEW", F39*(1+Table14[[#This Row],[Ávöxtun]])))</f>
        <v>115.56</v>
      </c>
      <c r="G40" s="18" cm="1">
        <f t="array" ref="G40">IFERROR(_xlfn.IFS(ISNUMBER(Table14[[#This Row],[Column3]]),Table14[[#This Row],[Column3]],Table14[[#This Row],[Column3]]="NEW",Table14[[#This Row],[Column3]]),"")</f>
        <v>115.56</v>
      </c>
      <c r="H40" s="15" cm="1">
        <f t="array" ref="H40">_xlfn.IFS(Table14[[#This Row],[Column4]]="NEW",AVERAGEIFS(Table14[Column4],Table14[Year],Table14[[#This Row],[Year]]),ISNUMBER(Table14[[#This Row],[Column4]]),Table14[[#This Row],[Column4]],Table14[[#This Row],[Column4]]="",H39*(1+Table14[[#This Row],[Ávöxtun]]))</f>
        <v>115.56</v>
      </c>
      <c r="I40" cm="1">
        <f t="array" ref="I40">_xlfn.IFS(Table14[[#This Row],[Column4]]="NEW",_xlfn.XLOOKUP(Table14[[#This Row],[Year]],$M$2:$M$27,$O$2:$O$27),ISNUMBER(Table14[[#This Row],[Column4]]),Table14[[#This Row],[Column4]],Table14[[#This Row],[Column4]]="",I39*(1+Table14[[#This Row],[Ávöxtun]]))</f>
        <v>115.56</v>
      </c>
      <c r="L40" s="33">
        <v>115.56</v>
      </c>
      <c r="X40">
        <v>2006</v>
      </c>
      <c r="Y40" s="28">
        <f t="shared" si="2"/>
        <v>0.14096750589979146</v>
      </c>
      <c r="Z40" s="28" cm="1">
        <f t="array" ref="Z40">_xlfn.IFNA(INDEX(Table14[Ávöxtun],MATCH(1,(Z$2=Table14[Column1])*($X40=Table14[Year]),0)),"")</f>
        <v>0.26400000000000001</v>
      </c>
      <c r="AA40" s="28" t="str" cm="1">
        <f t="array" ref="AA40">_xlfn.IFNA(INDEX(Table14[Ávöxtun],MATCH(1,(AA$2=Table14[Column1])*($X40=Table14[Year]),0)),"")</f>
        <v/>
      </c>
      <c r="AB40" s="28" t="str" cm="1">
        <f t="array" ref="AB40">_xlfn.IFNA(INDEX(Table14[Ávöxtun],MATCH(1,(AB$2=Table14[Column1])*($X40=Table14[Year]),0)),"")</f>
        <v/>
      </c>
      <c r="AC40" s="28" t="str" cm="1">
        <f t="array" ref="AC40">_xlfn.IFNA(INDEX(Table14[Ávöxtun],MATCH(1,(AC$2=Table14[Column1])*($X40=Table14[Year]),0)),"")</f>
        <v/>
      </c>
      <c r="AD40" s="28" t="str" cm="1">
        <f t="array" ref="AD40">_xlfn.IFNA(INDEX(Table14[Ávöxtun],MATCH(1,(AD$2=Table14[Column1])*($X40=Table14[Year]),0)),"")</f>
        <v/>
      </c>
      <c r="AE40" s="28" t="str" cm="1">
        <f t="array" ref="AE40">_xlfn.IFNA(INDEX(Table14[Ávöxtun],MATCH(1,(AE$2=Table14[Column1])*($X40=Table14[Year]),0)),"")</f>
        <v/>
      </c>
      <c r="AF40" s="28" t="str" cm="1">
        <f t="array" ref="AF40">_xlfn.IFNA(INDEX(Table14[Ávöxtun],MATCH(1,(AF$2=Table14[Column1])*($X40=Table14[Year]),0)),"")</f>
        <v/>
      </c>
      <c r="AG40" s="28" cm="1">
        <f t="array" ref="AG40">_xlfn.IFNA(INDEX(Table14[Ávöxtun],MATCH(1,(AG$2=Table14[Column1])*($X40=Table14[Year]),0)),"")</f>
        <v>6.0400000000000002E-2</v>
      </c>
      <c r="AH40" s="28" t="str" cm="1">
        <f t="array" ref="AH40">_xlfn.IFNA(INDEX(Table14[Ávöxtun],MATCH(1,(AH$2=Table14[Column1])*($X40=Table14[Year]),0)),"")</f>
        <v/>
      </c>
      <c r="AI40" s="28" cm="1">
        <f t="array" ref="AI40">_xlfn.IFNA(INDEX(Table14[Ávöxtun],MATCH(1,(AI$2=Table14[Column1])*($X40=Table14[Year]),0)),"")</f>
        <v>1.2500000000000001E-2</v>
      </c>
      <c r="AJ40" s="28" cm="1">
        <f t="array" ref="AJ40">_xlfn.IFNA(INDEX(Table14[Ávöxtun],MATCH(1,(AJ$2=Table14[Column1])*($X40=Table14[Year]),0)),"")</f>
        <v>0.1082</v>
      </c>
      <c r="AK40" s="28" cm="1">
        <f t="array" ref="AK40">_xlfn.IFNA(INDEX(Table14[Ávöxtun],MATCH(1,(AK$2=Table14[Column1])*($X40=Table14[Year]),0)),"")</f>
        <v>5.1299999999999998E-2</v>
      </c>
      <c r="AL40" s="28" cm="1">
        <f t="array" ref="AL40">_xlfn.IFNA(INDEX(Table14[Ávöxtun],MATCH(1,(AL$2=Table14[Column1])*($X40=Table14[Year]),0)),"")</f>
        <v>8.77E-2</v>
      </c>
      <c r="AM40" s="28" cm="1">
        <f t="array" ref="AM40">_xlfn.IFNA(INDEX(Table14[Ávöxtun],MATCH(1,(AM$2=Table14[Column1])*($X40=Table14[Year]),0)),"")</f>
        <v>9.69E-2</v>
      </c>
      <c r="AN40" s="28" t="str" cm="1">
        <f t="array" ref="AN40">_xlfn.IFNA(INDEX(Table14[Ávöxtun],MATCH(1,(AN$2=Table14[Column1])*($X40=Table14[Year]),0)),"")</f>
        <v/>
      </c>
      <c r="AO40" s="28" cm="1">
        <f t="array" ref="AO40">_xlfn.IFNA(INDEX(Table14[Ávöxtun],MATCH(1,(AO$2=Table14[Column1])*($X40=Table14[Year]),0)),"")</f>
        <v>-4.7400000000000005E-2</v>
      </c>
      <c r="AP40" s="28" cm="1">
        <f t="array" ref="AP40">_xlfn.IFNA(INDEX(Table14[Ávöxtun],MATCH(1,(AP$2=Table14[Column1])*($X40=Table14[Year]),0)),"")</f>
        <v>0.1106</v>
      </c>
      <c r="AQ40" s="28" cm="1">
        <f t="array" ref="AQ40">_xlfn.IFNA(INDEX(Table14[Ávöxtun],MATCH(1,(AQ$2=Table14[Column1])*($X40=Table14[Year]),0)),"")</f>
        <v>0.11410000000000001</v>
      </c>
      <c r="AR40" s="28" cm="1">
        <f t="array" ref="AR40">_xlfn.IFNA(INDEX(Table14[Ávöxtun],MATCH(1,(AR$2=Table14[Column1])*($X40=Table14[Year]),0)),"")</f>
        <v>9.3699999999999992E-2</v>
      </c>
      <c r="AS40" s="28" t="str" cm="1">
        <f t="array" ref="AS40">_xlfn.IFNA(INDEX(Table14[Ávöxtun],MATCH(1,(AS$2=Table14[Column1])*($X40=Table14[Year]),0)),"")</f>
        <v/>
      </c>
      <c r="AT40" s="28" cm="1">
        <f t="array" ref="AT40">_xlfn.IFNA(INDEX(Table14[Ávöxtun],MATCH(1,(AT$2=Table14[Column1])*($X40=Table14[Year]),0)),"")</f>
        <v>0.11900000000000001</v>
      </c>
      <c r="AU40" s="28" t="str" cm="1">
        <f t="array" ref="AU40">_xlfn.IFNA(INDEX(Table14[Ávöxtun],MATCH(1,(AU$2=Table14[Column1])*($X40=Table14[Year]),0)),"")</f>
        <v/>
      </c>
      <c r="AV40" s="28" t="str" cm="1">
        <f t="array" ref="AV40">_xlfn.IFNA(INDEX(Table14[Ávöxtun],MATCH(1,(AV$2=Table14[Column1])*($X40=Table14[Year]),0)),"")</f>
        <v/>
      </c>
      <c r="AW40" s="28" t="str" cm="1">
        <f t="array" ref="AW40">_xlfn.IFNA(INDEX(Table14[Ávöxtun],MATCH(1,(AW$2=Table14[Column1])*($X40=Table14[Year]),0)),"")</f>
        <v/>
      </c>
      <c r="AX40" s="28" t="str" cm="1">
        <f t="array" ref="AX40">_xlfn.IFNA(INDEX(Table14[Ávöxtun],MATCH(1,(AX$2=Table14[Column1])*($X40=Table14[Year]),0)),"")</f>
        <v/>
      </c>
      <c r="AY40" s="28" t="str" cm="1">
        <f t="array" ref="AY40">_xlfn.IFNA(INDEX(Table14[Ávöxtun],MATCH(1,(AY$2=Table14[Column1])*($X40=Table14[Year]),0)),"")</f>
        <v/>
      </c>
      <c r="AZ40" s="28" cm="1">
        <f t="array" ref="AZ40">_xlfn.IFNA(INDEX(Table14[Ávöxtun],MATCH(1,(AZ$2=Table14[Column1])*($X40=Table14[Year]),0)),"")</f>
        <v>5.1100000000000007E-2</v>
      </c>
      <c r="BA40" s="28" t="str" cm="1">
        <f t="array" ref="BA40">_xlfn.IFNA(INDEX(Table14[Ávöxtun],MATCH(1,(BA$2=Table14[Column1])*($X40=Table14[Year]),0)),"")</f>
        <v/>
      </c>
      <c r="BB40" s="28" t="str" cm="1">
        <f t="array" ref="BB40">_xlfn.IFNA(INDEX(Table14[Ávöxtun],MATCH(1,(BB$2=Table14[Column1])*($X40=Table14[Year]),0)),"")</f>
        <v/>
      </c>
      <c r="BC40" s="28" cm="1">
        <f t="array" ref="BC40">_xlfn.IFNA(INDEX(Table14[Ávöxtun],MATCH(1,(BC$2=Table14[Column1])*($X40=Table14[Year]),0)),"")</f>
        <v>8.0700000000000008E-2</v>
      </c>
      <c r="BD40" s="28" t="str" cm="1">
        <f t="array" ref="BD40">_xlfn.IFNA(INDEX(Table14[Ávöxtun],MATCH(1,(BD$2=Table14[Column1])*($X40=Table14[Year]),0)),"")</f>
        <v/>
      </c>
      <c r="BE40" s="28" cm="1">
        <f t="array" ref="BE40">_xlfn.IFNA(INDEX(Table14[Ávöxtun],MATCH(1,(BE$2=Table14[Column1])*($X40=Table14[Year]),0)),"")</f>
        <v>8.2699999999999996E-2</v>
      </c>
      <c r="BF40" s="28" t="str" cm="1">
        <f t="array" ref="BF40">_xlfn.IFNA(INDEX(Table14[Ávöxtun],MATCH(1,(BF$2=Table14[Column1])*($X40=Table14[Year]),0)),"")</f>
        <v/>
      </c>
      <c r="BG40" s="28" cm="1">
        <f t="array" ref="BG40">_xlfn.IFNA(INDEX(Table14[Ávöxtun],MATCH(1,(BG$2=Table14[Column1])*($X40=Table14[Year]),0)),"")</f>
        <v>1.6000000000000001E-3</v>
      </c>
      <c r="BH40" s="28" cm="1">
        <f t="array" ref="BH40">_xlfn.IFNA(INDEX(Table14[Ávöxtun],MATCH(1,(BH$2=Table14[Column1])*($X40=Table14[Year]),0)),"")</f>
        <v>0.03</v>
      </c>
      <c r="BI40" s="28" t="str" cm="1">
        <f t="array" ref="BI40">_xlfn.IFNA(INDEX(Table14[Ávöxtun],MATCH(1,(BI$2=Table14[Column1])*($X40=Table14[Year]),0)),"")</f>
        <v/>
      </c>
      <c r="BJ40" s="28" cm="1">
        <f t="array" ref="BJ40">_xlfn.IFNA(INDEX(Table14[Ávöxtun],MATCH(1,(BJ$2=Table14[Column1])*($X40=Table14[Year]),0)),"")</f>
        <v>-1.4499999999999999E-2</v>
      </c>
      <c r="BK40" s="28" t="str" cm="1">
        <f t="array" ref="BK40">_xlfn.IFNA(INDEX(Table14[Ávöxtun],MATCH(1,(BK$2=Table14[Column1])*($X40=Table14[Year]),0)),"")</f>
        <v/>
      </c>
      <c r="BL40" s="28" t="str" cm="1">
        <f t="array" ref="BL40">_xlfn.IFNA(INDEX(Table14[Ávöxtun],MATCH(1,(BL$2=Table14[Column1])*($X40=Table14[Year]),0)),"")</f>
        <v/>
      </c>
      <c r="BM40" s="28" t="str" cm="1">
        <f t="array" ref="BM40">_xlfn.IFNA(INDEX(Table14[Ávöxtun],MATCH(1,(BM$2=Table14[Column1])*($X40=Table14[Year]),0)),"")</f>
        <v/>
      </c>
      <c r="BN40" s="28" t="str" cm="1">
        <f t="array" ref="BN40">_xlfn.IFNA(INDEX(Table14[Ávöxtun],MATCH(1,(BN$2=Table14[Column1])*($X40=Table14[Year]),0)),"")</f>
        <v/>
      </c>
      <c r="BO40" s="28" t="str" cm="1">
        <f t="array" ref="BO40">_xlfn.IFNA(INDEX(Table14[Ávöxtun],MATCH(1,(BO$2=Table14[Column1])*($X40=Table14[Year]),0)),"")</f>
        <v/>
      </c>
      <c r="BP40" s="28" cm="1">
        <f t="array" ref="BP40">_xlfn.IFNA(INDEX(Table14[Ávöxtun],MATCH(1,(BP$2=Table14[Column1])*($X40=Table14[Year]),0)),"")</f>
        <v>8.8300000000000003E-2</v>
      </c>
      <c r="BQ40" s="28" cm="1">
        <f t="array" ref="BQ40">_xlfn.IFNA(INDEX(Table14[Ávöxtun],MATCH(1,(BQ$2=Table14[Column1])*($X40=Table14[Year]),0)),"")</f>
        <v>8.6400000000000005E-2</v>
      </c>
      <c r="BR40" s="28" cm="1">
        <f t="array" ref="BR40">_xlfn.IFNA(INDEX(Table14[Ávöxtun],MATCH(1,(BR$2=Table14[Column1])*($X40=Table14[Year]),0)),"")</f>
        <v>0.156</v>
      </c>
      <c r="BS40" s="28" t="str" cm="1">
        <f t="array" ref="BS40">_xlfn.IFNA(INDEX(Table14[Ávöxtun],MATCH(1,(BS$2=Table14[Column1])*($X40=Table14[Year]),0)),"")</f>
        <v/>
      </c>
      <c r="BT40" s="28" t="str" cm="1">
        <f t="array" ref="BT40">_xlfn.IFNA(INDEX(Table14[Ávöxtun],MATCH(1,(BT$2=Table14[Column1])*($X40=Table14[Year]),0)),"")</f>
        <v/>
      </c>
      <c r="BU40" s="28" cm="1">
        <f t="array" ref="BU40">_xlfn.IFNA(INDEX(Table14[Ávöxtun],MATCH(1,(BU$2=Table14[Column1])*($X40=Table14[Year]),0)),"")</f>
        <v>6.88E-2</v>
      </c>
      <c r="BV40" s="28" cm="1">
        <f t="array" ref="BV40">_xlfn.IFNA(INDEX(Table14[Ávöxtun],MATCH(1,(BV$2=Table14[Column1])*($X40=Table14[Year]),0)),"")</f>
        <v>0.1109</v>
      </c>
      <c r="BW40" s="28" t="str" cm="1">
        <f t="array" ref="BW40">_xlfn.IFNA(INDEX(Table14[Ávöxtun],MATCH(1,(BW$2=Table14[Column1])*($X40=Table14[Year]),0)),"")</f>
        <v/>
      </c>
      <c r="BX40" s="28" t="str" cm="1">
        <f t="array" ref="BX40">_xlfn.IFNA(INDEX(Table14[Ávöxtun],MATCH(1,(BX$2=Table14[Column1])*($X40=Table14[Year]),0)),"")</f>
        <v/>
      </c>
      <c r="BY40" s="28" cm="1">
        <f t="array" ref="BY40">_xlfn.IFNA(INDEX(Table14[Ávöxtun],MATCH(1,(BY$2=Table14[Column1])*($X40=Table14[Year]),0)),"")</f>
        <v>7.4900000000000008E-2</v>
      </c>
      <c r="BZ40" s="28" cm="1">
        <f t="array" ref="BZ40">_xlfn.IFNA(INDEX(Table14[Ávöxtun],MATCH(1,(BZ$2=Table14[Column1])*($X40=Table14[Year]),0)),"")</f>
        <v>8.6400000000000005E-2</v>
      </c>
      <c r="CA40" s="28" t="str" cm="1">
        <f t="array" ref="CA40">_xlfn.IFNA(INDEX(Table14[Ávöxtun],MATCH(1,(CA$2=Table14[Column1])*($X40=Table14[Year]),0)),"")</f>
        <v/>
      </c>
      <c r="CB40" s="28" cm="1">
        <f t="array" ref="CB40">_xlfn.IFNA(INDEX(Table14[Ávöxtun],MATCH(1,(CB$2=Table14[Column1])*($X40=Table14[Year]),0)),"")</f>
        <v>6.7599999999999993E-2</v>
      </c>
      <c r="CC40" s="28" t="str" cm="1">
        <f t="array" ref="CC40">_xlfn.IFNA(INDEX(Table14[Ávöxtun],MATCH(1,(CC$2=Table14[Column1])*($X40=Table14[Year]),0)),"")</f>
        <v/>
      </c>
      <c r="CD40" s="28" t="str" cm="1">
        <f t="array" ref="CD40">_xlfn.IFNA(INDEX(Table14[Ávöxtun],MATCH(1,(CD$2=Table14[Column1])*($X40=Table14[Year]),0)),"")</f>
        <v/>
      </c>
      <c r="CE40" s="28" cm="1">
        <f t="array" ref="CE40">_xlfn.IFNA(INDEX(Table14[Ávöxtun],MATCH(1,(CE$2=Table14[Column1])*($X40=Table14[Year]),0)),"")</f>
        <v>7.0599999999999996E-2</v>
      </c>
      <c r="CF40" s="28" cm="1">
        <f t="array" ref="CF40">_xlfn.IFNA(INDEX(Table14[Ávöxtun],MATCH(1,(CF$2=Table14[Column1])*($X40=Table14[Year]),0)),"")</f>
        <v>6.4600000000000005E-2</v>
      </c>
      <c r="CG40" s="28" cm="1">
        <f t="array" ref="CG40">_xlfn.IFNA(INDEX(Table14[Ávöxtun],MATCH(1,(CG$2=Table14[Column1])*($X40=Table14[Year]),0)),"")</f>
        <v>8.6500000000000007E-2</v>
      </c>
      <c r="CH40" s="28" cm="1">
        <f t="array" ref="CH40">_xlfn.IFNA(INDEX(Table14[Ávöxtun],MATCH(1,(CH$2=Table14[Column1])*($X40=Table14[Year]),0)),"")</f>
        <v>3.8100000000000002E-2</v>
      </c>
      <c r="CI40" s="28" cm="1">
        <f t="array" ref="CI40">_xlfn.IFNA(INDEX(Table14[Ávöxtun],MATCH(1,(CI$2=Table14[Column1])*($X40=Table14[Year]),0)),"")</f>
        <v>0.21829999999999999</v>
      </c>
      <c r="CJ40" s="28" cm="1">
        <f t="array" ref="CJ40">_xlfn.IFNA(INDEX(Table14[Ávöxtun],MATCH(1,(CJ$2=Table14[Column1])*($X40=Table14[Year]),0)),"")</f>
        <v>0.15859999999999999</v>
      </c>
      <c r="CK40" s="28" cm="1">
        <f t="array" ref="CK40">_xlfn.IFNA(INDEX(Table14[Ávöxtun],MATCH(1,(CK$2=Table14[Column1])*($X40=Table14[Year]),0)),"")</f>
        <v>5.0700000000000002E-2</v>
      </c>
      <c r="CL40" s="28" t="str" cm="1">
        <f t="array" ref="CL40">_xlfn.IFNA(INDEX(Table14[Ávöxtun],MATCH(1,(CL$2=Table14[Column1])*($X40=Table14[Year]),0)),"")</f>
        <v/>
      </c>
      <c r="CM40" s="28" t="str" cm="1">
        <f t="array" ref="CM40">_xlfn.IFNA(INDEX(Table14[Ávöxtun],MATCH(1,(CM$2=Table14[Column1])*($X40=Table14[Year]),0)),"")</f>
        <v/>
      </c>
      <c r="CN40" s="28" cm="1">
        <f t="array" ref="CN40">_xlfn.IFNA(INDEX(Table14[Ávöxtun],MATCH(1,(CN$2=Table14[Column1])*($X40=Table14[Year]),0)),"")</f>
        <v>7.6399999999999996E-2</v>
      </c>
      <c r="CO40" s="28" t="str" cm="1">
        <f t="array" ref="CO40">_xlfn.IFNA(INDEX(Table14[Ávöxtun],MATCH(1,(CO$2=Table14[Column1])*($X40=Table14[Year]),0)),"")</f>
        <v/>
      </c>
      <c r="CP40" s="28" t="str" cm="1">
        <f t="array" ref="CP40">_xlfn.IFNA(INDEX(Table14[Ávöxtun],MATCH(1,(CP$2=Table14[Column1])*($X40=Table14[Year]),0)),"")</f>
        <v/>
      </c>
      <c r="CQ40" s="28" cm="1">
        <f t="array" ref="CQ40">_xlfn.IFNA(INDEX(Table14[Ávöxtun],MATCH(1,(CQ$2=Table14[Column1])*($X40=Table14[Year]),0)),"")</f>
        <v>9.6199999999999994E-2</v>
      </c>
      <c r="CR40" s="28" cm="1">
        <f t="array" ref="CR40">_xlfn.IFNA(INDEX(Table14[Ávöxtun],MATCH(1,(CR$2=Table14[Column1])*($X40=Table14[Year]),0)),"")</f>
        <v>0.12620000000000001</v>
      </c>
      <c r="CS40" s="28" cm="1">
        <f t="array" ref="CS40">_xlfn.IFNA(INDEX(Table14[Ávöxtun],MATCH(1,(CS$2=Table14[Column1])*($X40=Table14[Year]),0)),"")</f>
        <v>9.1700000000000004E-2</v>
      </c>
      <c r="CT40" s="28" cm="1">
        <f t="array" ref="CT40">_xlfn.IFNA(INDEX(Table14[Ávöxtun],MATCH(1,(CT$2=Table14[Column1])*($X40=Table14[Year]),0)),"")</f>
        <v>0.12740000000000001</v>
      </c>
      <c r="CU40" s="28" t="str" cm="1">
        <f t="array" ref="CU40">_xlfn.IFNA(INDEX(Table14[Ávöxtun],MATCH(1,(CU$2=Table14[Column1])*($X40=Table14[Year]),0)),"")</f>
        <v/>
      </c>
      <c r="CV40" s="28" t="str" cm="1">
        <f t="array" ref="CV40">_xlfn.IFNA(INDEX(Table14[Ávöxtun],MATCH(1,(CV$2=Table14[Column1])*($X40=Table14[Year]),0)),"")</f>
        <v/>
      </c>
      <c r="CW40" s="28" t="str" cm="1">
        <f t="array" ref="CW40">_xlfn.IFNA(INDEX(Table14[Ávöxtun],MATCH(1,(CW$2=Table14[Column1])*($X40=Table14[Year]),0)),"")</f>
        <v/>
      </c>
      <c r="CX40" s="28" t="str" cm="1">
        <f t="array" ref="CX40">_xlfn.IFNA(INDEX(Table14[Ávöxtun],MATCH(1,(CX$2=Table14[Column1])*($X40=Table14[Year]),0)),"")</f>
        <v/>
      </c>
      <c r="CY40" s="28" t="str" cm="1">
        <f t="array" ref="CY40">_xlfn.IFNA(INDEX(Table14[Ávöxtun],MATCH(1,(CY$2=Table14[Column1])*($X40=Table14[Year]),0)),"")</f>
        <v/>
      </c>
      <c r="CZ40" s="28" cm="1">
        <f t="array" ref="CZ40">_xlfn.IFNA(INDEX(Table14[Ávöxtun],MATCH(1,(CZ$2=Table14[Column1])*($X40=Table14[Year]),0)),"")</f>
        <v>0.23570000000000002</v>
      </c>
      <c r="DA40" s="28" t="str" cm="1">
        <f t="array" ref="DA40">_xlfn.IFNA(INDEX(Table14[Ávöxtun],MATCH(1,(DA$2=Table14[Column1])*($X40=Table14[Year]),0)),"")</f>
        <v/>
      </c>
      <c r="DB40" s="28" t="str" cm="1">
        <f t="array" ref="DB40">_xlfn.IFNA(INDEX(Table14[Ávöxtun],MATCH(1,(DB$2=Table14[Column1])*($X40=Table14[Year]),0)),"")</f>
        <v/>
      </c>
      <c r="DC40" s="28" cm="1">
        <f t="array" ref="DC40">_xlfn.IFNA(INDEX(Table14[Ávöxtun],MATCH(1,(DC$2=Table14[Column1])*($X40=Table14[Year]),0)),"")</f>
        <v>0.105</v>
      </c>
      <c r="DD40" s="28" cm="1">
        <f t="array" ref="DD40">_xlfn.IFNA(INDEX(Table14[Ávöxtun],MATCH(1,(DD$2=Table14[Column1])*($X40=Table14[Year]),0)),"")</f>
        <v>8.9900000000000008E-2</v>
      </c>
      <c r="DE40" s="28" t="str" cm="1">
        <f t="array" ref="DE40">_xlfn.IFNA(INDEX(Table14[Ávöxtun],MATCH(1,(DE$2=Table14[Column1])*($X40=Table14[Year]),0)),"")</f>
        <v/>
      </c>
      <c r="DF40" s="28" t="str" cm="1">
        <f t="array" ref="DF40">_xlfn.IFNA(INDEX(Table14[Ávöxtun],MATCH(1,(DF$2=Table14[Column1])*($X40=Table14[Year]),0)),"")</f>
        <v/>
      </c>
    </row>
    <row r="41" spans="1:110">
      <c r="A41" t="s">
        <v>61</v>
      </c>
      <c r="B41">
        <v>2000</v>
      </c>
      <c r="C41" s="16">
        <v>-0.02</v>
      </c>
      <c r="D41" s="1">
        <v>638557.34</v>
      </c>
      <c r="E41" s="29">
        <f>Table14[[#This Row],[Ávöxtun]]*Table14[[#This Row],[Eignir]]/SUMIFS(Table14[Eignir],Table14[Year],Table14[[#This Row],[Year]])</f>
        <v>-1.7965018490322129E-5</v>
      </c>
      <c r="F41" s="23">
        <f>IF(B41=1997, 100, IF(COUNTIF(A$1:A40,A41)=0, "NEW", F40*(1+Table14[[#This Row],[Ávöxtun]])))</f>
        <v>113.2488</v>
      </c>
      <c r="G41" s="18" cm="1">
        <f t="array" ref="G41">IFERROR(_xlfn.IFS(ISNUMBER(Table14[[#This Row],[Column3]]),Table14[[#This Row],[Column3]],Table14[[#This Row],[Column3]]="NEW",Table14[[#This Row],[Column3]]),"")</f>
        <v>113.2488</v>
      </c>
      <c r="H41" s="15" cm="1">
        <f t="array" ref="H41">_xlfn.IFS(Table14[[#This Row],[Column4]]="NEW",AVERAGEIFS(Table14[Column4],Table14[Year],Table14[[#This Row],[Year]]),ISNUMBER(Table14[[#This Row],[Column4]]),Table14[[#This Row],[Column4]],Table14[[#This Row],[Column4]]="",H40*(1+Table14[[#This Row],[Ávöxtun]]))</f>
        <v>113.2488</v>
      </c>
      <c r="I41" cm="1">
        <f t="array" ref="I41">_xlfn.IFS(Table14[[#This Row],[Column4]]="NEW",_xlfn.XLOOKUP(Table14[[#This Row],[Year]],$M$2:$M$27,$O$2:$O$27),ISNUMBER(Table14[[#This Row],[Column4]]),Table14[[#This Row],[Column4]],Table14[[#This Row],[Column4]]="",I40*(1+Table14[[#This Row],[Ávöxtun]]))</f>
        <v>113.2488</v>
      </c>
      <c r="L41" s="33">
        <v>113.2488</v>
      </c>
      <c r="X41">
        <v>2007</v>
      </c>
      <c r="Y41" s="28">
        <f t="shared" si="2"/>
        <v>7.0230137442581775E-3</v>
      </c>
      <c r="Z41" s="28" cm="1">
        <f t="array" ref="Z41">_xlfn.IFNA(INDEX(Table14[Ávöxtun],MATCH(1,(Z$2=Table14[Column1])*($X41=Table14[Year]),0)),"")</f>
        <v>2.2000000000000002E-2</v>
      </c>
      <c r="AA41" s="28" t="str" cm="1">
        <f t="array" ref="AA41">_xlfn.IFNA(INDEX(Table14[Ávöxtun],MATCH(1,(AA$2=Table14[Column1])*($X41=Table14[Year]),0)),"")</f>
        <v/>
      </c>
      <c r="AB41" s="28" t="str" cm="1">
        <f t="array" ref="AB41">_xlfn.IFNA(INDEX(Table14[Ávöxtun],MATCH(1,(AB$2=Table14[Column1])*($X41=Table14[Year]),0)),"")</f>
        <v/>
      </c>
      <c r="AC41" s="28" t="str" cm="1">
        <f t="array" ref="AC41">_xlfn.IFNA(INDEX(Table14[Ávöxtun],MATCH(1,(AC$2=Table14[Column1])*($X41=Table14[Year]),0)),"")</f>
        <v/>
      </c>
      <c r="AD41" s="28" t="str" cm="1">
        <f t="array" ref="AD41">_xlfn.IFNA(INDEX(Table14[Ávöxtun],MATCH(1,(AD$2=Table14[Column1])*($X41=Table14[Year]),0)),"")</f>
        <v/>
      </c>
      <c r="AE41" s="28" t="str" cm="1">
        <f t="array" ref="AE41">_xlfn.IFNA(INDEX(Table14[Ávöxtun],MATCH(1,(AE$2=Table14[Column1])*($X41=Table14[Year]),0)),"")</f>
        <v/>
      </c>
      <c r="AF41" s="28" t="str" cm="1">
        <f t="array" ref="AF41">_xlfn.IFNA(INDEX(Table14[Ávöxtun],MATCH(1,(AF$2=Table14[Column1])*($X41=Table14[Year]),0)),"")</f>
        <v/>
      </c>
      <c r="AG41" s="28" cm="1">
        <f t="array" ref="AG41">_xlfn.IFNA(INDEX(Table14[Ávöxtun],MATCH(1,(AG$2=Table14[Column1])*($X41=Table14[Year]),0)),"")</f>
        <v>9.8000000000000004E-2</v>
      </c>
      <c r="AH41" s="28" t="str" cm="1">
        <f t="array" ref="AH41">_xlfn.IFNA(INDEX(Table14[Ávöxtun],MATCH(1,(AH$2=Table14[Column1])*($X41=Table14[Year]),0)),"")</f>
        <v/>
      </c>
      <c r="AI41" s="28" cm="1">
        <f t="array" ref="AI41">_xlfn.IFNA(INDEX(Table14[Ávöxtun],MATCH(1,(AI$2=Table14[Column1])*($X41=Table14[Year]),0)),"")</f>
        <v>-5.1000000000000004E-3</v>
      </c>
      <c r="AJ41" s="28" cm="1">
        <f t="array" ref="AJ41">_xlfn.IFNA(INDEX(Table14[Ávöxtun],MATCH(1,(AJ$2=Table14[Column1])*($X41=Table14[Year]),0)),"")</f>
        <v>-1.38E-2</v>
      </c>
      <c r="AK41" s="28" t="str" cm="1">
        <f t="array" ref="AK41">_xlfn.IFNA(INDEX(Table14[Ávöxtun],MATCH(1,(AK$2=Table14[Column1])*($X41=Table14[Year]),0)),"")</f>
        <v/>
      </c>
      <c r="AL41" s="28" cm="1">
        <f t="array" ref="AL41">_xlfn.IFNA(INDEX(Table14[Ávöxtun],MATCH(1,(AL$2=Table14[Column1])*($X41=Table14[Year]),0)),"")</f>
        <v>1.5700000000000002E-2</v>
      </c>
      <c r="AM41" s="28" cm="1">
        <f t="array" ref="AM41">_xlfn.IFNA(INDEX(Table14[Ávöxtun],MATCH(1,(AM$2=Table14[Column1])*($X41=Table14[Year]),0)),"")</f>
        <v>5.9299999999999999E-2</v>
      </c>
      <c r="AN41" s="28" t="str" cm="1">
        <f t="array" ref="AN41">_xlfn.IFNA(INDEX(Table14[Ávöxtun],MATCH(1,(AN$2=Table14[Column1])*($X41=Table14[Year]),0)),"")</f>
        <v/>
      </c>
      <c r="AO41" s="28" cm="1">
        <f t="array" ref="AO41">_xlfn.IFNA(INDEX(Table14[Ávöxtun],MATCH(1,(AO$2=Table14[Column1])*($X41=Table14[Year]),0)),"")</f>
        <v>-3.4599999999999999E-2</v>
      </c>
      <c r="AP41" s="28" cm="1">
        <f t="array" ref="AP41">_xlfn.IFNA(INDEX(Table14[Ávöxtun],MATCH(1,(AP$2=Table14[Column1])*($X41=Table14[Year]),0)),"")</f>
        <v>2.7700000000000002E-2</v>
      </c>
      <c r="AQ41" s="28" cm="1">
        <f t="array" ref="AQ41">_xlfn.IFNA(INDEX(Table14[Ávöxtun],MATCH(1,(AQ$2=Table14[Column1])*($X41=Table14[Year]),0)),"")</f>
        <v>-2.35E-2</v>
      </c>
      <c r="AR41" s="28" cm="1">
        <f t="array" ref="AR41">_xlfn.IFNA(INDEX(Table14[Ávöxtun],MATCH(1,(AR$2=Table14[Column1])*($X41=Table14[Year]),0)),"")</f>
        <v>2.3599999999999999E-2</v>
      </c>
      <c r="AS41" s="28" t="str" cm="1">
        <f t="array" ref="AS41">_xlfn.IFNA(INDEX(Table14[Ávöxtun],MATCH(1,(AS$2=Table14[Column1])*($X41=Table14[Year]),0)),"")</f>
        <v/>
      </c>
      <c r="AT41" s="28" cm="1">
        <f t="array" ref="AT41">_xlfn.IFNA(INDEX(Table14[Ávöxtun],MATCH(1,(AT$2=Table14[Column1])*($X41=Table14[Year]),0)),"")</f>
        <v>1.8000000000000002E-2</v>
      </c>
      <c r="AU41" s="28" cm="1">
        <f t="array" ref="AU41">_xlfn.IFNA(INDEX(Table14[Ávöxtun],MATCH(1,(AU$2=Table14[Column1])*($X41=Table14[Year]),0)),"")</f>
        <v>3.1000000000000003E-2</v>
      </c>
      <c r="AV41" s="28" t="str" cm="1">
        <f t="array" ref="AV41">_xlfn.IFNA(INDEX(Table14[Ávöxtun],MATCH(1,(AV$2=Table14[Column1])*($X41=Table14[Year]),0)),"")</f>
        <v/>
      </c>
      <c r="AW41" s="28" t="str" cm="1">
        <f t="array" ref="AW41">_xlfn.IFNA(INDEX(Table14[Ávöxtun],MATCH(1,(AW$2=Table14[Column1])*($X41=Table14[Year]),0)),"")</f>
        <v/>
      </c>
      <c r="AX41" s="28" t="str" cm="1">
        <f t="array" ref="AX41">_xlfn.IFNA(INDEX(Table14[Ávöxtun],MATCH(1,(AX$2=Table14[Column1])*($X41=Table14[Year]),0)),"")</f>
        <v/>
      </c>
      <c r="AY41" s="28" t="str" cm="1">
        <f t="array" ref="AY41">_xlfn.IFNA(INDEX(Table14[Ávöxtun],MATCH(1,(AY$2=Table14[Column1])*($X41=Table14[Year]),0)),"")</f>
        <v/>
      </c>
      <c r="AZ41" s="28" cm="1">
        <f t="array" ref="AZ41">_xlfn.IFNA(INDEX(Table14[Ávöxtun],MATCH(1,(AZ$2=Table14[Column1])*($X41=Table14[Year]),0)),"")</f>
        <v>3.9700000000000006E-2</v>
      </c>
      <c r="BA41" s="28" t="str" cm="1">
        <f t="array" ref="BA41">_xlfn.IFNA(INDEX(Table14[Ávöxtun],MATCH(1,(BA$2=Table14[Column1])*($X41=Table14[Year]),0)),"")</f>
        <v/>
      </c>
      <c r="BB41" s="28" t="str" cm="1">
        <f t="array" ref="BB41">_xlfn.IFNA(INDEX(Table14[Ávöxtun],MATCH(1,(BB$2=Table14[Column1])*($X41=Table14[Year]),0)),"")</f>
        <v/>
      </c>
      <c r="BC41" s="28" cm="1">
        <f t="array" ref="BC41">_xlfn.IFNA(INDEX(Table14[Ávöxtun],MATCH(1,(BC$2=Table14[Column1])*($X41=Table14[Year]),0)),"")</f>
        <v>1.43E-2</v>
      </c>
      <c r="BD41" s="28" t="str" cm="1">
        <f t="array" ref="BD41">_xlfn.IFNA(INDEX(Table14[Ávöxtun],MATCH(1,(BD$2=Table14[Column1])*($X41=Table14[Year]),0)),"")</f>
        <v/>
      </c>
      <c r="BE41" s="28" cm="1">
        <f t="array" ref="BE41">_xlfn.IFNA(INDEX(Table14[Ávöxtun],MATCH(1,(BE$2=Table14[Column1])*($X41=Table14[Year]),0)),"")</f>
        <v>4.6600000000000003E-2</v>
      </c>
      <c r="BF41" s="28" t="str" cm="1">
        <f t="array" ref="BF41">_xlfn.IFNA(INDEX(Table14[Ávöxtun],MATCH(1,(BF$2=Table14[Column1])*($X41=Table14[Year]),0)),"")</f>
        <v/>
      </c>
      <c r="BG41" s="28" cm="1">
        <f t="array" ref="BG41">_xlfn.IFNA(INDEX(Table14[Ávöxtun],MATCH(1,(BG$2=Table14[Column1])*($X41=Table14[Year]),0)),"")</f>
        <v>5.8999999999999999E-3</v>
      </c>
      <c r="BH41" s="28" cm="1">
        <f t="array" ref="BH41">_xlfn.IFNA(INDEX(Table14[Ávöxtun],MATCH(1,(BH$2=Table14[Column1])*($X41=Table14[Year]),0)),"")</f>
        <v>2.5099999999999997E-2</v>
      </c>
      <c r="BI41" s="28" t="str" cm="1">
        <f t="array" ref="BI41">_xlfn.IFNA(INDEX(Table14[Ávöxtun],MATCH(1,(BI$2=Table14[Column1])*($X41=Table14[Year]),0)),"")</f>
        <v/>
      </c>
      <c r="BJ41" s="28" cm="1">
        <f t="array" ref="BJ41">_xlfn.IFNA(INDEX(Table14[Ávöxtun],MATCH(1,(BJ$2=Table14[Column1])*($X41=Table14[Year]),0)),"")</f>
        <v>-1.47E-2</v>
      </c>
      <c r="BK41" s="28" t="str" cm="1">
        <f t="array" ref="BK41">_xlfn.IFNA(INDEX(Table14[Ávöxtun],MATCH(1,(BK$2=Table14[Column1])*($X41=Table14[Year]),0)),"")</f>
        <v/>
      </c>
      <c r="BL41" s="28" t="str" cm="1">
        <f t="array" ref="BL41">_xlfn.IFNA(INDEX(Table14[Ávöxtun],MATCH(1,(BL$2=Table14[Column1])*($X41=Table14[Year]),0)),"")</f>
        <v/>
      </c>
      <c r="BM41" s="28" t="str" cm="1">
        <f t="array" ref="BM41">_xlfn.IFNA(INDEX(Table14[Ávöxtun],MATCH(1,(BM$2=Table14[Column1])*($X41=Table14[Year]),0)),"")</f>
        <v/>
      </c>
      <c r="BN41" s="28" t="str" cm="1">
        <f t="array" ref="BN41">_xlfn.IFNA(INDEX(Table14[Ávöxtun],MATCH(1,(BN$2=Table14[Column1])*($X41=Table14[Year]),0)),"")</f>
        <v/>
      </c>
      <c r="BO41" s="28" t="str" cm="1">
        <f t="array" ref="BO41">_xlfn.IFNA(INDEX(Table14[Ávöxtun],MATCH(1,(BO$2=Table14[Column1])*($X41=Table14[Year]),0)),"")</f>
        <v/>
      </c>
      <c r="BP41" s="28" t="str" cm="1">
        <f t="array" ref="BP41">_xlfn.IFNA(INDEX(Table14[Ávöxtun],MATCH(1,(BP$2=Table14[Column1])*($X41=Table14[Year]),0)),"")</f>
        <v/>
      </c>
      <c r="BQ41" s="28" cm="1">
        <f t="array" ref="BQ41">_xlfn.IFNA(INDEX(Table14[Ávöxtun],MATCH(1,(BQ$2=Table14[Column1])*($X41=Table14[Year]),0)),"")</f>
        <v>-1.0700000000000001E-2</v>
      </c>
      <c r="BR41" s="28" cm="1">
        <f t="array" ref="BR41">_xlfn.IFNA(INDEX(Table14[Ávöxtun],MATCH(1,(BR$2=Table14[Column1])*($X41=Table14[Year]),0)),"")</f>
        <v>2.2499999999999999E-2</v>
      </c>
      <c r="BS41" s="28" t="str" cm="1">
        <f t="array" ref="BS41">_xlfn.IFNA(INDEX(Table14[Ávöxtun],MATCH(1,(BS$2=Table14[Column1])*($X41=Table14[Year]),0)),"")</f>
        <v/>
      </c>
      <c r="BT41" s="28" t="str" cm="1">
        <f t="array" ref="BT41">_xlfn.IFNA(INDEX(Table14[Ávöxtun],MATCH(1,(BT$2=Table14[Column1])*($X41=Table14[Year]),0)),"")</f>
        <v/>
      </c>
      <c r="BU41" s="28" t="str" cm="1">
        <f t="array" ref="BU41">_xlfn.IFNA(INDEX(Table14[Ávöxtun],MATCH(1,(BU$2=Table14[Column1])*($X41=Table14[Year]),0)),"")</f>
        <v/>
      </c>
      <c r="BV41" s="28" cm="1">
        <f t="array" ref="BV41">_xlfn.IFNA(INDEX(Table14[Ávöxtun],MATCH(1,(BV$2=Table14[Column1])*($X41=Table14[Year]),0)),"")</f>
        <v>-1.47E-2</v>
      </c>
      <c r="BW41" s="28" t="str" cm="1">
        <f t="array" ref="BW41">_xlfn.IFNA(INDEX(Table14[Ávöxtun],MATCH(1,(BW$2=Table14[Column1])*($X41=Table14[Year]),0)),"")</f>
        <v/>
      </c>
      <c r="BX41" s="28" t="str" cm="1">
        <f t="array" ref="BX41">_xlfn.IFNA(INDEX(Table14[Ávöxtun],MATCH(1,(BX$2=Table14[Column1])*($X41=Table14[Year]),0)),"")</f>
        <v/>
      </c>
      <c r="BY41" s="28" t="str" cm="1">
        <f t="array" ref="BY41">_xlfn.IFNA(INDEX(Table14[Ávöxtun],MATCH(1,(BY$2=Table14[Column1])*($X41=Table14[Year]),0)),"")</f>
        <v/>
      </c>
      <c r="BZ41" s="28" t="str" cm="1">
        <f t="array" ref="BZ41">_xlfn.IFNA(INDEX(Table14[Ávöxtun],MATCH(1,(BZ$2=Table14[Column1])*($X41=Table14[Year]),0)),"")</f>
        <v/>
      </c>
      <c r="CA41" s="28" t="str" cm="1">
        <f t="array" ref="CA41">_xlfn.IFNA(INDEX(Table14[Ávöxtun],MATCH(1,(CA$2=Table14[Column1])*($X41=Table14[Year]),0)),"")</f>
        <v/>
      </c>
      <c r="CB41" s="28" cm="1">
        <f t="array" ref="CB41">_xlfn.IFNA(INDEX(Table14[Ávöxtun],MATCH(1,(CB$2=Table14[Column1])*($X41=Table14[Year]),0)),"")</f>
        <v>0.01</v>
      </c>
      <c r="CC41" s="28" t="str" cm="1">
        <f t="array" ref="CC41">_xlfn.IFNA(INDEX(Table14[Ávöxtun],MATCH(1,(CC$2=Table14[Column1])*($X41=Table14[Year]),0)),"")</f>
        <v/>
      </c>
      <c r="CD41" s="28" t="str" cm="1">
        <f t="array" ref="CD41">_xlfn.IFNA(INDEX(Table14[Ávöxtun],MATCH(1,(CD$2=Table14[Column1])*($X41=Table14[Year]),0)),"")</f>
        <v/>
      </c>
      <c r="CE41" s="28" cm="1">
        <f t="array" ref="CE41">_xlfn.IFNA(INDEX(Table14[Ávöxtun],MATCH(1,(CE$2=Table14[Column1])*($X41=Table14[Year]),0)),"")</f>
        <v>4.02E-2</v>
      </c>
      <c r="CF41" s="28" cm="1">
        <f t="array" ref="CF41">_xlfn.IFNA(INDEX(Table14[Ávöxtun],MATCH(1,(CF$2=Table14[Column1])*($X41=Table14[Year]),0)),"")</f>
        <v>5.8200000000000002E-2</v>
      </c>
      <c r="CG41" s="28" cm="1">
        <f t="array" ref="CG41">_xlfn.IFNA(INDEX(Table14[Ávöxtun],MATCH(1,(CG$2=Table14[Column1])*($X41=Table14[Year]),0)),"")</f>
        <v>-4.3E-3</v>
      </c>
      <c r="CH41" s="28" cm="1">
        <f t="array" ref="CH41">_xlfn.IFNA(INDEX(Table14[Ávöxtun],MATCH(1,(CH$2=Table14[Column1])*($X41=Table14[Year]),0)),"")</f>
        <v>8.4900000000000003E-2</v>
      </c>
      <c r="CI41" s="28" cm="1">
        <f t="array" ref="CI41">_xlfn.IFNA(INDEX(Table14[Ávöxtun],MATCH(1,(CI$2=Table14[Column1])*($X41=Table14[Year]),0)),"")</f>
        <v>-1.9099999999999999E-2</v>
      </c>
      <c r="CJ41" s="28" cm="1">
        <f t="array" ref="CJ41">_xlfn.IFNA(INDEX(Table14[Ávöxtun],MATCH(1,(CJ$2=Table14[Column1])*($X41=Table14[Year]),0)),"")</f>
        <v>1.95E-2</v>
      </c>
      <c r="CK41" s="28" t="str" cm="1">
        <f t="array" ref="CK41">_xlfn.IFNA(INDEX(Table14[Ávöxtun],MATCH(1,(CK$2=Table14[Column1])*($X41=Table14[Year]),0)),"")</f>
        <v/>
      </c>
      <c r="CL41" s="28" t="str" cm="1">
        <f t="array" ref="CL41">_xlfn.IFNA(INDEX(Table14[Ávöxtun],MATCH(1,(CL$2=Table14[Column1])*($X41=Table14[Year]),0)),"")</f>
        <v/>
      </c>
      <c r="CM41" s="28" t="str" cm="1">
        <f t="array" ref="CM41">_xlfn.IFNA(INDEX(Table14[Ávöxtun],MATCH(1,(CM$2=Table14[Column1])*($X41=Table14[Year]),0)),"")</f>
        <v/>
      </c>
      <c r="CN41" s="28" cm="1">
        <f t="array" ref="CN41">_xlfn.IFNA(INDEX(Table14[Ávöxtun],MATCH(1,(CN$2=Table14[Column1])*($X41=Table14[Year]),0)),"")</f>
        <v>5.3E-3</v>
      </c>
      <c r="CO41" s="28" t="str" cm="1">
        <f t="array" ref="CO41">_xlfn.IFNA(INDEX(Table14[Ávöxtun],MATCH(1,(CO$2=Table14[Column1])*($X41=Table14[Year]),0)),"")</f>
        <v/>
      </c>
      <c r="CP41" s="28" t="str" cm="1">
        <f t="array" ref="CP41">_xlfn.IFNA(INDEX(Table14[Ávöxtun],MATCH(1,(CP$2=Table14[Column1])*($X41=Table14[Year]),0)),"")</f>
        <v/>
      </c>
      <c r="CQ41" s="28" cm="1">
        <f t="array" ref="CQ41">_xlfn.IFNA(INDEX(Table14[Ávöxtun],MATCH(1,(CQ$2=Table14[Column1])*($X41=Table14[Year]),0)),"")</f>
        <v>-7.3000000000000001E-3</v>
      </c>
      <c r="CR41" s="28" cm="1">
        <f t="array" ref="CR41">_xlfn.IFNA(INDEX(Table14[Ávöxtun],MATCH(1,(CR$2=Table14[Column1])*($X41=Table14[Year]),0)),"")</f>
        <v>1.0500000000000001E-2</v>
      </c>
      <c r="CS41" s="28" cm="1">
        <f t="array" ref="CS41">_xlfn.IFNA(INDEX(Table14[Ávöxtun],MATCH(1,(CS$2=Table14[Column1])*($X41=Table14[Year]),0)),"")</f>
        <v>-4.0000000000000001E-3</v>
      </c>
      <c r="CT41" s="28" cm="1">
        <f t="array" ref="CT41">_xlfn.IFNA(INDEX(Table14[Ávöxtun],MATCH(1,(CT$2=Table14[Column1])*($X41=Table14[Year]),0)),"")</f>
        <v>1.21E-2</v>
      </c>
      <c r="CU41" s="28" t="str" cm="1">
        <f t="array" ref="CU41">_xlfn.IFNA(INDEX(Table14[Ávöxtun],MATCH(1,(CU$2=Table14[Column1])*($X41=Table14[Year]),0)),"")</f>
        <v/>
      </c>
      <c r="CV41" s="28" t="str" cm="1">
        <f t="array" ref="CV41">_xlfn.IFNA(INDEX(Table14[Ávöxtun],MATCH(1,(CV$2=Table14[Column1])*($X41=Table14[Year]),0)),"")</f>
        <v/>
      </c>
      <c r="CW41" s="28" t="str" cm="1">
        <f t="array" ref="CW41">_xlfn.IFNA(INDEX(Table14[Ávöxtun],MATCH(1,(CW$2=Table14[Column1])*($X41=Table14[Year]),0)),"")</f>
        <v/>
      </c>
      <c r="CX41" s="28" t="str" cm="1">
        <f t="array" ref="CX41">_xlfn.IFNA(INDEX(Table14[Ávöxtun],MATCH(1,(CX$2=Table14[Column1])*($X41=Table14[Year]),0)),"")</f>
        <v/>
      </c>
      <c r="CY41" s="28" t="str" cm="1">
        <f t="array" ref="CY41">_xlfn.IFNA(INDEX(Table14[Ávöxtun],MATCH(1,(CY$2=Table14[Column1])*($X41=Table14[Year]),0)),"")</f>
        <v/>
      </c>
      <c r="CZ41" s="28" cm="1">
        <f t="array" ref="CZ41">_xlfn.IFNA(INDEX(Table14[Ávöxtun],MATCH(1,(CZ$2=Table14[Column1])*($X41=Table14[Year]),0)),"")</f>
        <v>0</v>
      </c>
      <c r="DA41" s="28" t="str" cm="1">
        <f t="array" ref="DA41">_xlfn.IFNA(INDEX(Table14[Ávöxtun],MATCH(1,(DA$2=Table14[Column1])*($X41=Table14[Year]),0)),"")</f>
        <v/>
      </c>
      <c r="DB41" s="28" t="str" cm="1">
        <f t="array" ref="DB41">_xlfn.IFNA(INDEX(Table14[Ávöxtun],MATCH(1,(DB$2=Table14[Column1])*($X41=Table14[Year]),0)),"")</f>
        <v/>
      </c>
      <c r="DC41" s="28" cm="1">
        <f t="array" ref="DC41">_xlfn.IFNA(INDEX(Table14[Ávöxtun],MATCH(1,(DC$2=Table14[Column1])*($X41=Table14[Year]),0)),"")</f>
        <v>2.0999999999999999E-3</v>
      </c>
      <c r="DD41" s="28" cm="1">
        <f t="array" ref="DD41">_xlfn.IFNA(INDEX(Table14[Ávöxtun],MATCH(1,(DD$2=Table14[Column1])*($X41=Table14[Year]),0)),"")</f>
        <v>8.8000000000000005E-3</v>
      </c>
      <c r="DE41" s="28" cm="1">
        <f t="array" ref="DE41">_xlfn.IFNA(INDEX(Table14[Ávöxtun],MATCH(1,(DE$2=Table14[Column1])*($X41=Table14[Year]),0)),"")</f>
        <v>-5.6999999999999993E-3</v>
      </c>
      <c r="DF41" s="28" t="str" cm="1">
        <f t="array" ref="DF41">_xlfn.IFNA(INDEX(Table14[Ávöxtun],MATCH(1,(DF$2=Table14[Column1])*($X41=Table14[Year]),0)),"")</f>
        <v/>
      </c>
    </row>
    <row r="42" spans="1:110">
      <c r="A42" t="s">
        <v>61</v>
      </c>
      <c r="B42">
        <v>2001</v>
      </c>
      <c r="C42" s="16">
        <v>-0.08</v>
      </c>
      <c r="D42" s="1">
        <v>628263</v>
      </c>
      <c r="E42" s="29">
        <f>Table14[[#This Row],[Ávöxtun]]*Table14[[#This Row],[Eignir]]/SUMIFS(Table14[Eignir],Table14[Year],Table14[[#This Row],[Year]])</f>
        <v>-4.340647507897785E-5</v>
      </c>
      <c r="F42" s="23">
        <f>IF(B42=1997, 100, IF(COUNTIF(A$1:A41,A42)=0, "NEW", F41*(1+Table14[[#This Row],[Ávöxtun]])))</f>
        <v>104.18889600000001</v>
      </c>
      <c r="G42" s="18" cm="1">
        <f t="array" ref="G42">IFERROR(_xlfn.IFS(ISNUMBER(Table14[[#This Row],[Column3]]),Table14[[#This Row],[Column3]],Table14[[#This Row],[Column3]]="NEW",Table14[[#This Row],[Column3]]),"")</f>
        <v>104.18889600000001</v>
      </c>
      <c r="H42" s="15" cm="1">
        <f t="array" ref="H42">_xlfn.IFS(Table14[[#This Row],[Column4]]="NEW",AVERAGEIFS(Table14[Column4],Table14[Year],Table14[[#This Row],[Year]]),ISNUMBER(Table14[[#This Row],[Column4]]),Table14[[#This Row],[Column4]],Table14[[#This Row],[Column4]]="",H41*(1+Table14[[#This Row],[Ávöxtun]]))</f>
        <v>104.18889600000001</v>
      </c>
      <c r="I42" cm="1">
        <f t="array" ref="I42">_xlfn.IFS(Table14[[#This Row],[Column4]]="NEW",_xlfn.XLOOKUP(Table14[[#This Row],[Year]],$M$2:$M$27,$O$2:$O$27),ISNUMBER(Table14[[#This Row],[Column4]]),Table14[[#This Row],[Column4]],Table14[[#This Row],[Column4]]="",I41*(1+Table14[[#This Row],[Ávöxtun]]))</f>
        <v>104.18889600000001</v>
      </c>
      <c r="L42" s="33">
        <v>104.18889600000001</v>
      </c>
      <c r="X42">
        <v>2008</v>
      </c>
      <c r="Y42" s="28">
        <f t="shared" si="2"/>
        <v>-0.27172610479093828</v>
      </c>
      <c r="Z42" s="28" cm="1">
        <f t="array" ref="Z42">_xlfn.IFNA(INDEX(Table14[Ávöxtun],MATCH(1,(Z$2=Table14[Column1])*($X42=Table14[Year]),0)),"")</f>
        <v>-0.45900000000000002</v>
      </c>
      <c r="AA42" s="28" t="str" cm="1">
        <f t="array" ref="AA42">_xlfn.IFNA(INDEX(Table14[Ávöxtun],MATCH(1,(AA$2=Table14[Column1])*($X42=Table14[Year]),0)),"")</f>
        <v/>
      </c>
      <c r="AB42" s="28" t="str" cm="1">
        <f t="array" ref="AB42">_xlfn.IFNA(INDEX(Table14[Ávöxtun],MATCH(1,(AB$2=Table14[Column1])*($X42=Table14[Year]),0)),"")</f>
        <v/>
      </c>
      <c r="AC42" s="28" t="str" cm="1">
        <f t="array" ref="AC42">_xlfn.IFNA(INDEX(Table14[Ávöxtun],MATCH(1,(AC$2=Table14[Column1])*($X42=Table14[Year]),0)),"")</f>
        <v/>
      </c>
      <c r="AD42" s="28" t="str" cm="1">
        <f t="array" ref="AD42">_xlfn.IFNA(INDEX(Table14[Ávöxtun],MATCH(1,(AD$2=Table14[Column1])*($X42=Table14[Year]),0)),"")</f>
        <v/>
      </c>
      <c r="AE42" s="28" t="str" cm="1">
        <f t="array" ref="AE42">_xlfn.IFNA(INDEX(Table14[Ávöxtun],MATCH(1,(AE$2=Table14[Column1])*($X42=Table14[Year]),0)),"")</f>
        <v/>
      </c>
      <c r="AF42" s="28" t="str" cm="1">
        <f t="array" ref="AF42">_xlfn.IFNA(INDEX(Table14[Ávöxtun],MATCH(1,(AF$2=Table14[Column1])*($X42=Table14[Year]),0)),"")</f>
        <v/>
      </c>
      <c r="AG42" s="28" cm="1">
        <f t="array" ref="AG42">_xlfn.IFNA(INDEX(Table14[Ávöxtun],MATCH(1,(AG$2=Table14[Column1])*($X42=Table14[Year]),0)),"")</f>
        <v>-0.10310000000000001</v>
      </c>
      <c r="AH42" s="28" t="str" cm="1">
        <f t="array" ref="AH42">_xlfn.IFNA(INDEX(Table14[Ávöxtun],MATCH(1,(AH$2=Table14[Column1])*($X42=Table14[Year]),0)),"")</f>
        <v/>
      </c>
      <c r="AI42" s="28" cm="1">
        <f t="array" ref="AI42">_xlfn.IFNA(INDEX(Table14[Ávöxtun],MATCH(1,(AI$2=Table14[Column1])*($X42=Table14[Year]),0)),"")</f>
        <v>-0.1128</v>
      </c>
      <c r="AJ42" s="28" cm="1">
        <f t="array" ref="AJ42">_xlfn.IFNA(INDEX(Table14[Ávöxtun],MATCH(1,(AJ$2=Table14[Column1])*($X42=Table14[Year]),0)),"")</f>
        <v>-0.30599999999999999</v>
      </c>
      <c r="AK42" s="28" t="str" cm="1">
        <f t="array" ref="AK42">_xlfn.IFNA(INDEX(Table14[Ávöxtun],MATCH(1,(AK$2=Table14[Column1])*($X42=Table14[Year]),0)),"")</f>
        <v/>
      </c>
      <c r="AL42" s="28" cm="1">
        <f t="array" ref="AL42">_xlfn.IFNA(INDEX(Table14[Ávöxtun],MATCH(1,(AL$2=Table14[Column1])*($X42=Table14[Year]),0)),"")</f>
        <v>-0.26019999999999999</v>
      </c>
      <c r="AM42" s="28" cm="1">
        <f t="array" ref="AM42">_xlfn.IFNA(INDEX(Table14[Ávöxtun],MATCH(1,(AM$2=Table14[Column1])*($X42=Table14[Year]),0)),"")</f>
        <v>-3.3300000000000003E-2</v>
      </c>
      <c r="AN42" s="28" t="str" cm="1">
        <f t="array" ref="AN42">_xlfn.IFNA(INDEX(Table14[Ávöxtun],MATCH(1,(AN$2=Table14[Column1])*($X42=Table14[Year]),0)),"")</f>
        <v/>
      </c>
      <c r="AO42" s="28" cm="1">
        <f t="array" ref="AO42">_xlfn.IFNA(INDEX(Table14[Ávöxtun],MATCH(1,(AO$2=Table14[Column1])*($X42=Table14[Year]),0)),"")</f>
        <v>-8.900000000000001E-2</v>
      </c>
      <c r="AP42" s="28" cm="1">
        <f t="array" ref="AP42">_xlfn.IFNA(INDEX(Table14[Ávöxtun],MATCH(1,(AP$2=Table14[Column1])*($X42=Table14[Year]),0)),"")</f>
        <v>-0.18840000000000001</v>
      </c>
      <c r="AQ42" s="28" cm="1">
        <f t="array" ref="AQ42">_xlfn.IFNA(INDEX(Table14[Ávöxtun],MATCH(1,(AQ$2=Table14[Column1])*($X42=Table14[Year]),0)),"")</f>
        <v>-0.20620000000000002</v>
      </c>
      <c r="AR42" s="28" cm="1">
        <f t="array" ref="AR42">_xlfn.IFNA(INDEX(Table14[Ávöxtun],MATCH(1,(AR$2=Table14[Column1])*($X42=Table14[Year]),0)),"")</f>
        <v>-0.26700000000000002</v>
      </c>
      <c r="AS42" s="28" t="str" cm="1">
        <f t="array" ref="AS42">_xlfn.IFNA(INDEX(Table14[Ávöxtun],MATCH(1,(AS$2=Table14[Column1])*($X42=Table14[Year]),0)),"")</f>
        <v/>
      </c>
      <c r="AT42" s="28" cm="1">
        <f t="array" ref="AT42">_xlfn.IFNA(INDEX(Table14[Ávöxtun],MATCH(1,(AT$2=Table14[Column1])*($X42=Table14[Year]),0)),"")</f>
        <v>-0.31209999999999999</v>
      </c>
      <c r="AU42" s="28" cm="1">
        <f t="array" ref="AU42">_xlfn.IFNA(INDEX(Table14[Ávöxtun],MATCH(1,(AU$2=Table14[Column1])*($X42=Table14[Year]),0)),"")</f>
        <v>-0.2772</v>
      </c>
      <c r="AV42" s="28" t="str" cm="1">
        <f t="array" ref="AV42">_xlfn.IFNA(INDEX(Table14[Ávöxtun],MATCH(1,(AV$2=Table14[Column1])*($X42=Table14[Year]),0)),"")</f>
        <v/>
      </c>
      <c r="AW42" s="28" t="str" cm="1">
        <f t="array" ref="AW42">_xlfn.IFNA(INDEX(Table14[Ávöxtun],MATCH(1,(AW$2=Table14[Column1])*($X42=Table14[Year]),0)),"")</f>
        <v/>
      </c>
      <c r="AX42" s="28" t="str" cm="1">
        <f t="array" ref="AX42">_xlfn.IFNA(INDEX(Table14[Ávöxtun],MATCH(1,(AX$2=Table14[Column1])*($X42=Table14[Year]),0)),"")</f>
        <v/>
      </c>
      <c r="AY42" s="28" t="str" cm="1">
        <f t="array" ref="AY42">_xlfn.IFNA(INDEX(Table14[Ávöxtun],MATCH(1,(AY$2=Table14[Column1])*($X42=Table14[Year]),0)),"")</f>
        <v/>
      </c>
      <c r="AZ42" s="28" cm="1">
        <f t="array" ref="AZ42">_xlfn.IFNA(INDEX(Table14[Ávöxtun],MATCH(1,(AZ$2=Table14[Column1])*($X42=Table14[Year]),0)),"")</f>
        <v>-0.21199999999999999</v>
      </c>
      <c r="BA42" s="28" t="str" cm="1">
        <f t="array" ref="BA42">_xlfn.IFNA(INDEX(Table14[Ávöxtun],MATCH(1,(BA$2=Table14[Column1])*($X42=Table14[Year]),0)),"")</f>
        <v/>
      </c>
      <c r="BB42" s="28" t="str" cm="1">
        <f t="array" ref="BB42">_xlfn.IFNA(INDEX(Table14[Ávöxtun],MATCH(1,(BB$2=Table14[Column1])*($X42=Table14[Year]),0)),"")</f>
        <v/>
      </c>
      <c r="BC42" s="28" cm="1">
        <f t="array" ref="BC42">_xlfn.IFNA(INDEX(Table14[Ávöxtun],MATCH(1,(BC$2=Table14[Column1])*($X42=Table14[Year]),0)),"")</f>
        <v>-0.28350000000000003</v>
      </c>
      <c r="BD42" s="28" t="str" cm="1">
        <f t="array" ref="BD42">_xlfn.IFNA(INDEX(Table14[Ávöxtun],MATCH(1,(BD$2=Table14[Column1])*($X42=Table14[Year]),0)),"")</f>
        <v/>
      </c>
      <c r="BE42" s="28" cm="1">
        <f t="array" ref="BE42">_xlfn.IFNA(INDEX(Table14[Ávöxtun],MATCH(1,(BE$2=Table14[Column1])*($X42=Table14[Year]),0)),"")</f>
        <v>-0.255</v>
      </c>
      <c r="BF42" s="28" t="str" cm="1">
        <f t="array" ref="BF42">_xlfn.IFNA(INDEX(Table14[Ávöxtun],MATCH(1,(BF$2=Table14[Column1])*($X42=Table14[Year]),0)),"")</f>
        <v/>
      </c>
      <c r="BG42" s="28" cm="1">
        <f t="array" ref="BG42">_xlfn.IFNA(INDEX(Table14[Ávöxtun],MATCH(1,(BG$2=Table14[Column1])*($X42=Table14[Year]),0)),"")</f>
        <v>1.89E-2</v>
      </c>
      <c r="BH42" s="28" cm="1">
        <f t="array" ref="BH42">_xlfn.IFNA(INDEX(Table14[Ávöxtun],MATCH(1,(BH$2=Table14[Column1])*($X42=Table14[Year]),0)),"")</f>
        <v>-4.9000000000000002E-2</v>
      </c>
      <c r="BI42" s="28" t="str" cm="1">
        <f t="array" ref="BI42">_xlfn.IFNA(INDEX(Table14[Ávöxtun],MATCH(1,(BI$2=Table14[Column1])*($X42=Table14[Year]),0)),"")</f>
        <v/>
      </c>
      <c r="BJ42" s="28" cm="1">
        <f t="array" ref="BJ42">_xlfn.IFNA(INDEX(Table14[Ávöxtun],MATCH(1,(BJ$2=Table14[Column1])*($X42=Table14[Year]),0)),"")</f>
        <v>-3.9E-2</v>
      </c>
      <c r="BK42" s="28" t="str" cm="1">
        <f t="array" ref="BK42">_xlfn.IFNA(INDEX(Table14[Ávöxtun],MATCH(1,(BK$2=Table14[Column1])*($X42=Table14[Year]),0)),"")</f>
        <v/>
      </c>
      <c r="BL42" s="28" t="str" cm="1">
        <f t="array" ref="BL42">_xlfn.IFNA(INDEX(Table14[Ávöxtun],MATCH(1,(BL$2=Table14[Column1])*($X42=Table14[Year]),0)),"")</f>
        <v/>
      </c>
      <c r="BM42" s="28" t="str" cm="1">
        <f t="array" ref="BM42">_xlfn.IFNA(INDEX(Table14[Ávöxtun],MATCH(1,(BM$2=Table14[Column1])*($X42=Table14[Year]),0)),"")</f>
        <v/>
      </c>
      <c r="BN42" s="28" t="str" cm="1">
        <f t="array" ref="BN42">_xlfn.IFNA(INDEX(Table14[Ávöxtun],MATCH(1,(BN$2=Table14[Column1])*($X42=Table14[Year]),0)),"")</f>
        <v/>
      </c>
      <c r="BO42" s="28" t="str" cm="1">
        <f t="array" ref="BO42">_xlfn.IFNA(INDEX(Table14[Ávöxtun],MATCH(1,(BO$2=Table14[Column1])*($X42=Table14[Year]),0)),"")</f>
        <v/>
      </c>
      <c r="BP42" s="28" t="str" cm="1">
        <f t="array" ref="BP42">_xlfn.IFNA(INDEX(Table14[Ávöxtun],MATCH(1,(BP$2=Table14[Column1])*($X42=Table14[Year]),0)),"")</f>
        <v/>
      </c>
      <c r="BQ42" s="28" cm="1">
        <f t="array" ref="BQ42">_xlfn.IFNA(INDEX(Table14[Ávöxtun],MATCH(1,(BQ$2=Table14[Column1])*($X42=Table14[Year]),0)),"")</f>
        <v>-0.17929999999999999</v>
      </c>
      <c r="BR42" s="28" cm="1">
        <f t="array" ref="BR42">_xlfn.IFNA(INDEX(Table14[Ávöxtun],MATCH(1,(BR$2=Table14[Column1])*($X42=Table14[Year]),0)),"")</f>
        <v>-0.11199999999999999</v>
      </c>
      <c r="BS42" s="28" t="str" cm="1">
        <f t="array" ref="BS42">_xlfn.IFNA(INDEX(Table14[Ávöxtun],MATCH(1,(BS$2=Table14[Column1])*($X42=Table14[Year]),0)),"")</f>
        <v/>
      </c>
      <c r="BT42" s="28" t="str" cm="1">
        <f t="array" ref="BT42">_xlfn.IFNA(INDEX(Table14[Ávöxtun],MATCH(1,(BT$2=Table14[Column1])*($X42=Table14[Year]),0)),"")</f>
        <v/>
      </c>
      <c r="BU42" s="28" t="str" cm="1">
        <f t="array" ref="BU42">_xlfn.IFNA(INDEX(Table14[Ávöxtun],MATCH(1,(BU$2=Table14[Column1])*($X42=Table14[Year]),0)),"")</f>
        <v/>
      </c>
      <c r="BV42" s="28" cm="1">
        <f t="array" ref="BV42">_xlfn.IFNA(INDEX(Table14[Ávöxtun],MATCH(1,(BV$2=Table14[Column1])*($X42=Table14[Year]),0)),"")</f>
        <v>-0.26730000000000004</v>
      </c>
      <c r="BW42" s="28" t="str" cm="1">
        <f t="array" ref="BW42">_xlfn.IFNA(INDEX(Table14[Ávöxtun],MATCH(1,(BW$2=Table14[Column1])*($X42=Table14[Year]),0)),"")</f>
        <v/>
      </c>
      <c r="BX42" s="28" t="str" cm="1">
        <f t="array" ref="BX42">_xlfn.IFNA(INDEX(Table14[Ávöxtun],MATCH(1,(BX$2=Table14[Column1])*($X42=Table14[Year]),0)),"")</f>
        <v/>
      </c>
      <c r="BY42" s="28" t="str" cm="1">
        <f t="array" ref="BY42">_xlfn.IFNA(INDEX(Table14[Ávöxtun],MATCH(1,(BY$2=Table14[Column1])*($X42=Table14[Year]),0)),"")</f>
        <v/>
      </c>
      <c r="BZ42" s="28" t="str" cm="1">
        <f t="array" ref="BZ42">_xlfn.IFNA(INDEX(Table14[Ávöxtun],MATCH(1,(BZ$2=Table14[Column1])*($X42=Table14[Year]),0)),"")</f>
        <v/>
      </c>
      <c r="CA42" s="28" t="str" cm="1">
        <f t="array" ref="CA42">_xlfn.IFNA(INDEX(Table14[Ávöxtun],MATCH(1,(CA$2=Table14[Column1])*($X42=Table14[Year]),0)),"")</f>
        <v/>
      </c>
      <c r="CB42" s="28" cm="1">
        <f t="array" ref="CB42">_xlfn.IFNA(INDEX(Table14[Ávöxtun],MATCH(1,(CB$2=Table14[Column1])*($X42=Table14[Year]),0)),"")</f>
        <v>-0.1283</v>
      </c>
      <c r="CC42" s="28" t="str" cm="1">
        <f t="array" ref="CC42">_xlfn.IFNA(INDEX(Table14[Ávöxtun],MATCH(1,(CC$2=Table14[Column1])*($X42=Table14[Year]),0)),"")</f>
        <v/>
      </c>
      <c r="CD42" s="28" t="str" cm="1">
        <f t="array" ref="CD42">_xlfn.IFNA(INDEX(Table14[Ávöxtun],MATCH(1,(CD$2=Table14[Column1])*($X42=Table14[Year]),0)),"")</f>
        <v/>
      </c>
      <c r="CE42" s="28" cm="1">
        <f t="array" ref="CE42">_xlfn.IFNA(INDEX(Table14[Ávöxtun],MATCH(1,(CE$2=Table14[Column1])*($X42=Table14[Year]),0)),"")</f>
        <v>-5.6000000000000008E-3</v>
      </c>
      <c r="CF42" s="28" cm="1">
        <f t="array" ref="CF42">_xlfn.IFNA(INDEX(Table14[Ávöxtun],MATCH(1,(CF$2=Table14[Column1])*($X42=Table14[Year]),0)),"")</f>
        <v>-4.5899999999999996E-2</v>
      </c>
      <c r="CG42" s="28" cm="1">
        <f t="array" ref="CG42">_xlfn.IFNA(INDEX(Table14[Ávöxtun],MATCH(1,(CG$2=Table14[Column1])*($X42=Table14[Year]),0)),"")</f>
        <v>-0.15720000000000001</v>
      </c>
      <c r="CH42" s="28" cm="1">
        <f t="array" ref="CH42">_xlfn.IFNA(INDEX(Table14[Ávöxtun],MATCH(1,(CH$2=Table14[Column1])*($X42=Table14[Year]),0)),"")</f>
        <v>2.29E-2</v>
      </c>
      <c r="CI42" s="28" cm="1">
        <f t="array" ref="CI42">_xlfn.IFNA(INDEX(Table14[Ávöxtun],MATCH(1,(CI$2=Table14[Column1])*($X42=Table14[Year]),0)),"")</f>
        <v>-0.50170000000000003</v>
      </c>
      <c r="CJ42" s="28" cm="1">
        <f t="array" ref="CJ42">_xlfn.IFNA(INDEX(Table14[Ávöxtun],MATCH(1,(CJ$2=Table14[Column1])*($X42=Table14[Year]),0)),"")</f>
        <v>-0.2389</v>
      </c>
      <c r="CK42" s="28" t="str" cm="1">
        <f t="array" ref="CK42">_xlfn.IFNA(INDEX(Table14[Ávöxtun],MATCH(1,(CK$2=Table14[Column1])*($X42=Table14[Year]),0)),"")</f>
        <v/>
      </c>
      <c r="CL42" s="28" t="str" cm="1">
        <f t="array" ref="CL42">_xlfn.IFNA(INDEX(Table14[Ávöxtun],MATCH(1,(CL$2=Table14[Column1])*($X42=Table14[Year]),0)),"")</f>
        <v/>
      </c>
      <c r="CM42" s="28" t="str" cm="1">
        <f t="array" ref="CM42">_xlfn.IFNA(INDEX(Table14[Ávöxtun],MATCH(1,(CM$2=Table14[Column1])*($X42=Table14[Year]),0)),"")</f>
        <v/>
      </c>
      <c r="CN42" s="28" cm="1">
        <f t="array" ref="CN42">_xlfn.IFNA(INDEX(Table14[Ávöxtun],MATCH(1,(CN$2=Table14[Column1])*($X42=Table14[Year]),0)),"")</f>
        <v>-0.26700000000000002</v>
      </c>
      <c r="CO42" s="28" t="str" cm="1">
        <f t="array" ref="CO42">_xlfn.IFNA(INDEX(Table14[Ávöxtun],MATCH(1,(CO$2=Table14[Column1])*($X42=Table14[Year]),0)),"")</f>
        <v/>
      </c>
      <c r="CP42" s="28" t="str" cm="1">
        <f t="array" ref="CP42">_xlfn.IFNA(INDEX(Table14[Ávöxtun],MATCH(1,(CP$2=Table14[Column1])*($X42=Table14[Year]),0)),"")</f>
        <v/>
      </c>
      <c r="CQ42" s="28" cm="1">
        <f t="array" ref="CQ42">_xlfn.IFNA(INDEX(Table14[Ávöxtun],MATCH(1,(CQ$2=Table14[Column1])*($X42=Table14[Year]),0)),"")</f>
        <v>-0.31409999999999999</v>
      </c>
      <c r="CR42" s="28" cm="1">
        <f t="array" ref="CR42">_xlfn.IFNA(INDEX(Table14[Ávöxtun],MATCH(1,(CR$2=Table14[Column1])*($X42=Table14[Year]),0)),"")</f>
        <v>-0.24170000000000003</v>
      </c>
      <c r="CS42" s="28" cm="1">
        <f t="array" ref="CS42">_xlfn.IFNA(INDEX(Table14[Ávöxtun],MATCH(1,(CS$2=Table14[Column1])*($X42=Table14[Year]),0)),"")</f>
        <v>-0.29699999999999999</v>
      </c>
      <c r="CT42" s="28" cm="1">
        <f t="array" ref="CT42">_xlfn.IFNA(INDEX(Table14[Ávöxtun],MATCH(1,(CT$2=Table14[Column1])*($X42=Table14[Year]),0)),"")</f>
        <v>-0.1152</v>
      </c>
      <c r="CU42" s="28" t="str" cm="1">
        <f t="array" ref="CU42">_xlfn.IFNA(INDEX(Table14[Ávöxtun],MATCH(1,(CU$2=Table14[Column1])*($X42=Table14[Year]),0)),"")</f>
        <v/>
      </c>
      <c r="CV42" s="28" t="str" cm="1">
        <f t="array" ref="CV42">_xlfn.IFNA(INDEX(Table14[Ávöxtun],MATCH(1,(CV$2=Table14[Column1])*($X42=Table14[Year]),0)),"")</f>
        <v/>
      </c>
      <c r="CW42" s="28" t="str" cm="1">
        <f t="array" ref="CW42">_xlfn.IFNA(INDEX(Table14[Ávöxtun],MATCH(1,(CW$2=Table14[Column1])*($X42=Table14[Year]),0)),"")</f>
        <v/>
      </c>
      <c r="CX42" s="28" t="str" cm="1">
        <f t="array" ref="CX42">_xlfn.IFNA(INDEX(Table14[Ávöxtun],MATCH(1,(CX$2=Table14[Column1])*($X42=Table14[Year]),0)),"")</f>
        <v/>
      </c>
      <c r="CY42" s="28" t="str" cm="1">
        <f t="array" ref="CY42">_xlfn.IFNA(INDEX(Table14[Ávöxtun],MATCH(1,(CY$2=Table14[Column1])*($X42=Table14[Year]),0)),"")</f>
        <v/>
      </c>
      <c r="CZ42" s="28" cm="1">
        <f t="array" ref="CZ42">_xlfn.IFNA(INDEX(Table14[Ávöxtun],MATCH(1,(CZ$2=Table14[Column1])*($X42=Table14[Year]),0)),"")</f>
        <v>-0.22500000000000001</v>
      </c>
      <c r="DA42" s="28" t="str" cm="1">
        <f t="array" ref="DA42">_xlfn.IFNA(INDEX(Table14[Ávöxtun],MATCH(1,(DA$2=Table14[Column1])*($X42=Table14[Year]),0)),"")</f>
        <v/>
      </c>
      <c r="DB42" s="28" t="str" cm="1">
        <f t="array" ref="DB42">_xlfn.IFNA(INDEX(Table14[Ávöxtun],MATCH(1,(DB$2=Table14[Column1])*($X42=Table14[Year]),0)),"")</f>
        <v/>
      </c>
      <c r="DC42" s="28" cm="1">
        <f t="array" ref="DC42">_xlfn.IFNA(INDEX(Table14[Ávöxtun],MATCH(1,(DC$2=Table14[Column1])*($X42=Table14[Year]),0)),"")</f>
        <v>-0.1384</v>
      </c>
      <c r="DD42" s="28" cm="1">
        <f t="array" ref="DD42">_xlfn.IFNA(INDEX(Table14[Ávöxtun],MATCH(1,(DD$2=Table14[Column1])*($X42=Table14[Year]),0)),"")</f>
        <v>-0.23300000000000001</v>
      </c>
      <c r="DE42" s="28" cm="1">
        <f t="array" ref="DE42">_xlfn.IFNA(INDEX(Table14[Ávöxtun],MATCH(1,(DE$2=Table14[Column1])*($X42=Table14[Year]),0)),"")</f>
        <v>-0.13880000000000001</v>
      </c>
      <c r="DF42" s="28" t="str" cm="1">
        <f t="array" ref="DF42">_xlfn.IFNA(INDEX(Table14[Ávöxtun],MATCH(1,(DF$2=Table14[Column1])*($X42=Table14[Year]),0)),"")</f>
        <v/>
      </c>
    </row>
    <row r="43" spans="1:110">
      <c r="A43" t="s">
        <v>61</v>
      </c>
      <c r="B43">
        <v>2002</v>
      </c>
      <c r="C43" s="16">
        <v>0.03</v>
      </c>
      <c r="D43" s="1">
        <v>582127.9</v>
      </c>
      <c r="E43" s="29">
        <f>Table14[[#This Row],[Ávöxtun]]*Table14[[#This Row],[Eignir]]/SUMIFS(Table14[Eignir],Table14[Year],Table14[[#This Row],[Year]])</f>
        <v>2.7494997715435783E-5</v>
      </c>
      <c r="F43" s="23">
        <f>IF(B43=1997, 100, IF(COUNTIF(A$1:A42,A43)=0, "NEW", F42*(1+Table14[[#This Row],[Ávöxtun]])))</f>
        <v>107.31456288000001</v>
      </c>
      <c r="G43" s="18" cm="1">
        <f t="array" ref="G43">IFERROR(_xlfn.IFS(ISNUMBER(Table14[[#This Row],[Column3]]),Table14[[#This Row],[Column3]],Table14[[#This Row],[Column3]]="NEW",Table14[[#This Row],[Column3]]),"")</f>
        <v>107.31456288000001</v>
      </c>
      <c r="H43" s="15" cm="1">
        <f t="array" ref="H43">_xlfn.IFS(Table14[[#This Row],[Column4]]="NEW",AVERAGEIFS(Table14[Column4],Table14[Year],Table14[[#This Row],[Year]]),ISNUMBER(Table14[[#This Row],[Column4]]),Table14[[#This Row],[Column4]],Table14[[#This Row],[Column4]]="",H42*(1+Table14[[#This Row],[Ávöxtun]]))</f>
        <v>107.31456288000001</v>
      </c>
      <c r="I43" cm="1">
        <f t="array" ref="I43">_xlfn.IFS(Table14[[#This Row],[Column4]]="NEW",_xlfn.XLOOKUP(Table14[[#This Row],[Year]],$M$2:$M$27,$O$2:$O$27),ISNUMBER(Table14[[#This Row],[Column4]]),Table14[[#This Row],[Column4]],Table14[[#This Row],[Column4]]="",I42*(1+Table14[[#This Row],[Ávöxtun]]))</f>
        <v>107.31456288000001</v>
      </c>
      <c r="L43" s="33">
        <v>107.31456288000001</v>
      </c>
      <c r="X43">
        <v>2009</v>
      </c>
      <c r="Y43" s="28">
        <f t="shared" si="2"/>
        <v>8.1503518225745086E-3</v>
      </c>
      <c r="Z43" s="28" cm="1">
        <f t="array" ref="Z43">_xlfn.IFNA(INDEX(Table14[Ávöxtun],MATCH(1,(Z$2=Table14[Column1])*($X43=Table14[Year]),0)),"")</f>
        <v>0</v>
      </c>
      <c r="AA43" s="28" t="str" cm="1">
        <f t="array" ref="AA43">_xlfn.IFNA(INDEX(Table14[Ávöxtun],MATCH(1,(AA$2=Table14[Column1])*($X43=Table14[Year]),0)),"")</f>
        <v/>
      </c>
      <c r="AB43" s="28" t="str" cm="1">
        <f t="array" ref="AB43">_xlfn.IFNA(INDEX(Table14[Ávöxtun],MATCH(1,(AB$2=Table14[Column1])*($X43=Table14[Year]),0)),"")</f>
        <v/>
      </c>
      <c r="AC43" s="28" t="str" cm="1">
        <f t="array" ref="AC43">_xlfn.IFNA(INDEX(Table14[Ávöxtun],MATCH(1,(AC$2=Table14[Column1])*($X43=Table14[Year]),0)),"")</f>
        <v/>
      </c>
      <c r="AD43" s="28" t="str" cm="1">
        <f t="array" ref="AD43">_xlfn.IFNA(INDEX(Table14[Ávöxtun],MATCH(1,(AD$2=Table14[Column1])*($X43=Table14[Year]),0)),"")</f>
        <v/>
      </c>
      <c r="AE43" s="28" t="str" cm="1">
        <f t="array" ref="AE43">_xlfn.IFNA(INDEX(Table14[Ávöxtun],MATCH(1,(AE$2=Table14[Column1])*($X43=Table14[Year]),0)),"")</f>
        <v/>
      </c>
      <c r="AF43" s="28" t="str" cm="1">
        <f t="array" ref="AF43">_xlfn.IFNA(INDEX(Table14[Ávöxtun],MATCH(1,(AF$2=Table14[Column1])*($X43=Table14[Year]),0)),"")</f>
        <v/>
      </c>
      <c r="AG43" s="28" cm="1">
        <f t="array" ref="AG43">_xlfn.IFNA(INDEX(Table14[Ávöxtun],MATCH(1,(AG$2=Table14[Column1])*($X43=Table14[Year]),0)),"")</f>
        <v>5.1799999999999999E-2</v>
      </c>
      <c r="AH43" s="28" t="str" cm="1">
        <f t="array" ref="AH43">_xlfn.IFNA(INDEX(Table14[Ávöxtun],MATCH(1,(AH$2=Table14[Column1])*($X43=Table14[Year]),0)),"")</f>
        <v/>
      </c>
      <c r="AI43" s="28" cm="1">
        <f t="array" ref="AI43">_xlfn.IFNA(INDEX(Table14[Ávöxtun],MATCH(1,(AI$2=Table14[Column1])*($X43=Table14[Year]),0)),"")</f>
        <v>-0.08</v>
      </c>
      <c r="AJ43" s="28" cm="1">
        <f t="array" ref="AJ43">_xlfn.IFNA(INDEX(Table14[Ávöxtun],MATCH(1,(AJ$2=Table14[Column1])*($X43=Table14[Year]),0)),"")</f>
        <v>1.1000000000000001E-2</v>
      </c>
      <c r="AK43" s="28" t="str" cm="1">
        <f t="array" ref="AK43">_xlfn.IFNA(INDEX(Table14[Ávöxtun],MATCH(1,(AK$2=Table14[Column1])*($X43=Table14[Year]),0)),"")</f>
        <v/>
      </c>
      <c r="AL43" s="28" cm="1">
        <f t="array" ref="AL43">_xlfn.IFNA(INDEX(Table14[Ávöxtun],MATCH(1,(AL$2=Table14[Column1])*($X43=Table14[Year]),0)),"")</f>
        <v>9.5999999999999992E-3</v>
      </c>
      <c r="AM43" s="28" cm="1">
        <f t="array" ref="AM43">_xlfn.IFNA(INDEX(Table14[Ávöxtun],MATCH(1,(AM$2=Table14[Column1])*($X43=Table14[Year]),0)),"")</f>
        <v>2.3599999999999999E-2</v>
      </c>
      <c r="AN43" s="28" t="str" cm="1">
        <f t="array" ref="AN43">_xlfn.IFNA(INDEX(Table14[Ávöxtun],MATCH(1,(AN$2=Table14[Column1])*($X43=Table14[Year]),0)),"")</f>
        <v/>
      </c>
      <c r="AO43" s="28" cm="1">
        <f t="array" ref="AO43">_xlfn.IFNA(INDEX(Table14[Ávöxtun],MATCH(1,(AO$2=Table14[Column1])*($X43=Table14[Year]),0)),"")</f>
        <v>-7.0999999999999994E-2</v>
      </c>
      <c r="AP43" s="28" cm="1">
        <f t="array" ref="AP43">_xlfn.IFNA(INDEX(Table14[Ávöxtun],MATCH(1,(AP$2=Table14[Column1])*($X43=Table14[Year]),0)),"")</f>
        <v>-5.2000000000000005E-2</v>
      </c>
      <c r="AQ43" s="28" cm="1">
        <f t="array" ref="AQ43">_xlfn.IFNA(INDEX(Table14[Ávöxtun],MATCH(1,(AQ$2=Table14[Column1])*($X43=Table14[Year]),0)),"")</f>
        <v>5.7999999999999996E-3</v>
      </c>
      <c r="AR43" s="28" cm="1">
        <f t="array" ref="AR43">_xlfn.IFNA(INDEX(Table14[Ávöxtun],MATCH(1,(AR$2=Table14[Column1])*($X43=Table14[Year]),0)),"")</f>
        <v>-1.7000000000000001E-2</v>
      </c>
      <c r="AS43" s="28" t="str" cm="1">
        <f t="array" ref="AS43">_xlfn.IFNA(INDEX(Table14[Ávöxtun],MATCH(1,(AS$2=Table14[Column1])*($X43=Table14[Year]),0)),"")</f>
        <v/>
      </c>
      <c r="AT43" s="28" cm="1">
        <f t="array" ref="AT43">_xlfn.IFNA(INDEX(Table14[Ávöxtun],MATCH(1,(AT$2=Table14[Column1])*($X43=Table14[Year]),0)),"")</f>
        <v>3.1800000000000002E-2</v>
      </c>
      <c r="AU43" s="28" cm="1">
        <f t="array" ref="AU43">_xlfn.IFNA(INDEX(Table14[Ávöxtun],MATCH(1,(AU$2=Table14[Column1])*($X43=Table14[Year]),0)),"")</f>
        <v>-8.1000000000000013E-3</v>
      </c>
      <c r="AV43" s="28" t="str" cm="1">
        <f t="array" ref="AV43">_xlfn.IFNA(INDEX(Table14[Ávöxtun],MATCH(1,(AV$2=Table14[Column1])*($X43=Table14[Year]),0)),"")</f>
        <v/>
      </c>
      <c r="AW43" s="28" t="str" cm="1">
        <f t="array" ref="AW43">_xlfn.IFNA(INDEX(Table14[Ávöxtun],MATCH(1,(AW$2=Table14[Column1])*($X43=Table14[Year]),0)),"")</f>
        <v/>
      </c>
      <c r="AX43" s="28" t="str" cm="1">
        <f t="array" ref="AX43">_xlfn.IFNA(INDEX(Table14[Ávöxtun],MATCH(1,(AX$2=Table14[Column1])*($X43=Table14[Year]),0)),"")</f>
        <v/>
      </c>
      <c r="AY43" s="28" t="str" cm="1">
        <f t="array" ref="AY43">_xlfn.IFNA(INDEX(Table14[Ávöxtun],MATCH(1,(AY$2=Table14[Column1])*($X43=Table14[Year]),0)),"")</f>
        <v/>
      </c>
      <c r="AZ43" s="28" cm="1">
        <f t="array" ref="AZ43">_xlfn.IFNA(INDEX(Table14[Ávöxtun],MATCH(1,(AZ$2=Table14[Column1])*($X43=Table14[Year]),0)),"")</f>
        <v>-0.12810000000000002</v>
      </c>
      <c r="BA43" s="28" t="str" cm="1">
        <f t="array" ref="BA43">_xlfn.IFNA(INDEX(Table14[Ávöxtun],MATCH(1,(BA$2=Table14[Column1])*($X43=Table14[Year]),0)),"")</f>
        <v/>
      </c>
      <c r="BB43" s="28" t="str" cm="1">
        <f t="array" ref="BB43">_xlfn.IFNA(INDEX(Table14[Ávöxtun],MATCH(1,(BB$2=Table14[Column1])*($X43=Table14[Year]),0)),"")</f>
        <v/>
      </c>
      <c r="BC43" s="28" cm="1">
        <f t="array" ref="BC43">_xlfn.IFNA(INDEX(Table14[Ávöxtun],MATCH(1,(BC$2=Table14[Column1])*($X43=Table14[Year]),0)),"")</f>
        <v>4.1100000000000005E-2</v>
      </c>
      <c r="BD43" s="28" t="str" cm="1">
        <f t="array" ref="BD43">_xlfn.IFNA(INDEX(Table14[Ávöxtun],MATCH(1,(BD$2=Table14[Column1])*($X43=Table14[Year]),0)),"")</f>
        <v/>
      </c>
      <c r="BE43" s="28" cm="1">
        <f t="array" ref="BE43">_xlfn.IFNA(INDEX(Table14[Ávöxtun],MATCH(1,(BE$2=Table14[Column1])*($X43=Table14[Year]),0)),"")</f>
        <v>-5.0000000000000001E-3</v>
      </c>
      <c r="BF43" s="28" t="str" cm="1">
        <f t="array" ref="BF43">_xlfn.IFNA(INDEX(Table14[Ávöxtun],MATCH(1,(BF$2=Table14[Column1])*($X43=Table14[Year]),0)),"")</f>
        <v/>
      </c>
      <c r="BG43" s="28" cm="1">
        <f t="array" ref="BG43">_xlfn.IFNA(INDEX(Table14[Ávöxtun],MATCH(1,(BG$2=Table14[Column1])*($X43=Table14[Year]),0)),"")</f>
        <v>-1.3600000000000001E-2</v>
      </c>
      <c r="BH43" s="28" cm="1">
        <f t="array" ref="BH43">_xlfn.IFNA(INDEX(Table14[Ávöxtun],MATCH(1,(BH$2=Table14[Column1])*($X43=Table14[Year]),0)),"")</f>
        <v>9.4000000000000004E-3</v>
      </c>
      <c r="BI43" s="28" t="str" cm="1">
        <f t="array" ref="BI43">_xlfn.IFNA(INDEX(Table14[Ávöxtun],MATCH(1,(BI$2=Table14[Column1])*($X43=Table14[Year]),0)),"")</f>
        <v/>
      </c>
      <c r="BJ43" s="28" cm="1">
        <f t="array" ref="BJ43">_xlfn.IFNA(INDEX(Table14[Ávöxtun],MATCH(1,(BJ$2=Table14[Column1])*($X43=Table14[Year]),0)),"")</f>
        <v>0</v>
      </c>
      <c r="BK43" s="28" t="str" cm="1">
        <f t="array" ref="BK43">_xlfn.IFNA(INDEX(Table14[Ávöxtun],MATCH(1,(BK$2=Table14[Column1])*($X43=Table14[Year]),0)),"")</f>
        <v/>
      </c>
      <c r="BL43" s="28" t="str" cm="1">
        <f t="array" ref="BL43">_xlfn.IFNA(INDEX(Table14[Ávöxtun],MATCH(1,(BL$2=Table14[Column1])*($X43=Table14[Year]),0)),"")</f>
        <v/>
      </c>
      <c r="BM43" s="28" t="str" cm="1">
        <f t="array" ref="BM43">_xlfn.IFNA(INDEX(Table14[Ávöxtun],MATCH(1,(BM$2=Table14[Column1])*($X43=Table14[Year]),0)),"")</f>
        <v/>
      </c>
      <c r="BN43" s="28" t="str" cm="1">
        <f t="array" ref="BN43">_xlfn.IFNA(INDEX(Table14[Ávöxtun],MATCH(1,(BN$2=Table14[Column1])*($X43=Table14[Year]),0)),"")</f>
        <v/>
      </c>
      <c r="BO43" s="28" t="str" cm="1">
        <f t="array" ref="BO43">_xlfn.IFNA(INDEX(Table14[Ávöxtun],MATCH(1,(BO$2=Table14[Column1])*($X43=Table14[Year]),0)),"")</f>
        <v/>
      </c>
      <c r="BP43" s="28" t="str" cm="1">
        <f t="array" ref="BP43">_xlfn.IFNA(INDEX(Table14[Ávöxtun],MATCH(1,(BP$2=Table14[Column1])*($X43=Table14[Year]),0)),"")</f>
        <v/>
      </c>
      <c r="BQ43" s="28" cm="1">
        <f t="array" ref="BQ43">_xlfn.IFNA(INDEX(Table14[Ávöxtun],MATCH(1,(BQ$2=Table14[Column1])*($X43=Table14[Year]),0)),"")</f>
        <v>5.6999999999999993E-3</v>
      </c>
      <c r="BR43" s="28" cm="1">
        <f t="array" ref="BR43">_xlfn.IFNA(INDEX(Table14[Ávöxtun],MATCH(1,(BR$2=Table14[Column1])*($X43=Table14[Year]),0)),"")</f>
        <v>5.2600000000000001E-2</v>
      </c>
      <c r="BS43" s="28" t="str" cm="1">
        <f t="array" ref="BS43">_xlfn.IFNA(INDEX(Table14[Ávöxtun],MATCH(1,(BS$2=Table14[Column1])*($X43=Table14[Year]),0)),"")</f>
        <v/>
      </c>
      <c r="BT43" s="28" t="str" cm="1">
        <f t="array" ref="BT43">_xlfn.IFNA(INDEX(Table14[Ávöxtun],MATCH(1,(BT$2=Table14[Column1])*($X43=Table14[Year]),0)),"")</f>
        <v/>
      </c>
      <c r="BU43" s="28" t="str" cm="1">
        <f t="array" ref="BU43">_xlfn.IFNA(INDEX(Table14[Ávöxtun],MATCH(1,(BU$2=Table14[Column1])*($X43=Table14[Year]),0)),"")</f>
        <v/>
      </c>
      <c r="BV43" s="28" cm="1">
        <f t="array" ref="BV43">_xlfn.IFNA(INDEX(Table14[Ávöxtun],MATCH(1,(BV$2=Table14[Column1])*($X43=Table14[Year]),0)),"")</f>
        <v>2.53E-2</v>
      </c>
      <c r="BW43" s="28" t="str" cm="1">
        <f t="array" ref="BW43">_xlfn.IFNA(INDEX(Table14[Ávöxtun],MATCH(1,(BW$2=Table14[Column1])*($X43=Table14[Year]),0)),"")</f>
        <v/>
      </c>
      <c r="BX43" s="28" t="str" cm="1">
        <f t="array" ref="BX43">_xlfn.IFNA(INDEX(Table14[Ávöxtun],MATCH(1,(BX$2=Table14[Column1])*($X43=Table14[Year]),0)),"")</f>
        <v/>
      </c>
      <c r="BY43" s="28" t="str" cm="1">
        <f t="array" ref="BY43">_xlfn.IFNA(INDEX(Table14[Ávöxtun],MATCH(1,(BY$2=Table14[Column1])*($X43=Table14[Year]),0)),"")</f>
        <v/>
      </c>
      <c r="BZ43" s="28" t="str" cm="1">
        <f t="array" ref="BZ43">_xlfn.IFNA(INDEX(Table14[Ávöxtun],MATCH(1,(BZ$2=Table14[Column1])*($X43=Table14[Year]),0)),"")</f>
        <v/>
      </c>
      <c r="CA43" s="28" t="str" cm="1">
        <f t="array" ref="CA43">_xlfn.IFNA(INDEX(Table14[Ávöxtun],MATCH(1,(CA$2=Table14[Column1])*($X43=Table14[Year]),0)),"")</f>
        <v/>
      </c>
      <c r="CB43" s="28" cm="1">
        <f t="array" ref="CB43">_xlfn.IFNA(INDEX(Table14[Ávöxtun],MATCH(1,(CB$2=Table14[Column1])*($X43=Table14[Year]),0)),"")</f>
        <v>-1.9800000000000002E-2</v>
      </c>
      <c r="CC43" s="28" t="str" cm="1">
        <f t="array" ref="CC43">_xlfn.IFNA(INDEX(Table14[Ávöxtun],MATCH(1,(CC$2=Table14[Column1])*($X43=Table14[Year]),0)),"")</f>
        <v/>
      </c>
      <c r="CD43" s="28" t="str" cm="1">
        <f t="array" ref="CD43">_xlfn.IFNA(INDEX(Table14[Ávöxtun],MATCH(1,(CD$2=Table14[Column1])*($X43=Table14[Year]),0)),"")</f>
        <v/>
      </c>
      <c r="CE43" s="28" cm="1">
        <f t="array" ref="CE43">_xlfn.IFNA(INDEX(Table14[Ávöxtun],MATCH(1,(CE$2=Table14[Column1])*($X43=Table14[Year]),0)),"")</f>
        <v>3.1300000000000001E-2</v>
      </c>
      <c r="CF43" s="28" cm="1">
        <f t="array" ref="CF43">_xlfn.IFNA(INDEX(Table14[Ávöxtun],MATCH(1,(CF$2=Table14[Column1])*($X43=Table14[Year]),0)),"")</f>
        <v>4.4800000000000006E-2</v>
      </c>
      <c r="CG43" s="28" cm="1">
        <f t="array" ref="CG43">_xlfn.IFNA(INDEX(Table14[Ávöxtun],MATCH(1,(CG$2=Table14[Column1])*($X43=Table14[Year]),0)),"")</f>
        <v>6.8099999999999994E-2</v>
      </c>
      <c r="CH43" s="28" cm="1">
        <f t="array" ref="CH43">_xlfn.IFNA(INDEX(Table14[Ávöxtun],MATCH(1,(CH$2=Table14[Column1])*($X43=Table14[Year]),0)),"")</f>
        <v>3.5799999999999998E-2</v>
      </c>
      <c r="CI43" s="28" cm="1">
        <f t="array" ref="CI43">_xlfn.IFNA(INDEX(Table14[Ávöxtun],MATCH(1,(CI$2=Table14[Column1])*($X43=Table14[Year]),0)),"")</f>
        <v>5.4800000000000008E-2</v>
      </c>
      <c r="CJ43" s="28" cm="1">
        <f t="array" ref="CJ43">_xlfn.IFNA(INDEX(Table14[Ávöxtun],MATCH(1,(CJ$2=Table14[Column1])*($X43=Table14[Year]),0)),"")</f>
        <v>2.5099999999999997E-2</v>
      </c>
      <c r="CK43" s="28" t="str" cm="1">
        <f t="array" ref="CK43">_xlfn.IFNA(INDEX(Table14[Ávöxtun],MATCH(1,(CK$2=Table14[Column1])*($X43=Table14[Year]),0)),"")</f>
        <v/>
      </c>
      <c r="CL43" s="28" t="str" cm="1">
        <f t="array" ref="CL43">_xlfn.IFNA(INDEX(Table14[Ávöxtun],MATCH(1,(CL$2=Table14[Column1])*($X43=Table14[Year]),0)),"")</f>
        <v/>
      </c>
      <c r="CM43" s="28" t="str" cm="1">
        <f t="array" ref="CM43">_xlfn.IFNA(INDEX(Table14[Ávöxtun],MATCH(1,(CM$2=Table14[Column1])*($X43=Table14[Year]),0)),"")</f>
        <v/>
      </c>
      <c r="CN43" s="28" cm="1">
        <f t="array" ref="CN43">_xlfn.IFNA(INDEX(Table14[Ávöxtun],MATCH(1,(CN$2=Table14[Column1])*($X43=Table14[Year]),0)),"")</f>
        <v>4.7500000000000001E-2</v>
      </c>
      <c r="CO43" s="28" t="str" cm="1">
        <f t="array" ref="CO43">_xlfn.IFNA(INDEX(Table14[Ávöxtun],MATCH(1,(CO$2=Table14[Column1])*($X43=Table14[Year]),0)),"")</f>
        <v/>
      </c>
      <c r="CP43" s="28" t="str" cm="1">
        <f t="array" ref="CP43">_xlfn.IFNA(INDEX(Table14[Ávöxtun],MATCH(1,(CP$2=Table14[Column1])*($X43=Table14[Year]),0)),"")</f>
        <v/>
      </c>
      <c r="CQ43" s="28" cm="1">
        <f t="array" ref="CQ43">_xlfn.IFNA(INDEX(Table14[Ávöxtun],MATCH(1,(CQ$2=Table14[Column1])*($X43=Table14[Year]),0)),"")</f>
        <v>-4.0000000000000001E-3</v>
      </c>
      <c r="CR43" s="28" cm="1">
        <f t="array" ref="CR43">_xlfn.IFNA(INDEX(Table14[Ávöxtun],MATCH(1,(CR$2=Table14[Column1])*($X43=Table14[Year]),0)),"")</f>
        <v>1.15E-2</v>
      </c>
      <c r="CS43" s="28" cm="1">
        <f t="array" ref="CS43">_xlfn.IFNA(INDEX(Table14[Ávöxtun],MATCH(1,(CS$2=Table14[Column1])*($X43=Table14[Year]),0)),"")</f>
        <v>2.0999999999999999E-3</v>
      </c>
      <c r="CT43" s="28" cm="1">
        <f t="array" ref="CT43">_xlfn.IFNA(INDEX(Table14[Ávöxtun],MATCH(1,(CT$2=Table14[Column1])*($X43=Table14[Year]),0)),"")</f>
        <v>2.8900000000000002E-2</v>
      </c>
      <c r="CU43" s="28" t="str" cm="1">
        <f t="array" ref="CU43">_xlfn.IFNA(INDEX(Table14[Ávöxtun],MATCH(1,(CU$2=Table14[Column1])*($X43=Table14[Year]),0)),"")</f>
        <v/>
      </c>
      <c r="CV43" s="28" t="str" cm="1">
        <f t="array" ref="CV43">_xlfn.IFNA(INDEX(Table14[Ávöxtun],MATCH(1,(CV$2=Table14[Column1])*($X43=Table14[Year]),0)),"")</f>
        <v/>
      </c>
      <c r="CW43" s="28" t="str" cm="1">
        <f t="array" ref="CW43">_xlfn.IFNA(INDEX(Table14[Ávöxtun],MATCH(1,(CW$2=Table14[Column1])*($X43=Table14[Year]),0)),"")</f>
        <v/>
      </c>
      <c r="CX43" s="28" t="str" cm="1">
        <f t="array" ref="CX43">_xlfn.IFNA(INDEX(Table14[Ávöxtun],MATCH(1,(CX$2=Table14[Column1])*($X43=Table14[Year]),0)),"")</f>
        <v/>
      </c>
      <c r="CY43" s="28" t="str" cm="1">
        <f t="array" ref="CY43">_xlfn.IFNA(INDEX(Table14[Ávöxtun],MATCH(1,(CY$2=Table14[Column1])*($X43=Table14[Year]),0)),"")</f>
        <v/>
      </c>
      <c r="CZ43" s="28" cm="1">
        <f t="array" ref="CZ43">_xlfn.IFNA(INDEX(Table14[Ávöxtun],MATCH(1,(CZ$2=Table14[Column1])*($X43=Table14[Year]),0)),"")</f>
        <v>-1.3999999999999999E-2</v>
      </c>
      <c r="DA43" s="28" t="str" cm="1">
        <f t="array" ref="DA43">_xlfn.IFNA(INDEX(Table14[Ávöxtun],MATCH(1,(DA$2=Table14[Column1])*($X43=Table14[Year]),0)),"")</f>
        <v/>
      </c>
      <c r="DB43" s="28" t="str" cm="1">
        <f t="array" ref="DB43">_xlfn.IFNA(INDEX(Table14[Ávöxtun],MATCH(1,(DB$2=Table14[Column1])*($X43=Table14[Year]),0)),"")</f>
        <v/>
      </c>
      <c r="DC43" s="28" cm="1">
        <f t="array" ref="DC43">_xlfn.IFNA(INDEX(Table14[Ávöxtun],MATCH(1,(DC$2=Table14[Column1])*($X43=Table14[Year]),0)),"")</f>
        <v>3.7999999999999999E-2</v>
      </c>
      <c r="DD43" s="28" cm="1">
        <f t="array" ref="DD43">_xlfn.IFNA(INDEX(Table14[Ávöxtun],MATCH(1,(DD$2=Table14[Column1])*($X43=Table14[Year]),0)),"")</f>
        <v>-4.9000000000000002E-2</v>
      </c>
      <c r="DE43" s="28" cm="1">
        <f t="array" ref="DE43">_xlfn.IFNA(INDEX(Table14[Ávöxtun],MATCH(1,(DE$2=Table14[Column1])*($X43=Table14[Year]),0)),"")</f>
        <v>-6.1699999999999998E-2</v>
      </c>
      <c r="DF43" s="28" t="str" cm="1">
        <f t="array" ref="DF43">_xlfn.IFNA(INDEX(Table14[Ávöxtun],MATCH(1,(DF$2=Table14[Column1])*($X43=Table14[Year]),0)),"")</f>
        <v/>
      </c>
    </row>
    <row r="44" spans="1:110">
      <c r="A44" t="s">
        <v>61</v>
      </c>
      <c r="B44">
        <v>2003</v>
      </c>
      <c r="C44" s="16">
        <v>7.0000000000000007E-2</v>
      </c>
      <c r="D44" s="1">
        <v>596996</v>
      </c>
      <c r="E44" s="29">
        <f>Table14[[#This Row],[Ávöxtun]]*Table14[[#This Row],[Eignir]]/SUMIFS(Table14[Eignir],Table14[Year],Table14[[#This Row],[Year]])</f>
        <v>5.4994332456086392E-5</v>
      </c>
      <c r="F44" s="23">
        <f>IF(B44=1997, 100, IF(COUNTIF(A$1:A43,A44)=0, "NEW", F43*(1+Table14[[#This Row],[Ávöxtun]])))</f>
        <v>114.82658228160003</v>
      </c>
      <c r="G44" s="18" cm="1">
        <f t="array" ref="G44">IFERROR(_xlfn.IFS(ISNUMBER(Table14[[#This Row],[Column3]]),Table14[[#This Row],[Column3]],Table14[[#This Row],[Column3]]="NEW",Table14[[#This Row],[Column3]]),"")</f>
        <v>114.82658228160003</v>
      </c>
      <c r="H44" s="15" cm="1">
        <f t="array" ref="H44">_xlfn.IFS(Table14[[#This Row],[Column4]]="NEW",AVERAGEIFS(Table14[Column4],Table14[Year],Table14[[#This Row],[Year]]),ISNUMBER(Table14[[#This Row],[Column4]]),Table14[[#This Row],[Column4]],Table14[[#This Row],[Column4]]="",H43*(1+Table14[[#This Row],[Ávöxtun]]))</f>
        <v>114.82658228160003</v>
      </c>
      <c r="I44" cm="1">
        <f t="array" ref="I44">_xlfn.IFS(Table14[[#This Row],[Column4]]="NEW",_xlfn.XLOOKUP(Table14[[#This Row],[Year]],$M$2:$M$27,$O$2:$O$27),ISNUMBER(Table14[[#This Row],[Column4]]),Table14[[#This Row],[Column4]],Table14[[#This Row],[Column4]]="",I43*(1+Table14[[#This Row],[Ávöxtun]]))</f>
        <v>114.82658228160003</v>
      </c>
      <c r="L44" s="33">
        <v>114.82658228160003</v>
      </c>
      <c r="X44">
        <v>2010</v>
      </c>
      <c r="Y44" s="28">
        <f t="shared" si="2"/>
        <v>2.9219762498001955E-2</v>
      </c>
      <c r="Z44" s="28" cm="1">
        <f t="array" ref="Z44">_xlfn.IFNA(INDEX(Table14[Ávöxtun],MATCH(1,(Z$2=Table14[Column1])*($X44=Table14[Year]),0)),"")</f>
        <v>1.4999999999999999E-2</v>
      </c>
      <c r="AA44" s="28" t="str" cm="1">
        <f t="array" ref="AA44">_xlfn.IFNA(INDEX(Table14[Ávöxtun],MATCH(1,(AA$2=Table14[Column1])*($X44=Table14[Year]),0)),"")</f>
        <v/>
      </c>
      <c r="AB44" s="28" t="str" cm="1">
        <f t="array" ref="AB44">_xlfn.IFNA(INDEX(Table14[Ávöxtun],MATCH(1,(AB$2=Table14[Column1])*($X44=Table14[Year]),0)),"")</f>
        <v/>
      </c>
      <c r="AC44" s="28" t="str" cm="1">
        <f t="array" ref="AC44">_xlfn.IFNA(INDEX(Table14[Ávöxtun],MATCH(1,(AC$2=Table14[Column1])*($X44=Table14[Year]),0)),"")</f>
        <v/>
      </c>
      <c r="AD44" s="28" t="str" cm="1">
        <f t="array" ref="AD44">_xlfn.IFNA(INDEX(Table14[Ávöxtun],MATCH(1,(AD$2=Table14[Column1])*($X44=Table14[Year]),0)),"")</f>
        <v/>
      </c>
      <c r="AE44" s="28" t="str" cm="1">
        <f t="array" ref="AE44">_xlfn.IFNA(INDEX(Table14[Ávöxtun],MATCH(1,(AE$2=Table14[Column1])*($X44=Table14[Year]),0)),"")</f>
        <v/>
      </c>
      <c r="AF44" s="28" t="str" cm="1">
        <f t="array" ref="AF44">_xlfn.IFNA(INDEX(Table14[Ávöxtun],MATCH(1,(AF$2=Table14[Column1])*($X44=Table14[Year]),0)),"")</f>
        <v/>
      </c>
      <c r="AG44" s="28" t="str" cm="1">
        <f t="array" ref="AG44">_xlfn.IFNA(INDEX(Table14[Ávöxtun],MATCH(1,(AG$2=Table14[Column1])*($X44=Table14[Year]),0)),"")</f>
        <v/>
      </c>
      <c r="AH44" s="28" t="str" cm="1">
        <f t="array" ref="AH44">_xlfn.IFNA(INDEX(Table14[Ávöxtun],MATCH(1,(AH$2=Table14[Column1])*($X44=Table14[Year]),0)),"")</f>
        <v/>
      </c>
      <c r="AI44" s="28" t="str" cm="1">
        <f t="array" ref="AI44">_xlfn.IFNA(INDEX(Table14[Ávöxtun],MATCH(1,(AI$2=Table14[Column1])*($X44=Table14[Year]),0)),"")</f>
        <v/>
      </c>
      <c r="AJ44" s="28" cm="1">
        <f t="array" ref="AJ44">_xlfn.IFNA(INDEX(Table14[Ávöxtun],MATCH(1,(AJ$2=Table14[Column1])*($X44=Table14[Year]),0)),"")</f>
        <v>-1.26E-2</v>
      </c>
      <c r="AK44" s="28" t="str" cm="1">
        <f t="array" ref="AK44">_xlfn.IFNA(INDEX(Table14[Ávöxtun],MATCH(1,(AK$2=Table14[Column1])*($X44=Table14[Year]),0)),"")</f>
        <v/>
      </c>
      <c r="AL44" s="28" cm="1">
        <f t="array" ref="AL44">_xlfn.IFNA(INDEX(Table14[Ávöxtun],MATCH(1,(AL$2=Table14[Column1])*($X44=Table14[Year]),0)),"")</f>
        <v>4.6800000000000001E-2</v>
      </c>
      <c r="AM44" s="28" cm="1">
        <f t="array" ref="AM44">_xlfn.IFNA(INDEX(Table14[Ávöxtun],MATCH(1,(AM$2=Table14[Column1])*($X44=Table14[Year]),0)),"")</f>
        <v>3.3000000000000002E-2</v>
      </c>
      <c r="AN44" s="28" t="str" cm="1">
        <f t="array" ref="AN44">_xlfn.IFNA(INDEX(Table14[Ávöxtun],MATCH(1,(AN$2=Table14[Column1])*($X44=Table14[Year]),0)),"")</f>
        <v/>
      </c>
      <c r="AO44" s="28" cm="1">
        <f t="array" ref="AO44">_xlfn.IFNA(INDEX(Table14[Ávöxtun],MATCH(1,(AO$2=Table14[Column1])*($X44=Table14[Year]),0)),"")</f>
        <v>-0.35869999999999996</v>
      </c>
      <c r="AP44" s="28" cm="1">
        <f t="array" ref="AP44">_xlfn.IFNA(INDEX(Table14[Ávöxtun],MATCH(1,(AP$2=Table14[Column1])*($X44=Table14[Year]),0)),"")</f>
        <v>2.1000000000000001E-2</v>
      </c>
      <c r="AQ44" s="28" cm="1">
        <f t="array" ref="AQ44">_xlfn.IFNA(INDEX(Table14[Ávöxtun],MATCH(1,(AQ$2=Table14[Column1])*($X44=Table14[Year]),0)),"")</f>
        <v>5.0199999999999995E-2</v>
      </c>
      <c r="AR44" s="28" cm="1">
        <f t="array" ref="AR44">_xlfn.IFNA(INDEX(Table14[Ávöxtun],MATCH(1,(AR$2=Table14[Column1])*($X44=Table14[Year]),0)),"")</f>
        <v>1.3700000000000002E-2</v>
      </c>
      <c r="AS44" s="28" t="str" cm="1">
        <f t="array" ref="AS44">_xlfn.IFNA(INDEX(Table14[Ávöxtun],MATCH(1,(AS$2=Table14[Column1])*($X44=Table14[Year]),0)),"")</f>
        <v/>
      </c>
      <c r="AT44" s="28" cm="1">
        <f t="array" ref="AT44">_xlfn.IFNA(INDEX(Table14[Ávöxtun],MATCH(1,(AT$2=Table14[Column1])*($X44=Table14[Year]),0)),"")</f>
        <v>4.5999999999999999E-2</v>
      </c>
      <c r="AU44" s="28" cm="1">
        <f t="array" ref="AU44">_xlfn.IFNA(INDEX(Table14[Ávöxtun],MATCH(1,(AU$2=Table14[Column1])*($X44=Table14[Year]),0)),"")</f>
        <v>0.04</v>
      </c>
      <c r="AV44" s="28" t="str" cm="1">
        <f t="array" ref="AV44">_xlfn.IFNA(INDEX(Table14[Ávöxtun],MATCH(1,(AV$2=Table14[Column1])*($X44=Table14[Year]),0)),"")</f>
        <v/>
      </c>
      <c r="AW44" s="28" t="str" cm="1">
        <f t="array" ref="AW44">_xlfn.IFNA(INDEX(Table14[Ávöxtun],MATCH(1,(AW$2=Table14[Column1])*($X44=Table14[Year]),0)),"")</f>
        <v/>
      </c>
      <c r="AX44" s="28" t="str" cm="1">
        <f t="array" ref="AX44">_xlfn.IFNA(INDEX(Table14[Ávöxtun],MATCH(1,(AX$2=Table14[Column1])*($X44=Table14[Year]),0)),"")</f>
        <v/>
      </c>
      <c r="AY44" s="28" t="str" cm="1">
        <f t="array" ref="AY44">_xlfn.IFNA(INDEX(Table14[Ávöxtun],MATCH(1,(AY$2=Table14[Column1])*($X44=Table14[Year]),0)),"")</f>
        <v/>
      </c>
      <c r="AZ44" s="28" t="str" cm="1">
        <f t="array" ref="AZ44">_xlfn.IFNA(INDEX(Table14[Ávöxtun],MATCH(1,(AZ$2=Table14[Column1])*($X44=Table14[Year]),0)),"")</f>
        <v/>
      </c>
      <c r="BA44" s="28" t="str" cm="1">
        <f t="array" ref="BA44">_xlfn.IFNA(INDEX(Table14[Ávöxtun],MATCH(1,(BA$2=Table14[Column1])*($X44=Table14[Year]),0)),"")</f>
        <v/>
      </c>
      <c r="BB44" s="28" t="str" cm="1">
        <f t="array" ref="BB44">_xlfn.IFNA(INDEX(Table14[Ávöxtun],MATCH(1,(BB$2=Table14[Column1])*($X44=Table14[Year]),0)),"")</f>
        <v/>
      </c>
      <c r="BC44" s="28" cm="1">
        <f t="array" ref="BC44">_xlfn.IFNA(INDEX(Table14[Ávöxtun],MATCH(1,(BC$2=Table14[Column1])*($X44=Table14[Year]),0)),"")</f>
        <v>4.9200000000000001E-2</v>
      </c>
      <c r="BD44" s="28" t="str" cm="1">
        <f t="array" ref="BD44">_xlfn.IFNA(INDEX(Table14[Ávöxtun],MATCH(1,(BD$2=Table14[Column1])*($X44=Table14[Year]),0)),"")</f>
        <v/>
      </c>
      <c r="BE44" s="28" t="str" cm="1">
        <f t="array" ref="BE44">_xlfn.IFNA(INDEX(Table14[Ávöxtun],MATCH(1,(BE$2=Table14[Column1])*($X44=Table14[Year]),0)),"")</f>
        <v/>
      </c>
      <c r="BF44" s="28" t="str" cm="1">
        <f t="array" ref="BF44">_xlfn.IFNA(INDEX(Table14[Ávöxtun],MATCH(1,(BF$2=Table14[Column1])*($X44=Table14[Year]),0)),"")</f>
        <v/>
      </c>
      <c r="BG44" s="28" cm="1">
        <f t="array" ref="BG44">_xlfn.IFNA(INDEX(Table14[Ávöxtun],MATCH(1,(BG$2=Table14[Column1])*($X44=Table14[Year]),0)),"")</f>
        <v>2.3E-2</v>
      </c>
      <c r="BH44" s="28" cm="1">
        <f t="array" ref="BH44">_xlfn.IFNA(INDEX(Table14[Ávöxtun],MATCH(1,(BH$2=Table14[Column1])*($X44=Table14[Year]),0)),"")</f>
        <v>3.2400000000000005E-2</v>
      </c>
      <c r="BI44" s="28" t="str" cm="1">
        <f t="array" ref="BI44">_xlfn.IFNA(INDEX(Table14[Ávöxtun],MATCH(1,(BI$2=Table14[Column1])*($X44=Table14[Year]),0)),"")</f>
        <v/>
      </c>
      <c r="BJ44" s="28" cm="1">
        <f t="array" ref="BJ44">_xlfn.IFNA(INDEX(Table14[Ávöxtun],MATCH(1,(BJ$2=Table14[Column1])*($X44=Table14[Year]),0)),"")</f>
        <v>-1.61E-2</v>
      </c>
      <c r="BK44" s="28" t="str" cm="1">
        <f t="array" ref="BK44">_xlfn.IFNA(INDEX(Table14[Ávöxtun],MATCH(1,(BK$2=Table14[Column1])*($X44=Table14[Year]),0)),"")</f>
        <v/>
      </c>
      <c r="BL44" s="28" t="str" cm="1">
        <f t="array" ref="BL44">_xlfn.IFNA(INDEX(Table14[Ávöxtun],MATCH(1,(BL$2=Table14[Column1])*($X44=Table14[Year]),0)),"")</f>
        <v/>
      </c>
      <c r="BM44" s="28" t="str" cm="1">
        <f t="array" ref="BM44">_xlfn.IFNA(INDEX(Table14[Ávöxtun],MATCH(1,(BM$2=Table14[Column1])*($X44=Table14[Year]),0)),"")</f>
        <v/>
      </c>
      <c r="BN44" s="28" t="str" cm="1">
        <f t="array" ref="BN44">_xlfn.IFNA(INDEX(Table14[Ávöxtun],MATCH(1,(BN$2=Table14[Column1])*($X44=Table14[Year]),0)),"")</f>
        <v/>
      </c>
      <c r="BO44" s="28" t="str" cm="1">
        <f t="array" ref="BO44">_xlfn.IFNA(INDEX(Table14[Ávöxtun],MATCH(1,(BO$2=Table14[Column1])*($X44=Table14[Year]),0)),"")</f>
        <v/>
      </c>
      <c r="BP44" s="28" t="str" cm="1">
        <f t="array" ref="BP44">_xlfn.IFNA(INDEX(Table14[Ávöxtun],MATCH(1,(BP$2=Table14[Column1])*($X44=Table14[Year]),0)),"")</f>
        <v/>
      </c>
      <c r="BQ44" s="28" cm="1">
        <f t="array" ref="BQ44">_xlfn.IFNA(INDEX(Table14[Ávöxtun],MATCH(1,(BQ$2=Table14[Column1])*($X44=Table14[Year]),0)),"")</f>
        <v>4.1200000000000001E-2</v>
      </c>
      <c r="BR44" s="28" cm="1">
        <f t="array" ref="BR44">_xlfn.IFNA(INDEX(Table14[Ávöxtun],MATCH(1,(BR$2=Table14[Column1])*($X44=Table14[Year]),0)),"")</f>
        <v>7.7200000000000005E-2</v>
      </c>
      <c r="BS44" s="28" t="str" cm="1">
        <f t="array" ref="BS44">_xlfn.IFNA(INDEX(Table14[Ávöxtun],MATCH(1,(BS$2=Table14[Column1])*($X44=Table14[Year]),0)),"")</f>
        <v/>
      </c>
      <c r="BT44" s="28" t="str" cm="1">
        <f t="array" ref="BT44">_xlfn.IFNA(INDEX(Table14[Ávöxtun],MATCH(1,(BT$2=Table14[Column1])*($X44=Table14[Year]),0)),"")</f>
        <v/>
      </c>
      <c r="BU44" s="28" t="str" cm="1">
        <f t="array" ref="BU44">_xlfn.IFNA(INDEX(Table14[Ávöxtun],MATCH(1,(BU$2=Table14[Column1])*($X44=Table14[Year]),0)),"")</f>
        <v/>
      </c>
      <c r="BV44" s="28" cm="1">
        <f t="array" ref="BV44">_xlfn.IFNA(INDEX(Table14[Ávöxtun],MATCH(1,(BV$2=Table14[Column1])*($X44=Table14[Year]),0)),"")</f>
        <v>1.83E-2</v>
      </c>
      <c r="BW44" s="28" t="str" cm="1">
        <f t="array" ref="BW44">_xlfn.IFNA(INDEX(Table14[Ávöxtun],MATCH(1,(BW$2=Table14[Column1])*($X44=Table14[Year]),0)),"")</f>
        <v/>
      </c>
      <c r="BX44" s="28" t="str" cm="1">
        <f t="array" ref="BX44">_xlfn.IFNA(INDEX(Table14[Ávöxtun],MATCH(1,(BX$2=Table14[Column1])*($X44=Table14[Year]),0)),"")</f>
        <v/>
      </c>
      <c r="BY44" s="28" t="str" cm="1">
        <f t="array" ref="BY44">_xlfn.IFNA(INDEX(Table14[Ávöxtun],MATCH(1,(BY$2=Table14[Column1])*($X44=Table14[Year]),0)),"")</f>
        <v/>
      </c>
      <c r="BZ44" s="28" t="str" cm="1">
        <f t="array" ref="BZ44">_xlfn.IFNA(INDEX(Table14[Ávöxtun],MATCH(1,(BZ$2=Table14[Column1])*($X44=Table14[Year]),0)),"")</f>
        <v/>
      </c>
      <c r="CA44" s="28" t="str" cm="1">
        <f t="array" ref="CA44">_xlfn.IFNA(INDEX(Table14[Ávöxtun],MATCH(1,(CA$2=Table14[Column1])*($X44=Table14[Year]),0)),"")</f>
        <v/>
      </c>
      <c r="CB44" s="28" cm="1">
        <f t="array" ref="CB44">_xlfn.IFNA(INDEX(Table14[Ávöxtun],MATCH(1,(CB$2=Table14[Column1])*($X44=Table14[Year]),0)),"")</f>
        <v>9.2600000000000002E-2</v>
      </c>
      <c r="CC44" s="28" t="str" cm="1">
        <f t="array" ref="CC44">_xlfn.IFNA(INDEX(Table14[Ávöxtun],MATCH(1,(CC$2=Table14[Column1])*($X44=Table14[Year]),0)),"")</f>
        <v/>
      </c>
      <c r="CD44" s="28" t="str" cm="1">
        <f t="array" ref="CD44">_xlfn.IFNA(INDEX(Table14[Ávöxtun],MATCH(1,(CD$2=Table14[Column1])*($X44=Table14[Year]),0)),"")</f>
        <v/>
      </c>
      <c r="CE44" s="28" cm="1">
        <f t="array" ref="CE44">_xlfn.IFNA(INDEX(Table14[Ávöxtun],MATCH(1,(CE$2=Table14[Column1])*($X44=Table14[Year]),0)),"")</f>
        <v>3.2500000000000001E-2</v>
      </c>
      <c r="CF44" s="28" cm="1">
        <f t="array" ref="CF44">_xlfn.IFNA(INDEX(Table14[Ávöxtun],MATCH(1,(CF$2=Table14[Column1])*($X44=Table14[Year]),0)),"")</f>
        <v>5.0099999999999999E-2</v>
      </c>
      <c r="CG44" s="28" cm="1">
        <f t="array" ref="CG44">_xlfn.IFNA(INDEX(Table14[Ávöxtun],MATCH(1,(CG$2=Table14[Column1])*($X44=Table14[Year]),0)),"")</f>
        <v>4.7E-2</v>
      </c>
      <c r="CH44" s="28" cm="1">
        <f t="array" ref="CH44">_xlfn.IFNA(INDEX(Table14[Ávöxtun],MATCH(1,(CH$2=Table14[Column1])*($X44=Table14[Year]),0)),"")</f>
        <v>2.3900000000000001E-2</v>
      </c>
      <c r="CI44" s="28" cm="1">
        <f t="array" ref="CI44">_xlfn.IFNA(INDEX(Table14[Ávöxtun],MATCH(1,(CI$2=Table14[Column1])*($X44=Table14[Year]),0)),"")</f>
        <v>4.1500000000000002E-2</v>
      </c>
      <c r="CJ44" s="28" cm="1">
        <f t="array" ref="CJ44">_xlfn.IFNA(INDEX(Table14[Ávöxtun],MATCH(1,(CJ$2=Table14[Column1])*($X44=Table14[Year]),0)),"")</f>
        <v>2.4300000000000002E-2</v>
      </c>
      <c r="CK44" s="28" t="str" cm="1">
        <f t="array" ref="CK44">_xlfn.IFNA(INDEX(Table14[Ávöxtun],MATCH(1,(CK$2=Table14[Column1])*($X44=Table14[Year]),0)),"")</f>
        <v/>
      </c>
      <c r="CL44" s="28" t="str" cm="1">
        <f t="array" ref="CL44">_xlfn.IFNA(INDEX(Table14[Ávöxtun],MATCH(1,(CL$2=Table14[Column1])*($X44=Table14[Year]),0)),"")</f>
        <v/>
      </c>
      <c r="CM44" s="28" t="str" cm="1">
        <f t="array" ref="CM44">_xlfn.IFNA(INDEX(Table14[Ávöxtun],MATCH(1,(CM$2=Table14[Column1])*($X44=Table14[Year]),0)),"")</f>
        <v/>
      </c>
      <c r="CN44" s="28" cm="1">
        <f t="array" ref="CN44">_xlfn.IFNA(INDEX(Table14[Ávöxtun],MATCH(1,(CN$2=Table14[Column1])*($X44=Table14[Year]),0)),"")</f>
        <v>3.44E-2</v>
      </c>
      <c r="CO44" s="28" t="str" cm="1">
        <f t="array" ref="CO44">_xlfn.IFNA(INDEX(Table14[Ávöxtun],MATCH(1,(CO$2=Table14[Column1])*($X44=Table14[Year]),0)),"")</f>
        <v/>
      </c>
      <c r="CP44" s="28" t="str" cm="1">
        <f t="array" ref="CP44">_xlfn.IFNA(INDEX(Table14[Ávöxtun],MATCH(1,(CP$2=Table14[Column1])*($X44=Table14[Year]),0)),"")</f>
        <v/>
      </c>
      <c r="CQ44" s="28" cm="1">
        <f t="array" ref="CQ44">_xlfn.IFNA(INDEX(Table14[Ávöxtun],MATCH(1,(CQ$2=Table14[Column1])*($X44=Table14[Year]),0)),"")</f>
        <v>-2.3900000000000001E-2</v>
      </c>
      <c r="CR44" s="28" cm="1">
        <f t="array" ref="CR44">_xlfn.IFNA(INDEX(Table14[Ávöxtun],MATCH(1,(CR$2=Table14[Column1])*($X44=Table14[Year]),0)),"")</f>
        <v>3.4500000000000003E-2</v>
      </c>
      <c r="CS44" s="28" cm="1">
        <f t="array" ref="CS44">_xlfn.IFNA(INDEX(Table14[Ávöxtun],MATCH(1,(CS$2=Table14[Column1])*($X44=Table14[Year]),0)),"")</f>
        <v>2.2100000000000002E-2</v>
      </c>
      <c r="CT44" s="28" cm="1">
        <f t="array" ref="CT44">_xlfn.IFNA(INDEX(Table14[Ávöxtun],MATCH(1,(CT$2=Table14[Column1])*($X44=Table14[Year]),0)),"")</f>
        <v>1.24E-2</v>
      </c>
      <c r="CU44" s="28" t="str" cm="1">
        <f t="array" ref="CU44">_xlfn.IFNA(INDEX(Table14[Ávöxtun],MATCH(1,(CU$2=Table14[Column1])*($X44=Table14[Year]),0)),"")</f>
        <v/>
      </c>
      <c r="CV44" s="28" t="str" cm="1">
        <f t="array" ref="CV44">_xlfn.IFNA(INDEX(Table14[Ávöxtun],MATCH(1,(CV$2=Table14[Column1])*($X44=Table14[Year]),0)),"")</f>
        <v/>
      </c>
      <c r="CW44" s="28" t="str" cm="1">
        <f t="array" ref="CW44">_xlfn.IFNA(INDEX(Table14[Ávöxtun],MATCH(1,(CW$2=Table14[Column1])*($X44=Table14[Year]),0)),"")</f>
        <v/>
      </c>
      <c r="CX44" s="28" t="str" cm="1">
        <f t="array" ref="CX44">_xlfn.IFNA(INDEX(Table14[Ávöxtun],MATCH(1,(CX$2=Table14[Column1])*($X44=Table14[Year]),0)),"")</f>
        <v/>
      </c>
      <c r="CY44" s="28" t="str" cm="1">
        <f t="array" ref="CY44">_xlfn.IFNA(INDEX(Table14[Ávöxtun],MATCH(1,(CY$2=Table14[Column1])*($X44=Table14[Year]),0)),"")</f>
        <v/>
      </c>
      <c r="CZ44" s="28" cm="1">
        <f t="array" ref="CZ44">_xlfn.IFNA(INDEX(Table14[Ávöxtun],MATCH(1,(CZ$2=Table14[Column1])*($X44=Table14[Year]),0)),"")</f>
        <v>1.9599999999999999E-2</v>
      </c>
      <c r="DA44" s="28" t="str" cm="1">
        <f t="array" ref="DA44">_xlfn.IFNA(INDEX(Table14[Ávöxtun],MATCH(1,(DA$2=Table14[Column1])*($X44=Table14[Year]),0)),"")</f>
        <v/>
      </c>
      <c r="DB44" s="28" t="str" cm="1">
        <f t="array" ref="DB44">_xlfn.IFNA(INDEX(Table14[Ávöxtun],MATCH(1,(DB$2=Table14[Column1])*($X44=Table14[Year]),0)),"")</f>
        <v/>
      </c>
      <c r="DC44" s="28" cm="1">
        <f t="array" ref="DC44">_xlfn.IFNA(INDEX(Table14[Ávöxtun],MATCH(1,(DC$2=Table14[Column1])*($X44=Table14[Year]),0)),"")</f>
        <v>3.6600000000000001E-2</v>
      </c>
      <c r="DD44" s="28" cm="1">
        <f t="array" ref="DD44">_xlfn.IFNA(INDEX(Table14[Ávöxtun],MATCH(1,(DD$2=Table14[Column1])*($X44=Table14[Year]),0)),"")</f>
        <v>8.0000000000000004E-4</v>
      </c>
      <c r="DE44" s="28" cm="1">
        <f t="array" ref="DE44">_xlfn.IFNA(INDEX(Table14[Ávöxtun],MATCH(1,(DE$2=Table14[Column1])*($X44=Table14[Year]),0)),"")</f>
        <v>3.4700000000000002E-2</v>
      </c>
      <c r="DF44" s="28" t="str" cm="1">
        <f t="array" ref="DF44">_xlfn.IFNA(INDEX(Table14[Ávöxtun],MATCH(1,(DF$2=Table14[Column1])*($X44=Table14[Year]),0)),"")</f>
        <v/>
      </c>
    </row>
    <row r="45" spans="1:110">
      <c r="A45" t="s">
        <v>61</v>
      </c>
      <c r="B45">
        <v>2004</v>
      </c>
      <c r="C45" s="16">
        <v>0.06</v>
      </c>
      <c r="D45" s="1">
        <v>614781.72</v>
      </c>
      <c r="E45" s="29">
        <f>Table14[[#This Row],[Ávöxtun]]*Table14[[#This Row],[Eignir]]/SUMIFS(Table14[Eignir],Table14[Year],Table14[[#This Row],[Year]])</f>
        <v>4.0639093421111811E-5</v>
      </c>
      <c r="F45" s="23">
        <f>IF(B45=1997, 100, IF(COUNTIF(A$1:A44,A45)=0, "NEW", F44*(1+Table14[[#This Row],[Ávöxtun]])))</f>
        <v>121.71617721849603</v>
      </c>
      <c r="G45" s="18" cm="1">
        <f t="array" ref="G45">IFERROR(_xlfn.IFS(ISNUMBER(Table14[[#This Row],[Column3]]),Table14[[#This Row],[Column3]],Table14[[#This Row],[Column3]]="NEW",Table14[[#This Row],[Column3]]),"")</f>
        <v>121.71617721849603</v>
      </c>
      <c r="H45" s="15" cm="1">
        <f t="array" ref="H45">_xlfn.IFS(Table14[[#This Row],[Column4]]="NEW",AVERAGEIFS(Table14[Column4],Table14[Year],Table14[[#This Row],[Year]]),ISNUMBER(Table14[[#This Row],[Column4]]),Table14[[#This Row],[Column4]],Table14[[#This Row],[Column4]]="",H44*(1+Table14[[#This Row],[Ávöxtun]]))</f>
        <v>121.71617721849603</v>
      </c>
      <c r="I45" cm="1">
        <f t="array" ref="I45">_xlfn.IFS(Table14[[#This Row],[Column4]]="NEW",_xlfn.XLOOKUP(Table14[[#This Row],[Year]],$M$2:$M$27,$O$2:$O$27),ISNUMBER(Table14[[#This Row],[Column4]]),Table14[[#This Row],[Column4]],Table14[[#This Row],[Column4]]="",I44*(1+Table14[[#This Row],[Ávöxtun]]))</f>
        <v>121.71617721849603</v>
      </c>
      <c r="L45" s="33">
        <v>121.71617721849603</v>
      </c>
      <c r="X45">
        <v>2011</v>
      </c>
      <c r="Y45" s="28">
        <f t="shared" si="2"/>
        <v>2.8525332201232434E-2</v>
      </c>
      <c r="Z45" s="28" cm="1">
        <f t="array" ref="Z45">_xlfn.IFNA(INDEX(Table14[Ávöxtun],MATCH(1,(Z$2=Table14[Column1])*($X45=Table14[Year]),0)),"")</f>
        <v>4.2000000000000003E-2</v>
      </c>
      <c r="AA45" s="28" t="str" cm="1">
        <f t="array" ref="AA45">_xlfn.IFNA(INDEX(Table14[Ávöxtun],MATCH(1,(AA$2=Table14[Column1])*($X45=Table14[Year]),0)),"")</f>
        <v/>
      </c>
      <c r="AB45" s="28" t="str" cm="1">
        <f t="array" ref="AB45">_xlfn.IFNA(INDEX(Table14[Ávöxtun],MATCH(1,(AB$2=Table14[Column1])*($X45=Table14[Year]),0)),"")</f>
        <v/>
      </c>
      <c r="AC45" s="28" t="str" cm="1">
        <f t="array" ref="AC45">_xlfn.IFNA(INDEX(Table14[Ávöxtun],MATCH(1,(AC$2=Table14[Column1])*($X45=Table14[Year]),0)),"")</f>
        <v/>
      </c>
      <c r="AD45" s="28" t="str" cm="1">
        <f t="array" ref="AD45">_xlfn.IFNA(INDEX(Table14[Ávöxtun],MATCH(1,(AD$2=Table14[Column1])*($X45=Table14[Year]),0)),"")</f>
        <v/>
      </c>
      <c r="AE45" s="28" t="str" cm="1">
        <f t="array" ref="AE45">_xlfn.IFNA(INDEX(Table14[Ávöxtun],MATCH(1,(AE$2=Table14[Column1])*($X45=Table14[Year]),0)),"")</f>
        <v/>
      </c>
      <c r="AF45" s="28" t="str" cm="1">
        <f t="array" ref="AF45">_xlfn.IFNA(INDEX(Table14[Ávöxtun],MATCH(1,(AF$2=Table14[Column1])*($X45=Table14[Year]),0)),"")</f>
        <v/>
      </c>
      <c r="AG45" s="28" t="str" cm="1">
        <f t="array" ref="AG45">_xlfn.IFNA(INDEX(Table14[Ávöxtun],MATCH(1,(AG$2=Table14[Column1])*($X45=Table14[Year]),0)),"")</f>
        <v/>
      </c>
      <c r="AH45" s="28" t="str" cm="1">
        <f t="array" ref="AH45">_xlfn.IFNA(INDEX(Table14[Ávöxtun],MATCH(1,(AH$2=Table14[Column1])*($X45=Table14[Year]),0)),"")</f>
        <v/>
      </c>
      <c r="AI45" s="28" t="str" cm="1">
        <f t="array" ref="AI45">_xlfn.IFNA(INDEX(Table14[Ávöxtun],MATCH(1,(AI$2=Table14[Column1])*($X45=Table14[Year]),0)),"")</f>
        <v/>
      </c>
      <c r="AJ45" s="28" cm="1">
        <f t="array" ref="AJ45">_xlfn.IFNA(INDEX(Table14[Ávöxtun],MATCH(1,(AJ$2=Table14[Column1])*($X45=Table14[Year]),0)),"")</f>
        <v>-2.7999999999999997E-2</v>
      </c>
      <c r="AK45" s="28" t="str" cm="1">
        <f t="array" ref="AK45">_xlfn.IFNA(INDEX(Table14[Ávöxtun],MATCH(1,(AK$2=Table14[Column1])*($X45=Table14[Year]),0)),"")</f>
        <v/>
      </c>
      <c r="AL45" s="28" cm="1">
        <f t="array" ref="AL45">_xlfn.IFNA(INDEX(Table14[Ávöxtun],MATCH(1,(AL$2=Table14[Column1])*($X45=Table14[Year]),0)),"")</f>
        <v>2.4E-2</v>
      </c>
      <c r="AM45" s="28" cm="1">
        <f t="array" ref="AM45">_xlfn.IFNA(INDEX(Table14[Ávöxtun],MATCH(1,(AM$2=Table14[Column1])*($X45=Table14[Year]),0)),"")</f>
        <v>4.2000000000000003E-2</v>
      </c>
      <c r="AN45" s="28" t="str" cm="1">
        <f t="array" ref="AN45">_xlfn.IFNA(INDEX(Table14[Ávöxtun],MATCH(1,(AN$2=Table14[Column1])*($X45=Table14[Year]),0)),"")</f>
        <v/>
      </c>
      <c r="AO45" s="28" cm="1">
        <f t="array" ref="AO45">_xlfn.IFNA(INDEX(Table14[Ávöxtun],MATCH(1,(AO$2=Table14[Column1])*($X45=Table14[Year]),0)),"")</f>
        <v>-0.33200000000000002</v>
      </c>
      <c r="AP45" s="28" cm="1">
        <f t="array" ref="AP45">_xlfn.IFNA(INDEX(Table14[Ávöxtun],MATCH(1,(AP$2=Table14[Column1])*($X45=Table14[Year]),0)),"")</f>
        <v>1.8000000000000002E-2</v>
      </c>
      <c r="AQ45" s="28" cm="1">
        <f t="array" ref="AQ45">_xlfn.IFNA(INDEX(Table14[Ávöxtun],MATCH(1,(AQ$2=Table14[Column1])*($X45=Table14[Year]),0)),"")</f>
        <v>3.6000000000000004E-2</v>
      </c>
      <c r="AR45" s="28" cm="1">
        <f t="array" ref="AR45">_xlfn.IFNA(INDEX(Table14[Ávöxtun],MATCH(1,(AR$2=Table14[Column1])*($X45=Table14[Year]),0)),"")</f>
        <v>2.7000000000000003E-2</v>
      </c>
      <c r="AS45" s="28" t="str" cm="1">
        <f t="array" ref="AS45">_xlfn.IFNA(INDEX(Table14[Ávöxtun],MATCH(1,(AS$2=Table14[Column1])*($X45=Table14[Year]),0)),"")</f>
        <v/>
      </c>
      <c r="AT45" s="28" cm="1">
        <f t="array" ref="AT45">_xlfn.IFNA(INDEX(Table14[Ávöxtun],MATCH(1,(AT$2=Table14[Column1])*($X45=Table14[Year]),0)),"")</f>
        <v>0.02</v>
      </c>
      <c r="AU45" s="28" cm="1">
        <f t="array" ref="AU45">_xlfn.IFNA(INDEX(Table14[Ávöxtun],MATCH(1,(AU$2=Table14[Column1])*($X45=Table14[Year]),0)),"")</f>
        <v>0.04</v>
      </c>
      <c r="AV45" s="28" t="str" cm="1">
        <f t="array" ref="AV45">_xlfn.IFNA(INDEX(Table14[Ávöxtun],MATCH(1,(AV$2=Table14[Column1])*($X45=Table14[Year]),0)),"")</f>
        <v/>
      </c>
      <c r="AW45" s="28" t="str" cm="1">
        <f t="array" ref="AW45">_xlfn.IFNA(INDEX(Table14[Ávöxtun],MATCH(1,(AW$2=Table14[Column1])*($X45=Table14[Year]),0)),"")</f>
        <v/>
      </c>
      <c r="AX45" s="28" t="str" cm="1">
        <f t="array" ref="AX45">_xlfn.IFNA(INDEX(Table14[Ávöxtun],MATCH(1,(AX$2=Table14[Column1])*($X45=Table14[Year]),0)),"")</f>
        <v/>
      </c>
      <c r="AY45" s="28" t="str" cm="1">
        <f t="array" ref="AY45">_xlfn.IFNA(INDEX(Table14[Ávöxtun],MATCH(1,(AY$2=Table14[Column1])*($X45=Table14[Year]),0)),"")</f>
        <v/>
      </c>
      <c r="AZ45" s="28" t="str" cm="1">
        <f t="array" ref="AZ45">_xlfn.IFNA(INDEX(Table14[Ávöxtun],MATCH(1,(AZ$2=Table14[Column1])*($X45=Table14[Year]),0)),"")</f>
        <v/>
      </c>
      <c r="BA45" s="28" t="str" cm="1">
        <f t="array" ref="BA45">_xlfn.IFNA(INDEX(Table14[Ávöxtun],MATCH(1,(BA$2=Table14[Column1])*($X45=Table14[Year]),0)),"")</f>
        <v/>
      </c>
      <c r="BB45" s="28" t="str" cm="1">
        <f t="array" ref="BB45">_xlfn.IFNA(INDEX(Table14[Ávöxtun],MATCH(1,(BB$2=Table14[Column1])*($X45=Table14[Year]),0)),"")</f>
        <v/>
      </c>
      <c r="BC45" s="28" cm="1">
        <f t="array" ref="BC45">_xlfn.IFNA(INDEX(Table14[Ávöxtun],MATCH(1,(BC$2=Table14[Column1])*($X45=Table14[Year]),0)),"")</f>
        <v>2.3E-2</v>
      </c>
      <c r="BD45" s="28" t="str" cm="1">
        <f t="array" ref="BD45">_xlfn.IFNA(INDEX(Table14[Ávöxtun],MATCH(1,(BD$2=Table14[Column1])*($X45=Table14[Year]),0)),"")</f>
        <v/>
      </c>
      <c r="BE45" s="28" t="str" cm="1">
        <f t="array" ref="BE45">_xlfn.IFNA(INDEX(Table14[Ávöxtun],MATCH(1,(BE$2=Table14[Column1])*($X45=Table14[Year]),0)),"")</f>
        <v/>
      </c>
      <c r="BF45" s="28" t="str" cm="1">
        <f t="array" ref="BF45">_xlfn.IFNA(INDEX(Table14[Ávöxtun],MATCH(1,(BF$2=Table14[Column1])*($X45=Table14[Year]),0)),"")</f>
        <v/>
      </c>
      <c r="BG45" s="28" cm="1">
        <f t="array" ref="BG45">_xlfn.IFNA(INDEX(Table14[Ávöxtun],MATCH(1,(BG$2=Table14[Column1])*($X45=Table14[Year]),0)),"")</f>
        <v>1.7000000000000001E-2</v>
      </c>
      <c r="BH45" s="28" cm="1">
        <f t="array" ref="BH45">_xlfn.IFNA(INDEX(Table14[Ávöxtun],MATCH(1,(BH$2=Table14[Column1])*($X45=Table14[Year]),0)),"")</f>
        <v>1.1000000000000001E-2</v>
      </c>
      <c r="BI45" s="28" t="str" cm="1">
        <f t="array" ref="BI45">_xlfn.IFNA(INDEX(Table14[Ávöxtun],MATCH(1,(BI$2=Table14[Column1])*($X45=Table14[Year]),0)),"")</f>
        <v/>
      </c>
      <c r="BJ45" s="28" cm="1">
        <f t="array" ref="BJ45">_xlfn.IFNA(INDEX(Table14[Ávöxtun],MATCH(1,(BJ$2=Table14[Column1])*($X45=Table14[Year]),0)),"")</f>
        <v>-5.2999999999999999E-2</v>
      </c>
      <c r="BK45" s="28" t="str" cm="1">
        <f t="array" ref="BK45">_xlfn.IFNA(INDEX(Table14[Ávöxtun],MATCH(1,(BK$2=Table14[Column1])*($X45=Table14[Year]),0)),"")</f>
        <v/>
      </c>
      <c r="BL45" s="28" t="str" cm="1">
        <f t="array" ref="BL45">_xlfn.IFNA(INDEX(Table14[Ávöxtun],MATCH(1,(BL$2=Table14[Column1])*($X45=Table14[Year]),0)),"")</f>
        <v/>
      </c>
      <c r="BM45" s="28" t="str" cm="1">
        <f t="array" ref="BM45">_xlfn.IFNA(INDEX(Table14[Ávöxtun],MATCH(1,(BM$2=Table14[Column1])*($X45=Table14[Year]),0)),"")</f>
        <v/>
      </c>
      <c r="BN45" s="28" t="str" cm="1">
        <f t="array" ref="BN45">_xlfn.IFNA(INDEX(Table14[Ávöxtun],MATCH(1,(BN$2=Table14[Column1])*($X45=Table14[Year]),0)),"")</f>
        <v/>
      </c>
      <c r="BO45" s="28" t="str" cm="1">
        <f t="array" ref="BO45">_xlfn.IFNA(INDEX(Table14[Ávöxtun],MATCH(1,(BO$2=Table14[Column1])*($X45=Table14[Year]),0)),"")</f>
        <v/>
      </c>
      <c r="BP45" s="28" t="str" cm="1">
        <f t="array" ref="BP45">_xlfn.IFNA(INDEX(Table14[Ávöxtun],MATCH(1,(BP$2=Table14[Column1])*($X45=Table14[Year]),0)),"")</f>
        <v/>
      </c>
      <c r="BQ45" s="28" cm="1">
        <f t="array" ref="BQ45">_xlfn.IFNA(INDEX(Table14[Ávöxtun],MATCH(1,(BQ$2=Table14[Column1])*($X45=Table14[Year]),0)),"")</f>
        <v>2.8999999999999998E-2</v>
      </c>
      <c r="BR45" s="28" cm="1">
        <f t="array" ref="BR45">_xlfn.IFNA(INDEX(Table14[Ávöxtun],MATCH(1,(BR$2=Table14[Column1])*($X45=Table14[Year]),0)),"")</f>
        <v>8.3000000000000004E-2</v>
      </c>
      <c r="BS45" s="28" t="str" cm="1">
        <f t="array" ref="BS45">_xlfn.IFNA(INDEX(Table14[Ávöxtun],MATCH(1,(BS$2=Table14[Column1])*($X45=Table14[Year]),0)),"")</f>
        <v/>
      </c>
      <c r="BT45" s="28" t="str" cm="1">
        <f t="array" ref="BT45">_xlfn.IFNA(INDEX(Table14[Ávöxtun],MATCH(1,(BT$2=Table14[Column1])*($X45=Table14[Year]),0)),"")</f>
        <v/>
      </c>
      <c r="BU45" s="28" t="str" cm="1">
        <f t="array" ref="BU45">_xlfn.IFNA(INDEX(Table14[Ávöxtun],MATCH(1,(BU$2=Table14[Column1])*($X45=Table14[Year]),0)),"")</f>
        <v/>
      </c>
      <c r="BV45" s="28" cm="1">
        <f t="array" ref="BV45">_xlfn.IFNA(INDEX(Table14[Ávöxtun],MATCH(1,(BV$2=Table14[Column1])*($X45=Table14[Year]),0)),"")</f>
        <v>1.6E-2</v>
      </c>
      <c r="BW45" s="28" t="str" cm="1">
        <f t="array" ref="BW45">_xlfn.IFNA(INDEX(Table14[Ávöxtun],MATCH(1,(BW$2=Table14[Column1])*($X45=Table14[Year]),0)),"")</f>
        <v/>
      </c>
      <c r="BX45" s="28" t="str" cm="1">
        <f t="array" ref="BX45">_xlfn.IFNA(INDEX(Table14[Ávöxtun],MATCH(1,(BX$2=Table14[Column1])*($X45=Table14[Year]),0)),"")</f>
        <v/>
      </c>
      <c r="BY45" s="28" t="str" cm="1">
        <f t="array" ref="BY45">_xlfn.IFNA(INDEX(Table14[Ávöxtun],MATCH(1,(BY$2=Table14[Column1])*($X45=Table14[Year]),0)),"")</f>
        <v/>
      </c>
      <c r="BZ45" s="28" t="str" cm="1">
        <f t="array" ref="BZ45">_xlfn.IFNA(INDEX(Table14[Ávöxtun],MATCH(1,(BZ$2=Table14[Column1])*($X45=Table14[Year]),0)),"")</f>
        <v/>
      </c>
      <c r="CA45" s="28" t="str" cm="1">
        <f t="array" ref="CA45">_xlfn.IFNA(INDEX(Table14[Ávöxtun],MATCH(1,(CA$2=Table14[Column1])*($X45=Table14[Year]),0)),"")</f>
        <v/>
      </c>
      <c r="CB45" s="28" cm="1">
        <f t="array" ref="CB45">_xlfn.IFNA(INDEX(Table14[Ávöxtun],MATCH(1,(CB$2=Table14[Column1])*($X45=Table14[Year]),0)),"")</f>
        <v>3.2000000000000001E-2</v>
      </c>
      <c r="CC45" s="28" t="str" cm="1">
        <f t="array" ref="CC45">_xlfn.IFNA(INDEX(Table14[Ávöxtun],MATCH(1,(CC$2=Table14[Column1])*($X45=Table14[Year]),0)),"")</f>
        <v/>
      </c>
      <c r="CD45" s="28" t="str" cm="1">
        <f t="array" ref="CD45">_xlfn.IFNA(INDEX(Table14[Ávöxtun],MATCH(1,(CD$2=Table14[Column1])*($X45=Table14[Year]),0)),"")</f>
        <v/>
      </c>
      <c r="CE45" s="28" cm="1">
        <f t="array" ref="CE45">_xlfn.IFNA(INDEX(Table14[Ávöxtun],MATCH(1,(CE$2=Table14[Column1])*($X45=Table14[Year]),0)),"")</f>
        <v>0.03</v>
      </c>
      <c r="CF45" s="28" cm="1">
        <f t="array" ref="CF45">_xlfn.IFNA(INDEX(Table14[Ávöxtun],MATCH(1,(CF$2=Table14[Column1])*($X45=Table14[Year]),0)),"")</f>
        <v>4.7E-2</v>
      </c>
      <c r="CG45" s="28" cm="1">
        <f t="array" ref="CG45">_xlfn.IFNA(INDEX(Table14[Ávöxtun],MATCH(1,(CG$2=Table14[Column1])*($X45=Table14[Year]),0)),"")</f>
        <v>-1E-3</v>
      </c>
      <c r="CH45" s="28" cm="1">
        <f t="array" ref="CH45">_xlfn.IFNA(INDEX(Table14[Ávöxtun],MATCH(1,(CH$2=Table14[Column1])*($X45=Table14[Year]),0)),"")</f>
        <v>3.2000000000000001E-2</v>
      </c>
      <c r="CI45" s="28" cm="1">
        <f t="array" ref="CI45">_xlfn.IFNA(INDEX(Table14[Ávöxtun],MATCH(1,(CI$2=Table14[Column1])*($X45=Table14[Year]),0)),"")</f>
        <v>3.4000000000000002E-2</v>
      </c>
      <c r="CJ45" s="28" cm="1">
        <f t="array" ref="CJ45">_xlfn.IFNA(INDEX(Table14[Ávöxtun],MATCH(1,(CJ$2=Table14[Column1])*($X45=Table14[Year]),0)),"")</f>
        <v>7.2000000000000008E-2</v>
      </c>
      <c r="CK45" s="28" t="str" cm="1">
        <f t="array" ref="CK45">_xlfn.IFNA(INDEX(Table14[Ávöxtun],MATCH(1,(CK$2=Table14[Column1])*($X45=Table14[Year]),0)),"")</f>
        <v/>
      </c>
      <c r="CL45" s="28" t="str" cm="1">
        <f t="array" ref="CL45">_xlfn.IFNA(INDEX(Table14[Ávöxtun],MATCH(1,(CL$2=Table14[Column1])*($X45=Table14[Year]),0)),"")</f>
        <v/>
      </c>
      <c r="CM45" s="28" t="str" cm="1">
        <f t="array" ref="CM45">_xlfn.IFNA(INDEX(Table14[Ávöxtun],MATCH(1,(CM$2=Table14[Column1])*($X45=Table14[Year]),0)),"")</f>
        <v/>
      </c>
      <c r="CN45" s="28" cm="1">
        <f t="array" ref="CN45">_xlfn.IFNA(INDEX(Table14[Ávöxtun],MATCH(1,(CN$2=Table14[Column1])*($X45=Table14[Year]),0)),"")</f>
        <v>2.2000000000000002E-2</v>
      </c>
      <c r="CO45" s="28" t="str" cm="1">
        <f t="array" ref="CO45">_xlfn.IFNA(INDEX(Table14[Ávöxtun],MATCH(1,(CO$2=Table14[Column1])*($X45=Table14[Year]),0)),"")</f>
        <v/>
      </c>
      <c r="CP45" s="28" t="str" cm="1">
        <f t="array" ref="CP45">_xlfn.IFNA(INDEX(Table14[Ávöxtun],MATCH(1,(CP$2=Table14[Column1])*($X45=Table14[Year]),0)),"")</f>
        <v/>
      </c>
      <c r="CQ45" s="28" cm="1">
        <f t="array" ref="CQ45">_xlfn.IFNA(INDEX(Table14[Ávöxtun],MATCH(1,(CQ$2=Table14[Column1])*($X45=Table14[Year]),0)),"")</f>
        <v>9.0000000000000011E-3</v>
      </c>
      <c r="CR45" s="28" cm="1">
        <f t="array" ref="CR45">_xlfn.IFNA(INDEX(Table14[Ávöxtun],MATCH(1,(CR$2=Table14[Column1])*($X45=Table14[Year]),0)),"")</f>
        <v>2.7999999999999997E-2</v>
      </c>
      <c r="CS45" s="28" cm="1">
        <f t="array" ref="CS45">_xlfn.IFNA(INDEX(Table14[Ávöxtun],MATCH(1,(CS$2=Table14[Column1])*($X45=Table14[Year]),0)),"")</f>
        <v>-5.0000000000000001E-3</v>
      </c>
      <c r="CT45" s="28" cm="1">
        <f t="array" ref="CT45">_xlfn.IFNA(INDEX(Table14[Ávöxtun],MATCH(1,(CT$2=Table14[Column1])*($X45=Table14[Year]),0)),"")</f>
        <v>9.0000000000000011E-3</v>
      </c>
      <c r="CU45" s="28" t="str" cm="1">
        <f t="array" ref="CU45">_xlfn.IFNA(INDEX(Table14[Ávöxtun],MATCH(1,(CU$2=Table14[Column1])*($X45=Table14[Year]),0)),"")</f>
        <v/>
      </c>
      <c r="CV45" s="28" t="str" cm="1">
        <f t="array" ref="CV45">_xlfn.IFNA(INDEX(Table14[Ávöxtun],MATCH(1,(CV$2=Table14[Column1])*($X45=Table14[Year]),0)),"")</f>
        <v/>
      </c>
      <c r="CW45" s="28" t="str" cm="1">
        <f t="array" ref="CW45">_xlfn.IFNA(INDEX(Table14[Ávöxtun],MATCH(1,(CW$2=Table14[Column1])*($X45=Table14[Year]),0)),"")</f>
        <v/>
      </c>
      <c r="CX45" s="28" t="str" cm="1">
        <f t="array" ref="CX45">_xlfn.IFNA(INDEX(Table14[Ávöxtun],MATCH(1,(CX$2=Table14[Column1])*($X45=Table14[Year]),0)),"")</f>
        <v/>
      </c>
      <c r="CY45" s="28" t="str" cm="1">
        <f t="array" ref="CY45">_xlfn.IFNA(INDEX(Table14[Ávöxtun],MATCH(1,(CY$2=Table14[Column1])*($X45=Table14[Year]),0)),"")</f>
        <v/>
      </c>
      <c r="CZ45" s="28" cm="1">
        <f t="array" ref="CZ45">_xlfn.IFNA(INDEX(Table14[Ávöxtun],MATCH(1,(CZ$2=Table14[Column1])*($X45=Table14[Year]),0)),"")</f>
        <v>1.9E-2</v>
      </c>
      <c r="DA45" s="28" t="str" cm="1">
        <f t="array" ref="DA45">_xlfn.IFNA(INDEX(Table14[Ávöxtun],MATCH(1,(DA$2=Table14[Column1])*($X45=Table14[Year]),0)),"")</f>
        <v/>
      </c>
      <c r="DB45" s="28" t="str" cm="1">
        <f t="array" ref="DB45">_xlfn.IFNA(INDEX(Table14[Ávöxtun],MATCH(1,(DB$2=Table14[Column1])*($X45=Table14[Year]),0)),"")</f>
        <v/>
      </c>
      <c r="DC45" s="28" cm="1">
        <f t="array" ref="DC45">_xlfn.IFNA(INDEX(Table14[Ávöxtun],MATCH(1,(DC$2=Table14[Column1])*($X45=Table14[Year]),0)),"")</f>
        <v>0.03</v>
      </c>
      <c r="DD45" s="28" cm="1">
        <f t="array" ref="DD45">_xlfn.IFNA(INDEX(Table14[Ávöxtun],MATCH(1,(DD$2=Table14[Column1])*($X45=Table14[Year]),0)),"")</f>
        <v>2.2000000000000002E-2</v>
      </c>
      <c r="DE45" s="28" cm="1">
        <f t="array" ref="DE45">_xlfn.IFNA(INDEX(Table14[Ávöxtun],MATCH(1,(DE$2=Table14[Column1])*($X45=Table14[Year]),0)),"")</f>
        <v>0</v>
      </c>
      <c r="DF45" s="28" t="str" cm="1">
        <f t="array" ref="DF45">_xlfn.IFNA(INDEX(Table14[Ávöxtun],MATCH(1,(DF$2=Table14[Column1])*($X45=Table14[Year]),0)),"")</f>
        <v/>
      </c>
    </row>
    <row r="46" spans="1:110">
      <c r="A46" t="s">
        <v>61</v>
      </c>
      <c r="B46">
        <v>2005</v>
      </c>
      <c r="C46" s="16">
        <v>0.08</v>
      </c>
      <c r="D46" s="1">
        <v>648950</v>
      </c>
      <c r="E46" s="29">
        <f>Table14[[#This Row],[Ávöxtun]]*Table14[[#This Row],[Eignir]]/SUMIFS(Table14[Eignir],Table14[Year],Table14[[#This Row],[Year]])</f>
        <v>4.6298272234823493E-5</v>
      </c>
      <c r="F46" s="23">
        <f>IF(B46=1997, 100, IF(COUNTIF(A$1:A45,A46)=0, "NEW", F45*(1+Table14[[#This Row],[Ávöxtun]])))</f>
        <v>131.45347139597573</v>
      </c>
      <c r="G46" s="18" cm="1">
        <f t="array" ref="G46">IFERROR(_xlfn.IFS(ISNUMBER(Table14[[#This Row],[Column3]]),Table14[[#This Row],[Column3]],Table14[[#This Row],[Column3]]="NEW",Table14[[#This Row],[Column3]]),"")</f>
        <v>131.45347139597573</v>
      </c>
      <c r="H46" s="15" cm="1">
        <f t="array" ref="H46">_xlfn.IFS(Table14[[#This Row],[Column4]]="NEW",AVERAGEIFS(Table14[Column4],Table14[Year],Table14[[#This Row],[Year]]),ISNUMBER(Table14[[#This Row],[Column4]]),Table14[[#This Row],[Column4]],Table14[[#This Row],[Column4]]="",H45*(1+Table14[[#This Row],[Ávöxtun]]))</f>
        <v>131.45347139597573</v>
      </c>
      <c r="I46" cm="1">
        <f t="array" ref="I46">_xlfn.IFS(Table14[[#This Row],[Column4]]="NEW",_xlfn.XLOOKUP(Table14[[#This Row],[Year]],$M$2:$M$27,$O$2:$O$27),ISNUMBER(Table14[[#This Row],[Column4]]),Table14[[#This Row],[Column4]],Table14[[#This Row],[Column4]]="",I45*(1+Table14[[#This Row],[Ávöxtun]]))</f>
        <v>131.45347139597573</v>
      </c>
      <c r="L46" s="33">
        <v>131.45347139597573</v>
      </c>
      <c r="X46">
        <v>2012</v>
      </c>
      <c r="Y46" s="28">
        <f t="shared" si="2"/>
        <v>9.5533906610380415E-2</v>
      </c>
      <c r="Z46" s="28" cm="1">
        <f t="array" ref="Z46">_xlfn.IFNA(INDEX(Table14[Ávöxtun],MATCH(1,(Z$2=Table14[Column1])*($X46=Table14[Year]),0)),"")</f>
        <v>9.8000000000000004E-2</v>
      </c>
      <c r="AA46" s="28" t="str" cm="1">
        <f t="array" ref="AA46">_xlfn.IFNA(INDEX(Table14[Ávöxtun],MATCH(1,(AA$2=Table14[Column1])*($X46=Table14[Year]),0)),"")</f>
        <v/>
      </c>
      <c r="AB46" s="28" t="str" cm="1">
        <f t="array" ref="AB46">_xlfn.IFNA(INDEX(Table14[Ávöxtun],MATCH(1,(AB$2=Table14[Column1])*($X46=Table14[Year]),0)),"")</f>
        <v/>
      </c>
      <c r="AC46" s="28" t="str" cm="1">
        <f t="array" ref="AC46">_xlfn.IFNA(INDEX(Table14[Ávöxtun],MATCH(1,(AC$2=Table14[Column1])*($X46=Table14[Year]),0)),"")</f>
        <v/>
      </c>
      <c r="AD46" s="28" t="str" cm="1">
        <f t="array" ref="AD46">_xlfn.IFNA(INDEX(Table14[Ávöxtun],MATCH(1,(AD$2=Table14[Column1])*($X46=Table14[Year]),0)),"")</f>
        <v/>
      </c>
      <c r="AE46" s="28" t="str" cm="1">
        <f t="array" ref="AE46">_xlfn.IFNA(INDEX(Table14[Ávöxtun],MATCH(1,(AE$2=Table14[Column1])*($X46=Table14[Year]),0)),"")</f>
        <v/>
      </c>
      <c r="AF46" s="28" t="str" cm="1">
        <f t="array" ref="AF46">_xlfn.IFNA(INDEX(Table14[Ávöxtun],MATCH(1,(AF$2=Table14[Column1])*($X46=Table14[Year]),0)),"")</f>
        <v/>
      </c>
      <c r="AG46" s="28" t="str" cm="1">
        <f t="array" ref="AG46">_xlfn.IFNA(INDEX(Table14[Ávöxtun],MATCH(1,(AG$2=Table14[Column1])*($X46=Table14[Year]),0)),"")</f>
        <v/>
      </c>
      <c r="AH46" s="28" t="str" cm="1">
        <f t="array" ref="AH46">_xlfn.IFNA(INDEX(Table14[Ávöxtun],MATCH(1,(AH$2=Table14[Column1])*($X46=Table14[Year]),0)),"")</f>
        <v/>
      </c>
      <c r="AI46" s="28" t="str" cm="1">
        <f t="array" ref="AI46">_xlfn.IFNA(INDEX(Table14[Ávöxtun],MATCH(1,(AI$2=Table14[Column1])*($X46=Table14[Year]),0)),"")</f>
        <v/>
      </c>
      <c r="AJ46" s="28" cm="1">
        <f t="array" ref="AJ46">_xlfn.IFNA(INDEX(Table14[Ávöxtun],MATCH(1,(AJ$2=Table14[Column1])*($X46=Table14[Year]),0)),"")</f>
        <v>8.199999999999999E-2</v>
      </c>
      <c r="AK46" s="28" t="str" cm="1">
        <f t="array" ref="AK46">_xlfn.IFNA(INDEX(Table14[Ávöxtun],MATCH(1,(AK$2=Table14[Column1])*($X46=Table14[Year]),0)),"")</f>
        <v/>
      </c>
      <c r="AL46" s="28" cm="1">
        <f t="array" ref="AL46">_xlfn.IFNA(INDEX(Table14[Ávöxtun],MATCH(1,(AL$2=Table14[Column1])*($X46=Table14[Year]),0)),"")</f>
        <v>5.4000000000000006E-2</v>
      </c>
      <c r="AM46" s="28" cm="1">
        <f t="array" ref="AM46">_xlfn.IFNA(INDEX(Table14[Ávöxtun],MATCH(1,(AM$2=Table14[Column1])*($X46=Table14[Year]),0)),"")</f>
        <v>6.5000000000000002E-2</v>
      </c>
      <c r="AN46" s="28" t="str" cm="1">
        <f t="array" ref="AN46">_xlfn.IFNA(INDEX(Table14[Ávöxtun],MATCH(1,(AN$2=Table14[Column1])*($X46=Table14[Year]),0)),"")</f>
        <v/>
      </c>
      <c r="AO46" s="28" cm="1">
        <f t="array" ref="AO46">_xlfn.IFNA(INDEX(Table14[Ávöxtun],MATCH(1,(AO$2=Table14[Column1])*($X46=Table14[Year]),0)),"")</f>
        <v>-0.47500000000000003</v>
      </c>
      <c r="AP46" s="28" cm="1">
        <f t="array" ref="AP46">_xlfn.IFNA(INDEX(Table14[Ávöxtun],MATCH(1,(AP$2=Table14[Column1])*($X46=Table14[Year]),0)),"")</f>
        <v>0.06</v>
      </c>
      <c r="AQ46" s="28" cm="1">
        <f t="array" ref="AQ46">_xlfn.IFNA(INDEX(Table14[Ávöxtun],MATCH(1,(AQ$2=Table14[Column1])*($X46=Table14[Year]),0)),"")</f>
        <v>5.7000000000000002E-2</v>
      </c>
      <c r="AR46" s="28" cm="1">
        <f t="array" ref="AR46">_xlfn.IFNA(INDEX(Table14[Ávöxtun],MATCH(1,(AR$2=Table14[Column1])*($X46=Table14[Year]),0)),"")</f>
        <v>7.2999999999999995E-2</v>
      </c>
      <c r="AS46" s="28" t="str" cm="1">
        <f t="array" ref="AS46">_xlfn.IFNA(INDEX(Table14[Ávöxtun],MATCH(1,(AS$2=Table14[Column1])*($X46=Table14[Year]),0)),"")</f>
        <v/>
      </c>
      <c r="AT46" s="28" cm="1">
        <f t="array" ref="AT46">_xlfn.IFNA(INDEX(Table14[Ávöxtun],MATCH(1,(AT$2=Table14[Column1])*($X46=Table14[Year]),0)),"")</f>
        <v>3.2000000000000001E-2</v>
      </c>
      <c r="AU46" s="28" t="str" cm="1">
        <f t="array" ref="AU46">_xlfn.IFNA(INDEX(Table14[Ávöxtun],MATCH(1,(AU$2=Table14[Column1])*($X46=Table14[Year]),0)),"")</f>
        <v/>
      </c>
      <c r="AV46" s="28" t="str" cm="1">
        <f t="array" ref="AV46">_xlfn.IFNA(INDEX(Table14[Ávöxtun],MATCH(1,(AV$2=Table14[Column1])*($X46=Table14[Year]),0)),"")</f>
        <v/>
      </c>
      <c r="AW46" s="28" t="str" cm="1">
        <f t="array" ref="AW46">_xlfn.IFNA(INDEX(Table14[Ávöxtun],MATCH(1,(AW$2=Table14[Column1])*($X46=Table14[Year]),0)),"")</f>
        <v/>
      </c>
      <c r="AX46" s="28" t="str" cm="1">
        <f t="array" ref="AX46">_xlfn.IFNA(INDEX(Table14[Ávöxtun],MATCH(1,(AX$2=Table14[Column1])*($X46=Table14[Year]),0)),"")</f>
        <v/>
      </c>
      <c r="AY46" s="28" t="str" cm="1">
        <f t="array" ref="AY46">_xlfn.IFNA(INDEX(Table14[Ávöxtun],MATCH(1,(AY$2=Table14[Column1])*($X46=Table14[Year]),0)),"")</f>
        <v/>
      </c>
      <c r="AZ46" s="28" t="str" cm="1">
        <f t="array" ref="AZ46">_xlfn.IFNA(INDEX(Table14[Ávöxtun],MATCH(1,(AZ$2=Table14[Column1])*($X46=Table14[Year]),0)),"")</f>
        <v/>
      </c>
      <c r="BA46" s="28" t="str" cm="1">
        <f t="array" ref="BA46">_xlfn.IFNA(INDEX(Table14[Ávöxtun],MATCH(1,(BA$2=Table14[Column1])*($X46=Table14[Year]),0)),"")</f>
        <v/>
      </c>
      <c r="BB46" s="28" t="str" cm="1">
        <f t="array" ref="BB46">_xlfn.IFNA(INDEX(Table14[Ávöxtun],MATCH(1,(BB$2=Table14[Column1])*($X46=Table14[Year]),0)),"")</f>
        <v/>
      </c>
      <c r="BC46" s="28" cm="1">
        <f t="array" ref="BC46">_xlfn.IFNA(INDEX(Table14[Ávöxtun],MATCH(1,(BC$2=Table14[Column1])*($X46=Table14[Year]),0)),"")</f>
        <v>3.1000000000000003E-2</v>
      </c>
      <c r="BD46" s="28" t="str" cm="1">
        <f t="array" ref="BD46">_xlfn.IFNA(INDEX(Table14[Ávöxtun],MATCH(1,(BD$2=Table14[Column1])*($X46=Table14[Year]),0)),"")</f>
        <v/>
      </c>
      <c r="BE46" s="28" t="str" cm="1">
        <f t="array" ref="BE46">_xlfn.IFNA(INDEX(Table14[Ávöxtun],MATCH(1,(BE$2=Table14[Column1])*($X46=Table14[Year]),0)),"")</f>
        <v/>
      </c>
      <c r="BF46" s="28" t="str" cm="1">
        <f t="array" ref="BF46">_xlfn.IFNA(INDEX(Table14[Ávöxtun],MATCH(1,(BF$2=Table14[Column1])*($X46=Table14[Year]),0)),"")</f>
        <v/>
      </c>
      <c r="BG46" s="28" cm="1">
        <f t="array" ref="BG46">_xlfn.IFNA(INDEX(Table14[Ávöxtun],MATCH(1,(BG$2=Table14[Column1])*($X46=Table14[Year]),0)),"")</f>
        <v>8.0000000000000002E-3</v>
      </c>
      <c r="BH46" s="28" cm="1">
        <f t="array" ref="BH46">_xlfn.IFNA(INDEX(Table14[Ávöxtun],MATCH(1,(BH$2=Table14[Column1])*($X46=Table14[Year]),0)),"")</f>
        <v>6.0000000000000001E-3</v>
      </c>
      <c r="BI46" s="28" t="str" cm="1">
        <f t="array" ref="BI46">_xlfn.IFNA(INDEX(Table14[Ávöxtun],MATCH(1,(BI$2=Table14[Column1])*($X46=Table14[Year]),0)),"")</f>
        <v/>
      </c>
      <c r="BJ46" s="28" cm="1">
        <f t="array" ref="BJ46">_xlfn.IFNA(INDEX(Table14[Ávöxtun],MATCH(1,(BJ$2=Table14[Column1])*($X46=Table14[Year]),0)),"")</f>
        <v>-0.06</v>
      </c>
      <c r="BK46" s="28" t="str" cm="1">
        <f t="array" ref="BK46">_xlfn.IFNA(INDEX(Table14[Ávöxtun],MATCH(1,(BK$2=Table14[Column1])*($X46=Table14[Year]),0)),"")</f>
        <v/>
      </c>
      <c r="BL46" s="28" t="str" cm="1">
        <f t="array" ref="BL46">_xlfn.IFNA(INDEX(Table14[Ávöxtun],MATCH(1,(BL$2=Table14[Column1])*($X46=Table14[Year]),0)),"")</f>
        <v/>
      </c>
      <c r="BM46" s="28" t="str" cm="1">
        <f t="array" ref="BM46">_xlfn.IFNA(INDEX(Table14[Ávöxtun],MATCH(1,(BM$2=Table14[Column1])*($X46=Table14[Year]),0)),"")</f>
        <v/>
      </c>
      <c r="BN46" s="28" t="str" cm="1">
        <f t="array" ref="BN46">_xlfn.IFNA(INDEX(Table14[Ávöxtun],MATCH(1,(BN$2=Table14[Column1])*($X46=Table14[Year]),0)),"")</f>
        <v/>
      </c>
      <c r="BO46" s="28" t="str" cm="1">
        <f t="array" ref="BO46">_xlfn.IFNA(INDEX(Table14[Ávöxtun],MATCH(1,(BO$2=Table14[Column1])*($X46=Table14[Year]),0)),"")</f>
        <v/>
      </c>
      <c r="BP46" s="28" t="str" cm="1">
        <f t="array" ref="BP46">_xlfn.IFNA(INDEX(Table14[Ávöxtun],MATCH(1,(BP$2=Table14[Column1])*($X46=Table14[Year]),0)),"")</f>
        <v/>
      </c>
      <c r="BQ46" s="28" cm="1">
        <f t="array" ref="BQ46">_xlfn.IFNA(INDEX(Table14[Ávöxtun],MATCH(1,(BQ$2=Table14[Column1])*($X46=Table14[Year]),0)),"")</f>
        <v>5.5E-2</v>
      </c>
      <c r="BR46" s="28" cm="1">
        <f t="array" ref="BR46">_xlfn.IFNA(INDEX(Table14[Ávöxtun],MATCH(1,(BR$2=Table14[Column1])*($X46=Table14[Year]),0)),"")</f>
        <v>0.107</v>
      </c>
      <c r="BS46" s="28" t="str" cm="1">
        <f t="array" ref="BS46">_xlfn.IFNA(INDEX(Table14[Ávöxtun],MATCH(1,(BS$2=Table14[Column1])*($X46=Table14[Year]),0)),"")</f>
        <v/>
      </c>
      <c r="BT46" s="28" t="str" cm="1">
        <f t="array" ref="BT46">_xlfn.IFNA(INDEX(Table14[Ávöxtun],MATCH(1,(BT$2=Table14[Column1])*($X46=Table14[Year]),0)),"")</f>
        <v/>
      </c>
      <c r="BU46" s="28" t="str" cm="1">
        <f t="array" ref="BU46">_xlfn.IFNA(INDEX(Table14[Ávöxtun],MATCH(1,(BU$2=Table14[Column1])*($X46=Table14[Year]),0)),"")</f>
        <v/>
      </c>
      <c r="BV46" s="28" cm="1">
        <f t="array" ref="BV46">_xlfn.IFNA(INDEX(Table14[Ávöxtun],MATCH(1,(BV$2=Table14[Column1])*($X46=Table14[Year]),0)),"")</f>
        <v>9.6000000000000002E-2</v>
      </c>
      <c r="BW46" s="28" t="str" cm="1">
        <f t="array" ref="BW46">_xlfn.IFNA(INDEX(Table14[Ávöxtun],MATCH(1,(BW$2=Table14[Column1])*($X46=Table14[Year]),0)),"")</f>
        <v/>
      </c>
      <c r="BX46" s="28" t="str" cm="1">
        <f t="array" ref="BX46">_xlfn.IFNA(INDEX(Table14[Ávöxtun],MATCH(1,(BX$2=Table14[Column1])*($X46=Table14[Year]),0)),"")</f>
        <v/>
      </c>
      <c r="BY46" s="28" t="str" cm="1">
        <f t="array" ref="BY46">_xlfn.IFNA(INDEX(Table14[Ávöxtun],MATCH(1,(BY$2=Table14[Column1])*($X46=Table14[Year]),0)),"")</f>
        <v/>
      </c>
      <c r="BZ46" s="28" t="str" cm="1">
        <f t="array" ref="BZ46">_xlfn.IFNA(INDEX(Table14[Ávöxtun],MATCH(1,(BZ$2=Table14[Column1])*($X46=Table14[Year]),0)),"")</f>
        <v/>
      </c>
      <c r="CA46" s="28" t="str" cm="1">
        <f t="array" ref="CA46">_xlfn.IFNA(INDEX(Table14[Ávöxtun],MATCH(1,(CA$2=Table14[Column1])*($X46=Table14[Year]),0)),"")</f>
        <v/>
      </c>
      <c r="CB46" s="28" cm="1">
        <f t="array" ref="CB46">_xlfn.IFNA(INDEX(Table14[Ávöxtun],MATCH(1,(CB$2=Table14[Column1])*($X46=Table14[Year]),0)),"")</f>
        <v>5.2999999999999999E-2</v>
      </c>
      <c r="CC46" s="28" t="str" cm="1">
        <f t="array" ref="CC46">_xlfn.IFNA(INDEX(Table14[Ávöxtun],MATCH(1,(CC$2=Table14[Column1])*($X46=Table14[Year]),0)),"")</f>
        <v/>
      </c>
      <c r="CD46" s="28" t="str" cm="1">
        <f t="array" ref="CD46">_xlfn.IFNA(INDEX(Table14[Ávöxtun],MATCH(1,(CD$2=Table14[Column1])*($X46=Table14[Year]),0)),"")</f>
        <v/>
      </c>
      <c r="CE46" s="28" cm="1">
        <f t="array" ref="CE46">_xlfn.IFNA(INDEX(Table14[Ávöxtun],MATCH(1,(CE$2=Table14[Column1])*($X46=Table14[Year]),0)),"")</f>
        <v>0.03</v>
      </c>
      <c r="CF46" s="28" cm="1">
        <f t="array" ref="CF46">_xlfn.IFNA(INDEX(Table14[Ávöxtun],MATCH(1,(CF$2=Table14[Column1])*($X46=Table14[Year]),0)),"")</f>
        <v>5.9000000000000004E-2</v>
      </c>
      <c r="CG46" s="28" cm="1">
        <f t="array" ref="CG46">_xlfn.IFNA(INDEX(Table14[Ávöxtun],MATCH(1,(CG$2=Table14[Column1])*($X46=Table14[Year]),0)),"")</f>
        <v>6.4000000000000001E-2</v>
      </c>
      <c r="CH46" s="28" cm="1">
        <f t="array" ref="CH46">_xlfn.IFNA(INDEX(Table14[Ávöxtun],MATCH(1,(CH$2=Table14[Column1])*($X46=Table14[Year]),0)),"")</f>
        <v>3.4000000000000002E-2</v>
      </c>
      <c r="CI46" s="28" cm="1">
        <f t="array" ref="CI46">_xlfn.IFNA(INDEX(Table14[Ávöxtun],MATCH(1,(CI$2=Table14[Column1])*($X46=Table14[Year]),0)),"")</f>
        <v>0.185</v>
      </c>
      <c r="CJ46" s="28" cm="1">
        <f t="array" ref="CJ46">_xlfn.IFNA(INDEX(Table14[Ávöxtun],MATCH(1,(CJ$2=Table14[Column1])*($X46=Table14[Year]),0)),"")</f>
        <v>8.199999999999999E-2</v>
      </c>
      <c r="CK46" s="28" t="str" cm="1">
        <f t="array" ref="CK46">_xlfn.IFNA(INDEX(Table14[Ávöxtun],MATCH(1,(CK$2=Table14[Column1])*($X46=Table14[Year]),0)),"")</f>
        <v/>
      </c>
      <c r="CL46" s="28" t="str" cm="1">
        <f t="array" ref="CL46">_xlfn.IFNA(INDEX(Table14[Ávöxtun],MATCH(1,(CL$2=Table14[Column1])*($X46=Table14[Year]),0)),"")</f>
        <v/>
      </c>
      <c r="CM46" s="28" t="str" cm="1">
        <f t="array" ref="CM46">_xlfn.IFNA(INDEX(Table14[Ávöxtun],MATCH(1,(CM$2=Table14[Column1])*($X46=Table14[Year]),0)),"")</f>
        <v/>
      </c>
      <c r="CN46" s="28" cm="1">
        <f t="array" ref="CN46">_xlfn.IFNA(INDEX(Table14[Ávöxtun],MATCH(1,(CN$2=Table14[Column1])*($X46=Table14[Year]),0)),"")</f>
        <v>0.04</v>
      </c>
      <c r="CO46" s="28" t="str" cm="1">
        <f t="array" ref="CO46">_xlfn.IFNA(INDEX(Table14[Ávöxtun],MATCH(1,(CO$2=Table14[Column1])*($X46=Table14[Year]),0)),"")</f>
        <v/>
      </c>
      <c r="CP46" s="28" t="str" cm="1">
        <f t="array" ref="CP46">_xlfn.IFNA(INDEX(Table14[Ávöxtun],MATCH(1,(CP$2=Table14[Column1])*($X46=Table14[Year]),0)),"")</f>
        <v/>
      </c>
      <c r="CQ46" s="28" cm="1">
        <f t="array" ref="CQ46">_xlfn.IFNA(INDEX(Table14[Ávöxtun],MATCH(1,(CQ$2=Table14[Column1])*($X46=Table14[Year]),0)),"")</f>
        <v>5.5E-2</v>
      </c>
      <c r="CR46" s="28" cm="1">
        <f t="array" ref="CR46">_xlfn.IFNA(INDEX(Table14[Ávöxtun],MATCH(1,(CR$2=Table14[Column1])*($X46=Table14[Year]),0)),"")</f>
        <v>8.5000000000000006E-2</v>
      </c>
      <c r="CS46" s="28" cm="1">
        <f t="array" ref="CS46">_xlfn.IFNA(INDEX(Table14[Ávöxtun],MATCH(1,(CS$2=Table14[Column1])*($X46=Table14[Year]),0)),"")</f>
        <v>6.8000000000000005E-2</v>
      </c>
      <c r="CT46" s="28" cm="1">
        <f t="array" ref="CT46">_xlfn.IFNA(INDEX(Table14[Ávöxtun],MATCH(1,(CT$2=Table14[Column1])*($X46=Table14[Year]),0)),"")</f>
        <v>6.5000000000000002E-2</v>
      </c>
      <c r="CU46" s="28" t="str" cm="1">
        <f t="array" ref="CU46">_xlfn.IFNA(INDEX(Table14[Ávöxtun],MATCH(1,(CU$2=Table14[Column1])*($X46=Table14[Year]),0)),"")</f>
        <v/>
      </c>
      <c r="CV46" s="28" t="str" cm="1">
        <f t="array" ref="CV46">_xlfn.IFNA(INDEX(Table14[Ávöxtun],MATCH(1,(CV$2=Table14[Column1])*($X46=Table14[Year]),0)),"")</f>
        <v/>
      </c>
      <c r="CW46" s="28" t="str" cm="1">
        <f t="array" ref="CW46">_xlfn.IFNA(INDEX(Table14[Ávöxtun],MATCH(1,(CW$2=Table14[Column1])*($X46=Table14[Year]),0)),"")</f>
        <v/>
      </c>
      <c r="CX46" s="28" t="str" cm="1">
        <f t="array" ref="CX46">_xlfn.IFNA(INDEX(Table14[Ávöxtun],MATCH(1,(CX$2=Table14[Column1])*($X46=Table14[Year]),0)),"")</f>
        <v/>
      </c>
      <c r="CY46" s="28" t="str" cm="1">
        <f t="array" ref="CY46">_xlfn.IFNA(INDEX(Table14[Ávöxtun],MATCH(1,(CY$2=Table14[Column1])*($X46=Table14[Year]),0)),"")</f>
        <v/>
      </c>
      <c r="CZ46" s="28" cm="1">
        <f t="array" ref="CZ46">_xlfn.IFNA(INDEX(Table14[Ávöxtun],MATCH(1,(CZ$2=Table14[Column1])*($X46=Table14[Year]),0)),"")</f>
        <v>8.5999999999999993E-2</v>
      </c>
      <c r="DA46" s="28" t="str" cm="1">
        <f t="array" ref="DA46">_xlfn.IFNA(INDEX(Table14[Ávöxtun],MATCH(1,(DA$2=Table14[Column1])*($X46=Table14[Year]),0)),"")</f>
        <v/>
      </c>
      <c r="DB46" s="28" t="str" cm="1">
        <f t="array" ref="DB46">_xlfn.IFNA(INDEX(Table14[Ávöxtun],MATCH(1,(DB$2=Table14[Column1])*($X46=Table14[Year]),0)),"")</f>
        <v/>
      </c>
      <c r="DC46" s="28" cm="1">
        <f t="array" ref="DC46">_xlfn.IFNA(INDEX(Table14[Ávöxtun],MATCH(1,(DC$2=Table14[Column1])*($X46=Table14[Year]),0)),"")</f>
        <v>7.2999999999999995E-2</v>
      </c>
      <c r="DD46" s="28" cm="1">
        <f t="array" ref="DD46">_xlfn.IFNA(INDEX(Table14[Ávöxtun],MATCH(1,(DD$2=Table14[Column1])*($X46=Table14[Year]),0)),"")</f>
        <v>0.06</v>
      </c>
      <c r="DE46" s="28" cm="1">
        <f t="array" ref="DE46">_xlfn.IFNA(INDEX(Table14[Ávöxtun],MATCH(1,(DE$2=Table14[Column1])*($X46=Table14[Year]),0)),"")</f>
        <v>5.2999999999999999E-2</v>
      </c>
      <c r="DF46" s="28" t="str" cm="1">
        <f t="array" ref="DF46">_xlfn.IFNA(INDEX(Table14[Ávöxtun],MATCH(1,(DF$2=Table14[Column1])*($X46=Table14[Year]),0)),"")</f>
        <v/>
      </c>
    </row>
    <row r="47" spans="1:110">
      <c r="A47" t="s">
        <v>61</v>
      </c>
      <c r="B47">
        <v>2006</v>
      </c>
      <c r="C47" s="16">
        <v>6.0400000000000002E-2</v>
      </c>
      <c r="D47" s="1">
        <v>723893</v>
      </c>
      <c r="E47" s="29">
        <f>Table14[[#This Row],[Ávöxtun]]*Table14[[#This Row],[Eignir]]/SUMIFS(Table14[Eignir],Table14[Year],Table14[[#This Row],[Year]])</f>
        <v>3.1852490075514125E-5</v>
      </c>
      <c r="F47" s="23">
        <f>IF(B47=1997, 100, IF(COUNTIF(A$1:A46,A47)=0, "NEW", F46*(1+Table14[[#This Row],[Ávöxtun]])))</f>
        <v>139.39326106829267</v>
      </c>
      <c r="G47" s="18" cm="1">
        <f t="array" ref="G47">IFERROR(_xlfn.IFS(ISNUMBER(Table14[[#This Row],[Column3]]),Table14[[#This Row],[Column3]],Table14[[#This Row],[Column3]]="NEW",Table14[[#This Row],[Column3]]),"")</f>
        <v>139.39326106829267</v>
      </c>
      <c r="H47" s="15" cm="1">
        <f t="array" ref="H47">_xlfn.IFS(Table14[[#This Row],[Column4]]="NEW",AVERAGEIFS(Table14[Column4],Table14[Year],Table14[[#This Row],[Year]]),ISNUMBER(Table14[[#This Row],[Column4]]),Table14[[#This Row],[Column4]],Table14[[#This Row],[Column4]]="",H46*(1+Table14[[#This Row],[Ávöxtun]]))</f>
        <v>139.39326106829267</v>
      </c>
      <c r="I47" cm="1">
        <f t="array" ref="I47">_xlfn.IFS(Table14[[#This Row],[Column4]]="NEW",_xlfn.XLOOKUP(Table14[[#This Row],[Year]],$M$2:$M$27,$O$2:$O$27),ISNUMBER(Table14[[#This Row],[Column4]]),Table14[[#This Row],[Column4]],Table14[[#This Row],[Column4]]="",I46*(1+Table14[[#This Row],[Ávöxtun]]))</f>
        <v>139.39326106829267</v>
      </c>
      <c r="L47" s="33">
        <v>139.39326106829267</v>
      </c>
      <c r="X47">
        <v>2013</v>
      </c>
      <c r="Y47" s="28">
        <f t="shared" si="2"/>
        <v>7.2897100202312215E-2</v>
      </c>
      <c r="Z47" s="28" cm="1">
        <f t="array" ref="Z47">_xlfn.IFNA(INDEX(Table14[Ávöxtun],MATCH(1,(Z$2=Table14[Column1])*($X47=Table14[Year]),0)),"")</f>
        <v>3.7000000000000005E-2</v>
      </c>
      <c r="AA47" s="28" t="str" cm="1">
        <f t="array" ref="AA47">_xlfn.IFNA(INDEX(Table14[Ávöxtun],MATCH(1,(AA$2=Table14[Column1])*($X47=Table14[Year]),0)),"")</f>
        <v/>
      </c>
      <c r="AB47" s="28" t="str" cm="1">
        <f t="array" ref="AB47">_xlfn.IFNA(INDEX(Table14[Ávöxtun],MATCH(1,(AB$2=Table14[Column1])*($X47=Table14[Year]),0)),"")</f>
        <v/>
      </c>
      <c r="AC47" s="28" t="str" cm="1">
        <f t="array" ref="AC47">_xlfn.IFNA(INDEX(Table14[Ávöxtun],MATCH(1,(AC$2=Table14[Column1])*($X47=Table14[Year]),0)),"")</f>
        <v/>
      </c>
      <c r="AD47" s="28" t="str" cm="1">
        <f t="array" ref="AD47">_xlfn.IFNA(INDEX(Table14[Ávöxtun],MATCH(1,(AD$2=Table14[Column1])*($X47=Table14[Year]),0)),"")</f>
        <v/>
      </c>
      <c r="AE47" s="28" t="str" cm="1">
        <f t="array" ref="AE47">_xlfn.IFNA(INDEX(Table14[Ávöxtun],MATCH(1,(AE$2=Table14[Column1])*($X47=Table14[Year]),0)),"")</f>
        <v/>
      </c>
      <c r="AF47" s="28" t="str" cm="1">
        <f t="array" ref="AF47">_xlfn.IFNA(INDEX(Table14[Ávöxtun],MATCH(1,(AF$2=Table14[Column1])*($X47=Table14[Year]),0)),"")</f>
        <v/>
      </c>
      <c r="AG47" s="28" t="str" cm="1">
        <f t="array" ref="AG47">_xlfn.IFNA(INDEX(Table14[Ávöxtun],MATCH(1,(AG$2=Table14[Column1])*($X47=Table14[Year]),0)),"")</f>
        <v/>
      </c>
      <c r="AH47" s="28" t="str" cm="1">
        <f t="array" ref="AH47">_xlfn.IFNA(INDEX(Table14[Ávöxtun],MATCH(1,(AH$2=Table14[Column1])*($X47=Table14[Year]),0)),"")</f>
        <v/>
      </c>
      <c r="AI47" s="28" t="str" cm="1">
        <f t="array" ref="AI47">_xlfn.IFNA(INDEX(Table14[Ávöxtun],MATCH(1,(AI$2=Table14[Column1])*($X47=Table14[Year]),0)),"")</f>
        <v/>
      </c>
      <c r="AJ47" s="28" t="str" cm="1">
        <f t="array" ref="AJ47">_xlfn.IFNA(INDEX(Table14[Ávöxtun],MATCH(1,(AJ$2=Table14[Column1])*($X47=Table14[Year]),0)),"")</f>
        <v/>
      </c>
      <c r="AK47" s="28" t="str" cm="1">
        <f t="array" ref="AK47">_xlfn.IFNA(INDEX(Table14[Ávöxtun],MATCH(1,(AK$2=Table14[Column1])*($X47=Table14[Year]),0)),"")</f>
        <v/>
      </c>
      <c r="AL47" s="28" cm="1">
        <f t="array" ref="AL47">_xlfn.IFNA(INDEX(Table14[Ávöxtun],MATCH(1,(AL$2=Table14[Column1])*($X47=Table14[Year]),0)),"")</f>
        <v>9.6000000000000002E-2</v>
      </c>
      <c r="AM47" s="28" cm="1">
        <f t="array" ref="AM47">_xlfn.IFNA(INDEX(Table14[Ávöxtun],MATCH(1,(AM$2=Table14[Column1])*($X47=Table14[Year]),0)),"")</f>
        <v>7.2000000000000008E-2</v>
      </c>
      <c r="AN47" s="28" t="str" cm="1">
        <f t="array" ref="AN47">_xlfn.IFNA(INDEX(Table14[Ávöxtun],MATCH(1,(AN$2=Table14[Column1])*($X47=Table14[Year]),0)),"")</f>
        <v/>
      </c>
      <c r="AO47" s="28" cm="1">
        <f t="array" ref="AO47">_xlfn.IFNA(INDEX(Table14[Ávöxtun],MATCH(1,(AO$2=Table14[Column1])*($X47=Table14[Year]),0)),"")</f>
        <v>-0.81599999999999995</v>
      </c>
      <c r="AP47" s="28" cm="1">
        <f t="array" ref="AP47">_xlfn.IFNA(INDEX(Table14[Ávöxtun],MATCH(1,(AP$2=Table14[Column1])*($X47=Table14[Year]),0)),"")</f>
        <v>5.5E-2</v>
      </c>
      <c r="AQ47" s="28" cm="1">
        <f t="array" ref="AQ47">_xlfn.IFNA(INDEX(Table14[Ávöxtun],MATCH(1,(AQ$2=Table14[Column1])*($X47=Table14[Year]),0)),"")</f>
        <v>5.2999999999999999E-2</v>
      </c>
      <c r="AR47" s="28" cm="1">
        <f t="array" ref="AR47">_xlfn.IFNA(INDEX(Table14[Ávöxtun],MATCH(1,(AR$2=Table14[Column1])*($X47=Table14[Year]),0)),"")</f>
        <v>5.2999999999999999E-2</v>
      </c>
      <c r="AS47" s="28" t="str" cm="1">
        <f t="array" ref="AS47">_xlfn.IFNA(INDEX(Table14[Ávöxtun],MATCH(1,(AS$2=Table14[Column1])*($X47=Table14[Year]),0)),"")</f>
        <v/>
      </c>
      <c r="AT47" s="28" cm="1">
        <f t="array" ref="AT47">_xlfn.IFNA(INDEX(Table14[Ávöxtun],MATCH(1,(AT$2=Table14[Column1])*($X47=Table14[Year]),0)),"")</f>
        <v>5.7000000000000002E-2</v>
      </c>
      <c r="AU47" s="28" t="str" cm="1">
        <f t="array" ref="AU47">_xlfn.IFNA(INDEX(Table14[Ávöxtun],MATCH(1,(AU$2=Table14[Column1])*($X47=Table14[Year]),0)),"")</f>
        <v/>
      </c>
      <c r="AV47" s="28" t="str" cm="1">
        <f t="array" ref="AV47">_xlfn.IFNA(INDEX(Table14[Ávöxtun],MATCH(1,(AV$2=Table14[Column1])*($X47=Table14[Year]),0)),"")</f>
        <v/>
      </c>
      <c r="AW47" s="28" t="str" cm="1">
        <f t="array" ref="AW47">_xlfn.IFNA(INDEX(Table14[Ávöxtun],MATCH(1,(AW$2=Table14[Column1])*($X47=Table14[Year]),0)),"")</f>
        <v/>
      </c>
      <c r="AX47" s="28" t="str" cm="1">
        <f t="array" ref="AX47">_xlfn.IFNA(INDEX(Table14[Ávöxtun],MATCH(1,(AX$2=Table14[Column1])*($X47=Table14[Year]),0)),"")</f>
        <v/>
      </c>
      <c r="AY47" s="28" t="str" cm="1">
        <f t="array" ref="AY47">_xlfn.IFNA(INDEX(Table14[Ávöxtun],MATCH(1,(AY$2=Table14[Column1])*($X47=Table14[Year]),0)),"")</f>
        <v/>
      </c>
      <c r="AZ47" s="28" t="str" cm="1">
        <f t="array" ref="AZ47">_xlfn.IFNA(INDEX(Table14[Ávöxtun],MATCH(1,(AZ$2=Table14[Column1])*($X47=Table14[Year]),0)),"")</f>
        <v/>
      </c>
      <c r="BA47" s="28" t="str" cm="1">
        <f t="array" ref="BA47">_xlfn.IFNA(INDEX(Table14[Ávöxtun],MATCH(1,(BA$2=Table14[Column1])*($X47=Table14[Year]),0)),"")</f>
        <v/>
      </c>
      <c r="BB47" s="28" t="str" cm="1">
        <f t="array" ref="BB47">_xlfn.IFNA(INDEX(Table14[Ávöxtun],MATCH(1,(BB$2=Table14[Column1])*($X47=Table14[Year]),0)),"")</f>
        <v/>
      </c>
      <c r="BC47" s="28" t="str" cm="1">
        <f t="array" ref="BC47">_xlfn.IFNA(INDEX(Table14[Ávöxtun],MATCH(1,(BC$2=Table14[Column1])*($X47=Table14[Year]),0)),"")</f>
        <v/>
      </c>
      <c r="BD47" s="28" t="str" cm="1">
        <f t="array" ref="BD47">_xlfn.IFNA(INDEX(Table14[Ávöxtun],MATCH(1,(BD$2=Table14[Column1])*($X47=Table14[Year]),0)),"")</f>
        <v/>
      </c>
      <c r="BE47" s="28" t="str" cm="1">
        <f t="array" ref="BE47">_xlfn.IFNA(INDEX(Table14[Ávöxtun],MATCH(1,(BE$2=Table14[Column1])*($X47=Table14[Year]),0)),"")</f>
        <v/>
      </c>
      <c r="BF47" s="28" t="str" cm="1">
        <f t="array" ref="BF47">_xlfn.IFNA(INDEX(Table14[Ávöxtun],MATCH(1,(BF$2=Table14[Column1])*($X47=Table14[Year]),0)),"")</f>
        <v/>
      </c>
      <c r="BG47" s="28" t="str" cm="1">
        <f t="array" ref="BG47">_xlfn.IFNA(INDEX(Table14[Ávöxtun],MATCH(1,(BG$2=Table14[Column1])*($X47=Table14[Year]),0)),"")</f>
        <v/>
      </c>
      <c r="BH47" s="28" t="str" cm="1">
        <f t="array" ref="BH47">_xlfn.IFNA(INDEX(Table14[Ávöxtun],MATCH(1,(BH$2=Table14[Column1])*($X47=Table14[Year]),0)),"")</f>
        <v/>
      </c>
      <c r="BI47" s="28" t="str" cm="1">
        <f t="array" ref="BI47">_xlfn.IFNA(INDEX(Table14[Ávöxtun],MATCH(1,(BI$2=Table14[Column1])*($X47=Table14[Year]),0)),"")</f>
        <v/>
      </c>
      <c r="BJ47" s="28" t="str" cm="1">
        <f t="array" ref="BJ47">_xlfn.IFNA(INDEX(Table14[Ávöxtun],MATCH(1,(BJ$2=Table14[Column1])*($X47=Table14[Year]),0)),"")</f>
        <v/>
      </c>
      <c r="BK47" s="28" t="str" cm="1">
        <f t="array" ref="BK47">_xlfn.IFNA(INDEX(Table14[Ávöxtun],MATCH(1,(BK$2=Table14[Column1])*($X47=Table14[Year]),0)),"")</f>
        <v/>
      </c>
      <c r="BL47" s="28" t="str" cm="1">
        <f t="array" ref="BL47">_xlfn.IFNA(INDEX(Table14[Ávöxtun],MATCH(1,(BL$2=Table14[Column1])*($X47=Table14[Year]),0)),"")</f>
        <v/>
      </c>
      <c r="BM47" s="28" t="str" cm="1">
        <f t="array" ref="BM47">_xlfn.IFNA(INDEX(Table14[Ávöxtun],MATCH(1,(BM$2=Table14[Column1])*($X47=Table14[Year]),0)),"")</f>
        <v/>
      </c>
      <c r="BN47" s="28" t="str" cm="1">
        <f t="array" ref="BN47">_xlfn.IFNA(INDEX(Table14[Ávöxtun],MATCH(1,(BN$2=Table14[Column1])*($X47=Table14[Year]),0)),"")</f>
        <v/>
      </c>
      <c r="BO47" s="28" t="str" cm="1">
        <f t="array" ref="BO47">_xlfn.IFNA(INDEX(Table14[Ávöxtun],MATCH(1,(BO$2=Table14[Column1])*($X47=Table14[Year]),0)),"")</f>
        <v/>
      </c>
      <c r="BP47" s="28" t="str" cm="1">
        <f t="array" ref="BP47">_xlfn.IFNA(INDEX(Table14[Ávöxtun],MATCH(1,(BP$2=Table14[Column1])*($X47=Table14[Year]),0)),"")</f>
        <v/>
      </c>
      <c r="BQ47" s="28" cm="1">
        <f t="array" ref="BQ47">_xlfn.IFNA(INDEX(Table14[Ávöxtun],MATCH(1,(BQ$2=Table14[Column1])*($X47=Table14[Year]),0)),"")</f>
        <v>5.5999999999999994E-2</v>
      </c>
      <c r="BR47" s="28" cm="1">
        <f t="array" ref="BR47">_xlfn.IFNA(INDEX(Table14[Ávöxtun],MATCH(1,(BR$2=Table14[Column1])*($X47=Table14[Year]),0)),"")</f>
        <v>9.6999999999999989E-2</v>
      </c>
      <c r="BS47" s="28" t="str" cm="1">
        <f t="array" ref="BS47">_xlfn.IFNA(INDEX(Table14[Ávöxtun],MATCH(1,(BS$2=Table14[Column1])*($X47=Table14[Year]),0)),"")</f>
        <v/>
      </c>
      <c r="BT47" s="28" t="str" cm="1">
        <f t="array" ref="BT47">_xlfn.IFNA(INDEX(Table14[Ávöxtun],MATCH(1,(BT$2=Table14[Column1])*($X47=Table14[Year]),0)),"")</f>
        <v/>
      </c>
      <c r="BU47" s="28" t="str" cm="1">
        <f t="array" ref="BU47">_xlfn.IFNA(INDEX(Table14[Ávöxtun],MATCH(1,(BU$2=Table14[Column1])*($X47=Table14[Year]),0)),"")</f>
        <v/>
      </c>
      <c r="BV47" s="28" cm="1">
        <f t="array" ref="BV47">_xlfn.IFNA(INDEX(Table14[Ávöxtun],MATCH(1,(BV$2=Table14[Column1])*($X47=Table14[Year]),0)),"")</f>
        <v>7.3499999999999996E-2</v>
      </c>
      <c r="BW47" s="28" t="str" cm="1">
        <f t="array" ref="BW47">_xlfn.IFNA(INDEX(Table14[Ávöxtun],MATCH(1,(BW$2=Table14[Column1])*($X47=Table14[Year]),0)),"")</f>
        <v/>
      </c>
      <c r="BX47" s="28" t="str" cm="1">
        <f t="array" ref="BX47">_xlfn.IFNA(INDEX(Table14[Ávöxtun],MATCH(1,(BX$2=Table14[Column1])*($X47=Table14[Year]),0)),"")</f>
        <v/>
      </c>
      <c r="BY47" s="28" t="str" cm="1">
        <f t="array" ref="BY47">_xlfn.IFNA(INDEX(Table14[Ávöxtun],MATCH(1,(BY$2=Table14[Column1])*($X47=Table14[Year]),0)),"")</f>
        <v/>
      </c>
      <c r="BZ47" s="28" t="str" cm="1">
        <f t="array" ref="BZ47">_xlfn.IFNA(INDEX(Table14[Ávöxtun],MATCH(1,(BZ$2=Table14[Column1])*($X47=Table14[Year]),0)),"")</f>
        <v/>
      </c>
      <c r="CA47" s="28" t="str" cm="1">
        <f t="array" ref="CA47">_xlfn.IFNA(INDEX(Table14[Ávöxtun],MATCH(1,(CA$2=Table14[Column1])*($X47=Table14[Year]),0)),"")</f>
        <v/>
      </c>
      <c r="CB47" s="28" cm="1">
        <f t="array" ref="CB47">_xlfn.IFNA(INDEX(Table14[Ávöxtun],MATCH(1,(CB$2=Table14[Column1])*($X47=Table14[Year]),0)),"")</f>
        <v>4.4000000000000004E-2</v>
      </c>
      <c r="CC47" s="28" t="str" cm="1">
        <f t="array" ref="CC47">_xlfn.IFNA(INDEX(Table14[Ávöxtun],MATCH(1,(CC$2=Table14[Column1])*($X47=Table14[Year]),0)),"")</f>
        <v/>
      </c>
      <c r="CD47" s="28" t="str" cm="1">
        <f t="array" ref="CD47">_xlfn.IFNA(INDEX(Table14[Ávöxtun],MATCH(1,(CD$2=Table14[Column1])*($X47=Table14[Year]),0)),"")</f>
        <v/>
      </c>
      <c r="CE47" s="28" cm="1">
        <f t="array" ref="CE47">_xlfn.IFNA(INDEX(Table14[Ávöxtun],MATCH(1,(CE$2=Table14[Column1])*($X47=Table14[Year]),0)),"")</f>
        <v>7.2000000000000008E-2</v>
      </c>
      <c r="CF47" s="28" cm="1">
        <f t="array" ref="CF47">_xlfn.IFNA(INDEX(Table14[Ávöxtun],MATCH(1,(CF$2=Table14[Column1])*($X47=Table14[Year]),0)),"")</f>
        <v>8.3000000000000004E-2</v>
      </c>
      <c r="CG47" s="28" cm="1">
        <f t="array" ref="CG47">_xlfn.IFNA(INDEX(Table14[Ávöxtun],MATCH(1,(CG$2=Table14[Column1])*($X47=Table14[Year]),0)),"")</f>
        <v>6.5000000000000002E-2</v>
      </c>
      <c r="CH47" s="28" cm="1">
        <f t="array" ref="CH47">_xlfn.IFNA(INDEX(Table14[Ávöxtun],MATCH(1,(CH$2=Table14[Column1])*($X47=Table14[Year]),0)),"")</f>
        <v>4.2000000000000003E-2</v>
      </c>
      <c r="CI47" s="28" cm="1">
        <f t="array" ref="CI47">_xlfn.IFNA(INDEX(Table14[Ávöxtun],MATCH(1,(CI$2=Table14[Column1])*($X47=Table14[Year]),0)),"")</f>
        <v>0.13200000000000001</v>
      </c>
      <c r="CJ47" s="28" cm="1">
        <f t="array" ref="CJ47">_xlfn.IFNA(INDEX(Table14[Ávöxtun],MATCH(1,(CJ$2=Table14[Column1])*($X47=Table14[Year]),0)),"")</f>
        <v>0.11</v>
      </c>
      <c r="CK47" s="28" t="str" cm="1">
        <f t="array" ref="CK47">_xlfn.IFNA(INDEX(Table14[Ávöxtun],MATCH(1,(CK$2=Table14[Column1])*($X47=Table14[Year]),0)),"")</f>
        <v/>
      </c>
      <c r="CL47" s="28" t="str" cm="1">
        <f t="array" ref="CL47">_xlfn.IFNA(INDEX(Table14[Ávöxtun],MATCH(1,(CL$2=Table14[Column1])*($X47=Table14[Year]),0)),"")</f>
        <v/>
      </c>
      <c r="CM47" s="28" t="str" cm="1">
        <f t="array" ref="CM47">_xlfn.IFNA(INDEX(Table14[Ávöxtun],MATCH(1,(CM$2=Table14[Column1])*($X47=Table14[Year]),0)),"")</f>
        <v/>
      </c>
      <c r="CN47" s="28" cm="1">
        <f t="array" ref="CN47">_xlfn.IFNA(INDEX(Table14[Ávöxtun],MATCH(1,(CN$2=Table14[Column1])*($X47=Table14[Year]),0)),"")</f>
        <v>6.2000000000000006E-2</v>
      </c>
      <c r="CO47" s="28" t="str" cm="1">
        <f t="array" ref="CO47">_xlfn.IFNA(INDEX(Table14[Ávöxtun],MATCH(1,(CO$2=Table14[Column1])*($X47=Table14[Year]),0)),"")</f>
        <v/>
      </c>
      <c r="CP47" s="28" t="str" cm="1">
        <f t="array" ref="CP47">_xlfn.IFNA(INDEX(Table14[Ávöxtun],MATCH(1,(CP$2=Table14[Column1])*($X47=Table14[Year]),0)),"")</f>
        <v/>
      </c>
      <c r="CQ47" s="28" cm="1">
        <f t="array" ref="CQ47">_xlfn.IFNA(INDEX(Table14[Ávöxtun],MATCH(1,(CQ$2=Table14[Column1])*($X47=Table14[Year]),0)),"")</f>
        <v>4.5999999999999999E-2</v>
      </c>
      <c r="CR47" s="28" cm="1">
        <f t="array" ref="CR47">_xlfn.IFNA(INDEX(Table14[Ávöxtun],MATCH(1,(CR$2=Table14[Column1])*($X47=Table14[Year]),0)),"")</f>
        <v>6.3E-2</v>
      </c>
      <c r="CS47" s="28" cm="1">
        <f t="array" ref="CS47">_xlfn.IFNA(INDEX(Table14[Ávöxtun],MATCH(1,(CS$2=Table14[Column1])*($X47=Table14[Year]),0)),"")</f>
        <v>4.5999999999999999E-2</v>
      </c>
      <c r="CT47" s="28" cm="1">
        <f t="array" ref="CT47">_xlfn.IFNA(INDEX(Table14[Ávöxtun],MATCH(1,(CT$2=Table14[Column1])*($X47=Table14[Year]),0)),"")</f>
        <v>4.0999999999999995E-2</v>
      </c>
      <c r="CU47" s="28" t="str" cm="1">
        <f t="array" ref="CU47">_xlfn.IFNA(INDEX(Table14[Ávöxtun],MATCH(1,(CU$2=Table14[Column1])*($X47=Table14[Year]),0)),"")</f>
        <v/>
      </c>
      <c r="CV47" s="28" t="str" cm="1">
        <f t="array" ref="CV47">_xlfn.IFNA(INDEX(Table14[Ávöxtun],MATCH(1,(CV$2=Table14[Column1])*($X47=Table14[Year]),0)),"")</f>
        <v/>
      </c>
      <c r="CW47" s="28" t="str" cm="1">
        <f t="array" ref="CW47">_xlfn.IFNA(INDEX(Table14[Ávöxtun],MATCH(1,(CW$2=Table14[Column1])*($X47=Table14[Year]),0)),"")</f>
        <v/>
      </c>
      <c r="CX47" s="28" t="str" cm="1">
        <f t="array" ref="CX47">_xlfn.IFNA(INDEX(Table14[Ávöxtun],MATCH(1,(CX$2=Table14[Column1])*($X47=Table14[Year]),0)),"")</f>
        <v/>
      </c>
      <c r="CY47" s="28" t="str" cm="1">
        <f t="array" ref="CY47">_xlfn.IFNA(INDEX(Table14[Ávöxtun],MATCH(1,(CY$2=Table14[Column1])*($X47=Table14[Year]),0)),"")</f>
        <v/>
      </c>
      <c r="CZ47" s="28" cm="1">
        <f t="array" ref="CZ47">_xlfn.IFNA(INDEX(Table14[Ávöxtun],MATCH(1,(CZ$2=Table14[Column1])*($X47=Table14[Year]),0)),"")</f>
        <v>6.0999999999999999E-2</v>
      </c>
      <c r="DA47" s="28" t="str" cm="1">
        <f t="array" ref="DA47">_xlfn.IFNA(INDEX(Table14[Ávöxtun],MATCH(1,(DA$2=Table14[Column1])*($X47=Table14[Year]),0)),"")</f>
        <v/>
      </c>
      <c r="DB47" s="28" t="str" cm="1">
        <f t="array" ref="DB47">_xlfn.IFNA(INDEX(Table14[Ávöxtun],MATCH(1,(DB$2=Table14[Column1])*($X47=Table14[Year]),0)),"")</f>
        <v/>
      </c>
      <c r="DC47" s="28" cm="1">
        <f t="array" ref="DC47">_xlfn.IFNA(INDEX(Table14[Ávöxtun],MATCH(1,(DC$2=Table14[Column1])*($X47=Table14[Year]),0)),"")</f>
        <v>6.2000000000000006E-2</v>
      </c>
      <c r="DD47" s="28" cm="1">
        <f t="array" ref="DD47">_xlfn.IFNA(INDEX(Table14[Ávöxtun],MATCH(1,(DD$2=Table14[Column1])*($X47=Table14[Year]),0)),"")</f>
        <v>4.9000000000000002E-2</v>
      </c>
      <c r="DE47" s="28" cm="1">
        <f t="array" ref="DE47">_xlfn.IFNA(INDEX(Table14[Ávöxtun],MATCH(1,(DE$2=Table14[Column1])*($X47=Table14[Year]),0)),"")</f>
        <v>0.03</v>
      </c>
      <c r="DF47" s="28" t="str" cm="1">
        <f t="array" ref="DF47">_xlfn.IFNA(INDEX(Table14[Ávöxtun],MATCH(1,(DF$2=Table14[Column1])*($X47=Table14[Year]),0)),"")</f>
        <v/>
      </c>
    </row>
    <row r="48" spans="1:110">
      <c r="A48" t="s">
        <v>61</v>
      </c>
      <c r="B48">
        <v>2007</v>
      </c>
      <c r="C48" s="16">
        <v>9.8000000000000004E-2</v>
      </c>
      <c r="D48" s="1">
        <v>762872</v>
      </c>
      <c r="E48" s="29">
        <f>Table14[[#This Row],[Ávöxtun]]*Table14[[#This Row],[Eignir]]/SUMIFS(Table14[Eignir],Table14[Year],Table14[[#This Row],[Year]])</f>
        <v>4.8345233505623554E-5</v>
      </c>
      <c r="F48" s="23">
        <f>IF(B48=1997, 100, IF(COUNTIF(A$1:A47,A48)=0, "NEW", F47*(1+Table14[[#This Row],[Ávöxtun]])))</f>
        <v>153.05380065298536</v>
      </c>
      <c r="G48" s="18" cm="1">
        <f t="array" ref="G48">IFERROR(_xlfn.IFS(ISNUMBER(Table14[[#This Row],[Column3]]),Table14[[#This Row],[Column3]],Table14[[#This Row],[Column3]]="NEW",Table14[[#This Row],[Column3]]),"")</f>
        <v>153.05380065298536</v>
      </c>
      <c r="H48" s="15" cm="1">
        <f t="array" ref="H48">_xlfn.IFS(Table14[[#This Row],[Column4]]="NEW",AVERAGEIFS(Table14[Column4],Table14[Year],Table14[[#This Row],[Year]]),ISNUMBER(Table14[[#This Row],[Column4]]),Table14[[#This Row],[Column4]],Table14[[#This Row],[Column4]]="",H47*(1+Table14[[#This Row],[Ávöxtun]]))</f>
        <v>153.05380065298536</v>
      </c>
      <c r="I48" cm="1">
        <f t="array" ref="I48">_xlfn.IFS(Table14[[#This Row],[Column4]]="NEW",_xlfn.XLOOKUP(Table14[[#This Row],[Year]],$M$2:$M$27,$O$2:$O$27),ISNUMBER(Table14[[#This Row],[Column4]]),Table14[[#This Row],[Column4]],Table14[[#This Row],[Column4]]="",I47*(1+Table14[[#This Row],[Ávöxtun]]))</f>
        <v>153.05380065298536</v>
      </c>
      <c r="L48" s="33">
        <v>153.05380065298536</v>
      </c>
      <c r="X48">
        <v>2014</v>
      </c>
      <c r="Y48" s="28">
        <f t="shared" si="2"/>
        <v>9.8898741851879191E-2</v>
      </c>
      <c r="Z48" s="28" cm="1">
        <f t="array" ref="Z48">_xlfn.IFNA(INDEX(Table14[Ávöxtun],MATCH(1,(Z$2=Table14[Column1])*($X48=Table14[Year]),0)),"")</f>
        <v>6.2000000000000006E-2</v>
      </c>
      <c r="AA48" s="28" t="str" cm="1">
        <f t="array" ref="AA48">_xlfn.IFNA(INDEX(Table14[Ávöxtun],MATCH(1,(AA$2=Table14[Column1])*($X48=Table14[Year]),0)),"")</f>
        <v/>
      </c>
      <c r="AB48" s="28" t="str" cm="1">
        <f t="array" ref="AB48">_xlfn.IFNA(INDEX(Table14[Ávöxtun],MATCH(1,(AB$2=Table14[Column1])*($X48=Table14[Year]),0)),"")</f>
        <v/>
      </c>
      <c r="AC48" s="28" t="str" cm="1">
        <f t="array" ref="AC48">_xlfn.IFNA(INDEX(Table14[Ávöxtun],MATCH(1,(AC$2=Table14[Column1])*($X48=Table14[Year]),0)),"")</f>
        <v/>
      </c>
      <c r="AD48" s="28" t="str" cm="1">
        <f t="array" ref="AD48">_xlfn.IFNA(INDEX(Table14[Ávöxtun],MATCH(1,(AD$2=Table14[Column1])*($X48=Table14[Year]),0)),"")</f>
        <v/>
      </c>
      <c r="AE48" s="28" t="str" cm="1">
        <f t="array" ref="AE48">_xlfn.IFNA(INDEX(Table14[Ávöxtun],MATCH(1,(AE$2=Table14[Column1])*($X48=Table14[Year]),0)),"")</f>
        <v/>
      </c>
      <c r="AF48" s="28" t="str" cm="1">
        <f t="array" ref="AF48">_xlfn.IFNA(INDEX(Table14[Ávöxtun],MATCH(1,(AF$2=Table14[Column1])*($X48=Table14[Year]),0)),"")</f>
        <v/>
      </c>
      <c r="AG48" s="28" t="str" cm="1">
        <f t="array" ref="AG48">_xlfn.IFNA(INDEX(Table14[Ávöxtun],MATCH(1,(AG$2=Table14[Column1])*($X48=Table14[Year]),0)),"")</f>
        <v/>
      </c>
      <c r="AH48" s="28" t="str" cm="1">
        <f t="array" ref="AH48">_xlfn.IFNA(INDEX(Table14[Ávöxtun],MATCH(1,(AH$2=Table14[Column1])*($X48=Table14[Year]),0)),"")</f>
        <v/>
      </c>
      <c r="AI48" s="28" t="str" cm="1">
        <f t="array" ref="AI48">_xlfn.IFNA(INDEX(Table14[Ávöxtun],MATCH(1,(AI$2=Table14[Column1])*($X48=Table14[Year]),0)),"")</f>
        <v/>
      </c>
      <c r="AJ48" s="28" t="str" cm="1">
        <f t="array" ref="AJ48">_xlfn.IFNA(INDEX(Table14[Ávöxtun],MATCH(1,(AJ$2=Table14[Column1])*($X48=Table14[Year]),0)),"")</f>
        <v/>
      </c>
      <c r="AK48" s="28" t="str" cm="1">
        <f t="array" ref="AK48">_xlfn.IFNA(INDEX(Table14[Ávöxtun],MATCH(1,(AK$2=Table14[Column1])*($X48=Table14[Year]),0)),"")</f>
        <v/>
      </c>
      <c r="AL48" s="28" cm="1">
        <f t="array" ref="AL48">_xlfn.IFNA(INDEX(Table14[Ávöxtun],MATCH(1,(AL$2=Table14[Column1])*($X48=Table14[Year]),0)),"")</f>
        <v>5.2999999999999999E-2</v>
      </c>
      <c r="AM48" s="28" cm="1">
        <f t="array" ref="AM48">_xlfn.IFNA(INDEX(Table14[Ávöxtun],MATCH(1,(AM$2=Table14[Column1])*($X48=Table14[Year]),0)),"")</f>
        <v>5.4000000000000006E-2</v>
      </c>
      <c r="AN48" s="28" t="str" cm="1">
        <f t="array" ref="AN48">_xlfn.IFNA(INDEX(Table14[Ávöxtun],MATCH(1,(AN$2=Table14[Column1])*($X48=Table14[Year]),0)),"")</f>
        <v/>
      </c>
      <c r="AO48" s="28" cm="1">
        <f t="array" ref="AO48">_xlfn.IFNA(INDEX(Table14[Ávöxtun],MATCH(1,(AO$2=Table14[Column1])*($X48=Table14[Year]),0)),"")</f>
        <v>-1.4830000000000001</v>
      </c>
      <c r="AP48" s="28" cm="1">
        <f t="array" ref="AP48">_xlfn.IFNA(INDEX(Table14[Ávöxtun],MATCH(1,(AP$2=Table14[Column1])*($X48=Table14[Year]),0)),"")</f>
        <v>6.7000000000000004E-2</v>
      </c>
      <c r="AQ48" s="28" cm="1">
        <f t="array" ref="AQ48">_xlfn.IFNA(INDEX(Table14[Ávöxtun],MATCH(1,(AQ$2=Table14[Column1])*($X48=Table14[Year]),0)),"")</f>
        <v>4.4999999999999998E-2</v>
      </c>
      <c r="AR48" s="28" cm="1">
        <f t="array" ref="AR48">_xlfn.IFNA(INDEX(Table14[Ávöxtun],MATCH(1,(AR$2=Table14[Column1])*($X48=Table14[Year]),0)),"")</f>
        <v>8.8000000000000009E-2</v>
      </c>
      <c r="AS48" s="28" t="str" cm="1">
        <f t="array" ref="AS48">_xlfn.IFNA(INDEX(Table14[Ávöxtun],MATCH(1,(AS$2=Table14[Column1])*($X48=Table14[Year]),0)),"")</f>
        <v/>
      </c>
      <c r="AT48" s="28" cm="1">
        <f t="array" ref="AT48">_xlfn.IFNA(INDEX(Table14[Ávöxtun],MATCH(1,(AT$2=Table14[Column1])*($X48=Table14[Year]),0)),"")</f>
        <v>4.9000000000000002E-2</v>
      </c>
      <c r="AU48" s="28" t="str" cm="1">
        <f t="array" ref="AU48">_xlfn.IFNA(INDEX(Table14[Ávöxtun],MATCH(1,(AU$2=Table14[Column1])*($X48=Table14[Year]),0)),"")</f>
        <v/>
      </c>
      <c r="AV48" s="28" t="str" cm="1">
        <f t="array" ref="AV48">_xlfn.IFNA(INDEX(Table14[Ávöxtun],MATCH(1,(AV$2=Table14[Column1])*($X48=Table14[Year]),0)),"")</f>
        <v/>
      </c>
      <c r="AW48" s="28" t="str" cm="1">
        <f t="array" ref="AW48">_xlfn.IFNA(INDEX(Table14[Ávöxtun],MATCH(1,(AW$2=Table14[Column1])*($X48=Table14[Year]),0)),"")</f>
        <v/>
      </c>
      <c r="AX48" s="28" t="str" cm="1">
        <f t="array" ref="AX48">_xlfn.IFNA(INDEX(Table14[Ávöxtun],MATCH(1,(AX$2=Table14[Column1])*($X48=Table14[Year]),0)),"")</f>
        <v/>
      </c>
      <c r="AY48" s="28" t="str" cm="1">
        <f t="array" ref="AY48">_xlfn.IFNA(INDEX(Table14[Ávöxtun],MATCH(1,(AY$2=Table14[Column1])*($X48=Table14[Year]),0)),"")</f>
        <v/>
      </c>
      <c r="AZ48" s="28" t="str" cm="1">
        <f t="array" ref="AZ48">_xlfn.IFNA(INDEX(Table14[Ávöxtun],MATCH(1,(AZ$2=Table14[Column1])*($X48=Table14[Year]),0)),"")</f>
        <v/>
      </c>
      <c r="BA48" s="28" t="str" cm="1">
        <f t="array" ref="BA48">_xlfn.IFNA(INDEX(Table14[Ávöxtun],MATCH(1,(BA$2=Table14[Column1])*($X48=Table14[Year]),0)),"")</f>
        <v/>
      </c>
      <c r="BB48" s="28" t="str" cm="1">
        <f t="array" ref="BB48">_xlfn.IFNA(INDEX(Table14[Ávöxtun],MATCH(1,(BB$2=Table14[Column1])*($X48=Table14[Year]),0)),"")</f>
        <v/>
      </c>
      <c r="BC48" s="28" t="str" cm="1">
        <f t="array" ref="BC48">_xlfn.IFNA(INDEX(Table14[Ávöxtun],MATCH(1,(BC$2=Table14[Column1])*($X48=Table14[Year]),0)),"")</f>
        <v/>
      </c>
      <c r="BD48" s="28" t="str" cm="1">
        <f t="array" ref="BD48">_xlfn.IFNA(INDEX(Table14[Ávöxtun],MATCH(1,(BD$2=Table14[Column1])*($X48=Table14[Year]),0)),"")</f>
        <v/>
      </c>
      <c r="BE48" s="28" t="str" cm="1">
        <f t="array" ref="BE48">_xlfn.IFNA(INDEX(Table14[Ávöxtun],MATCH(1,(BE$2=Table14[Column1])*($X48=Table14[Year]),0)),"")</f>
        <v/>
      </c>
      <c r="BF48" s="28" t="str" cm="1">
        <f t="array" ref="BF48">_xlfn.IFNA(INDEX(Table14[Ávöxtun],MATCH(1,(BF$2=Table14[Column1])*($X48=Table14[Year]),0)),"")</f>
        <v/>
      </c>
      <c r="BG48" s="28" t="str" cm="1">
        <f t="array" ref="BG48">_xlfn.IFNA(INDEX(Table14[Ávöxtun],MATCH(1,(BG$2=Table14[Column1])*($X48=Table14[Year]),0)),"")</f>
        <v/>
      </c>
      <c r="BH48" s="28" t="str" cm="1">
        <f t="array" ref="BH48">_xlfn.IFNA(INDEX(Table14[Ávöxtun],MATCH(1,(BH$2=Table14[Column1])*($X48=Table14[Year]),0)),"")</f>
        <v/>
      </c>
      <c r="BI48" s="28" t="str" cm="1">
        <f t="array" ref="BI48">_xlfn.IFNA(INDEX(Table14[Ávöxtun],MATCH(1,(BI$2=Table14[Column1])*($X48=Table14[Year]),0)),"")</f>
        <v/>
      </c>
      <c r="BJ48" s="28" t="str" cm="1">
        <f t="array" ref="BJ48">_xlfn.IFNA(INDEX(Table14[Ávöxtun],MATCH(1,(BJ$2=Table14[Column1])*($X48=Table14[Year]),0)),"")</f>
        <v/>
      </c>
      <c r="BK48" s="28" t="str" cm="1">
        <f t="array" ref="BK48">_xlfn.IFNA(INDEX(Table14[Ávöxtun],MATCH(1,(BK$2=Table14[Column1])*($X48=Table14[Year]),0)),"")</f>
        <v/>
      </c>
      <c r="BL48" s="28" t="str" cm="1">
        <f t="array" ref="BL48">_xlfn.IFNA(INDEX(Table14[Ávöxtun],MATCH(1,(BL$2=Table14[Column1])*($X48=Table14[Year]),0)),"")</f>
        <v/>
      </c>
      <c r="BM48" s="28" t="str" cm="1">
        <f t="array" ref="BM48">_xlfn.IFNA(INDEX(Table14[Ávöxtun],MATCH(1,(BM$2=Table14[Column1])*($X48=Table14[Year]),0)),"")</f>
        <v/>
      </c>
      <c r="BN48" s="28" t="str" cm="1">
        <f t="array" ref="BN48">_xlfn.IFNA(INDEX(Table14[Ávöxtun],MATCH(1,(BN$2=Table14[Column1])*($X48=Table14[Year]),0)),"")</f>
        <v/>
      </c>
      <c r="BO48" s="28" t="str" cm="1">
        <f t="array" ref="BO48">_xlfn.IFNA(INDEX(Table14[Ávöxtun],MATCH(1,(BO$2=Table14[Column1])*($X48=Table14[Year]),0)),"")</f>
        <v/>
      </c>
      <c r="BP48" s="28" t="str" cm="1">
        <f t="array" ref="BP48">_xlfn.IFNA(INDEX(Table14[Ávöxtun],MATCH(1,(BP$2=Table14[Column1])*($X48=Table14[Year]),0)),"")</f>
        <v/>
      </c>
      <c r="BQ48" s="28" cm="1">
        <f t="array" ref="BQ48">_xlfn.IFNA(INDEX(Table14[Ávöxtun],MATCH(1,(BQ$2=Table14[Column1])*($X48=Table14[Year]),0)),"")</f>
        <v>5.4000000000000006E-2</v>
      </c>
      <c r="BR48" s="28" cm="1">
        <f t="array" ref="BR48">_xlfn.IFNA(INDEX(Table14[Ávöxtun],MATCH(1,(BR$2=Table14[Column1])*($X48=Table14[Year]),0)),"")</f>
        <v>9.5000000000000001E-2</v>
      </c>
      <c r="BS48" s="28" t="str" cm="1">
        <f t="array" ref="BS48">_xlfn.IFNA(INDEX(Table14[Ávöxtun],MATCH(1,(BS$2=Table14[Column1])*($X48=Table14[Year]),0)),"")</f>
        <v/>
      </c>
      <c r="BT48" s="28" t="str" cm="1">
        <f t="array" ref="BT48">_xlfn.IFNA(INDEX(Table14[Ávöxtun],MATCH(1,(BT$2=Table14[Column1])*($X48=Table14[Year]),0)),"")</f>
        <v/>
      </c>
      <c r="BU48" s="28" t="str" cm="1">
        <f t="array" ref="BU48">_xlfn.IFNA(INDEX(Table14[Ávöxtun],MATCH(1,(BU$2=Table14[Column1])*($X48=Table14[Year]),0)),"")</f>
        <v/>
      </c>
      <c r="BV48" s="28" cm="1">
        <f t="array" ref="BV48">_xlfn.IFNA(INDEX(Table14[Ávöxtun],MATCH(1,(BV$2=Table14[Column1])*($X48=Table14[Year]),0)),"")</f>
        <v>9.3000000000000013E-2</v>
      </c>
      <c r="BW48" s="28" t="str" cm="1">
        <f t="array" ref="BW48">_xlfn.IFNA(INDEX(Table14[Ávöxtun],MATCH(1,(BW$2=Table14[Column1])*($X48=Table14[Year]),0)),"")</f>
        <v/>
      </c>
      <c r="BX48" s="28" t="str" cm="1">
        <f t="array" ref="BX48">_xlfn.IFNA(INDEX(Table14[Ávöxtun],MATCH(1,(BX$2=Table14[Column1])*($X48=Table14[Year]),0)),"")</f>
        <v/>
      </c>
      <c r="BY48" s="28" t="str" cm="1">
        <f t="array" ref="BY48">_xlfn.IFNA(INDEX(Table14[Ávöxtun],MATCH(1,(BY$2=Table14[Column1])*($X48=Table14[Year]),0)),"")</f>
        <v/>
      </c>
      <c r="BZ48" s="28" t="str" cm="1">
        <f t="array" ref="BZ48">_xlfn.IFNA(INDEX(Table14[Ávöxtun],MATCH(1,(BZ$2=Table14[Column1])*($X48=Table14[Year]),0)),"")</f>
        <v/>
      </c>
      <c r="CA48" s="28" t="str" cm="1">
        <f t="array" ref="CA48">_xlfn.IFNA(INDEX(Table14[Ávöxtun],MATCH(1,(CA$2=Table14[Column1])*($X48=Table14[Year]),0)),"")</f>
        <v/>
      </c>
      <c r="CB48" s="28" cm="1">
        <f t="array" ref="CB48">_xlfn.IFNA(INDEX(Table14[Ávöxtun],MATCH(1,(CB$2=Table14[Column1])*($X48=Table14[Year]),0)),"")</f>
        <v>4.2000000000000003E-2</v>
      </c>
      <c r="CC48" s="28" t="str" cm="1">
        <f t="array" ref="CC48">_xlfn.IFNA(INDEX(Table14[Ávöxtun],MATCH(1,(CC$2=Table14[Column1])*($X48=Table14[Year]),0)),"")</f>
        <v/>
      </c>
      <c r="CD48" s="28" t="str" cm="1">
        <f t="array" ref="CD48">_xlfn.IFNA(INDEX(Table14[Ávöxtun],MATCH(1,(CD$2=Table14[Column1])*($X48=Table14[Year]),0)),"")</f>
        <v/>
      </c>
      <c r="CE48" s="28" cm="1">
        <f t="array" ref="CE48">_xlfn.IFNA(INDEX(Table14[Ávöxtun],MATCH(1,(CE$2=Table14[Column1])*($X48=Table14[Year]),0)),"")</f>
        <v>0.05</v>
      </c>
      <c r="CF48" s="28" cm="1">
        <f t="array" ref="CF48">_xlfn.IFNA(INDEX(Table14[Ávöxtun],MATCH(1,(CF$2=Table14[Column1])*($X48=Table14[Year]),0)),"")</f>
        <v>5.4000000000000006E-2</v>
      </c>
      <c r="CG48" s="28" cm="1">
        <f t="array" ref="CG48">_xlfn.IFNA(INDEX(Table14[Ávöxtun],MATCH(1,(CG$2=Table14[Column1])*($X48=Table14[Year]),0)),"")</f>
        <v>4.2999999999999997E-2</v>
      </c>
      <c r="CH48" s="28" cm="1">
        <f t="array" ref="CH48">_xlfn.IFNA(INDEX(Table14[Ávöxtun],MATCH(1,(CH$2=Table14[Column1])*($X48=Table14[Year]),0)),"")</f>
        <v>4.0999999999999995E-2</v>
      </c>
      <c r="CI48" s="28" cm="1">
        <f t="array" ref="CI48">_xlfn.IFNA(INDEX(Table14[Ávöxtun],MATCH(1,(CI$2=Table14[Column1])*($X48=Table14[Year]),0)),"")</f>
        <v>0.184</v>
      </c>
      <c r="CJ48" s="28" cm="1">
        <f t="array" ref="CJ48">_xlfn.IFNA(INDEX(Table14[Ávöxtun],MATCH(1,(CJ$2=Table14[Column1])*($X48=Table14[Year]),0)),"")</f>
        <v>0.14599999999999999</v>
      </c>
      <c r="CK48" s="28" t="str" cm="1">
        <f t="array" ref="CK48">_xlfn.IFNA(INDEX(Table14[Ávöxtun],MATCH(1,(CK$2=Table14[Column1])*($X48=Table14[Year]),0)),"")</f>
        <v/>
      </c>
      <c r="CL48" s="28" t="str" cm="1">
        <f t="array" ref="CL48">_xlfn.IFNA(INDEX(Table14[Ávöxtun],MATCH(1,(CL$2=Table14[Column1])*($X48=Table14[Year]),0)),"")</f>
        <v/>
      </c>
      <c r="CM48" s="28" t="str" cm="1">
        <f t="array" ref="CM48">_xlfn.IFNA(INDEX(Table14[Ávöxtun],MATCH(1,(CM$2=Table14[Column1])*($X48=Table14[Year]),0)),"")</f>
        <v/>
      </c>
      <c r="CN48" s="28" cm="1">
        <f t="array" ref="CN48">_xlfn.IFNA(INDEX(Table14[Ávöxtun],MATCH(1,(CN$2=Table14[Column1])*($X48=Table14[Year]),0)),"")</f>
        <v>4.8000000000000001E-2</v>
      </c>
      <c r="CO48" s="28" t="str" cm="1">
        <f t="array" ref="CO48">_xlfn.IFNA(INDEX(Table14[Ávöxtun],MATCH(1,(CO$2=Table14[Column1])*($X48=Table14[Year]),0)),"")</f>
        <v/>
      </c>
      <c r="CP48" s="28" t="str" cm="1">
        <f t="array" ref="CP48">_xlfn.IFNA(INDEX(Table14[Ávöxtun],MATCH(1,(CP$2=Table14[Column1])*($X48=Table14[Year]),0)),"")</f>
        <v/>
      </c>
      <c r="CQ48" s="28" t="str" cm="1">
        <f t="array" ref="CQ48">_xlfn.IFNA(INDEX(Table14[Ávöxtun],MATCH(1,(CQ$2=Table14[Column1])*($X48=Table14[Year]),0)),"")</f>
        <v/>
      </c>
      <c r="CR48" s="28" cm="1">
        <f t="array" ref="CR48">_xlfn.IFNA(INDEX(Table14[Ávöxtun],MATCH(1,(CR$2=Table14[Column1])*($X48=Table14[Year]),0)),"")</f>
        <v>8.6999999999999994E-2</v>
      </c>
      <c r="CS48" s="28" cm="1">
        <f t="array" ref="CS48">_xlfn.IFNA(INDEX(Table14[Ávöxtun],MATCH(1,(CS$2=Table14[Column1])*($X48=Table14[Year]),0)),"")</f>
        <v>7.8E-2</v>
      </c>
      <c r="CT48" s="28" cm="1">
        <f t="array" ref="CT48">_xlfn.IFNA(INDEX(Table14[Ávöxtun],MATCH(1,(CT$2=Table14[Column1])*($X48=Table14[Year]),0)),"")</f>
        <v>7.4999999999999997E-2</v>
      </c>
      <c r="CU48" s="28" t="str" cm="1">
        <f t="array" ref="CU48">_xlfn.IFNA(INDEX(Table14[Ávöxtun],MATCH(1,(CU$2=Table14[Column1])*($X48=Table14[Year]),0)),"")</f>
        <v/>
      </c>
      <c r="CV48" s="28" t="str" cm="1">
        <f t="array" ref="CV48">_xlfn.IFNA(INDEX(Table14[Ávöxtun],MATCH(1,(CV$2=Table14[Column1])*($X48=Table14[Year]),0)),"")</f>
        <v/>
      </c>
      <c r="CW48" s="28" t="str" cm="1">
        <f t="array" ref="CW48">_xlfn.IFNA(INDEX(Table14[Ávöxtun],MATCH(1,(CW$2=Table14[Column1])*($X48=Table14[Year]),0)),"")</f>
        <v/>
      </c>
      <c r="CX48" s="28" t="str" cm="1">
        <f t="array" ref="CX48">_xlfn.IFNA(INDEX(Table14[Ávöxtun],MATCH(1,(CX$2=Table14[Column1])*($X48=Table14[Year]),0)),"")</f>
        <v/>
      </c>
      <c r="CY48" s="28" cm="1">
        <f t="array" ref="CY48">_xlfn.IFNA(INDEX(Table14[Ávöxtun],MATCH(1,(CY$2=Table14[Column1])*($X48=Table14[Year]),0)),"")</f>
        <v>6.3E-2</v>
      </c>
      <c r="CZ48" s="28" cm="1">
        <f t="array" ref="CZ48">_xlfn.IFNA(INDEX(Table14[Ávöxtun],MATCH(1,(CZ$2=Table14[Column1])*($X48=Table14[Year]),0)),"")</f>
        <v>6.3E-2</v>
      </c>
      <c r="DA48" s="28" t="str" cm="1">
        <f t="array" ref="DA48">_xlfn.IFNA(INDEX(Table14[Ávöxtun],MATCH(1,(DA$2=Table14[Column1])*($X48=Table14[Year]),0)),"")</f>
        <v/>
      </c>
      <c r="DB48" s="28" t="str" cm="1">
        <f t="array" ref="DB48">_xlfn.IFNA(INDEX(Table14[Ávöxtun],MATCH(1,(DB$2=Table14[Column1])*($X48=Table14[Year]),0)),"")</f>
        <v/>
      </c>
      <c r="DC48" s="28" cm="1">
        <f t="array" ref="DC48">_xlfn.IFNA(INDEX(Table14[Ávöxtun],MATCH(1,(DC$2=Table14[Column1])*($X48=Table14[Year]),0)),"")</f>
        <v>6.7000000000000004E-2</v>
      </c>
      <c r="DD48" s="28" cm="1">
        <f t="array" ref="DD48">_xlfn.IFNA(INDEX(Table14[Ávöxtun],MATCH(1,(DD$2=Table14[Column1])*($X48=Table14[Year]),0)),"")</f>
        <v>7.400000000000001E-2</v>
      </c>
      <c r="DE48" s="28" cm="1">
        <f t="array" ref="DE48">_xlfn.IFNA(INDEX(Table14[Ávöxtun],MATCH(1,(DE$2=Table14[Column1])*($X48=Table14[Year]),0)),"")</f>
        <v>6.2000000000000006E-2</v>
      </c>
      <c r="DF48" s="28" t="str" cm="1">
        <f t="array" ref="DF48">_xlfn.IFNA(INDEX(Table14[Ávöxtun],MATCH(1,(DF$2=Table14[Column1])*($X48=Table14[Year]),0)),"")</f>
        <v/>
      </c>
    </row>
    <row r="49" spans="1:110">
      <c r="A49" t="s">
        <v>61</v>
      </c>
      <c r="B49">
        <v>2008</v>
      </c>
      <c r="C49" s="16">
        <v>-0.10310000000000001</v>
      </c>
      <c r="D49" s="1">
        <v>751473</v>
      </c>
      <c r="E49" s="29">
        <f>Table14[[#This Row],[Ávöxtun]]*Table14[[#This Row],[Eignir]]/SUMIFS(Table14[Eignir],Table14[Year],Table14[[#This Row],[Year]])</f>
        <v>-5.174376543318722E-5</v>
      </c>
      <c r="F49" s="23">
        <f>IF(B49=1997, 100, IF(COUNTIF(A$1:A48,A49)=0, "NEW", F48*(1+Table14[[#This Row],[Ávöxtun]])))</f>
        <v>137.27395380566259</v>
      </c>
      <c r="G49" s="18" cm="1">
        <f t="array" ref="G49">IFERROR(_xlfn.IFS(ISNUMBER(Table14[[#This Row],[Column3]]),Table14[[#This Row],[Column3]],Table14[[#This Row],[Column3]]="NEW",Table14[[#This Row],[Column3]]),"")</f>
        <v>137.27395380566259</v>
      </c>
      <c r="H49" s="15" cm="1">
        <f t="array" ref="H49">_xlfn.IFS(Table14[[#This Row],[Column4]]="NEW",AVERAGEIFS(Table14[Column4],Table14[Year],Table14[[#This Row],[Year]]),ISNUMBER(Table14[[#This Row],[Column4]]),Table14[[#This Row],[Column4]],Table14[[#This Row],[Column4]]="",H48*(1+Table14[[#This Row],[Ávöxtun]]))</f>
        <v>137.27395380566259</v>
      </c>
      <c r="I49" cm="1">
        <f t="array" ref="I49">_xlfn.IFS(Table14[[#This Row],[Column4]]="NEW",_xlfn.XLOOKUP(Table14[[#This Row],[Year]],$M$2:$M$27,$O$2:$O$27),ISNUMBER(Table14[[#This Row],[Column4]]),Table14[[#This Row],[Column4]],Table14[[#This Row],[Column4]]="",I48*(1+Table14[[#This Row],[Ávöxtun]]))</f>
        <v>137.27395380566259</v>
      </c>
      <c r="L49" s="33">
        <v>137.27395380566259</v>
      </c>
      <c r="X49">
        <v>2015</v>
      </c>
      <c r="Y49" s="28">
        <f t="shared" si="2"/>
        <v>0.10025072126171808</v>
      </c>
      <c r="Z49" s="28" cm="1">
        <f t="array" ref="Z49">_xlfn.IFNA(INDEX(Table14[Ávöxtun],MATCH(1,(Z$2=Table14[Column1])*($X49=Table14[Year]),0)),"")</f>
        <v>6.5000000000000002E-2</v>
      </c>
      <c r="AA49" s="28" t="str" cm="1">
        <f t="array" ref="AA49">_xlfn.IFNA(INDEX(Table14[Ávöxtun],MATCH(1,(AA$2=Table14[Column1])*($X49=Table14[Year]),0)),"")</f>
        <v/>
      </c>
      <c r="AB49" s="28" t="str" cm="1">
        <f t="array" ref="AB49">_xlfn.IFNA(INDEX(Table14[Ávöxtun],MATCH(1,(AB$2=Table14[Column1])*($X49=Table14[Year]),0)),"")</f>
        <v/>
      </c>
      <c r="AC49" s="28" t="str" cm="1">
        <f t="array" ref="AC49">_xlfn.IFNA(INDEX(Table14[Ávöxtun],MATCH(1,(AC$2=Table14[Column1])*($X49=Table14[Year]),0)),"")</f>
        <v/>
      </c>
      <c r="AD49" s="28" t="str" cm="1">
        <f t="array" ref="AD49">_xlfn.IFNA(INDEX(Table14[Ávöxtun],MATCH(1,(AD$2=Table14[Column1])*($X49=Table14[Year]),0)),"")</f>
        <v/>
      </c>
      <c r="AE49" s="28" t="str" cm="1">
        <f t="array" ref="AE49">_xlfn.IFNA(INDEX(Table14[Ávöxtun],MATCH(1,(AE$2=Table14[Column1])*($X49=Table14[Year]),0)),"")</f>
        <v/>
      </c>
      <c r="AF49" s="28" t="str" cm="1">
        <f t="array" ref="AF49">_xlfn.IFNA(INDEX(Table14[Ávöxtun],MATCH(1,(AF$2=Table14[Column1])*($X49=Table14[Year]),0)),"")</f>
        <v/>
      </c>
      <c r="AG49" s="28" t="str" cm="1">
        <f t="array" ref="AG49">_xlfn.IFNA(INDEX(Table14[Ávöxtun],MATCH(1,(AG$2=Table14[Column1])*($X49=Table14[Year]),0)),"")</f>
        <v/>
      </c>
      <c r="AH49" s="28" t="str" cm="1">
        <f t="array" ref="AH49">_xlfn.IFNA(INDEX(Table14[Ávöxtun],MATCH(1,(AH$2=Table14[Column1])*($X49=Table14[Year]),0)),"")</f>
        <v/>
      </c>
      <c r="AI49" s="28" t="str" cm="1">
        <f t="array" ref="AI49">_xlfn.IFNA(INDEX(Table14[Ávöxtun],MATCH(1,(AI$2=Table14[Column1])*($X49=Table14[Year]),0)),"")</f>
        <v/>
      </c>
      <c r="AJ49" s="28" t="str" cm="1">
        <f t="array" ref="AJ49">_xlfn.IFNA(INDEX(Table14[Ávöxtun],MATCH(1,(AJ$2=Table14[Column1])*($X49=Table14[Year]),0)),"")</f>
        <v/>
      </c>
      <c r="AK49" s="28" t="str" cm="1">
        <f t="array" ref="AK49">_xlfn.IFNA(INDEX(Table14[Ávöxtun],MATCH(1,(AK$2=Table14[Column1])*($X49=Table14[Year]),0)),"")</f>
        <v/>
      </c>
      <c r="AL49" s="28" cm="1">
        <f t="array" ref="AL49">_xlfn.IFNA(INDEX(Table14[Ávöxtun],MATCH(1,(AL$2=Table14[Column1])*($X49=Table14[Year]),0)),"")</f>
        <v>0.125</v>
      </c>
      <c r="AM49" s="28" cm="1">
        <f t="array" ref="AM49">_xlfn.IFNA(INDEX(Table14[Ávöxtun],MATCH(1,(AM$2=Table14[Column1])*($X49=Table14[Year]),0)),"")</f>
        <v>9.9000000000000005E-2</v>
      </c>
      <c r="AN49" s="28" t="str" cm="1">
        <f t="array" ref="AN49">_xlfn.IFNA(INDEX(Table14[Ávöxtun],MATCH(1,(AN$2=Table14[Column1])*($X49=Table14[Year]),0)),"")</f>
        <v/>
      </c>
      <c r="AO49" s="28" cm="1">
        <f t="array" ref="AO49">_xlfn.IFNA(INDEX(Table14[Ávöxtun],MATCH(1,(AO$2=Table14[Column1])*($X49=Table14[Year]),0)),"")</f>
        <v>-0.34899999999999998</v>
      </c>
      <c r="AP49" s="28" cm="1">
        <f t="array" ref="AP49">_xlfn.IFNA(INDEX(Table14[Ávöxtun],MATCH(1,(AP$2=Table14[Column1])*($X49=Table14[Year]),0)),"")</f>
        <v>8.199999999999999E-2</v>
      </c>
      <c r="AQ49" s="28" cm="1">
        <f t="array" ref="AQ49">_xlfn.IFNA(INDEX(Table14[Ávöxtun],MATCH(1,(AQ$2=Table14[Column1])*($X49=Table14[Year]),0)),"")</f>
        <v>8.4000000000000005E-2</v>
      </c>
      <c r="AR49" s="28" cm="1">
        <f t="array" ref="AR49">_xlfn.IFNA(INDEX(Table14[Ávöxtun],MATCH(1,(AR$2=Table14[Column1])*($X49=Table14[Year]),0)),"")</f>
        <v>7.6999999999999999E-2</v>
      </c>
      <c r="AS49" s="28" t="str" cm="1">
        <f t="array" ref="AS49">_xlfn.IFNA(INDEX(Table14[Ávöxtun],MATCH(1,(AS$2=Table14[Column1])*($X49=Table14[Year]),0)),"")</f>
        <v/>
      </c>
      <c r="AT49" s="28" cm="1">
        <f t="array" ref="AT49">_xlfn.IFNA(INDEX(Table14[Ávöxtun],MATCH(1,(AT$2=Table14[Column1])*($X49=Table14[Year]),0)),"")</f>
        <v>0.11599999999999999</v>
      </c>
      <c r="AU49" s="28" t="str" cm="1">
        <f t="array" ref="AU49">_xlfn.IFNA(INDEX(Table14[Ávöxtun],MATCH(1,(AU$2=Table14[Column1])*($X49=Table14[Year]),0)),"")</f>
        <v/>
      </c>
      <c r="AV49" s="28" t="str" cm="1">
        <f t="array" ref="AV49">_xlfn.IFNA(INDEX(Table14[Ávöxtun],MATCH(1,(AV$2=Table14[Column1])*($X49=Table14[Year]),0)),"")</f>
        <v/>
      </c>
      <c r="AW49" s="28" t="str" cm="1">
        <f t="array" ref="AW49">_xlfn.IFNA(INDEX(Table14[Ávöxtun],MATCH(1,(AW$2=Table14[Column1])*($X49=Table14[Year]),0)),"")</f>
        <v/>
      </c>
      <c r="AX49" s="28" t="str" cm="1">
        <f t="array" ref="AX49">_xlfn.IFNA(INDEX(Table14[Ávöxtun],MATCH(1,(AX$2=Table14[Column1])*($X49=Table14[Year]),0)),"")</f>
        <v/>
      </c>
      <c r="AY49" s="28" t="str" cm="1">
        <f t="array" ref="AY49">_xlfn.IFNA(INDEX(Table14[Ávöxtun],MATCH(1,(AY$2=Table14[Column1])*($X49=Table14[Year]),0)),"")</f>
        <v/>
      </c>
      <c r="AZ49" s="28" t="str" cm="1">
        <f t="array" ref="AZ49">_xlfn.IFNA(INDEX(Table14[Ávöxtun],MATCH(1,(AZ$2=Table14[Column1])*($X49=Table14[Year]),0)),"")</f>
        <v/>
      </c>
      <c r="BA49" s="28" t="str" cm="1">
        <f t="array" ref="BA49">_xlfn.IFNA(INDEX(Table14[Ávöxtun],MATCH(1,(BA$2=Table14[Column1])*($X49=Table14[Year]),0)),"")</f>
        <v/>
      </c>
      <c r="BB49" s="28" t="str" cm="1">
        <f t="array" ref="BB49">_xlfn.IFNA(INDEX(Table14[Ávöxtun],MATCH(1,(BB$2=Table14[Column1])*($X49=Table14[Year]),0)),"")</f>
        <v/>
      </c>
      <c r="BC49" s="28" t="str" cm="1">
        <f t="array" ref="BC49">_xlfn.IFNA(INDEX(Table14[Ávöxtun],MATCH(1,(BC$2=Table14[Column1])*($X49=Table14[Year]),0)),"")</f>
        <v/>
      </c>
      <c r="BD49" s="28" t="str" cm="1">
        <f t="array" ref="BD49">_xlfn.IFNA(INDEX(Table14[Ávöxtun],MATCH(1,(BD$2=Table14[Column1])*($X49=Table14[Year]),0)),"")</f>
        <v/>
      </c>
      <c r="BE49" s="28" t="str" cm="1">
        <f t="array" ref="BE49">_xlfn.IFNA(INDEX(Table14[Ávöxtun],MATCH(1,(BE$2=Table14[Column1])*($X49=Table14[Year]),0)),"")</f>
        <v/>
      </c>
      <c r="BF49" s="28" t="str" cm="1">
        <f t="array" ref="BF49">_xlfn.IFNA(INDEX(Table14[Ávöxtun],MATCH(1,(BF$2=Table14[Column1])*($X49=Table14[Year]),0)),"")</f>
        <v/>
      </c>
      <c r="BG49" s="28" t="str" cm="1">
        <f t="array" ref="BG49">_xlfn.IFNA(INDEX(Table14[Ávöxtun],MATCH(1,(BG$2=Table14[Column1])*($X49=Table14[Year]),0)),"")</f>
        <v/>
      </c>
      <c r="BH49" s="28" t="str" cm="1">
        <f t="array" ref="BH49">_xlfn.IFNA(INDEX(Table14[Ávöxtun],MATCH(1,(BH$2=Table14[Column1])*($X49=Table14[Year]),0)),"")</f>
        <v/>
      </c>
      <c r="BI49" s="28" t="str" cm="1">
        <f t="array" ref="BI49">_xlfn.IFNA(INDEX(Table14[Ávöxtun],MATCH(1,(BI$2=Table14[Column1])*($X49=Table14[Year]),0)),"")</f>
        <v/>
      </c>
      <c r="BJ49" s="28" t="str" cm="1">
        <f t="array" ref="BJ49">_xlfn.IFNA(INDEX(Table14[Ávöxtun],MATCH(1,(BJ$2=Table14[Column1])*($X49=Table14[Year]),0)),"")</f>
        <v/>
      </c>
      <c r="BK49" s="28" t="str" cm="1">
        <f t="array" ref="BK49">_xlfn.IFNA(INDEX(Table14[Ávöxtun],MATCH(1,(BK$2=Table14[Column1])*($X49=Table14[Year]),0)),"")</f>
        <v/>
      </c>
      <c r="BL49" s="28" t="str" cm="1">
        <f t="array" ref="BL49">_xlfn.IFNA(INDEX(Table14[Ávöxtun],MATCH(1,(BL$2=Table14[Column1])*($X49=Table14[Year]),0)),"")</f>
        <v/>
      </c>
      <c r="BM49" s="28" t="str" cm="1">
        <f t="array" ref="BM49">_xlfn.IFNA(INDEX(Table14[Ávöxtun],MATCH(1,(BM$2=Table14[Column1])*($X49=Table14[Year]),0)),"")</f>
        <v/>
      </c>
      <c r="BN49" s="28" t="str" cm="1">
        <f t="array" ref="BN49">_xlfn.IFNA(INDEX(Table14[Ávöxtun],MATCH(1,(BN$2=Table14[Column1])*($X49=Table14[Year]),0)),"")</f>
        <v/>
      </c>
      <c r="BO49" s="28" t="str" cm="1">
        <f t="array" ref="BO49">_xlfn.IFNA(INDEX(Table14[Ávöxtun],MATCH(1,(BO$2=Table14[Column1])*($X49=Table14[Year]),0)),"")</f>
        <v/>
      </c>
      <c r="BP49" s="28" t="str" cm="1">
        <f t="array" ref="BP49">_xlfn.IFNA(INDEX(Table14[Ávöxtun],MATCH(1,(BP$2=Table14[Column1])*($X49=Table14[Year]),0)),"")</f>
        <v/>
      </c>
      <c r="BQ49" s="28" cm="1">
        <f t="array" ref="BQ49">_xlfn.IFNA(INDEX(Table14[Ávöxtun],MATCH(1,(BQ$2=Table14[Column1])*($X49=Table14[Year]),0)),"")</f>
        <v>8.1000000000000003E-2</v>
      </c>
      <c r="BR49" s="28" cm="1">
        <f t="array" ref="BR49">_xlfn.IFNA(INDEX(Table14[Ávöxtun],MATCH(1,(BR$2=Table14[Column1])*($X49=Table14[Year]),0)),"")</f>
        <v>0.127</v>
      </c>
      <c r="BS49" s="28" t="str" cm="1">
        <f t="array" ref="BS49">_xlfn.IFNA(INDEX(Table14[Ávöxtun],MATCH(1,(BS$2=Table14[Column1])*($X49=Table14[Year]),0)),"")</f>
        <v/>
      </c>
      <c r="BT49" s="28" t="str" cm="1">
        <f t="array" ref="BT49">_xlfn.IFNA(INDEX(Table14[Ávöxtun],MATCH(1,(BT$2=Table14[Column1])*($X49=Table14[Year]),0)),"")</f>
        <v/>
      </c>
      <c r="BU49" s="28" t="str" cm="1">
        <f t="array" ref="BU49">_xlfn.IFNA(INDEX(Table14[Ávöxtun],MATCH(1,(BU$2=Table14[Column1])*($X49=Table14[Year]),0)),"")</f>
        <v/>
      </c>
      <c r="BV49" s="28" cm="1">
        <f t="array" ref="BV49">_xlfn.IFNA(INDEX(Table14[Ávöxtun],MATCH(1,(BV$2=Table14[Column1])*($X49=Table14[Year]),0)),"")</f>
        <v>5.0999999999999997E-2</v>
      </c>
      <c r="BW49" s="28" t="str" cm="1">
        <f t="array" ref="BW49">_xlfn.IFNA(INDEX(Table14[Ávöxtun],MATCH(1,(BW$2=Table14[Column1])*($X49=Table14[Year]),0)),"")</f>
        <v/>
      </c>
      <c r="BX49" s="28" t="str" cm="1">
        <f t="array" ref="BX49">_xlfn.IFNA(INDEX(Table14[Ávöxtun],MATCH(1,(BX$2=Table14[Column1])*($X49=Table14[Year]),0)),"")</f>
        <v/>
      </c>
      <c r="BY49" s="28" t="str" cm="1">
        <f t="array" ref="BY49">_xlfn.IFNA(INDEX(Table14[Ávöxtun],MATCH(1,(BY$2=Table14[Column1])*($X49=Table14[Year]),0)),"")</f>
        <v/>
      </c>
      <c r="BZ49" s="28" t="str" cm="1">
        <f t="array" ref="BZ49">_xlfn.IFNA(INDEX(Table14[Ávöxtun],MATCH(1,(BZ$2=Table14[Column1])*($X49=Table14[Year]),0)),"")</f>
        <v/>
      </c>
      <c r="CA49" s="28" t="str" cm="1">
        <f t="array" ref="CA49">_xlfn.IFNA(INDEX(Table14[Ávöxtun],MATCH(1,(CA$2=Table14[Column1])*($X49=Table14[Year]),0)),"")</f>
        <v/>
      </c>
      <c r="CB49" s="28" cm="1">
        <f t="array" ref="CB49">_xlfn.IFNA(INDEX(Table14[Ávöxtun],MATCH(1,(CB$2=Table14[Column1])*($X49=Table14[Year]),0)),"")</f>
        <v>6.7000000000000004E-2</v>
      </c>
      <c r="CC49" s="28" t="str" cm="1">
        <f t="array" ref="CC49">_xlfn.IFNA(INDEX(Table14[Ávöxtun],MATCH(1,(CC$2=Table14[Column1])*($X49=Table14[Year]),0)),"")</f>
        <v/>
      </c>
      <c r="CD49" s="28" t="str" cm="1">
        <f t="array" ref="CD49">_xlfn.IFNA(INDEX(Table14[Ávöxtun],MATCH(1,(CD$2=Table14[Column1])*($X49=Table14[Year]),0)),"")</f>
        <v/>
      </c>
      <c r="CE49" s="28" cm="1">
        <f t="array" ref="CE49">_xlfn.IFNA(INDEX(Table14[Ávöxtun],MATCH(1,(CE$2=Table14[Column1])*($X49=Table14[Year]),0)),"")</f>
        <v>0.09</v>
      </c>
      <c r="CF49" s="28" cm="1">
        <f t="array" ref="CF49">_xlfn.IFNA(INDEX(Table14[Ávöxtun],MATCH(1,(CF$2=Table14[Column1])*($X49=Table14[Year]),0)),"")</f>
        <v>9.9000000000000005E-2</v>
      </c>
      <c r="CG49" s="28" cm="1">
        <f t="array" ref="CG49">_xlfn.IFNA(INDEX(Table14[Ávöxtun],MATCH(1,(CG$2=Table14[Column1])*($X49=Table14[Year]),0)),"")</f>
        <v>5.9000000000000004E-2</v>
      </c>
      <c r="CH49" s="28" cm="1">
        <f t="array" ref="CH49">_xlfn.IFNA(INDEX(Table14[Ávöxtun],MATCH(1,(CH$2=Table14[Column1])*($X49=Table14[Year]),0)),"")</f>
        <v>6.3E-2</v>
      </c>
      <c r="CI49" s="28" cm="1">
        <f t="array" ref="CI49">_xlfn.IFNA(INDEX(Table14[Ávöxtun],MATCH(1,(CI$2=Table14[Column1])*($X49=Table14[Year]),0)),"")</f>
        <v>0.126</v>
      </c>
      <c r="CJ49" s="28" cm="1">
        <f t="array" ref="CJ49">_xlfn.IFNA(INDEX(Table14[Ávöxtun],MATCH(1,(CJ$2=Table14[Column1])*($X49=Table14[Year]),0)),"")</f>
        <v>0.25</v>
      </c>
      <c r="CK49" s="28" t="str" cm="1">
        <f t="array" ref="CK49">_xlfn.IFNA(INDEX(Table14[Ávöxtun],MATCH(1,(CK$2=Table14[Column1])*($X49=Table14[Year]),0)),"")</f>
        <v/>
      </c>
      <c r="CL49" s="28" t="str" cm="1">
        <f t="array" ref="CL49">_xlfn.IFNA(INDEX(Table14[Ávöxtun],MATCH(1,(CL$2=Table14[Column1])*($X49=Table14[Year]),0)),"")</f>
        <v/>
      </c>
      <c r="CM49" s="28" t="str" cm="1">
        <f t="array" ref="CM49">_xlfn.IFNA(INDEX(Table14[Ávöxtun],MATCH(1,(CM$2=Table14[Column1])*($X49=Table14[Year]),0)),"")</f>
        <v/>
      </c>
      <c r="CN49" s="28" cm="1">
        <f t="array" ref="CN49">_xlfn.IFNA(INDEX(Table14[Ávöxtun],MATCH(1,(CN$2=Table14[Column1])*($X49=Table14[Year]),0)),"")</f>
        <v>0.109</v>
      </c>
      <c r="CO49" s="28" t="str" cm="1">
        <f t="array" ref="CO49">_xlfn.IFNA(INDEX(Table14[Ávöxtun],MATCH(1,(CO$2=Table14[Column1])*($X49=Table14[Year]),0)),"")</f>
        <v/>
      </c>
      <c r="CP49" s="28" t="str" cm="1">
        <f t="array" ref="CP49">_xlfn.IFNA(INDEX(Table14[Ávöxtun],MATCH(1,(CP$2=Table14[Column1])*($X49=Table14[Year]),0)),"")</f>
        <v/>
      </c>
      <c r="CQ49" s="28" t="str" cm="1">
        <f t="array" ref="CQ49">_xlfn.IFNA(INDEX(Table14[Ávöxtun],MATCH(1,(CQ$2=Table14[Column1])*($X49=Table14[Year]),0)),"")</f>
        <v/>
      </c>
      <c r="CR49" s="28" cm="1">
        <f t="array" ref="CR49">_xlfn.IFNA(INDEX(Table14[Ávöxtun],MATCH(1,(CR$2=Table14[Column1])*($X49=Table14[Year]),0)),"")</f>
        <v>0.10199999999999999</v>
      </c>
      <c r="CS49" s="28" t="str" cm="1">
        <f t="array" ref="CS49">_xlfn.IFNA(INDEX(Table14[Ávöxtun],MATCH(1,(CS$2=Table14[Column1])*($X49=Table14[Year]),0)),"")</f>
        <v/>
      </c>
      <c r="CT49" s="28" cm="1">
        <f t="array" ref="CT49">_xlfn.IFNA(INDEX(Table14[Ávöxtun],MATCH(1,(CT$2=Table14[Column1])*($X49=Table14[Year]),0)),"")</f>
        <v>7.9000000000000001E-2</v>
      </c>
      <c r="CU49" s="28" t="str" cm="1">
        <f t="array" ref="CU49">_xlfn.IFNA(INDEX(Table14[Ávöxtun],MATCH(1,(CU$2=Table14[Column1])*($X49=Table14[Year]),0)),"")</f>
        <v/>
      </c>
      <c r="CV49" s="28" t="str" cm="1">
        <f t="array" ref="CV49">_xlfn.IFNA(INDEX(Table14[Ávöxtun],MATCH(1,(CV$2=Table14[Column1])*($X49=Table14[Year]),0)),"")</f>
        <v/>
      </c>
      <c r="CW49" s="28" t="str" cm="1">
        <f t="array" ref="CW49">_xlfn.IFNA(INDEX(Table14[Ávöxtun],MATCH(1,(CW$2=Table14[Column1])*($X49=Table14[Year]),0)),"")</f>
        <v/>
      </c>
      <c r="CX49" s="28" t="str" cm="1">
        <f t="array" ref="CX49">_xlfn.IFNA(INDEX(Table14[Ávöxtun],MATCH(1,(CX$2=Table14[Column1])*($X49=Table14[Year]),0)),"")</f>
        <v/>
      </c>
      <c r="CY49" s="28" cm="1">
        <f t="array" ref="CY49">_xlfn.IFNA(INDEX(Table14[Ávöxtun],MATCH(1,(CY$2=Table14[Column1])*($X49=Table14[Year]),0)),"")</f>
        <v>0.08</v>
      </c>
      <c r="CZ49" s="28" cm="1">
        <f t="array" ref="CZ49">_xlfn.IFNA(INDEX(Table14[Ávöxtun],MATCH(1,(CZ$2=Table14[Column1])*($X49=Table14[Year]),0)),"")</f>
        <v>7.0999999999999994E-2</v>
      </c>
      <c r="DA49" s="28" t="str" cm="1">
        <f t="array" ref="DA49">_xlfn.IFNA(INDEX(Table14[Ávöxtun],MATCH(1,(DA$2=Table14[Column1])*($X49=Table14[Year]),0)),"")</f>
        <v/>
      </c>
      <c r="DB49" s="28" t="str" cm="1">
        <f t="array" ref="DB49">_xlfn.IFNA(INDEX(Table14[Ávöxtun],MATCH(1,(DB$2=Table14[Column1])*($X49=Table14[Year]),0)),"")</f>
        <v/>
      </c>
      <c r="DC49" s="28" cm="1">
        <f t="array" ref="DC49">_xlfn.IFNA(INDEX(Table14[Ávöxtun],MATCH(1,(DC$2=Table14[Column1])*($X49=Table14[Year]),0)),"")</f>
        <v>6.3E-2</v>
      </c>
      <c r="DD49" s="28" cm="1">
        <f t="array" ref="DD49">_xlfn.IFNA(INDEX(Table14[Ávöxtun],MATCH(1,(DD$2=Table14[Column1])*($X49=Table14[Year]),0)),"")</f>
        <v>9.6999999999999989E-2</v>
      </c>
      <c r="DE49" s="28" cm="1">
        <f t="array" ref="DE49">_xlfn.IFNA(INDEX(Table14[Ávöxtun],MATCH(1,(DE$2=Table14[Column1])*($X49=Table14[Year]),0)),"")</f>
        <v>9.1799999999999993E-2</v>
      </c>
      <c r="DF49" s="28" t="str" cm="1">
        <f t="array" ref="DF49">_xlfn.IFNA(INDEX(Table14[Ávöxtun],MATCH(1,(DF$2=Table14[Column1])*($X49=Table14[Year]),0)),"")</f>
        <v/>
      </c>
    </row>
    <row r="50" spans="1:110">
      <c r="A50" t="s">
        <v>61</v>
      </c>
      <c r="B50">
        <v>2009</v>
      </c>
      <c r="C50" s="16">
        <v>5.1799999999999999E-2</v>
      </c>
      <c r="D50" s="1">
        <v>808225</v>
      </c>
      <c r="E50" s="29">
        <f>Table14[[#This Row],[Ávöxtun]]*Table14[[#This Row],[Eignir]]/SUMIFS(Table14[Eignir],Table14[Year],Table14[[#This Row],[Year]])</f>
        <v>2.5095666282341904E-5</v>
      </c>
      <c r="F50" s="23">
        <f>IF(B50=1997, 100, IF(COUNTIF(A$1:A49,A50)=0, "NEW", F49*(1+Table14[[#This Row],[Ávöxtun]])))</f>
        <v>144.38474461279591</v>
      </c>
      <c r="G50" s="18" cm="1">
        <f t="array" ref="G50">IFERROR(_xlfn.IFS(ISNUMBER(Table14[[#This Row],[Column3]]),Table14[[#This Row],[Column3]],Table14[[#This Row],[Column3]]="NEW",Table14[[#This Row],[Column3]]),"")</f>
        <v>144.38474461279591</v>
      </c>
      <c r="H50" s="15" cm="1">
        <f t="array" ref="H50">_xlfn.IFS(Table14[[#This Row],[Column4]]="NEW",AVERAGEIFS(Table14[Column4],Table14[Year],Table14[[#This Row],[Year]]),ISNUMBER(Table14[[#This Row],[Column4]]),Table14[[#This Row],[Column4]],Table14[[#This Row],[Column4]]="",H49*(1+Table14[[#This Row],[Ávöxtun]]))</f>
        <v>144.38474461279591</v>
      </c>
      <c r="I50" cm="1">
        <f t="array" ref="I50">_xlfn.IFS(Table14[[#This Row],[Column4]]="NEW",_xlfn.XLOOKUP(Table14[[#This Row],[Year]],$M$2:$M$27,$O$2:$O$27),ISNUMBER(Table14[[#This Row],[Column4]]),Table14[[#This Row],[Column4]],Table14[[#This Row],[Column4]]="",I49*(1+Table14[[#This Row],[Ávöxtun]]))</f>
        <v>144.38474461279591</v>
      </c>
      <c r="L50" s="33">
        <v>144.38474461279591</v>
      </c>
      <c r="X50">
        <v>2016</v>
      </c>
      <c r="Y50" s="28">
        <f t="shared" si="2"/>
        <v>-3.1990753254987903E-3</v>
      </c>
      <c r="Z50" s="28" cm="1">
        <f t="array" ref="Z50">_xlfn.IFNA(INDEX(Table14[Ávöxtun],MATCH(1,(Z$2=Table14[Column1])*($X50=Table14[Year]),0)),"")</f>
        <v>6.0000000000000001E-3</v>
      </c>
      <c r="AA50" s="28" t="str" cm="1">
        <f t="array" ref="AA50">_xlfn.IFNA(INDEX(Table14[Ávöxtun],MATCH(1,(AA$2=Table14[Column1])*($X50=Table14[Year]),0)),"")</f>
        <v/>
      </c>
      <c r="AB50" s="28" t="str" cm="1">
        <f t="array" ref="AB50">_xlfn.IFNA(INDEX(Table14[Ávöxtun],MATCH(1,(AB$2=Table14[Column1])*($X50=Table14[Year]),0)),"")</f>
        <v/>
      </c>
      <c r="AC50" s="28" t="str" cm="1">
        <f t="array" ref="AC50">_xlfn.IFNA(INDEX(Table14[Ávöxtun],MATCH(1,(AC$2=Table14[Column1])*($X50=Table14[Year]),0)),"")</f>
        <v/>
      </c>
      <c r="AD50" s="28" cm="1">
        <f t="array" ref="AD50">_xlfn.IFNA(INDEX(Table14[Ávöxtun],MATCH(1,(AD$2=Table14[Column1])*($X50=Table14[Year]),0)),"")</f>
        <v>-1.49E-2</v>
      </c>
      <c r="AE50" s="28" cm="1">
        <f t="array" ref="AE50">_xlfn.IFNA(INDEX(Table14[Ávöxtun],MATCH(1,(AE$2=Table14[Column1])*($X50=Table14[Year]),0)),"")</f>
        <v>0</v>
      </c>
      <c r="AF50" s="28" t="str" cm="1">
        <f t="array" ref="AF50">_xlfn.IFNA(INDEX(Table14[Ávöxtun],MATCH(1,(AF$2=Table14[Column1])*($X50=Table14[Year]),0)),"")</f>
        <v/>
      </c>
      <c r="AG50" s="28" t="str" cm="1">
        <f t="array" ref="AG50">_xlfn.IFNA(INDEX(Table14[Ávöxtun],MATCH(1,(AG$2=Table14[Column1])*($X50=Table14[Year]),0)),"")</f>
        <v/>
      </c>
      <c r="AH50" s="28" t="str" cm="1">
        <f t="array" ref="AH50">_xlfn.IFNA(INDEX(Table14[Ávöxtun],MATCH(1,(AH$2=Table14[Column1])*($X50=Table14[Year]),0)),"")</f>
        <v/>
      </c>
      <c r="AI50" s="28" t="str" cm="1">
        <f t="array" ref="AI50">_xlfn.IFNA(INDEX(Table14[Ávöxtun],MATCH(1,(AI$2=Table14[Column1])*($X50=Table14[Year]),0)),"")</f>
        <v/>
      </c>
      <c r="AJ50" s="28" t="str" cm="1">
        <f t="array" ref="AJ50">_xlfn.IFNA(INDEX(Table14[Ávöxtun],MATCH(1,(AJ$2=Table14[Column1])*($X50=Table14[Year]),0)),"")</f>
        <v/>
      </c>
      <c r="AK50" s="28" t="str" cm="1">
        <f t="array" ref="AK50">_xlfn.IFNA(INDEX(Table14[Ávöxtun],MATCH(1,(AK$2=Table14[Column1])*($X50=Table14[Year]),0)),"")</f>
        <v/>
      </c>
      <c r="AL50" s="28" cm="1">
        <f t="array" ref="AL50">_xlfn.IFNA(INDEX(Table14[Ávöxtun],MATCH(1,(AL$2=Table14[Column1])*($X50=Table14[Year]),0)),"")</f>
        <v>-1.8500000000000003E-2</v>
      </c>
      <c r="AM50" s="28" cm="1">
        <f t="array" ref="AM50">_xlfn.IFNA(INDEX(Table14[Ávöxtun],MATCH(1,(AM$2=Table14[Column1])*($X50=Table14[Year]),0)),"")</f>
        <v>-1.4999999999999999E-2</v>
      </c>
      <c r="AN50" s="28" t="str" cm="1">
        <f t="array" ref="AN50">_xlfn.IFNA(INDEX(Table14[Ávöxtun],MATCH(1,(AN$2=Table14[Column1])*($X50=Table14[Year]),0)),"")</f>
        <v/>
      </c>
      <c r="AO50" s="28" cm="1">
        <f t="array" ref="AO50">_xlfn.IFNA(INDEX(Table14[Ávöxtun],MATCH(1,(AO$2=Table14[Column1])*($X50=Table14[Year]),0)),"")</f>
        <v>-0.33200000000000002</v>
      </c>
      <c r="AP50" s="28" cm="1">
        <f t="array" ref="AP50">_xlfn.IFNA(INDEX(Table14[Ávöxtun],MATCH(1,(AP$2=Table14[Column1])*($X50=Table14[Year]),0)),"")</f>
        <v>5.3E-3</v>
      </c>
      <c r="AQ50" s="28" cm="1">
        <f t="array" ref="AQ50">_xlfn.IFNA(INDEX(Table14[Ávöxtun],MATCH(1,(AQ$2=Table14[Column1])*($X50=Table14[Year]),0)),"")</f>
        <v>-1E-3</v>
      </c>
      <c r="AR50" s="28" cm="1">
        <f t="array" ref="AR50">_xlfn.IFNA(INDEX(Table14[Ávöxtun],MATCH(1,(AR$2=Table14[Column1])*($X50=Table14[Year]),0)),"")</f>
        <v>-9.0000000000000011E-3</v>
      </c>
      <c r="AS50" s="28" t="str" cm="1">
        <f t="array" ref="AS50">_xlfn.IFNA(INDEX(Table14[Ávöxtun],MATCH(1,(AS$2=Table14[Column1])*($X50=Table14[Year]),0)),"")</f>
        <v/>
      </c>
      <c r="AT50" s="28" cm="1">
        <f t="array" ref="AT50">_xlfn.IFNA(INDEX(Table14[Ávöxtun],MATCH(1,(AT$2=Table14[Column1])*($X50=Table14[Year]),0)),"")</f>
        <v>1.26E-2</v>
      </c>
      <c r="AU50" s="28" t="str" cm="1">
        <f t="array" ref="AU50">_xlfn.IFNA(INDEX(Table14[Ávöxtun],MATCH(1,(AU$2=Table14[Column1])*($X50=Table14[Year]),0)),"")</f>
        <v/>
      </c>
      <c r="AV50" s="28"/>
      <c r="AW50" s="28" t="str" cm="1">
        <f t="array" ref="AW50">_xlfn.IFNA(INDEX(Table14[Ávöxtun],MATCH(1,(AW$2=Table14[Column1])*($X50=Table14[Year]),0)),"")</f>
        <v/>
      </c>
      <c r="AX50" s="28" t="str" cm="1">
        <f t="array" ref="AX50">_xlfn.IFNA(INDEX(Table14[Ávöxtun],MATCH(1,(AX$2=Table14[Column1])*($X50=Table14[Year]),0)),"")</f>
        <v/>
      </c>
      <c r="AY50" s="28" t="str" cm="1">
        <f t="array" ref="AY50">_xlfn.IFNA(INDEX(Table14[Ávöxtun],MATCH(1,(AY$2=Table14[Column1])*($X50=Table14[Year]),0)),"")</f>
        <v/>
      </c>
      <c r="AZ50" s="28" t="str" cm="1">
        <f t="array" ref="AZ50">_xlfn.IFNA(INDEX(Table14[Ávöxtun],MATCH(1,(AZ$2=Table14[Column1])*($X50=Table14[Year]),0)),"")</f>
        <v/>
      </c>
      <c r="BA50" s="28" t="str" cm="1">
        <f t="array" ref="BA50">_xlfn.IFNA(INDEX(Table14[Ávöxtun],MATCH(1,(BA$2=Table14[Column1])*($X50=Table14[Year]),0)),"")</f>
        <v/>
      </c>
      <c r="BB50" s="28" t="str" cm="1">
        <f t="array" ref="BB50">_xlfn.IFNA(INDEX(Table14[Ávöxtun],MATCH(1,(BB$2=Table14[Column1])*($X50=Table14[Year]),0)),"")</f>
        <v/>
      </c>
      <c r="BC50" s="28" t="str" cm="1">
        <f t="array" ref="BC50">_xlfn.IFNA(INDEX(Table14[Ávöxtun],MATCH(1,(BC$2=Table14[Column1])*($X50=Table14[Year]),0)),"")</f>
        <v/>
      </c>
      <c r="BD50" s="28" t="str" cm="1">
        <f t="array" ref="BD50">_xlfn.IFNA(INDEX(Table14[Ávöxtun],MATCH(1,(BD$2=Table14[Column1])*($X50=Table14[Year]),0)),"")</f>
        <v/>
      </c>
      <c r="BE50" s="28" t="str" cm="1">
        <f t="array" ref="BE50">_xlfn.IFNA(INDEX(Table14[Ávöxtun],MATCH(1,(BE$2=Table14[Column1])*($X50=Table14[Year]),0)),"")</f>
        <v/>
      </c>
      <c r="BF50" s="28" t="str" cm="1">
        <f t="array" ref="BF50">_xlfn.IFNA(INDEX(Table14[Ávöxtun],MATCH(1,(BF$2=Table14[Column1])*($X50=Table14[Year]),0)),"")</f>
        <v/>
      </c>
      <c r="BG50" s="28" t="str" cm="1">
        <f t="array" ref="BG50">_xlfn.IFNA(INDEX(Table14[Ávöxtun],MATCH(1,(BG$2=Table14[Column1])*($X50=Table14[Year]),0)),"")</f>
        <v/>
      </c>
      <c r="BH50" s="28" t="str" cm="1">
        <f t="array" ref="BH50">_xlfn.IFNA(INDEX(Table14[Ávöxtun],MATCH(1,(BH$2=Table14[Column1])*($X50=Table14[Year]),0)),"")</f>
        <v/>
      </c>
      <c r="BI50" s="28" t="str" cm="1">
        <f t="array" ref="BI50">_xlfn.IFNA(INDEX(Table14[Ávöxtun],MATCH(1,(BI$2=Table14[Column1])*($X50=Table14[Year]),0)),"")</f>
        <v/>
      </c>
      <c r="BJ50" s="28" t="str" cm="1">
        <f t="array" ref="BJ50">_xlfn.IFNA(INDEX(Table14[Ávöxtun],MATCH(1,(BJ$2=Table14[Column1])*($X50=Table14[Year]),0)),"")</f>
        <v/>
      </c>
      <c r="BK50" s="28" t="str" cm="1">
        <f t="array" ref="BK50">_xlfn.IFNA(INDEX(Table14[Ávöxtun],MATCH(1,(BK$2=Table14[Column1])*($X50=Table14[Year]),0)),"")</f>
        <v/>
      </c>
      <c r="BL50" s="28" t="str" cm="1">
        <f t="array" ref="BL50">_xlfn.IFNA(INDEX(Table14[Ávöxtun],MATCH(1,(BL$2=Table14[Column1])*($X50=Table14[Year]),0)),"")</f>
        <v/>
      </c>
      <c r="BM50" s="28" t="str" cm="1">
        <f t="array" ref="BM50">_xlfn.IFNA(INDEX(Table14[Ávöxtun],MATCH(1,(BM$2=Table14[Column1])*($X50=Table14[Year]),0)),"")</f>
        <v/>
      </c>
      <c r="BN50" s="28" t="str" cm="1">
        <f t="array" ref="BN50">_xlfn.IFNA(INDEX(Table14[Ávöxtun],MATCH(1,(BN$2=Table14[Column1])*($X50=Table14[Year]),0)),"")</f>
        <v/>
      </c>
      <c r="BO50" s="28" t="str" cm="1">
        <f t="array" ref="BO50">_xlfn.IFNA(INDEX(Table14[Ávöxtun],MATCH(1,(BO$2=Table14[Column1])*($X50=Table14[Year]),0)),"")</f>
        <v/>
      </c>
      <c r="BP50" s="28" t="str" cm="1">
        <f t="array" ref="BP50">_xlfn.IFNA(INDEX(Table14[Ávöxtun],MATCH(1,(BP$2=Table14[Column1])*($X50=Table14[Year]),0)),"")</f>
        <v/>
      </c>
      <c r="BQ50" s="28" cm="1">
        <f t="array" ref="BQ50">_xlfn.IFNA(INDEX(Table14[Ávöxtun],MATCH(1,(BQ$2=Table14[Column1])*($X50=Table14[Year]),0)),"")</f>
        <v>-1.3000000000000001E-2</v>
      </c>
      <c r="BR50" s="28" cm="1">
        <f t="array" ref="BR50">_xlfn.IFNA(INDEX(Table14[Ávöxtun],MATCH(1,(BR$2=Table14[Column1])*($X50=Table14[Year]),0)),"")</f>
        <v>3.2000000000000001E-2</v>
      </c>
      <c r="BS50" s="28" t="str" cm="1">
        <f t="array" ref="BS50">_xlfn.IFNA(INDEX(Table14[Ávöxtun],MATCH(1,(BS$2=Table14[Column1])*($X50=Table14[Year]),0)),"")</f>
        <v/>
      </c>
      <c r="BT50" s="28" t="str" cm="1">
        <f t="array" ref="BT50">_xlfn.IFNA(INDEX(Table14[Ávöxtun],MATCH(1,(BT$2=Table14[Column1])*($X50=Table14[Year]),0)),"")</f>
        <v/>
      </c>
      <c r="BU50" s="28" t="str" cm="1">
        <f t="array" ref="BU50">_xlfn.IFNA(INDEX(Table14[Ávöxtun],MATCH(1,(BU$2=Table14[Column1])*($X50=Table14[Year]),0)),"")</f>
        <v/>
      </c>
      <c r="BV50" s="28" cm="1">
        <f t="array" ref="BV50">_xlfn.IFNA(INDEX(Table14[Ávöxtun],MATCH(1,(BV$2=Table14[Column1])*($X50=Table14[Year]),0)),"")</f>
        <v>-9.7000000000000003E-3</v>
      </c>
      <c r="BW50" s="28" t="str" cm="1">
        <f t="array" ref="BW50">_xlfn.IFNA(INDEX(Table14[Ávöxtun],MATCH(1,(BW$2=Table14[Column1])*($X50=Table14[Year]),0)),"")</f>
        <v/>
      </c>
      <c r="BX50" s="28" t="str" cm="1">
        <f t="array" ref="BX50">_xlfn.IFNA(INDEX(Table14[Ávöxtun],MATCH(1,(BX$2=Table14[Column1])*($X50=Table14[Year]),0)),"")</f>
        <v/>
      </c>
      <c r="BY50" s="28" t="str" cm="1">
        <f t="array" ref="BY50">_xlfn.IFNA(INDEX(Table14[Ávöxtun],MATCH(1,(BY$2=Table14[Column1])*($X50=Table14[Year]),0)),"")</f>
        <v/>
      </c>
      <c r="BZ50" s="28" t="str" cm="1">
        <f t="array" ref="BZ50">_xlfn.IFNA(INDEX(Table14[Ávöxtun],MATCH(1,(BZ$2=Table14[Column1])*($X50=Table14[Year]),0)),"")</f>
        <v/>
      </c>
      <c r="CA50" s="28" t="str" cm="1">
        <f t="array" ref="CA50">_xlfn.IFNA(INDEX(Table14[Ávöxtun],MATCH(1,(CA$2=Table14[Column1])*($X50=Table14[Year]),0)),"")</f>
        <v/>
      </c>
      <c r="CB50" s="28" cm="1">
        <f t="array" ref="CB50">_xlfn.IFNA(INDEX(Table14[Ávöxtun],MATCH(1,(CB$2=Table14[Column1])*($X50=Table14[Year]),0)),"")</f>
        <v>7.000000000000001E-4</v>
      </c>
      <c r="CC50" s="28" t="str" cm="1">
        <f t="array" ref="CC50">_xlfn.IFNA(INDEX(Table14[Ávöxtun],MATCH(1,(CC$2=Table14[Column1])*($X50=Table14[Year]),0)),"")</f>
        <v/>
      </c>
      <c r="CD50" s="28" t="str" cm="1">
        <f t="array" ref="CD50">_xlfn.IFNA(INDEX(Table14[Ávöxtun],MATCH(1,(CD$2=Table14[Column1])*($X50=Table14[Year]),0)),"")</f>
        <v/>
      </c>
      <c r="CE50" s="28" cm="1">
        <f t="array" ref="CE50">_xlfn.IFNA(INDEX(Table14[Ávöxtun],MATCH(1,(CE$2=Table14[Column1])*($X50=Table14[Year]),0)),"")</f>
        <v>2.2499999999999999E-2</v>
      </c>
      <c r="CF50" s="28" cm="1">
        <f t="array" ref="CF50">_xlfn.IFNA(INDEX(Table14[Ávöxtun],MATCH(1,(CF$2=Table14[Column1])*($X50=Table14[Year]),0)),"")</f>
        <v>4.8999999999999998E-3</v>
      </c>
      <c r="CG50" s="28" cm="1">
        <f t="array" ref="CG50">_xlfn.IFNA(INDEX(Table14[Ávöxtun],MATCH(1,(CG$2=Table14[Column1])*($X50=Table14[Year]),0)),"")</f>
        <v>1E-3</v>
      </c>
      <c r="CH50" s="28" cm="1">
        <f t="array" ref="CH50">_xlfn.IFNA(INDEX(Table14[Ávöxtun],MATCH(1,(CH$2=Table14[Column1])*($X50=Table14[Year]),0)),"")</f>
        <v>1.3000000000000001E-2</v>
      </c>
      <c r="CI50" s="28" cm="1">
        <f t="array" ref="CI50">_xlfn.IFNA(INDEX(Table14[Ávöxtun],MATCH(1,(CI$2=Table14[Column1])*($X50=Table14[Year]),0)),"")</f>
        <v>5.6999999999999993E-3</v>
      </c>
      <c r="CJ50" s="28" cm="1">
        <f t="array" ref="CJ50">_xlfn.IFNA(INDEX(Table14[Ávöxtun],MATCH(1,(CJ$2=Table14[Column1])*($X50=Table14[Year]),0)),"")</f>
        <v>-1.9E-2</v>
      </c>
      <c r="CK50" s="28" t="str" cm="1">
        <f t="array" ref="CK50">_xlfn.IFNA(INDEX(Table14[Ávöxtun],MATCH(1,(CK$2=Table14[Column1])*($X50=Table14[Year]),0)),"")</f>
        <v/>
      </c>
      <c r="CL50" s="28" t="str" cm="1">
        <f t="array" ref="CL50">_xlfn.IFNA(INDEX(Table14[Ávöxtun],MATCH(1,(CL$2=Table14[Column1])*($X50=Table14[Year]),0)),"")</f>
        <v/>
      </c>
      <c r="CM50" s="28" t="str" cm="1">
        <f t="array" ref="CM50">_xlfn.IFNA(INDEX(Table14[Ávöxtun],MATCH(1,(CM$2=Table14[Column1])*($X50=Table14[Year]),0)),"")</f>
        <v/>
      </c>
      <c r="CN50" s="28" cm="1">
        <f t="array" ref="CN50">_xlfn.IFNA(INDEX(Table14[Ávöxtun],MATCH(1,(CN$2=Table14[Column1])*($X50=Table14[Year]),0)),"")</f>
        <v>1.38E-2</v>
      </c>
      <c r="CO50" s="28" t="str" cm="1">
        <f t="array" ref="CO50">_xlfn.IFNA(INDEX(Table14[Ávöxtun],MATCH(1,(CO$2=Table14[Column1])*($X50=Table14[Year]),0)),"")</f>
        <v/>
      </c>
      <c r="CP50" s="28" t="str" cm="1">
        <f t="array" ref="CP50">_xlfn.IFNA(INDEX(Table14[Ávöxtun],MATCH(1,(CP$2=Table14[Column1])*($X50=Table14[Year]),0)),"")</f>
        <v/>
      </c>
      <c r="CQ50" s="28" t="str" cm="1">
        <f t="array" ref="CQ50">_xlfn.IFNA(INDEX(Table14[Ávöxtun],MATCH(1,(CQ$2=Table14[Column1])*($X50=Table14[Year]),0)),"")</f>
        <v/>
      </c>
      <c r="CR50" s="28" cm="1">
        <f t="array" ref="CR50">_xlfn.IFNA(INDEX(Table14[Ávöxtun],MATCH(1,(CR$2=Table14[Column1])*($X50=Table14[Year]),0)),"")</f>
        <v>-1.2E-2</v>
      </c>
      <c r="CS50" s="28" t="str" cm="1">
        <f t="array" ref="CS50">_xlfn.IFNA(INDEX(Table14[Ávöxtun],MATCH(1,(CS$2=Table14[Column1])*($X50=Table14[Year]),0)),"")</f>
        <v/>
      </c>
      <c r="CT50" s="28" cm="1">
        <f t="array" ref="CT50">_xlfn.IFNA(INDEX(Table14[Ávöxtun],MATCH(1,(CT$2=Table14[Column1])*($X50=Table14[Year]),0)),"")</f>
        <v>-1.3000000000000001E-2</v>
      </c>
      <c r="CU50" s="28" t="str" cm="1">
        <f t="array" ref="CU50">_xlfn.IFNA(INDEX(Table14[Ávöxtun],MATCH(1,(CU$2=Table14[Column1])*($X50=Table14[Year]),0)),"")</f>
        <v/>
      </c>
      <c r="CV50" s="28" t="str" cm="1">
        <f t="array" ref="CV50">_xlfn.IFNA(INDEX(Table14[Ávöxtun],MATCH(1,(CV$2=Table14[Column1])*($X50=Table14[Year]),0)),"")</f>
        <v/>
      </c>
      <c r="CW50" s="28" t="str" cm="1">
        <f t="array" ref="CW50">_xlfn.IFNA(INDEX(Table14[Ávöxtun],MATCH(1,(CW$2=Table14[Column1])*($X50=Table14[Year]),0)),"")</f>
        <v/>
      </c>
      <c r="CX50" s="28" t="str" cm="1">
        <f t="array" ref="CX50">_xlfn.IFNA(INDEX(Table14[Ávöxtun],MATCH(1,(CX$2=Table14[Column1])*($X50=Table14[Year]),0)),"")</f>
        <v/>
      </c>
      <c r="CY50" s="28" cm="1">
        <f t="array" ref="CY50">_xlfn.IFNA(INDEX(Table14[Ávöxtun],MATCH(1,(CY$2=Table14[Column1])*($X50=Table14[Year]),0)),"")</f>
        <v>2.6000000000000002E-2</v>
      </c>
      <c r="CZ50" s="28" t="str" cm="1">
        <f t="array" ref="CZ50">_xlfn.IFNA(INDEX(Table14[Ávöxtun],MATCH(1,(CZ$2=Table14[Column1])*($X50=Table14[Year]),0)),"")</f>
        <v/>
      </c>
      <c r="DA50" s="28" t="str" cm="1">
        <f t="array" ref="DA50">_xlfn.IFNA(INDEX(Table14[Ávöxtun],MATCH(1,(DA$2=Table14[Column1])*($X50=Table14[Year]),0)),"")</f>
        <v/>
      </c>
      <c r="DB50" s="28" t="str" cm="1">
        <f t="array" ref="DB50">_xlfn.IFNA(INDEX(Table14[Ávöxtun],MATCH(1,(DB$2=Table14[Column1])*($X50=Table14[Year]),0)),"")</f>
        <v/>
      </c>
      <c r="DC50" s="28" cm="1">
        <f t="array" ref="DC50">_xlfn.IFNA(INDEX(Table14[Ávöxtun],MATCH(1,(DC$2=Table14[Column1])*($X50=Table14[Year]),0)),"")</f>
        <v>-2E-3</v>
      </c>
      <c r="DD50" s="28" t="str" cm="1">
        <f t="array" ref="DD50">_xlfn.IFNA(INDEX(Table14[Ávöxtun],MATCH(1,(DD$2=Table14[Column1])*($X50=Table14[Year]),0)),"")</f>
        <v/>
      </c>
      <c r="DE50" s="28" cm="1">
        <f t="array" ref="DE50">_xlfn.IFNA(INDEX(Table14[Ávöxtun],MATCH(1,(DE$2=Table14[Column1])*($X50=Table14[Year]),0)),"")</f>
        <v>-1.3000000000000002E-3</v>
      </c>
      <c r="DF50" s="28" t="str" cm="1">
        <f t="array" ref="DF50">_xlfn.IFNA(INDEX(Table14[Ávöxtun],MATCH(1,(DF$2=Table14[Column1])*($X50=Table14[Year]),0)),"")</f>
        <v/>
      </c>
    </row>
    <row r="51" spans="1:110">
      <c r="A51" t="s">
        <v>62</v>
      </c>
      <c r="B51">
        <v>1997</v>
      </c>
      <c r="C51" s="16">
        <v>0.06</v>
      </c>
      <c r="D51" s="1">
        <v>1926004.47</v>
      </c>
      <c r="E51" s="29">
        <f>Table14[[#This Row],[Ávöxtun]]*Table14[[#This Row],[Eignir]]/SUMIFS(Table14[Eignir],Table14[Year],Table14[[#This Row],[Year]])</f>
        <v>3.4086026624034516E-4</v>
      </c>
      <c r="F51" s="23">
        <f>IF(B51=1997, 100, IF(COUNTIF(A$1:A50,A51)=0, "NEW", F50*(1+Table14[[#This Row],[Ávöxtun]])))</f>
        <v>100</v>
      </c>
      <c r="G51" s="18" cm="1">
        <f t="array" ref="G51">IFERROR(_xlfn.IFS(ISNUMBER(Table14[[#This Row],[Column3]]),Table14[[#This Row],[Column3]],Table14[[#This Row],[Column3]]="NEW",Table14[[#This Row],[Column3]]),"")</f>
        <v>100</v>
      </c>
      <c r="H51" s="15" cm="1">
        <f t="array" ref="H51">_xlfn.IFS(Table14[[#This Row],[Column4]]="NEW",AVERAGEIFS(Table14[Column4],Table14[Year],Table14[[#This Row],[Year]]),ISNUMBER(Table14[[#This Row],[Column4]]),Table14[[#This Row],[Column4]],Table14[[#This Row],[Column4]]="",H50*(1+Table14[[#This Row],[Ávöxtun]]))</f>
        <v>100</v>
      </c>
      <c r="I51" cm="1">
        <f t="array" ref="I51">_xlfn.IFS(Table14[[#This Row],[Column4]]="NEW",_xlfn.XLOOKUP(Table14[[#This Row],[Year]],$M$2:$M$27,$O$2:$O$27),ISNUMBER(Table14[[#This Row],[Column4]]),Table14[[#This Row],[Column4]],Table14[[#This Row],[Column4]]="",I50*(1+Table14[[#This Row],[Ávöxtun]]))</f>
        <v>100</v>
      </c>
      <c r="L51" s="33">
        <v>100</v>
      </c>
      <c r="X51">
        <v>2017</v>
      </c>
      <c r="Y51" s="28">
        <f t="shared" si="2"/>
        <v>7.5034418664388758E-2</v>
      </c>
      <c r="Z51" s="28" cm="1">
        <f t="array" ref="Z51">_xlfn.IFNA(INDEX(Table14[Ávöxtun],MATCH(1,(Z$2=Table14[Column1])*($X51=Table14[Year]),0)),"")</f>
        <v>7.0000000000000007E-2</v>
      </c>
      <c r="AA51" s="28" t="str" cm="1">
        <f t="array" ref="AA51">_xlfn.IFNA(INDEX(Table14[Ávöxtun],MATCH(1,(AA$2=Table14[Column1])*($X51=Table14[Year]),0)),"")</f>
        <v/>
      </c>
      <c r="AB51" s="28" t="str" cm="1">
        <f t="array" ref="AB51">_xlfn.IFNA(INDEX(Table14[Ávöxtun],MATCH(1,(AB$2=Table14[Column1])*($X51=Table14[Year]),0)),"")</f>
        <v/>
      </c>
      <c r="AC51" s="28" t="str" cm="1">
        <f t="array" ref="AC51">_xlfn.IFNA(INDEX(Table14[Ávöxtun],MATCH(1,(AC$2=Table14[Column1])*($X51=Table14[Year]),0)),"")</f>
        <v/>
      </c>
      <c r="AD51" s="28" cm="1">
        <f t="array" ref="AD51">_xlfn.IFNA(INDEX(Table14[Ávöxtun],MATCH(1,(AD$2=Table14[Column1])*($X51=Table14[Year]),0)),"")</f>
        <v>5.2000000000000005E-2</v>
      </c>
      <c r="AE51" s="28" cm="1">
        <f t="array" ref="AE51">_xlfn.IFNA(INDEX(Table14[Ávöxtun],MATCH(1,(AE$2=Table14[Column1])*($X51=Table14[Year]),0)),"")</f>
        <v>0.16500000000000001</v>
      </c>
      <c r="AF51" s="28" t="str" cm="1">
        <f t="array" ref="AF51">_xlfn.IFNA(INDEX(Table14[Ávöxtun],MATCH(1,(AF$2=Table14[Column1])*($X51=Table14[Year]),0)),"")</f>
        <v/>
      </c>
      <c r="AG51" s="28" t="str" cm="1">
        <f t="array" ref="AG51">_xlfn.IFNA(INDEX(Table14[Ávöxtun],MATCH(1,(AG$2=Table14[Column1])*($X51=Table14[Year]),0)),"")</f>
        <v/>
      </c>
      <c r="AH51" s="28" t="str" cm="1">
        <f t="array" ref="AH51">_xlfn.IFNA(INDEX(Table14[Ávöxtun],MATCH(1,(AH$2=Table14[Column1])*($X51=Table14[Year]),0)),"")</f>
        <v/>
      </c>
      <c r="AI51" s="28" t="str" cm="1">
        <f t="array" ref="AI51">_xlfn.IFNA(INDEX(Table14[Ávöxtun],MATCH(1,(AI$2=Table14[Column1])*($X51=Table14[Year]),0)),"")</f>
        <v/>
      </c>
      <c r="AJ51" s="28" t="str" cm="1">
        <f t="array" ref="AJ51">_xlfn.IFNA(INDEX(Table14[Ávöxtun],MATCH(1,(AJ$2=Table14[Column1])*($X51=Table14[Year]),0)),"")</f>
        <v/>
      </c>
      <c r="AK51" s="28" t="str" cm="1">
        <f t="array" ref="AK51">_xlfn.IFNA(INDEX(Table14[Ávöxtun],MATCH(1,(AK$2=Table14[Column1])*($X51=Table14[Year]),0)),"")</f>
        <v/>
      </c>
      <c r="AL51" s="28" cm="1">
        <f t="array" ref="AL51">_xlfn.IFNA(INDEX(Table14[Ávöxtun],MATCH(1,(AL$2=Table14[Column1])*($X51=Table14[Year]),0)),"")</f>
        <v>4.2000000000000003E-2</v>
      </c>
      <c r="AM51" s="28" t="str" cm="1">
        <f t="array" ref="AM51">_xlfn.IFNA(INDEX(Table14[Ávöxtun],MATCH(1,(AM$2=Table14[Column1])*($X51=Table14[Year]),0)),"")</f>
        <v/>
      </c>
      <c r="AN51" s="28" t="str" cm="1">
        <f t="array" ref="AN51">_xlfn.IFNA(INDEX(Table14[Ávöxtun],MATCH(1,(AN$2=Table14[Column1])*($X51=Table14[Year]),0)),"")</f>
        <v/>
      </c>
      <c r="AO51" s="28" cm="1">
        <f t="array" ref="AO51">_xlfn.IFNA(INDEX(Table14[Ávöxtun],MATCH(1,(AO$2=Table14[Column1])*($X51=Table14[Year]),0)),"")</f>
        <v>-0.36499999999999999</v>
      </c>
      <c r="AP51" s="28" cm="1">
        <f t="array" ref="AP51">_xlfn.IFNA(INDEX(Table14[Ávöxtun],MATCH(1,(AP$2=Table14[Column1])*($X51=Table14[Year]),0)),"")</f>
        <v>5.2999999999999999E-2</v>
      </c>
      <c r="AQ51" s="28" cm="1">
        <f t="array" ref="AQ51">_xlfn.IFNA(INDEX(Table14[Ávöxtun],MATCH(1,(AQ$2=Table14[Column1])*($X51=Table14[Year]),0)),"")</f>
        <v>0.03</v>
      </c>
      <c r="AR51" s="28" cm="1">
        <f t="array" ref="AR51">_xlfn.IFNA(INDEX(Table14[Ávöxtun],MATCH(1,(AR$2=Table14[Column1])*($X51=Table14[Year]),0)),"")</f>
        <v>5.7999999999999996E-2</v>
      </c>
      <c r="AS51" s="28" t="str" cm="1">
        <f t="array" ref="AS51">_xlfn.IFNA(INDEX(Table14[Ávöxtun],MATCH(1,(AS$2=Table14[Column1])*($X51=Table14[Year]),0)),"")</f>
        <v/>
      </c>
      <c r="AT51" s="28" cm="1">
        <f t="array" ref="AT51">_xlfn.IFNA(INDEX(Table14[Ávöxtun],MATCH(1,(AT$2=Table14[Column1])*($X51=Table14[Year]),0)),"")</f>
        <v>4.8000000000000001E-2</v>
      </c>
      <c r="AU51" s="28" t="str" cm="1">
        <f t="array" ref="AU51">_xlfn.IFNA(INDEX(Table14[Ávöxtun],MATCH(1,(AU$2=Table14[Column1])*($X51=Table14[Year]),0)),"")</f>
        <v/>
      </c>
      <c r="AV51" s="28" t="str" cm="1">
        <f t="array" ref="AV51">_xlfn.IFNA(INDEX(Table14[Ávöxtun],MATCH(1,(AV$2=Table14[Column1])*($X51=Table14[Year]),0)),"")</f>
        <v/>
      </c>
      <c r="AW51" s="28" t="str" cm="1">
        <f t="array" ref="AW51">_xlfn.IFNA(INDEX(Table14[Ávöxtun],MATCH(1,(AW$2=Table14[Column1])*($X51=Table14[Year]),0)),"")</f>
        <v/>
      </c>
      <c r="AX51" s="28" t="str" cm="1">
        <f t="array" ref="AX51">_xlfn.IFNA(INDEX(Table14[Ávöxtun],MATCH(1,(AX$2=Table14[Column1])*($X51=Table14[Year]),0)),"")</f>
        <v/>
      </c>
      <c r="AY51" s="28" t="str" cm="1">
        <f t="array" ref="AY51">_xlfn.IFNA(INDEX(Table14[Ávöxtun],MATCH(1,(AY$2=Table14[Column1])*($X51=Table14[Year]),0)),"")</f>
        <v/>
      </c>
      <c r="AZ51" s="28" t="str" cm="1">
        <f t="array" ref="AZ51">_xlfn.IFNA(INDEX(Table14[Ávöxtun],MATCH(1,(AZ$2=Table14[Column1])*($X51=Table14[Year]),0)),"")</f>
        <v/>
      </c>
      <c r="BA51" s="28" t="str" cm="1">
        <f t="array" ref="BA51">_xlfn.IFNA(INDEX(Table14[Ávöxtun],MATCH(1,(BA$2=Table14[Column1])*($X51=Table14[Year]),0)),"")</f>
        <v/>
      </c>
      <c r="BB51" s="28" t="str" cm="1">
        <f t="array" ref="BB51">_xlfn.IFNA(INDEX(Table14[Ávöxtun],MATCH(1,(BB$2=Table14[Column1])*($X51=Table14[Year]),0)),"")</f>
        <v/>
      </c>
      <c r="BC51" s="28" t="str" cm="1">
        <f t="array" ref="BC51">_xlfn.IFNA(INDEX(Table14[Ávöxtun],MATCH(1,(BC$2=Table14[Column1])*($X51=Table14[Year]),0)),"")</f>
        <v/>
      </c>
      <c r="BD51" s="28" t="str" cm="1">
        <f t="array" ref="BD51">_xlfn.IFNA(INDEX(Table14[Ávöxtun],MATCH(1,(BD$2=Table14[Column1])*($X51=Table14[Year]),0)),"")</f>
        <v/>
      </c>
      <c r="BE51" s="28" t="str" cm="1">
        <f t="array" ref="BE51">_xlfn.IFNA(INDEX(Table14[Ávöxtun],MATCH(1,(BE$2=Table14[Column1])*($X51=Table14[Year]),0)),"")</f>
        <v/>
      </c>
      <c r="BF51" s="28" t="str" cm="1">
        <f t="array" ref="BF51">_xlfn.IFNA(INDEX(Table14[Ávöxtun],MATCH(1,(BF$2=Table14[Column1])*($X51=Table14[Year]),0)),"")</f>
        <v/>
      </c>
      <c r="BG51" s="28" t="str" cm="1">
        <f t="array" ref="BG51">_xlfn.IFNA(INDEX(Table14[Ávöxtun],MATCH(1,(BG$2=Table14[Column1])*($X51=Table14[Year]),0)),"")</f>
        <v/>
      </c>
      <c r="BH51" s="28" t="str" cm="1">
        <f t="array" ref="BH51">_xlfn.IFNA(INDEX(Table14[Ávöxtun],MATCH(1,(BH$2=Table14[Column1])*($X51=Table14[Year]),0)),"")</f>
        <v/>
      </c>
      <c r="BI51" s="28" t="str" cm="1">
        <f t="array" ref="BI51">_xlfn.IFNA(INDEX(Table14[Ávöxtun],MATCH(1,(BI$2=Table14[Column1])*($X51=Table14[Year]),0)),"")</f>
        <v/>
      </c>
      <c r="BJ51" s="28" t="str" cm="1">
        <f t="array" ref="BJ51">_xlfn.IFNA(INDEX(Table14[Ávöxtun],MATCH(1,(BJ$2=Table14[Column1])*($X51=Table14[Year]),0)),"")</f>
        <v/>
      </c>
      <c r="BK51" s="28" t="str" cm="1">
        <f t="array" ref="BK51">_xlfn.IFNA(INDEX(Table14[Ávöxtun],MATCH(1,(BK$2=Table14[Column1])*($X51=Table14[Year]),0)),"")</f>
        <v/>
      </c>
      <c r="BL51" s="28" t="str" cm="1">
        <f t="array" ref="BL51">_xlfn.IFNA(INDEX(Table14[Ávöxtun],MATCH(1,(BL$2=Table14[Column1])*($X51=Table14[Year]),0)),"")</f>
        <v/>
      </c>
      <c r="BM51" s="28" t="str" cm="1">
        <f t="array" ref="BM51">_xlfn.IFNA(INDEX(Table14[Ávöxtun],MATCH(1,(BM$2=Table14[Column1])*($X51=Table14[Year]),0)),"")</f>
        <v/>
      </c>
      <c r="BN51" s="28" t="str" cm="1">
        <f t="array" ref="BN51">_xlfn.IFNA(INDEX(Table14[Ávöxtun],MATCH(1,(BN$2=Table14[Column1])*($X51=Table14[Year]),0)),"")</f>
        <v/>
      </c>
      <c r="BO51" s="28" t="str" cm="1">
        <f t="array" ref="BO51">_xlfn.IFNA(INDEX(Table14[Ávöxtun],MATCH(1,(BO$2=Table14[Column1])*($X51=Table14[Year]),0)),"")</f>
        <v/>
      </c>
      <c r="BP51" s="28" t="str" cm="1">
        <f t="array" ref="BP51">_xlfn.IFNA(INDEX(Table14[Ávöxtun],MATCH(1,(BP$2=Table14[Column1])*($X51=Table14[Year]),0)),"")</f>
        <v/>
      </c>
      <c r="BQ51" s="28" cm="1">
        <f t="array" ref="BQ51">_xlfn.IFNA(INDEX(Table14[Ávöxtun],MATCH(1,(BQ$2=Table14[Column1])*($X51=Table14[Year]),0)),"")</f>
        <v>5.9000000000000004E-2</v>
      </c>
      <c r="BR51" s="28" cm="1">
        <f t="array" ref="BR51">_xlfn.IFNA(INDEX(Table14[Ávöxtun],MATCH(1,(BR$2=Table14[Column1])*($X51=Table14[Year]),0)),"")</f>
        <v>7.9000000000000001E-2</v>
      </c>
      <c r="BS51" s="28" t="str" cm="1">
        <f t="array" ref="BS51">_xlfn.IFNA(INDEX(Table14[Ávöxtun],MATCH(1,(BS$2=Table14[Column1])*($X51=Table14[Year]),0)),"")</f>
        <v/>
      </c>
      <c r="BT51" s="28" t="str" cm="1">
        <f t="array" ref="BT51">_xlfn.IFNA(INDEX(Table14[Ávöxtun],MATCH(1,(BT$2=Table14[Column1])*($X51=Table14[Year]),0)),"")</f>
        <v/>
      </c>
      <c r="BU51" s="28" t="str" cm="1">
        <f t="array" ref="BU51">_xlfn.IFNA(INDEX(Table14[Ávöxtun],MATCH(1,(BU$2=Table14[Column1])*($X51=Table14[Year]),0)),"")</f>
        <v/>
      </c>
      <c r="BV51" s="28" cm="1">
        <f t="array" ref="BV51">_xlfn.IFNA(INDEX(Table14[Ávöxtun],MATCH(1,(BV$2=Table14[Column1])*($X51=Table14[Year]),0)),"")</f>
        <v>7.2000000000000008E-2</v>
      </c>
      <c r="BW51" s="28" t="str" cm="1">
        <f t="array" ref="BW51">_xlfn.IFNA(INDEX(Table14[Ávöxtun],MATCH(1,(BW$2=Table14[Column1])*($X51=Table14[Year]),0)),"")</f>
        <v/>
      </c>
      <c r="BX51" s="28" t="str" cm="1">
        <f t="array" ref="BX51">_xlfn.IFNA(INDEX(Table14[Ávöxtun],MATCH(1,(BX$2=Table14[Column1])*($X51=Table14[Year]),0)),"")</f>
        <v/>
      </c>
      <c r="BY51" s="28" t="str" cm="1">
        <f t="array" ref="BY51">_xlfn.IFNA(INDEX(Table14[Ávöxtun],MATCH(1,(BY$2=Table14[Column1])*($X51=Table14[Year]),0)),"")</f>
        <v/>
      </c>
      <c r="BZ51" s="28" t="str" cm="1">
        <f t="array" ref="BZ51">_xlfn.IFNA(INDEX(Table14[Ávöxtun],MATCH(1,(BZ$2=Table14[Column1])*($X51=Table14[Year]),0)),"")</f>
        <v/>
      </c>
      <c r="CA51" s="28" t="str" cm="1">
        <f t="array" ref="CA51">_xlfn.IFNA(INDEX(Table14[Ávöxtun],MATCH(1,(CA$2=Table14[Column1])*($X51=Table14[Year]),0)),"")</f>
        <v/>
      </c>
      <c r="CB51" s="28" cm="1">
        <f t="array" ref="CB51">_xlfn.IFNA(INDEX(Table14[Ávöxtun],MATCH(1,(CB$2=Table14[Column1])*($X51=Table14[Year]),0)),"")</f>
        <v>5.7000000000000002E-2</v>
      </c>
      <c r="CC51" s="28" t="str" cm="1">
        <f t="array" ref="CC51">_xlfn.IFNA(INDEX(Table14[Ávöxtun],MATCH(1,(CC$2=Table14[Column1])*($X51=Table14[Year]),0)),"")</f>
        <v/>
      </c>
      <c r="CD51" s="28" t="str" cm="1">
        <f t="array" ref="CD51">_xlfn.IFNA(INDEX(Table14[Ávöxtun],MATCH(1,(CD$2=Table14[Column1])*($X51=Table14[Year]),0)),"")</f>
        <v/>
      </c>
      <c r="CE51" s="28" cm="1">
        <f t="array" ref="CE51">_xlfn.IFNA(INDEX(Table14[Ávöxtun],MATCH(1,(CE$2=Table14[Column1])*($X51=Table14[Year]),0)),"")</f>
        <v>3.4000000000000002E-2</v>
      </c>
      <c r="CF51" s="28" cm="1">
        <f t="array" ref="CF51">_xlfn.IFNA(INDEX(Table14[Ávöxtun],MATCH(1,(CF$2=Table14[Column1])*($X51=Table14[Year]),0)),"")</f>
        <v>7.2000000000000008E-2</v>
      </c>
      <c r="CG51" s="28" cm="1">
        <f t="array" ref="CG51">_xlfn.IFNA(INDEX(Table14[Ávöxtun],MATCH(1,(CG$2=Table14[Column1])*($X51=Table14[Year]),0)),"")</f>
        <v>4.9000000000000002E-2</v>
      </c>
      <c r="CH51" s="28" cm="1">
        <f t="array" ref="CH51">_xlfn.IFNA(INDEX(Table14[Ávöxtun],MATCH(1,(CH$2=Table14[Column1])*($X51=Table14[Year]),0)),"")</f>
        <v>4.2999999999999997E-2</v>
      </c>
      <c r="CI51" s="28" cm="1">
        <f t="array" ref="CI51">_xlfn.IFNA(INDEX(Table14[Ávöxtun],MATCH(1,(CI$2=Table14[Column1])*($X51=Table14[Year]),0)),"")</f>
        <v>0.11800000000000001</v>
      </c>
      <c r="CJ51" s="28" t="str" cm="1">
        <f t="array" ref="CJ51">_xlfn.IFNA(INDEX(Table14[Ávöxtun],MATCH(1,(CJ$2=Table14[Column1])*($X51=Table14[Year]),0)),"")</f>
        <v/>
      </c>
      <c r="CK51" s="28" t="str" cm="1">
        <f t="array" ref="CK51">_xlfn.IFNA(INDEX(Table14[Ávöxtun],MATCH(1,(CK$2=Table14[Column1])*($X51=Table14[Year]),0)),"")</f>
        <v/>
      </c>
      <c r="CL51" s="28" t="str" cm="1">
        <f t="array" ref="CL51">_xlfn.IFNA(INDEX(Table14[Ávöxtun],MATCH(1,(CL$2=Table14[Column1])*($X51=Table14[Year]),0)),"")</f>
        <v/>
      </c>
      <c r="CM51" s="28" t="str" cm="1">
        <f t="array" ref="CM51">_xlfn.IFNA(INDEX(Table14[Ávöxtun],MATCH(1,(CM$2=Table14[Column1])*($X51=Table14[Year]),0)),"")</f>
        <v/>
      </c>
      <c r="CN51" s="28" cm="1">
        <f t="array" ref="CN51">_xlfn.IFNA(INDEX(Table14[Ávöxtun],MATCH(1,(CN$2=Table14[Column1])*($X51=Table14[Year]),0)),"")</f>
        <v>5.2000000000000005E-2</v>
      </c>
      <c r="CO51" s="28" t="str" cm="1">
        <f t="array" ref="CO51">_xlfn.IFNA(INDEX(Table14[Ávöxtun],MATCH(1,(CO$2=Table14[Column1])*($X51=Table14[Year]),0)),"")</f>
        <v/>
      </c>
      <c r="CP51" s="28" t="str" cm="1">
        <f t="array" ref="CP51">_xlfn.IFNA(INDEX(Table14[Ávöxtun],MATCH(1,(CP$2=Table14[Column1])*($X51=Table14[Year]),0)),"")</f>
        <v/>
      </c>
      <c r="CQ51" s="28" t="str" cm="1">
        <f t="array" ref="CQ51">_xlfn.IFNA(INDEX(Table14[Ávöxtun],MATCH(1,(CQ$2=Table14[Column1])*($X51=Table14[Year]),0)),"")</f>
        <v/>
      </c>
      <c r="CR51" s="28" cm="1">
        <f t="array" ref="CR51">_xlfn.IFNA(INDEX(Table14[Ávöxtun],MATCH(1,(CR$2=Table14[Column1])*($X51=Table14[Year]),0)),"")</f>
        <v>5.7000000000000002E-2</v>
      </c>
      <c r="CS51" s="28" t="str" cm="1">
        <f t="array" ref="CS51">_xlfn.IFNA(INDEX(Table14[Ávöxtun],MATCH(1,(CS$2=Table14[Column1])*($X51=Table14[Year]),0)),"")</f>
        <v/>
      </c>
      <c r="CT51" s="28" cm="1">
        <f t="array" ref="CT51">_xlfn.IFNA(INDEX(Table14[Ávöxtun],MATCH(1,(CT$2=Table14[Column1])*($X51=Table14[Year]),0)),"")</f>
        <v>0.06</v>
      </c>
      <c r="CU51" s="28" t="str" cm="1">
        <f t="array" ref="CU51">_xlfn.IFNA(INDEX(Table14[Ávöxtun],MATCH(1,(CU$2=Table14[Column1])*($X51=Table14[Year]),0)),"")</f>
        <v/>
      </c>
      <c r="CV51" s="28" t="str" cm="1">
        <f t="array" ref="CV51">_xlfn.IFNA(INDEX(Table14[Ávöxtun],MATCH(1,(CV$2=Table14[Column1])*($X51=Table14[Year]),0)),"")</f>
        <v/>
      </c>
      <c r="CW51" s="28" t="str" cm="1">
        <f t="array" ref="CW51">_xlfn.IFNA(INDEX(Table14[Ávöxtun],MATCH(1,(CW$2=Table14[Column1])*($X51=Table14[Year]),0)),"")</f>
        <v/>
      </c>
      <c r="CX51" s="28" t="str" cm="1">
        <f t="array" ref="CX51">_xlfn.IFNA(INDEX(Table14[Ávöxtun],MATCH(1,(CX$2=Table14[Column1])*($X51=Table14[Year]),0)),"")</f>
        <v/>
      </c>
      <c r="CY51" s="28" cm="1">
        <f t="array" ref="CY51">_xlfn.IFNA(INDEX(Table14[Ávöxtun],MATCH(1,(CY$2=Table14[Column1])*($X51=Table14[Year]),0)),"")</f>
        <v>3.6000000000000004E-2</v>
      </c>
      <c r="CZ51" s="28" t="str" cm="1">
        <f t="array" ref="CZ51">_xlfn.IFNA(INDEX(Table14[Ávöxtun],MATCH(1,(CZ$2=Table14[Column1])*($X51=Table14[Year]),0)),"")</f>
        <v/>
      </c>
      <c r="DA51" s="28" t="str" cm="1">
        <f t="array" ref="DA51">_xlfn.IFNA(INDEX(Table14[Ávöxtun],MATCH(1,(DA$2=Table14[Column1])*($X51=Table14[Year]),0)),"")</f>
        <v/>
      </c>
      <c r="DB51" s="28" t="str" cm="1">
        <f t="array" ref="DB51">_xlfn.IFNA(INDEX(Table14[Ávöxtun],MATCH(1,(DB$2=Table14[Column1])*($X51=Table14[Year]),0)),"")</f>
        <v/>
      </c>
      <c r="DC51" s="28" cm="1">
        <f t="array" ref="DC51">_xlfn.IFNA(INDEX(Table14[Ávöxtun],MATCH(1,(DC$2=Table14[Column1])*($X51=Table14[Year]),0)),"")</f>
        <v>5.2999999999999999E-2</v>
      </c>
      <c r="DD51" s="28" t="str" cm="1">
        <f t="array" ref="DD51">_xlfn.IFNA(INDEX(Table14[Ávöxtun],MATCH(1,(DD$2=Table14[Column1])*($X51=Table14[Year]),0)),"")</f>
        <v/>
      </c>
      <c r="DE51" s="28" cm="1">
        <f t="array" ref="DE51">_xlfn.IFNA(INDEX(Table14[Ávöxtun],MATCH(1,(DE$2=Table14[Column1])*($X51=Table14[Year]),0)),"")</f>
        <v>5.2000000000000005E-2</v>
      </c>
      <c r="DF51" s="28" t="str" cm="1">
        <f t="array" ref="DF51">_xlfn.IFNA(INDEX(Table14[Ávöxtun],MATCH(1,(DF$2=Table14[Column1])*($X51=Table14[Year]),0)),"")</f>
        <v/>
      </c>
    </row>
    <row r="52" spans="1:110">
      <c r="A52" t="s">
        <v>62</v>
      </c>
      <c r="B52">
        <v>1998</v>
      </c>
      <c r="C52" s="16">
        <v>0.1</v>
      </c>
      <c r="D52" s="1">
        <v>2247105.39</v>
      </c>
      <c r="E52" s="29">
        <f>Table14[[#This Row],[Ávöxtun]]*Table14[[#This Row],[Eignir]]/SUMIFS(Table14[Eignir],Table14[Year],Table14[[#This Row],[Year]])</f>
        <v>5.7377555675387575E-4</v>
      </c>
      <c r="F52" s="23">
        <f>IF(B52=1997, 100, IF(COUNTIF(A$1:A51,A52)=0, "NEW", F51*(1+Table14[[#This Row],[Ávöxtun]])))</f>
        <v>110.00000000000001</v>
      </c>
      <c r="G52" s="18" cm="1">
        <f t="array" ref="G52">IFERROR(_xlfn.IFS(ISNUMBER(Table14[[#This Row],[Column3]]),Table14[[#This Row],[Column3]],Table14[[#This Row],[Column3]]="NEW",Table14[[#This Row],[Column3]]),"")</f>
        <v>110.00000000000001</v>
      </c>
      <c r="H52" s="15" cm="1">
        <f t="array" ref="H52">_xlfn.IFS(Table14[[#This Row],[Column4]]="NEW",AVERAGEIFS(Table14[Column4],Table14[Year],Table14[[#This Row],[Year]]),ISNUMBER(Table14[[#This Row],[Column4]]),Table14[[#This Row],[Column4]],Table14[[#This Row],[Column4]]="",H51*(1+Table14[[#This Row],[Ávöxtun]]))</f>
        <v>110.00000000000001</v>
      </c>
      <c r="I52" cm="1">
        <f t="array" ref="I52">_xlfn.IFS(Table14[[#This Row],[Column4]]="NEW",_xlfn.XLOOKUP(Table14[[#This Row],[Year]],$M$2:$M$27,$O$2:$O$27),ISNUMBER(Table14[[#This Row],[Column4]]),Table14[[#This Row],[Column4]],Table14[[#This Row],[Column4]]="",I51*(1+Table14[[#This Row],[Ávöxtun]]))</f>
        <v>110.00000000000001</v>
      </c>
      <c r="L52" s="33">
        <v>110.00000000000001</v>
      </c>
      <c r="X52">
        <v>2018</v>
      </c>
      <c r="Y52" s="28">
        <f t="shared" si="2"/>
        <v>2.8816787762600438E-2</v>
      </c>
      <c r="Z52" s="28" cm="1">
        <f t="array" ref="Z52">_xlfn.IFNA(INDEX(Table14[Ávöxtun],MATCH(1,(Z$2=Table14[Column1])*($X52=Table14[Year]),0)),"")</f>
        <v>2.3E-2</v>
      </c>
      <c r="AA52" s="28" t="str" cm="1">
        <f t="array" ref="AA52">_xlfn.IFNA(INDEX(Table14[Ávöxtun],MATCH(1,(AA$2=Table14[Column1])*($X52=Table14[Year]),0)),"")</f>
        <v/>
      </c>
      <c r="AB52" s="28" t="str" cm="1">
        <f t="array" ref="AB52">_xlfn.IFNA(INDEX(Table14[Ávöxtun],MATCH(1,(AB$2=Table14[Column1])*($X52=Table14[Year]),0)),"")</f>
        <v/>
      </c>
      <c r="AC52" s="28" t="str" cm="1">
        <f t="array" ref="AC52">_xlfn.IFNA(INDEX(Table14[Ávöxtun],MATCH(1,(AC$2=Table14[Column1])*($X52=Table14[Year]),0)),"")</f>
        <v/>
      </c>
      <c r="AD52" s="28" cm="1">
        <f t="array" ref="AD52">_xlfn.IFNA(INDEX(Table14[Ávöxtun],MATCH(1,(AD$2=Table14[Column1])*($X52=Table14[Year]),0)),"")</f>
        <v>1.7000000000000001E-2</v>
      </c>
      <c r="AE52" s="28" cm="1">
        <f t="array" ref="AE52">_xlfn.IFNA(INDEX(Table14[Ávöxtun],MATCH(1,(AE$2=Table14[Column1])*($X52=Table14[Year]),0)),"")</f>
        <v>7.400000000000001E-2</v>
      </c>
      <c r="AF52" s="28" t="str" cm="1">
        <f t="array" ref="AF52">_xlfn.IFNA(INDEX(Table14[Ávöxtun],MATCH(1,(AF$2=Table14[Column1])*($X52=Table14[Year]),0)),"")</f>
        <v/>
      </c>
      <c r="AG52" s="28" t="str" cm="1">
        <f t="array" ref="AG52">_xlfn.IFNA(INDEX(Table14[Ávöxtun],MATCH(1,(AG$2=Table14[Column1])*($X52=Table14[Year]),0)),"")</f>
        <v/>
      </c>
      <c r="AH52" s="28" t="str" cm="1">
        <f t="array" ref="AH52">_xlfn.IFNA(INDEX(Table14[Ávöxtun],MATCH(1,(AH$2=Table14[Column1])*($X52=Table14[Year]),0)),"")</f>
        <v/>
      </c>
      <c r="AI52" s="28" t="str" cm="1">
        <f t="array" ref="AI52">_xlfn.IFNA(INDEX(Table14[Ávöxtun],MATCH(1,(AI$2=Table14[Column1])*($X52=Table14[Year]),0)),"")</f>
        <v/>
      </c>
      <c r="AJ52" s="28" t="str" cm="1">
        <f t="array" ref="AJ52">_xlfn.IFNA(INDEX(Table14[Ávöxtun],MATCH(1,(AJ$2=Table14[Column1])*($X52=Table14[Year]),0)),"")</f>
        <v/>
      </c>
      <c r="AK52" s="28" t="str" cm="1">
        <f t="array" ref="AK52">_xlfn.IFNA(INDEX(Table14[Ávöxtun],MATCH(1,(AK$2=Table14[Column1])*($X52=Table14[Year]),0)),"")</f>
        <v/>
      </c>
      <c r="AL52" s="28" cm="1">
        <f t="array" ref="AL52">_xlfn.IFNA(INDEX(Table14[Ávöxtun],MATCH(1,(AL$2=Table14[Column1])*($X52=Table14[Year]),0)),"")</f>
        <v>1.7000000000000001E-2</v>
      </c>
      <c r="AM52" s="28" t="str" cm="1">
        <f t="array" ref="AM52">_xlfn.IFNA(INDEX(Table14[Ávöxtun],MATCH(1,(AM$2=Table14[Column1])*($X52=Table14[Year]),0)),"")</f>
        <v/>
      </c>
      <c r="AN52" s="28" t="str" cm="1">
        <f t="array" ref="AN52">_xlfn.IFNA(INDEX(Table14[Ávöxtun],MATCH(1,(AN$2=Table14[Column1])*($X52=Table14[Year]),0)),"")</f>
        <v/>
      </c>
      <c r="AO52" s="28" t="str" cm="1">
        <f t="array" ref="AO52">_xlfn.IFNA(INDEX(Table14[Ávöxtun],MATCH(1,(AO$2=Table14[Column1])*($X52=Table14[Year]),0)),"")</f>
        <v/>
      </c>
      <c r="AP52" s="28" cm="1">
        <f t="array" ref="AP52">_xlfn.IFNA(INDEX(Table14[Ávöxtun],MATCH(1,(AP$2=Table14[Column1])*($X52=Table14[Year]),0)),"")</f>
        <v>2.7000000000000003E-2</v>
      </c>
      <c r="AQ52" s="28" cm="1">
        <f t="array" ref="AQ52">_xlfn.IFNA(INDEX(Table14[Ávöxtun],MATCH(1,(AQ$2=Table14[Column1])*($X52=Table14[Year]),0)),"")</f>
        <v>1.8000000000000002E-2</v>
      </c>
      <c r="AR52" s="28" cm="1">
        <f t="array" ref="AR52">_xlfn.IFNA(INDEX(Table14[Ávöxtun],MATCH(1,(AR$2=Table14[Column1])*($X52=Table14[Year]),0)),"")</f>
        <v>2.4E-2</v>
      </c>
      <c r="AS52" s="28" t="str" cm="1">
        <f t="array" ref="AS52">_xlfn.IFNA(INDEX(Table14[Ávöxtun],MATCH(1,(AS$2=Table14[Column1])*($X52=Table14[Year]),0)),"")</f>
        <v/>
      </c>
      <c r="AT52" s="28" cm="1">
        <f t="array" ref="AT52">_xlfn.IFNA(INDEX(Table14[Ávöxtun],MATCH(1,(AT$2=Table14[Column1])*($X52=Table14[Year]),0)),"")</f>
        <v>1.1000000000000001E-2</v>
      </c>
      <c r="AU52" s="28" t="str" cm="1">
        <f t="array" ref="AU52">_xlfn.IFNA(INDEX(Table14[Ávöxtun],MATCH(1,(AU$2=Table14[Column1])*($X52=Table14[Year]),0)),"")</f>
        <v/>
      </c>
      <c r="AV52" s="28" t="str" cm="1">
        <f t="array" ref="AV52">_xlfn.IFNA(INDEX(Table14[Ávöxtun],MATCH(1,(AV$2=Table14[Column1])*($X52=Table14[Year]),0)),"")</f>
        <v/>
      </c>
      <c r="AW52" s="28" t="str" cm="1">
        <f t="array" ref="AW52">_xlfn.IFNA(INDEX(Table14[Ávöxtun],MATCH(1,(AW$2=Table14[Column1])*($X52=Table14[Year]),0)),"")</f>
        <v/>
      </c>
      <c r="AX52" s="28" t="str" cm="1">
        <f t="array" ref="AX52">_xlfn.IFNA(INDEX(Table14[Ávöxtun],MATCH(1,(AX$2=Table14[Column1])*($X52=Table14[Year]),0)),"")</f>
        <v/>
      </c>
      <c r="AY52" s="28" t="str" cm="1">
        <f t="array" ref="AY52">_xlfn.IFNA(INDEX(Table14[Ávöxtun],MATCH(1,(AY$2=Table14[Column1])*($X52=Table14[Year]),0)),"")</f>
        <v/>
      </c>
      <c r="AZ52" s="28" t="str" cm="1">
        <f t="array" ref="AZ52">_xlfn.IFNA(INDEX(Table14[Ávöxtun],MATCH(1,(AZ$2=Table14[Column1])*($X52=Table14[Year]),0)),"")</f>
        <v/>
      </c>
      <c r="BA52" s="28" t="str" cm="1">
        <f t="array" ref="BA52">_xlfn.IFNA(INDEX(Table14[Ávöxtun],MATCH(1,(BA$2=Table14[Column1])*($X52=Table14[Year]),0)),"")</f>
        <v/>
      </c>
      <c r="BB52" s="28" t="str" cm="1">
        <f t="array" ref="BB52">_xlfn.IFNA(INDEX(Table14[Ávöxtun],MATCH(1,(BB$2=Table14[Column1])*($X52=Table14[Year]),0)),"")</f>
        <v/>
      </c>
      <c r="BC52" s="28" t="str" cm="1">
        <f t="array" ref="BC52">_xlfn.IFNA(INDEX(Table14[Ávöxtun],MATCH(1,(BC$2=Table14[Column1])*($X52=Table14[Year]),0)),"")</f>
        <v/>
      </c>
      <c r="BD52" s="28" t="str" cm="1">
        <f t="array" ref="BD52">_xlfn.IFNA(INDEX(Table14[Ávöxtun],MATCH(1,(BD$2=Table14[Column1])*($X52=Table14[Year]),0)),"")</f>
        <v/>
      </c>
      <c r="BE52" s="28" t="str" cm="1">
        <f t="array" ref="BE52">_xlfn.IFNA(INDEX(Table14[Ávöxtun],MATCH(1,(BE$2=Table14[Column1])*($X52=Table14[Year]),0)),"")</f>
        <v/>
      </c>
      <c r="BF52" s="28" t="str" cm="1">
        <f t="array" ref="BF52">_xlfn.IFNA(INDEX(Table14[Ávöxtun],MATCH(1,(BF$2=Table14[Column1])*($X52=Table14[Year]),0)),"")</f>
        <v/>
      </c>
      <c r="BG52" s="28" t="str" cm="1">
        <f t="array" ref="BG52">_xlfn.IFNA(INDEX(Table14[Ávöxtun],MATCH(1,(BG$2=Table14[Column1])*($X52=Table14[Year]),0)),"")</f>
        <v/>
      </c>
      <c r="BH52" s="28" t="str" cm="1">
        <f t="array" ref="BH52">_xlfn.IFNA(INDEX(Table14[Ávöxtun],MATCH(1,(BH$2=Table14[Column1])*($X52=Table14[Year]),0)),"")</f>
        <v/>
      </c>
      <c r="BI52" s="28" t="str" cm="1">
        <f t="array" ref="BI52">_xlfn.IFNA(INDEX(Table14[Ávöxtun],MATCH(1,(BI$2=Table14[Column1])*($X52=Table14[Year]),0)),"")</f>
        <v/>
      </c>
      <c r="BJ52" s="28" t="str" cm="1">
        <f t="array" ref="BJ52">_xlfn.IFNA(INDEX(Table14[Ávöxtun],MATCH(1,(BJ$2=Table14[Column1])*($X52=Table14[Year]),0)),"")</f>
        <v/>
      </c>
      <c r="BK52" s="28" t="str" cm="1">
        <f t="array" ref="BK52">_xlfn.IFNA(INDEX(Table14[Ávöxtun],MATCH(1,(BK$2=Table14[Column1])*($X52=Table14[Year]),0)),"")</f>
        <v/>
      </c>
      <c r="BL52" s="28" t="str" cm="1">
        <f t="array" ref="BL52">_xlfn.IFNA(INDEX(Table14[Ávöxtun],MATCH(1,(BL$2=Table14[Column1])*($X52=Table14[Year]),0)),"")</f>
        <v/>
      </c>
      <c r="BM52" s="28" t="str" cm="1">
        <f t="array" ref="BM52">_xlfn.IFNA(INDEX(Table14[Ávöxtun],MATCH(1,(BM$2=Table14[Column1])*($X52=Table14[Year]),0)),"")</f>
        <v/>
      </c>
      <c r="BN52" s="28" t="str" cm="1">
        <f t="array" ref="BN52">_xlfn.IFNA(INDEX(Table14[Ávöxtun],MATCH(1,(BN$2=Table14[Column1])*($X52=Table14[Year]),0)),"")</f>
        <v/>
      </c>
      <c r="BO52" s="28" t="str" cm="1">
        <f t="array" ref="BO52">_xlfn.IFNA(INDEX(Table14[Ávöxtun],MATCH(1,(BO$2=Table14[Column1])*($X52=Table14[Year]),0)),"")</f>
        <v/>
      </c>
      <c r="BP52" s="28" t="str" cm="1">
        <f t="array" ref="BP52">_xlfn.IFNA(INDEX(Table14[Ávöxtun],MATCH(1,(BP$2=Table14[Column1])*($X52=Table14[Year]),0)),"")</f>
        <v/>
      </c>
      <c r="BQ52" s="28" cm="1">
        <f t="array" ref="BQ52">_xlfn.IFNA(INDEX(Table14[Ávöxtun],MATCH(1,(BQ$2=Table14[Column1])*($X52=Table14[Year]),0)),"")</f>
        <v>1.7000000000000001E-2</v>
      </c>
      <c r="BR52" s="28" cm="1">
        <f t="array" ref="BR52">_xlfn.IFNA(INDEX(Table14[Ávöxtun],MATCH(1,(BR$2=Table14[Column1])*($X52=Table14[Year]),0)),"")</f>
        <v>5.2000000000000005E-2</v>
      </c>
      <c r="BS52" s="28" t="str" cm="1">
        <f t="array" ref="BS52">_xlfn.IFNA(INDEX(Table14[Ávöxtun],MATCH(1,(BS$2=Table14[Column1])*($X52=Table14[Year]),0)),"")</f>
        <v/>
      </c>
      <c r="BT52" s="28" t="str" cm="1">
        <f t="array" ref="BT52">_xlfn.IFNA(INDEX(Table14[Ávöxtun],MATCH(1,(BT$2=Table14[Column1])*($X52=Table14[Year]),0)),"")</f>
        <v/>
      </c>
      <c r="BU52" s="28" t="str" cm="1">
        <f t="array" ref="BU52">_xlfn.IFNA(INDEX(Table14[Ávöxtun],MATCH(1,(BU$2=Table14[Column1])*($X52=Table14[Year]),0)),"")</f>
        <v/>
      </c>
      <c r="BV52" s="28" t="str" cm="1">
        <f t="array" ref="BV52">_xlfn.IFNA(INDEX(Table14[Ávöxtun],MATCH(1,(BV$2=Table14[Column1])*($X52=Table14[Year]),0)),"")</f>
        <v/>
      </c>
      <c r="BW52" s="28" t="str" cm="1">
        <f t="array" ref="BW52">_xlfn.IFNA(INDEX(Table14[Ávöxtun],MATCH(1,(BW$2=Table14[Column1])*($X52=Table14[Year]),0)),"")</f>
        <v/>
      </c>
      <c r="BX52" s="28" t="str" cm="1">
        <f t="array" ref="BX52">_xlfn.IFNA(INDEX(Table14[Ávöxtun],MATCH(1,(BX$2=Table14[Column1])*($X52=Table14[Year]),0)),"")</f>
        <v/>
      </c>
      <c r="BY52" s="28" t="str" cm="1">
        <f t="array" ref="BY52">_xlfn.IFNA(INDEX(Table14[Ávöxtun],MATCH(1,(BY$2=Table14[Column1])*($X52=Table14[Year]),0)),"")</f>
        <v/>
      </c>
      <c r="BZ52" s="28" t="str" cm="1">
        <f t="array" ref="BZ52">_xlfn.IFNA(INDEX(Table14[Ávöxtun],MATCH(1,(BZ$2=Table14[Column1])*($X52=Table14[Year]),0)),"")</f>
        <v/>
      </c>
      <c r="CA52" s="28" t="str" cm="1">
        <f t="array" ref="CA52">_xlfn.IFNA(INDEX(Table14[Ávöxtun],MATCH(1,(CA$2=Table14[Column1])*($X52=Table14[Year]),0)),"")</f>
        <v/>
      </c>
      <c r="CB52" s="28" cm="1">
        <f t="array" ref="CB52">_xlfn.IFNA(INDEX(Table14[Ávöxtun],MATCH(1,(CB$2=Table14[Column1])*($X52=Table14[Year]),0)),"")</f>
        <v>2.6000000000000002E-2</v>
      </c>
      <c r="CC52" s="28" t="str" cm="1">
        <f t="array" ref="CC52">_xlfn.IFNA(INDEX(Table14[Ávöxtun],MATCH(1,(CC$2=Table14[Column1])*($X52=Table14[Year]),0)),"")</f>
        <v/>
      </c>
      <c r="CD52" s="28" t="str" cm="1">
        <f t="array" ref="CD52">_xlfn.IFNA(INDEX(Table14[Ávöxtun],MATCH(1,(CD$2=Table14[Column1])*($X52=Table14[Year]),0)),"")</f>
        <v/>
      </c>
      <c r="CE52" s="28" cm="1">
        <f t="array" ref="CE52">_xlfn.IFNA(INDEX(Table14[Ávöxtun],MATCH(1,(CE$2=Table14[Column1])*($X52=Table14[Year]),0)),"")</f>
        <v>6.9999999999999993E-3</v>
      </c>
      <c r="CF52" s="28" cm="1">
        <f t="array" ref="CF52">_xlfn.IFNA(INDEX(Table14[Ávöxtun],MATCH(1,(CF$2=Table14[Column1])*($X52=Table14[Year]),0)),"")</f>
        <v>5.7000000000000002E-2</v>
      </c>
      <c r="CG52" s="28" t="str" cm="1">
        <f t="array" ref="CG52">_xlfn.IFNA(INDEX(Table14[Ávöxtun],MATCH(1,(CG$2=Table14[Column1])*($X52=Table14[Year]),0)),"")</f>
        <v/>
      </c>
      <c r="CH52" s="28" cm="1">
        <f t="array" ref="CH52">_xlfn.IFNA(INDEX(Table14[Ávöxtun],MATCH(1,(CH$2=Table14[Column1])*($X52=Table14[Year]),0)),"")</f>
        <v>2.4E-2</v>
      </c>
      <c r="CI52" s="28" cm="1">
        <f t="array" ref="CI52">_xlfn.IFNA(INDEX(Table14[Ávöxtun],MATCH(1,(CI$2=Table14[Column1])*($X52=Table14[Year]),0)),"")</f>
        <v>4.7E-2</v>
      </c>
      <c r="CJ52" s="28" t="str" cm="1">
        <f t="array" ref="CJ52">_xlfn.IFNA(INDEX(Table14[Ávöxtun],MATCH(1,(CJ$2=Table14[Column1])*($X52=Table14[Year]),0)),"")</f>
        <v/>
      </c>
      <c r="CK52" s="28" t="str" cm="1">
        <f t="array" ref="CK52">_xlfn.IFNA(INDEX(Table14[Ávöxtun],MATCH(1,(CK$2=Table14[Column1])*($X52=Table14[Year]),0)),"")</f>
        <v/>
      </c>
      <c r="CL52" s="28" t="str" cm="1">
        <f t="array" ref="CL52">_xlfn.IFNA(INDEX(Table14[Ávöxtun],MATCH(1,(CL$2=Table14[Column1])*($X52=Table14[Year]),0)),"")</f>
        <v/>
      </c>
      <c r="CM52" s="28" t="str" cm="1">
        <f t="array" ref="CM52">_xlfn.IFNA(INDEX(Table14[Ávöxtun],MATCH(1,(CM$2=Table14[Column1])*($X52=Table14[Year]),0)),"")</f>
        <v/>
      </c>
      <c r="CN52" s="28" cm="1">
        <f t="array" ref="CN52">_xlfn.IFNA(INDEX(Table14[Ávöxtun],MATCH(1,(CN$2=Table14[Column1])*($X52=Table14[Year]),0)),"")</f>
        <v>1.2E-2</v>
      </c>
      <c r="CO52" s="28" t="str" cm="1">
        <f t="array" ref="CO52">_xlfn.IFNA(INDEX(Table14[Ávöxtun],MATCH(1,(CO$2=Table14[Column1])*($X52=Table14[Year]),0)),"")</f>
        <v/>
      </c>
      <c r="CP52" s="28" t="str" cm="1">
        <f t="array" ref="CP52">_xlfn.IFNA(INDEX(Table14[Ávöxtun],MATCH(1,(CP$2=Table14[Column1])*($X52=Table14[Year]),0)),"")</f>
        <v/>
      </c>
      <c r="CQ52" s="28" t="str" cm="1">
        <f t="array" ref="CQ52">_xlfn.IFNA(INDEX(Table14[Ávöxtun],MATCH(1,(CQ$2=Table14[Column1])*($X52=Table14[Year]),0)),"")</f>
        <v/>
      </c>
      <c r="CR52" s="28" cm="1">
        <f t="array" ref="CR52">_xlfn.IFNA(INDEX(Table14[Ávöxtun],MATCH(1,(CR$2=Table14[Column1])*($X52=Table14[Year]),0)),"")</f>
        <v>0.01</v>
      </c>
      <c r="CS52" s="28" t="str" cm="1">
        <f t="array" ref="CS52">_xlfn.IFNA(INDEX(Table14[Ávöxtun],MATCH(1,(CS$2=Table14[Column1])*($X52=Table14[Year]),0)),"")</f>
        <v/>
      </c>
      <c r="CT52" s="28" cm="1">
        <f t="array" ref="CT52">_xlfn.IFNA(INDEX(Table14[Ávöxtun],MATCH(1,(CT$2=Table14[Column1])*($X52=Table14[Year]),0)),"")</f>
        <v>0.05</v>
      </c>
      <c r="CU52" s="28" t="str" cm="1">
        <f t="array" ref="CU52">_xlfn.IFNA(INDEX(Table14[Ávöxtun],MATCH(1,(CU$2=Table14[Column1])*($X52=Table14[Year]),0)),"")</f>
        <v/>
      </c>
      <c r="CV52" s="28" t="str" cm="1">
        <f t="array" ref="CV52">_xlfn.IFNA(INDEX(Table14[Ávöxtun],MATCH(1,(CV$2=Table14[Column1])*($X52=Table14[Year]),0)),"")</f>
        <v/>
      </c>
      <c r="CW52" s="28" t="str" cm="1">
        <f t="array" ref="CW52">_xlfn.IFNA(INDEX(Table14[Ávöxtun],MATCH(1,(CW$2=Table14[Column1])*($X52=Table14[Year]),0)),"")</f>
        <v/>
      </c>
      <c r="CX52" s="28" t="str" cm="1">
        <f t="array" ref="CX52">_xlfn.IFNA(INDEX(Table14[Ávöxtun],MATCH(1,(CX$2=Table14[Column1])*($X52=Table14[Year]),0)),"")</f>
        <v/>
      </c>
      <c r="CY52" s="28" cm="1">
        <f t="array" ref="CY52">_xlfn.IFNA(INDEX(Table14[Ávöxtun],MATCH(1,(CY$2=Table14[Column1])*($X52=Table14[Year]),0)),"")</f>
        <v>1.1000000000000001E-2</v>
      </c>
      <c r="CZ52" s="28" t="str" cm="1">
        <f t="array" ref="CZ52">_xlfn.IFNA(INDEX(Table14[Ávöxtun],MATCH(1,(CZ$2=Table14[Column1])*($X52=Table14[Year]),0)),"")</f>
        <v/>
      </c>
      <c r="DA52" s="28" t="str" cm="1">
        <f t="array" ref="DA52">_xlfn.IFNA(INDEX(Table14[Ávöxtun],MATCH(1,(DA$2=Table14[Column1])*($X52=Table14[Year]),0)),"")</f>
        <v/>
      </c>
      <c r="DB52" s="28" t="str" cm="1">
        <f t="array" ref="DB52">_xlfn.IFNA(INDEX(Table14[Ávöxtun],MATCH(1,(DB$2=Table14[Column1])*($X52=Table14[Year]),0)),"")</f>
        <v/>
      </c>
      <c r="DC52" s="28" cm="1">
        <f t="array" ref="DC52">_xlfn.IFNA(INDEX(Table14[Ávöxtun],MATCH(1,(DC$2=Table14[Column1])*($X52=Table14[Year]),0)),"")</f>
        <v>2.2000000000000002E-2</v>
      </c>
      <c r="DD52" s="28" t="str" cm="1">
        <f t="array" ref="DD52">_xlfn.IFNA(INDEX(Table14[Ávöxtun],MATCH(1,(DD$2=Table14[Column1])*($X52=Table14[Year]),0)),"")</f>
        <v/>
      </c>
      <c r="DE52" s="28" cm="1">
        <f t="array" ref="DE52">_xlfn.IFNA(INDEX(Table14[Ávöxtun],MATCH(1,(DE$2=Table14[Column1])*($X52=Table14[Year]),0)),"")</f>
        <v>1.4999999999999999E-2</v>
      </c>
      <c r="DF52" s="28" t="str" cm="1">
        <f t="array" ref="DF52">_xlfn.IFNA(INDEX(Table14[Ávöxtun],MATCH(1,(DF$2=Table14[Column1])*($X52=Table14[Year]),0)),"")</f>
        <v/>
      </c>
    </row>
    <row r="53" spans="1:110" ht="19">
      <c r="A53" t="s">
        <v>62</v>
      </c>
      <c r="B53">
        <v>1999</v>
      </c>
      <c r="C53" s="16">
        <v>0.06</v>
      </c>
      <c r="D53" s="1">
        <v>2533834.19</v>
      </c>
      <c r="E53" s="29">
        <f>Table14[[#This Row],[Ávöxtun]]*Table14[[#This Row],[Eignir]]/SUMIFS(Table14[Eignir],Table14[Year],Table14[[#This Row],[Year]])</f>
        <v>2.919630873913124E-4</v>
      </c>
      <c r="F53" s="23">
        <f>IF(B53=1997, 100, IF(COUNTIF(A$1:A52,A53)=0, "NEW", F52*(1+Table14[[#This Row],[Ávöxtun]])))</f>
        <v>116.60000000000002</v>
      </c>
      <c r="G53" s="18" cm="1">
        <f t="array" ref="G53">IFERROR(_xlfn.IFS(ISNUMBER(Table14[[#This Row],[Column3]]),Table14[[#This Row],[Column3]],Table14[[#This Row],[Column3]]="NEW",Table14[[#This Row],[Column3]]),"")</f>
        <v>116.60000000000002</v>
      </c>
      <c r="H53" s="15" cm="1">
        <f t="array" ref="H53">_xlfn.IFS(Table14[[#This Row],[Column4]]="NEW",AVERAGEIFS(Table14[Column4],Table14[Year],Table14[[#This Row],[Year]]),ISNUMBER(Table14[[#This Row],[Column4]]),Table14[[#This Row],[Column4]],Table14[[#This Row],[Column4]]="",H52*(1+Table14[[#This Row],[Ávöxtun]]))</f>
        <v>116.60000000000002</v>
      </c>
      <c r="I53" cm="1">
        <f t="array" ref="I53">_xlfn.IFS(Table14[[#This Row],[Column4]]="NEW",_xlfn.XLOOKUP(Table14[[#This Row],[Year]],$M$2:$M$27,$O$2:$O$27),ISNUMBER(Table14[[#This Row],[Column4]]),Table14[[#This Row],[Column4]],Table14[[#This Row],[Column4]]="",I52*(1+Table14[[#This Row],[Ávöxtun]]))</f>
        <v>116.60000000000002</v>
      </c>
      <c r="L53" s="33">
        <v>116.60000000000002</v>
      </c>
      <c r="R53" s="22"/>
      <c r="X53">
        <v>2019</v>
      </c>
      <c r="Y53" s="28">
        <f t="shared" si="2"/>
        <v>0.16035282354463609</v>
      </c>
      <c r="Z53" s="28" cm="1">
        <f t="array" ref="Z53">_xlfn.IFNA(INDEX(Table14[Ávöxtun],MATCH(1,(Z$2=Table14[Column1])*($X53=Table14[Year]),0)),"")</f>
        <v>0.10400000000000001</v>
      </c>
      <c r="AA53" s="28" t="str" cm="1">
        <f t="array" ref="AA53">_xlfn.IFNA(INDEX(Table14[Ávöxtun],MATCH(1,(AA$2=Table14[Column1])*($X53=Table14[Year]),0)),"")</f>
        <v/>
      </c>
      <c r="AB53" s="28" t="str" cm="1">
        <f t="array" ref="AB53">_xlfn.IFNA(INDEX(Table14[Ávöxtun],MATCH(1,(AB$2=Table14[Column1])*($X53=Table14[Year]),0)),"")</f>
        <v/>
      </c>
      <c r="AC53" s="28" t="str" cm="1">
        <f t="array" ref="AC53">_xlfn.IFNA(INDEX(Table14[Ávöxtun],MATCH(1,(AC$2=Table14[Column1])*($X53=Table14[Year]),0)),"")</f>
        <v/>
      </c>
      <c r="AD53" s="28" cm="1">
        <f t="array" ref="AD53">_xlfn.IFNA(INDEX(Table14[Ávöxtun],MATCH(1,(AD$2=Table14[Column1])*($X53=Table14[Year]),0)),"")</f>
        <v>0.11210000000000001</v>
      </c>
      <c r="AE53" s="28" cm="1">
        <f t="array" ref="AE53">_xlfn.IFNA(INDEX(Table14[Ávöxtun],MATCH(1,(AE$2=Table14[Column1])*($X53=Table14[Year]),0)),"")</f>
        <v>0.22600000000000001</v>
      </c>
      <c r="AF53" s="28" t="str" cm="1">
        <f t="array" ref="AF53">_xlfn.IFNA(INDEX(Table14[Ávöxtun],MATCH(1,(AF$2=Table14[Column1])*($X53=Table14[Year]),0)),"")</f>
        <v/>
      </c>
      <c r="AG53" s="28" t="str" cm="1">
        <f t="array" ref="AG53">_xlfn.IFNA(INDEX(Table14[Ávöxtun],MATCH(1,(AG$2=Table14[Column1])*($X53=Table14[Year]),0)),"")</f>
        <v/>
      </c>
      <c r="AH53" s="28" t="str" cm="1">
        <f t="array" ref="AH53">_xlfn.IFNA(INDEX(Table14[Ávöxtun],MATCH(1,(AH$2=Table14[Column1])*($X53=Table14[Year]),0)),"")</f>
        <v/>
      </c>
      <c r="AI53" s="28" t="str" cm="1">
        <f t="array" ref="AI53">_xlfn.IFNA(INDEX(Table14[Ávöxtun],MATCH(1,(AI$2=Table14[Column1])*($X53=Table14[Year]),0)),"")</f>
        <v/>
      </c>
      <c r="AJ53" s="28" t="str" cm="1">
        <f t="array" ref="AJ53">_xlfn.IFNA(INDEX(Table14[Ávöxtun],MATCH(1,(AJ$2=Table14[Column1])*($X53=Table14[Year]),0)),"")</f>
        <v/>
      </c>
      <c r="AK53" s="28" t="str" cm="1">
        <f t="array" ref="AK53">_xlfn.IFNA(INDEX(Table14[Ávöxtun],MATCH(1,(AK$2=Table14[Column1])*($X53=Table14[Year]),0)),"")</f>
        <v/>
      </c>
      <c r="AL53" s="28" cm="1">
        <f t="array" ref="AL53">_xlfn.IFNA(INDEX(Table14[Ávöxtun],MATCH(1,(AL$2=Table14[Column1])*($X53=Table14[Year]),0)),"")</f>
        <v>9.74E-2</v>
      </c>
      <c r="AM53" s="28" t="str" cm="1">
        <f t="array" ref="AM53">_xlfn.IFNA(INDEX(Table14[Ávöxtun],MATCH(1,(AM$2=Table14[Column1])*($X53=Table14[Year]),0)),"")</f>
        <v/>
      </c>
      <c r="AN53" s="28" t="str" cm="1">
        <f t="array" ref="AN53">_xlfn.IFNA(INDEX(Table14[Ávöxtun],MATCH(1,(AN$2=Table14[Column1])*($X53=Table14[Year]),0)),"")</f>
        <v/>
      </c>
      <c r="AO53" s="28" t="str" cm="1">
        <f t="array" ref="AO53">_xlfn.IFNA(INDEX(Table14[Ávöxtun],MATCH(1,(AO$2=Table14[Column1])*($X53=Table14[Year]),0)),"")</f>
        <v/>
      </c>
      <c r="AP53" s="28" cm="1">
        <f t="array" ref="AP53">_xlfn.IFNA(INDEX(Table14[Ávöxtun],MATCH(1,(AP$2=Table14[Column1])*($X53=Table14[Year]),0)),"")</f>
        <v>0.1023</v>
      </c>
      <c r="AQ53" s="28" cm="1">
        <f t="array" ref="AQ53">_xlfn.IFNA(INDEX(Table14[Ávöxtun],MATCH(1,(AQ$2=Table14[Column1])*($X53=Table14[Year]),0)),"")</f>
        <v>0.09</v>
      </c>
      <c r="AR53" s="28" cm="1">
        <f t="array" ref="AR53">_xlfn.IFNA(INDEX(Table14[Ávöxtun],MATCH(1,(AR$2=Table14[Column1])*($X53=Table14[Year]),0)),"")</f>
        <v>0.121</v>
      </c>
      <c r="AS53" s="28" t="str" cm="1">
        <f t="array" ref="AS53">_xlfn.IFNA(INDEX(Table14[Ávöxtun],MATCH(1,(AS$2=Table14[Column1])*($X53=Table14[Year]),0)),"")</f>
        <v/>
      </c>
      <c r="AT53" s="28" cm="1">
        <f t="array" ref="AT53">_xlfn.IFNA(INDEX(Table14[Ávöxtun],MATCH(1,(AT$2=Table14[Column1])*($X53=Table14[Year]),0)),"")</f>
        <v>0.10189999999999999</v>
      </c>
      <c r="AU53" s="28" t="str" cm="1">
        <f t="array" ref="AU53">_xlfn.IFNA(INDEX(Table14[Ávöxtun],MATCH(1,(AU$2=Table14[Column1])*($X53=Table14[Year]),0)),"")</f>
        <v/>
      </c>
      <c r="AV53" s="28" t="str" cm="1">
        <f t="array" ref="AV53">_xlfn.IFNA(INDEX(Table14[Ávöxtun],MATCH(1,(AV$2=Table14[Column1])*($X53=Table14[Year]),0)),"")</f>
        <v/>
      </c>
      <c r="AW53" s="28" t="str" cm="1">
        <f t="array" ref="AW53">_xlfn.IFNA(INDEX(Table14[Ávöxtun],MATCH(1,(AW$2=Table14[Column1])*($X53=Table14[Year]),0)),"")</f>
        <v/>
      </c>
      <c r="AX53" s="28" t="str" cm="1">
        <f t="array" ref="AX53">_xlfn.IFNA(INDEX(Table14[Ávöxtun],MATCH(1,(AX$2=Table14[Column1])*($X53=Table14[Year]),0)),"")</f>
        <v/>
      </c>
      <c r="AY53" s="28" t="str" cm="1">
        <f t="array" ref="AY53">_xlfn.IFNA(INDEX(Table14[Ávöxtun],MATCH(1,(AY$2=Table14[Column1])*($X53=Table14[Year]),0)),"")</f>
        <v/>
      </c>
      <c r="AZ53" s="28" t="str" cm="1">
        <f t="array" ref="AZ53">_xlfn.IFNA(INDEX(Table14[Ávöxtun],MATCH(1,(AZ$2=Table14[Column1])*($X53=Table14[Year]),0)),"")</f>
        <v/>
      </c>
      <c r="BA53" s="28" t="str" cm="1">
        <f t="array" ref="BA53">_xlfn.IFNA(INDEX(Table14[Ávöxtun],MATCH(1,(BA$2=Table14[Column1])*($X53=Table14[Year]),0)),"")</f>
        <v/>
      </c>
      <c r="BB53" s="28" t="str" cm="1">
        <f t="array" ref="BB53">_xlfn.IFNA(INDEX(Table14[Ávöxtun],MATCH(1,(BB$2=Table14[Column1])*($X53=Table14[Year]),0)),"")</f>
        <v/>
      </c>
      <c r="BC53" s="28" t="str" cm="1">
        <f t="array" ref="BC53">_xlfn.IFNA(INDEX(Table14[Ávöxtun],MATCH(1,(BC$2=Table14[Column1])*($X53=Table14[Year]),0)),"")</f>
        <v/>
      </c>
      <c r="BD53" s="28" t="str" cm="1">
        <f t="array" ref="BD53">_xlfn.IFNA(INDEX(Table14[Ávöxtun],MATCH(1,(BD$2=Table14[Column1])*($X53=Table14[Year]),0)),"")</f>
        <v/>
      </c>
      <c r="BE53" s="28" t="str" cm="1">
        <f t="array" ref="BE53">_xlfn.IFNA(INDEX(Table14[Ávöxtun],MATCH(1,(BE$2=Table14[Column1])*($X53=Table14[Year]),0)),"")</f>
        <v/>
      </c>
      <c r="BF53" s="28" t="str" cm="1">
        <f t="array" ref="BF53">_xlfn.IFNA(INDEX(Table14[Ávöxtun],MATCH(1,(BF$2=Table14[Column1])*($X53=Table14[Year]),0)),"")</f>
        <v/>
      </c>
      <c r="BG53" s="28" t="str" cm="1">
        <f t="array" ref="BG53">_xlfn.IFNA(INDEX(Table14[Ávöxtun],MATCH(1,(BG$2=Table14[Column1])*($X53=Table14[Year]),0)),"")</f>
        <v/>
      </c>
      <c r="BH53" s="28" t="str" cm="1">
        <f t="array" ref="BH53">_xlfn.IFNA(INDEX(Table14[Ávöxtun],MATCH(1,(BH$2=Table14[Column1])*($X53=Table14[Year]),0)),"")</f>
        <v/>
      </c>
      <c r="BI53" s="28" t="str" cm="1">
        <f t="array" ref="BI53">_xlfn.IFNA(INDEX(Table14[Ávöxtun],MATCH(1,(BI$2=Table14[Column1])*($X53=Table14[Year]),0)),"")</f>
        <v/>
      </c>
      <c r="BJ53" s="28" t="str" cm="1">
        <f t="array" ref="BJ53">_xlfn.IFNA(INDEX(Table14[Ávöxtun],MATCH(1,(BJ$2=Table14[Column1])*($X53=Table14[Year]),0)),"")</f>
        <v/>
      </c>
      <c r="BK53" s="28" t="str" cm="1">
        <f t="array" ref="BK53">_xlfn.IFNA(INDEX(Table14[Ávöxtun],MATCH(1,(BK$2=Table14[Column1])*($X53=Table14[Year]),0)),"")</f>
        <v/>
      </c>
      <c r="BL53" s="28" t="str" cm="1">
        <f t="array" ref="BL53">_xlfn.IFNA(INDEX(Table14[Ávöxtun],MATCH(1,(BL$2=Table14[Column1])*($X53=Table14[Year]),0)),"")</f>
        <v/>
      </c>
      <c r="BM53" s="28" t="str" cm="1">
        <f t="array" ref="BM53">_xlfn.IFNA(INDEX(Table14[Ávöxtun],MATCH(1,(BM$2=Table14[Column1])*($X53=Table14[Year]),0)),"")</f>
        <v/>
      </c>
      <c r="BN53" s="28" t="str" cm="1">
        <f t="array" ref="BN53">_xlfn.IFNA(INDEX(Table14[Ávöxtun],MATCH(1,(BN$2=Table14[Column1])*($X53=Table14[Year]),0)),"")</f>
        <v/>
      </c>
      <c r="BO53" s="28" t="str" cm="1">
        <f t="array" ref="BO53">_xlfn.IFNA(INDEX(Table14[Ávöxtun],MATCH(1,(BO$2=Table14[Column1])*($X53=Table14[Year]),0)),"")</f>
        <v/>
      </c>
      <c r="BP53" s="28" t="str" cm="1">
        <f t="array" ref="BP53">_xlfn.IFNA(INDEX(Table14[Ávöxtun],MATCH(1,(BP$2=Table14[Column1])*($X53=Table14[Year]),0)),"")</f>
        <v/>
      </c>
      <c r="BQ53" s="28" cm="1">
        <f t="array" ref="BQ53">_xlfn.IFNA(INDEX(Table14[Ávöxtun],MATCH(1,(BQ$2=Table14[Column1])*($X53=Table14[Year]),0)),"")</f>
        <v>9.6000000000000002E-2</v>
      </c>
      <c r="BR53" s="28" cm="1">
        <f t="array" ref="BR53">_xlfn.IFNA(INDEX(Table14[Ávöxtun],MATCH(1,(BR$2=Table14[Column1])*($X53=Table14[Year]),0)),"")</f>
        <v>0.122</v>
      </c>
      <c r="BS53" s="28" t="str" cm="1">
        <f t="array" ref="BS53">_xlfn.IFNA(INDEX(Table14[Ávöxtun],MATCH(1,(BS$2=Table14[Column1])*($X53=Table14[Year]),0)),"")</f>
        <v/>
      </c>
      <c r="BT53" s="28" t="str" cm="1">
        <f t="array" ref="BT53">_xlfn.IFNA(INDEX(Table14[Ávöxtun],MATCH(1,(BT$2=Table14[Column1])*($X53=Table14[Year]),0)),"")</f>
        <v/>
      </c>
      <c r="BU53" s="28" t="str" cm="1">
        <f t="array" ref="BU53">_xlfn.IFNA(INDEX(Table14[Ávöxtun],MATCH(1,(BU$2=Table14[Column1])*($X53=Table14[Year]),0)),"")</f>
        <v/>
      </c>
      <c r="BV53" s="28" t="str" cm="1">
        <f t="array" ref="BV53">_xlfn.IFNA(INDEX(Table14[Ávöxtun],MATCH(1,(BV$2=Table14[Column1])*($X53=Table14[Year]),0)),"")</f>
        <v/>
      </c>
      <c r="BW53" s="28" t="str" cm="1">
        <f t="array" ref="BW53">_xlfn.IFNA(INDEX(Table14[Ávöxtun],MATCH(1,(BW$2=Table14[Column1])*($X53=Table14[Year]),0)),"")</f>
        <v/>
      </c>
      <c r="BX53" s="28" t="str" cm="1">
        <f t="array" ref="BX53">_xlfn.IFNA(INDEX(Table14[Ávöxtun],MATCH(1,(BX$2=Table14[Column1])*($X53=Table14[Year]),0)),"")</f>
        <v/>
      </c>
      <c r="BY53" s="28" t="str" cm="1">
        <f t="array" ref="BY53">_xlfn.IFNA(INDEX(Table14[Ávöxtun],MATCH(1,(BY$2=Table14[Column1])*($X53=Table14[Year]),0)),"")</f>
        <v/>
      </c>
      <c r="BZ53" s="28" t="str" cm="1">
        <f t="array" ref="BZ53">_xlfn.IFNA(INDEX(Table14[Ávöxtun],MATCH(1,(BZ$2=Table14[Column1])*($X53=Table14[Year]),0)),"")</f>
        <v/>
      </c>
      <c r="CA53" s="28" t="str" cm="1">
        <f t="array" ref="CA53">_xlfn.IFNA(INDEX(Table14[Ávöxtun],MATCH(1,(CA$2=Table14[Column1])*($X53=Table14[Year]),0)),"")</f>
        <v/>
      </c>
      <c r="CB53" s="28" cm="1">
        <f t="array" ref="CB53">_xlfn.IFNA(INDEX(Table14[Ávöxtun],MATCH(1,(CB$2=Table14[Column1])*($X53=Table14[Year]),0)),"")</f>
        <v>7.7200000000000005E-2</v>
      </c>
      <c r="CC53" s="28" t="str" cm="1">
        <f t="array" ref="CC53">_xlfn.IFNA(INDEX(Table14[Ávöxtun],MATCH(1,(CC$2=Table14[Column1])*($X53=Table14[Year]),0)),"")</f>
        <v/>
      </c>
      <c r="CD53" s="28" t="str" cm="1">
        <f t="array" ref="CD53">_xlfn.IFNA(INDEX(Table14[Ávöxtun],MATCH(1,(CD$2=Table14[Column1])*($X53=Table14[Year]),0)),"")</f>
        <v/>
      </c>
      <c r="CE53" s="28" cm="1">
        <f t="array" ref="CE53">_xlfn.IFNA(INDEX(Table14[Ávöxtun],MATCH(1,(CE$2=Table14[Column1])*($X53=Table14[Year]),0)),"")</f>
        <v>6.7000000000000004E-2</v>
      </c>
      <c r="CF53" s="28" cm="1">
        <f t="array" ref="CF53">_xlfn.IFNA(INDEX(Table14[Ávöxtun],MATCH(1,(CF$2=Table14[Column1])*($X53=Table14[Year]),0)),"")</f>
        <v>8.43E-2</v>
      </c>
      <c r="CG53" s="28" t="str" cm="1">
        <f t="array" ref="CG53">_xlfn.IFNA(INDEX(Table14[Ávöxtun],MATCH(1,(CG$2=Table14[Column1])*($X53=Table14[Year]),0)),"")</f>
        <v/>
      </c>
      <c r="CH53" s="28" cm="1">
        <f t="array" ref="CH53">_xlfn.IFNA(INDEX(Table14[Ávöxtun],MATCH(1,(CH$2=Table14[Column1])*($X53=Table14[Year]),0)),"")</f>
        <v>5.5E-2</v>
      </c>
      <c r="CI53" s="28" cm="1">
        <f t="array" ref="CI53">_xlfn.IFNA(INDEX(Table14[Ávöxtun],MATCH(1,(CI$2=Table14[Column1])*($X53=Table14[Year]),0)),"")</f>
        <v>0.27800000000000002</v>
      </c>
      <c r="CJ53" s="28" t="str" cm="1">
        <f t="array" ref="CJ53">_xlfn.IFNA(INDEX(Table14[Ávöxtun],MATCH(1,(CJ$2=Table14[Column1])*($X53=Table14[Year]),0)),"")</f>
        <v/>
      </c>
      <c r="CK53" s="28" t="str" cm="1">
        <f t="array" ref="CK53">_xlfn.IFNA(INDEX(Table14[Ávöxtun],MATCH(1,(CK$2=Table14[Column1])*($X53=Table14[Year]),0)),"")</f>
        <v/>
      </c>
      <c r="CL53" s="28" t="str" cm="1">
        <f t="array" ref="CL53">_xlfn.IFNA(INDEX(Table14[Ávöxtun],MATCH(1,(CL$2=Table14[Column1])*($X53=Table14[Year]),0)),"")</f>
        <v/>
      </c>
      <c r="CM53" s="28" t="str" cm="1">
        <f t="array" ref="CM53">_xlfn.IFNA(INDEX(Table14[Ávöxtun],MATCH(1,(CM$2=Table14[Column1])*($X53=Table14[Year]),0)),"")</f>
        <v/>
      </c>
      <c r="CN53" s="28" cm="1">
        <f t="array" ref="CN53">_xlfn.IFNA(INDEX(Table14[Ávöxtun],MATCH(1,(CN$2=Table14[Column1])*($X53=Table14[Year]),0)),"")</f>
        <v>9.7200000000000009E-2</v>
      </c>
      <c r="CO53" s="28" t="str" cm="1">
        <f t="array" ref="CO53">_xlfn.IFNA(INDEX(Table14[Ávöxtun],MATCH(1,(CO$2=Table14[Column1])*($X53=Table14[Year]),0)),"")</f>
        <v/>
      </c>
      <c r="CP53" s="28" t="str" cm="1">
        <f t="array" ref="CP53">_xlfn.IFNA(INDEX(Table14[Ávöxtun],MATCH(1,(CP$2=Table14[Column1])*($X53=Table14[Year]),0)),"")</f>
        <v/>
      </c>
      <c r="CQ53" s="28" t="str" cm="1">
        <f t="array" ref="CQ53">_xlfn.IFNA(INDEX(Table14[Ávöxtun],MATCH(1,(CQ$2=Table14[Column1])*($X53=Table14[Year]),0)),"")</f>
        <v/>
      </c>
      <c r="CR53" s="28" cm="1">
        <f t="array" ref="CR53">_xlfn.IFNA(INDEX(Table14[Ávöxtun],MATCH(1,(CR$2=Table14[Column1])*($X53=Table14[Year]),0)),"")</f>
        <v>0.156</v>
      </c>
      <c r="CS53" s="28" t="str" cm="1">
        <f t="array" ref="CS53">_xlfn.IFNA(INDEX(Table14[Ávöxtun],MATCH(1,(CS$2=Table14[Column1])*($X53=Table14[Year]),0)),"")</f>
        <v/>
      </c>
      <c r="CT53" s="28" cm="1">
        <f t="array" ref="CT53">_xlfn.IFNA(INDEX(Table14[Ávöxtun],MATCH(1,(CT$2=Table14[Column1])*($X53=Table14[Year]),0)),"")</f>
        <v>0.11609999999999999</v>
      </c>
      <c r="CU53" s="28" t="str" cm="1">
        <f t="array" ref="CU53">_xlfn.IFNA(INDEX(Table14[Ávöxtun],MATCH(1,(CU$2=Table14[Column1])*($X53=Table14[Year]),0)),"")</f>
        <v/>
      </c>
      <c r="CV53" s="28" t="str" cm="1">
        <f t="array" ref="CV53">_xlfn.IFNA(INDEX(Table14[Ávöxtun],MATCH(1,(CV$2=Table14[Column1])*($X53=Table14[Year]),0)),"")</f>
        <v/>
      </c>
      <c r="CW53" s="28" t="str" cm="1">
        <f t="array" ref="CW53">_xlfn.IFNA(INDEX(Table14[Ávöxtun],MATCH(1,(CW$2=Table14[Column1])*($X53=Table14[Year]),0)),"")</f>
        <v/>
      </c>
      <c r="CX53" s="28" t="str" cm="1">
        <f t="array" ref="CX53">_xlfn.IFNA(INDEX(Table14[Ávöxtun],MATCH(1,(CX$2=Table14[Column1])*($X53=Table14[Year]),0)),"")</f>
        <v/>
      </c>
      <c r="CY53" s="28" cm="1">
        <f t="array" ref="CY53">_xlfn.IFNA(INDEX(Table14[Ávöxtun],MATCH(1,(CY$2=Table14[Column1])*($X53=Table14[Year]),0)),"")</f>
        <v>0.09</v>
      </c>
      <c r="CZ53" s="28" t="str" cm="1">
        <f t="array" ref="CZ53">_xlfn.IFNA(INDEX(Table14[Ávöxtun],MATCH(1,(CZ$2=Table14[Column1])*($X53=Table14[Year]),0)),"")</f>
        <v/>
      </c>
      <c r="DA53" s="28" t="str" cm="1">
        <f t="array" ref="DA53">_xlfn.IFNA(INDEX(Table14[Ávöxtun],MATCH(1,(DA$2=Table14[Column1])*($X53=Table14[Year]),0)),"")</f>
        <v/>
      </c>
      <c r="DB53" s="28" t="str" cm="1">
        <f t="array" ref="DB53">_xlfn.IFNA(INDEX(Table14[Ávöxtun],MATCH(1,(DB$2=Table14[Column1])*($X53=Table14[Year]),0)),"")</f>
        <v/>
      </c>
      <c r="DC53" s="28" cm="1">
        <f t="array" ref="DC53">_xlfn.IFNA(INDEX(Table14[Ávöxtun],MATCH(1,(DC$2=Table14[Column1])*($X53=Table14[Year]),0)),"")</f>
        <v>0.107</v>
      </c>
      <c r="DD53" s="28" t="str" cm="1">
        <f t="array" ref="DD53">_xlfn.IFNA(INDEX(Table14[Ávöxtun],MATCH(1,(DD$2=Table14[Column1])*($X53=Table14[Year]),0)),"")</f>
        <v/>
      </c>
      <c r="DE53" s="28" cm="1">
        <f t="array" ref="DE53">_xlfn.IFNA(INDEX(Table14[Ávöxtun],MATCH(1,(DE$2=Table14[Column1])*($X53=Table14[Year]),0)),"")</f>
        <v>9.98E-2</v>
      </c>
      <c r="DF53" s="28" t="str" cm="1">
        <f t="array" ref="DF53">_xlfn.IFNA(INDEX(Table14[Ávöxtun],MATCH(1,(DF$2=Table14[Column1])*($X53=Table14[Year]),0)),"")</f>
        <v/>
      </c>
    </row>
    <row r="54" spans="1:110">
      <c r="A54" t="s">
        <v>62</v>
      </c>
      <c r="B54">
        <v>2000</v>
      </c>
      <c r="C54" s="16">
        <v>-0.03</v>
      </c>
      <c r="D54" s="1">
        <v>2371052.36</v>
      </c>
      <c r="E54" s="29">
        <f>Table14[[#This Row],[Ávöxtun]]*Table14[[#This Row],[Eignir]]/SUMIFS(Table14[Eignir],Table14[Year],Table14[[#This Row],[Year]])</f>
        <v>-1.0005992450636128E-4</v>
      </c>
      <c r="F54" s="23">
        <f>IF(B54=1997, 100, IF(COUNTIF(A$1:A53,A54)=0, "NEW", F53*(1+Table14[[#This Row],[Ávöxtun]])))</f>
        <v>113.10200000000002</v>
      </c>
      <c r="G54" s="18" cm="1">
        <f t="array" ref="G54">IFERROR(_xlfn.IFS(ISNUMBER(Table14[[#This Row],[Column3]]),Table14[[#This Row],[Column3]],Table14[[#This Row],[Column3]]="NEW",Table14[[#This Row],[Column3]]),"")</f>
        <v>113.10200000000002</v>
      </c>
      <c r="H54" s="15" cm="1">
        <f t="array" ref="H54">_xlfn.IFS(Table14[[#This Row],[Column4]]="NEW",AVERAGEIFS(Table14[Column4],Table14[Year],Table14[[#This Row],[Year]]),ISNUMBER(Table14[[#This Row],[Column4]]),Table14[[#This Row],[Column4]],Table14[[#This Row],[Column4]]="",H53*(1+Table14[[#This Row],[Ávöxtun]]))</f>
        <v>113.10200000000002</v>
      </c>
      <c r="I54" cm="1">
        <f t="array" ref="I54">_xlfn.IFS(Table14[[#This Row],[Column4]]="NEW",_xlfn.XLOOKUP(Table14[[#This Row],[Year]],$M$2:$M$27,$O$2:$O$27),ISNUMBER(Table14[[#This Row],[Column4]]),Table14[[#This Row],[Column4]],Table14[[#This Row],[Column4]]="",I53*(1+Table14[[#This Row],[Ávöxtun]]))</f>
        <v>113.10200000000002</v>
      </c>
      <c r="L54" s="33">
        <v>113.10200000000002</v>
      </c>
      <c r="X54">
        <v>2020</v>
      </c>
      <c r="Y54" s="28">
        <f t="shared" si="2"/>
        <v>0.13104509362166805</v>
      </c>
      <c r="Z54" s="28" cm="1">
        <f t="array" ref="Z54">_xlfn.IFNA(INDEX(Table14[Ávöxtun],MATCH(1,(Z$2=Table14[Column1])*($X54=Table14[Year]),0)),"")</f>
        <v>8.199999999999999E-2</v>
      </c>
      <c r="AA54" s="28" t="str" cm="1">
        <f t="array" ref="AA54">_xlfn.IFNA(INDEX(Table14[Ávöxtun],MATCH(1,(AA$2=Table14[Column1])*($X54=Table14[Year]),0)),"")</f>
        <v/>
      </c>
      <c r="AB54" s="28" t="str" cm="1">
        <f t="array" ref="AB54">_xlfn.IFNA(INDEX(Table14[Ávöxtun],MATCH(1,(AB$2=Table14[Column1])*($X54=Table14[Year]),0)),"")</f>
        <v/>
      </c>
      <c r="AC54" s="28" t="str" cm="1">
        <f t="array" ref="AC54">_xlfn.IFNA(INDEX(Table14[Ávöxtun],MATCH(1,(AC$2=Table14[Column1])*($X54=Table14[Year]),0)),"")</f>
        <v/>
      </c>
      <c r="AD54" s="28" cm="1">
        <f t="array" ref="AD54">_xlfn.IFNA(INDEX(Table14[Ávöxtun],MATCH(1,(AD$2=Table14[Column1])*($X54=Table14[Year]),0)),"")</f>
        <v>8.8900000000000007E-2</v>
      </c>
      <c r="AE54" s="28" cm="1">
        <f t="array" ref="AE54">_xlfn.IFNA(INDEX(Table14[Ávöxtun],MATCH(1,(AE$2=Table14[Column1])*($X54=Table14[Year]),0)),"")</f>
        <v>0.20800000000000002</v>
      </c>
      <c r="AF54" s="28" t="str" cm="1">
        <f t="array" ref="AF54">_xlfn.IFNA(INDEX(Table14[Ávöxtun],MATCH(1,(AF$2=Table14[Column1])*($X54=Table14[Year]),0)),"")</f>
        <v/>
      </c>
      <c r="AG54" s="28" t="str" cm="1">
        <f t="array" ref="AG54">_xlfn.IFNA(INDEX(Table14[Ávöxtun],MATCH(1,(AG$2=Table14[Column1])*($X54=Table14[Year]),0)),"")</f>
        <v/>
      </c>
      <c r="AH54" s="28" t="str" cm="1">
        <f t="array" ref="AH54">_xlfn.IFNA(INDEX(Table14[Ávöxtun],MATCH(1,(AH$2=Table14[Column1])*($X54=Table14[Year]),0)),"")</f>
        <v/>
      </c>
      <c r="AI54" s="28" t="str" cm="1">
        <f t="array" ref="AI54">_xlfn.IFNA(INDEX(Table14[Ávöxtun],MATCH(1,(AI$2=Table14[Column1])*($X54=Table14[Year]),0)),"")</f>
        <v/>
      </c>
      <c r="AJ54" s="28" t="str" cm="1">
        <f t="array" ref="AJ54">_xlfn.IFNA(INDEX(Table14[Ávöxtun],MATCH(1,(AJ$2=Table14[Column1])*($X54=Table14[Year]),0)),"")</f>
        <v/>
      </c>
      <c r="AK54" s="28" t="str" cm="1">
        <f t="array" ref="AK54">_xlfn.IFNA(INDEX(Table14[Ávöxtun],MATCH(1,(AK$2=Table14[Column1])*($X54=Table14[Year]),0)),"")</f>
        <v/>
      </c>
      <c r="AL54" s="28" cm="1">
        <f t="array" ref="AL54">_xlfn.IFNA(INDEX(Table14[Ávöxtun],MATCH(1,(AL$2=Table14[Column1])*($X54=Table14[Year]),0)),"")</f>
        <v>8.7400000000000005E-2</v>
      </c>
      <c r="AM54" s="28" t="str" cm="1">
        <f t="array" ref="AM54">_xlfn.IFNA(INDEX(Table14[Ávöxtun],MATCH(1,(AM$2=Table14[Column1])*($X54=Table14[Year]),0)),"")</f>
        <v/>
      </c>
      <c r="AN54" s="28" t="str" cm="1">
        <f t="array" ref="AN54">_xlfn.IFNA(INDEX(Table14[Ávöxtun],MATCH(1,(AN$2=Table14[Column1])*($X54=Table14[Year]),0)),"")</f>
        <v/>
      </c>
      <c r="AO54" s="28" t="str" cm="1">
        <f t="array" ref="AO54">_xlfn.IFNA(INDEX(Table14[Ávöxtun],MATCH(1,(AO$2=Table14[Column1])*($X54=Table14[Year]),0)),"")</f>
        <v/>
      </c>
      <c r="AP54" s="28" cm="1">
        <f t="array" ref="AP54">_xlfn.IFNA(INDEX(Table14[Ávöxtun],MATCH(1,(AP$2=Table14[Column1])*($X54=Table14[Year]),0)),"")</f>
        <v>9.1199999999999989E-2</v>
      </c>
      <c r="AQ54" s="28" cm="1">
        <f t="array" ref="AQ54">_xlfn.IFNA(INDEX(Table14[Ávöxtun],MATCH(1,(AQ$2=Table14[Column1])*($X54=Table14[Year]),0)),"")</f>
        <v>7.6999999999999999E-2</v>
      </c>
      <c r="AR54" s="28" cm="1">
        <f t="array" ref="AR54">_xlfn.IFNA(INDEX(Table14[Ávöxtun],MATCH(1,(AR$2=Table14[Column1])*($X54=Table14[Year]),0)),"")</f>
        <v>9.6999999999999989E-2</v>
      </c>
      <c r="AS54" s="28" t="str" cm="1">
        <f t="array" ref="AS54">_xlfn.IFNA(INDEX(Table14[Ávöxtun],MATCH(1,(AS$2=Table14[Column1])*($X54=Table14[Year]),0)),"")</f>
        <v/>
      </c>
      <c r="AT54" s="28" cm="1">
        <f t="array" ref="AT54">_xlfn.IFNA(INDEX(Table14[Ávöxtun],MATCH(1,(AT$2=Table14[Column1])*($X54=Table14[Year]),0)),"")</f>
        <v>8.5900000000000004E-2</v>
      </c>
      <c r="AU54" s="28" t="str" cm="1">
        <f t="array" ref="AU54">_xlfn.IFNA(INDEX(Table14[Ávöxtun],MATCH(1,(AU$2=Table14[Column1])*($X54=Table14[Year]),0)),"")</f>
        <v/>
      </c>
      <c r="AV54" s="28" t="str" cm="1">
        <f t="array" ref="AV54">_xlfn.IFNA(INDEX(Table14[Ávöxtun],MATCH(1,(AV$2=Table14[Column1])*($X54=Table14[Year]),0)),"")</f>
        <v/>
      </c>
      <c r="AW54" s="28" t="str" cm="1">
        <f t="array" ref="AW54">_xlfn.IFNA(INDEX(Table14[Ávöxtun],MATCH(1,(AW$2=Table14[Column1])*($X54=Table14[Year]),0)),"")</f>
        <v/>
      </c>
      <c r="AX54" s="28" t="str" cm="1">
        <f t="array" ref="AX54">_xlfn.IFNA(INDEX(Table14[Ávöxtun],MATCH(1,(AX$2=Table14[Column1])*($X54=Table14[Year]),0)),"")</f>
        <v/>
      </c>
      <c r="AY54" s="28" t="str" cm="1">
        <f t="array" ref="AY54">_xlfn.IFNA(INDEX(Table14[Ávöxtun],MATCH(1,(AY$2=Table14[Column1])*($X54=Table14[Year]),0)),"")</f>
        <v/>
      </c>
      <c r="AZ54" s="28" t="str" cm="1">
        <f t="array" ref="AZ54">_xlfn.IFNA(INDEX(Table14[Ávöxtun],MATCH(1,(AZ$2=Table14[Column1])*($X54=Table14[Year]),0)),"")</f>
        <v/>
      </c>
      <c r="BA54" s="28" t="str" cm="1">
        <f t="array" ref="BA54">_xlfn.IFNA(INDEX(Table14[Ávöxtun],MATCH(1,(BA$2=Table14[Column1])*($X54=Table14[Year]),0)),"")</f>
        <v/>
      </c>
      <c r="BB54" s="28" t="str" cm="1">
        <f t="array" ref="BB54">_xlfn.IFNA(INDEX(Table14[Ávöxtun],MATCH(1,(BB$2=Table14[Column1])*($X54=Table14[Year]),0)),"")</f>
        <v/>
      </c>
      <c r="BC54" s="28" t="str" cm="1">
        <f t="array" ref="BC54">_xlfn.IFNA(INDEX(Table14[Ávöxtun],MATCH(1,(BC$2=Table14[Column1])*($X54=Table14[Year]),0)),"")</f>
        <v/>
      </c>
      <c r="BD54" s="28" t="str" cm="1">
        <f t="array" ref="BD54">_xlfn.IFNA(INDEX(Table14[Ávöxtun],MATCH(1,(BD$2=Table14[Column1])*($X54=Table14[Year]),0)),"")</f>
        <v/>
      </c>
      <c r="BE54" s="28" t="str" cm="1">
        <f t="array" ref="BE54">_xlfn.IFNA(INDEX(Table14[Ávöxtun],MATCH(1,(BE$2=Table14[Column1])*($X54=Table14[Year]),0)),"")</f>
        <v/>
      </c>
      <c r="BF54" s="28" t="str" cm="1">
        <f t="array" ref="BF54">_xlfn.IFNA(INDEX(Table14[Ávöxtun],MATCH(1,(BF$2=Table14[Column1])*($X54=Table14[Year]),0)),"")</f>
        <v/>
      </c>
      <c r="BG54" s="28" t="str" cm="1">
        <f t="array" ref="BG54">_xlfn.IFNA(INDEX(Table14[Ávöxtun],MATCH(1,(BG$2=Table14[Column1])*($X54=Table14[Year]),0)),"")</f>
        <v/>
      </c>
      <c r="BH54" s="28" t="str" cm="1">
        <f t="array" ref="BH54">_xlfn.IFNA(INDEX(Table14[Ávöxtun],MATCH(1,(BH$2=Table14[Column1])*($X54=Table14[Year]),0)),"")</f>
        <v/>
      </c>
      <c r="BI54" s="28" t="str" cm="1">
        <f t="array" ref="BI54">_xlfn.IFNA(INDEX(Table14[Ávöxtun],MATCH(1,(BI$2=Table14[Column1])*($X54=Table14[Year]),0)),"")</f>
        <v/>
      </c>
      <c r="BJ54" s="28" t="str" cm="1">
        <f t="array" ref="BJ54">_xlfn.IFNA(INDEX(Table14[Ávöxtun],MATCH(1,(BJ$2=Table14[Column1])*($X54=Table14[Year]),0)),"")</f>
        <v/>
      </c>
      <c r="BK54" s="28" t="str" cm="1">
        <f t="array" ref="BK54">_xlfn.IFNA(INDEX(Table14[Ávöxtun],MATCH(1,(BK$2=Table14[Column1])*($X54=Table14[Year]),0)),"")</f>
        <v/>
      </c>
      <c r="BL54" s="28" t="str" cm="1">
        <f t="array" ref="BL54">_xlfn.IFNA(INDEX(Table14[Ávöxtun],MATCH(1,(BL$2=Table14[Column1])*($X54=Table14[Year]),0)),"")</f>
        <v/>
      </c>
      <c r="BM54" s="28" t="str" cm="1">
        <f t="array" ref="BM54">_xlfn.IFNA(INDEX(Table14[Ávöxtun],MATCH(1,(BM$2=Table14[Column1])*($X54=Table14[Year]),0)),"")</f>
        <v/>
      </c>
      <c r="BN54" s="28" t="str" cm="1">
        <f t="array" ref="BN54">_xlfn.IFNA(INDEX(Table14[Ávöxtun],MATCH(1,(BN$2=Table14[Column1])*($X54=Table14[Year]),0)),"")</f>
        <v/>
      </c>
      <c r="BO54" s="28" t="str" cm="1">
        <f t="array" ref="BO54">_xlfn.IFNA(INDEX(Table14[Ávöxtun],MATCH(1,(BO$2=Table14[Column1])*($X54=Table14[Year]),0)),"")</f>
        <v/>
      </c>
      <c r="BP54" s="28" t="str" cm="1">
        <f t="array" ref="BP54">_xlfn.IFNA(INDEX(Table14[Ávöxtun],MATCH(1,(BP$2=Table14[Column1])*($X54=Table14[Year]),0)),"")</f>
        <v/>
      </c>
      <c r="BQ54" s="28" cm="1">
        <f t="array" ref="BQ54">_xlfn.IFNA(INDEX(Table14[Ávöxtun],MATCH(1,(BQ$2=Table14[Column1])*($X54=Table14[Year]),0)),"")</f>
        <v>8.3000000000000004E-2</v>
      </c>
      <c r="BR54" s="28" cm="1">
        <f t="array" ref="BR54">_xlfn.IFNA(INDEX(Table14[Ávöxtun],MATCH(1,(BR$2=Table14[Column1])*($X54=Table14[Year]),0)),"")</f>
        <v>0.1125</v>
      </c>
      <c r="BS54" s="28" t="str" cm="1">
        <f t="array" ref="BS54">_xlfn.IFNA(INDEX(Table14[Ávöxtun],MATCH(1,(BS$2=Table14[Column1])*($X54=Table14[Year]),0)),"")</f>
        <v/>
      </c>
      <c r="BT54" s="28" t="str" cm="1">
        <f t="array" ref="BT54">_xlfn.IFNA(INDEX(Table14[Ávöxtun],MATCH(1,(BT$2=Table14[Column1])*($X54=Table14[Year]),0)),"")</f>
        <v/>
      </c>
      <c r="BU54" s="28" t="str" cm="1">
        <f t="array" ref="BU54">_xlfn.IFNA(INDEX(Table14[Ávöxtun],MATCH(1,(BU$2=Table14[Column1])*($X54=Table14[Year]),0)),"")</f>
        <v/>
      </c>
      <c r="BV54" s="28" t="str" cm="1">
        <f t="array" ref="BV54">_xlfn.IFNA(INDEX(Table14[Ávöxtun],MATCH(1,(BV$2=Table14[Column1])*($X54=Table14[Year]),0)),"")</f>
        <v/>
      </c>
      <c r="BW54" s="28" t="str" cm="1">
        <f t="array" ref="BW54">_xlfn.IFNA(INDEX(Table14[Ávöxtun],MATCH(1,(BW$2=Table14[Column1])*($X54=Table14[Year]),0)),"")</f>
        <v/>
      </c>
      <c r="BX54" s="28" t="str" cm="1">
        <f t="array" ref="BX54">_xlfn.IFNA(INDEX(Table14[Ávöxtun],MATCH(1,(BX$2=Table14[Column1])*($X54=Table14[Year]),0)),"")</f>
        <v/>
      </c>
      <c r="BY54" s="28" t="str" cm="1">
        <f t="array" ref="BY54">_xlfn.IFNA(INDEX(Table14[Ávöxtun],MATCH(1,(BY$2=Table14[Column1])*($X54=Table14[Year]),0)),"")</f>
        <v/>
      </c>
      <c r="BZ54" s="28" t="str" cm="1">
        <f t="array" ref="BZ54">_xlfn.IFNA(INDEX(Table14[Ávöxtun],MATCH(1,(BZ$2=Table14[Column1])*($X54=Table14[Year]),0)),"")</f>
        <v/>
      </c>
      <c r="CA54" s="28" t="str" cm="1">
        <f t="array" ref="CA54">_xlfn.IFNA(INDEX(Table14[Ávöxtun],MATCH(1,(CA$2=Table14[Column1])*($X54=Table14[Year]),0)),"")</f>
        <v/>
      </c>
      <c r="CB54" s="28" cm="1">
        <f t="array" ref="CB54">_xlfn.IFNA(INDEX(Table14[Ávöxtun],MATCH(1,(CB$2=Table14[Column1])*($X54=Table14[Year]),0)),"")</f>
        <v>7.0800000000000002E-2</v>
      </c>
      <c r="CC54" s="28" t="str" cm="1">
        <f t="array" ref="CC54">_xlfn.IFNA(INDEX(Table14[Ávöxtun],MATCH(1,(CC$2=Table14[Column1])*($X54=Table14[Year]),0)),"")</f>
        <v/>
      </c>
      <c r="CD54" s="28" t="str" cm="1">
        <f t="array" ref="CD54">_xlfn.IFNA(INDEX(Table14[Ávöxtun],MATCH(1,(CD$2=Table14[Column1])*($X54=Table14[Year]),0)),"")</f>
        <v/>
      </c>
      <c r="CE54" s="28" cm="1">
        <f t="array" ref="CE54">_xlfn.IFNA(INDEX(Table14[Ávöxtun],MATCH(1,(CE$2=Table14[Column1])*($X54=Table14[Year]),0)),"")</f>
        <v>7.4200000000000002E-2</v>
      </c>
      <c r="CF54" s="28" cm="1">
        <f t="array" ref="CF54">_xlfn.IFNA(INDEX(Table14[Ávöxtun],MATCH(1,(CF$2=Table14[Column1])*($X54=Table14[Year]),0)),"")</f>
        <v>5.67E-2</v>
      </c>
      <c r="CG54" s="28" t="str" cm="1">
        <f t="array" ref="CG54">_xlfn.IFNA(INDEX(Table14[Ávöxtun],MATCH(1,(CG$2=Table14[Column1])*($X54=Table14[Year]),0)),"")</f>
        <v/>
      </c>
      <c r="CH54" s="28" cm="1">
        <f t="array" ref="CH54">_xlfn.IFNA(INDEX(Table14[Ávöxtun],MATCH(1,(CH$2=Table14[Column1])*($X54=Table14[Year]),0)),"")</f>
        <v>4.4000000000000004E-2</v>
      </c>
      <c r="CI54" s="28" cm="1">
        <f t="array" ref="CI54">_xlfn.IFNA(INDEX(Table14[Ávöxtun],MATCH(1,(CI$2=Table14[Column1])*($X54=Table14[Year]),0)),"")</f>
        <v>0.22600000000000001</v>
      </c>
      <c r="CJ54" s="28" t="str" cm="1">
        <f t="array" ref="CJ54">_xlfn.IFNA(INDEX(Table14[Ávöxtun],MATCH(1,(CJ$2=Table14[Column1])*($X54=Table14[Year]),0)),"")</f>
        <v/>
      </c>
      <c r="CK54" s="28" t="str" cm="1">
        <f t="array" ref="CK54">_xlfn.IFNA(INDEX(Table14[Ávöxtun],MATCH(1,(CK$2=Table14[Column1])*($X54=Table14[Year]),0)),"")</f>
        <v/>
      </c>
      <c r="CL54" s="28" t="str" cm="1">
        <f t="array" ref="CL54">_xlfn.IFNA(INDEX(Table14[Ávöxtun],MATCH(1,(CL$2=Table14[Column1])*($X54=Table14[Year]),0)),"")</f>
        <v/>
      </c>
      <c r="CM54" s="28" t="str" cm="1">
        <f t="array" ref="CM54">_xlfn.IFNA(INDEX(Table14[Ávöxtun],MATCH(1,(CM$2=Table14[Column1])*($X54=Table14[Year]),0)),"")</f>
        <v/>
      </c>
      <c r="CN54" s="28" cm="1">
        <f t="array" ref="CN54">_xlfn.IFNA(INDEX(Table14[Ávöxtun],MATCH(1,(CN$2=Table14[Column1])*($X54=Table14[Year]),0)),"")</f>
        <v>8.0299999999999996E-2</v>
      </c>
      <c r="CO54" s="28" t="str" cm="1">
        <f t="array" ref="CO54">_xlfn.IFNA(INDEX(Table14[Ávöxtun],MATCH(1,(CO$2=Table14[Column1])*($X54=Table14[Year]),0)),"")</f>
        <v/>
      </c>
      <c r="CP54" s="28" t="str" cm="1">
        <f t="array" ref="CP54">_xlfn.IFNA(INDEX(Table14[Ávöxtun],MATCH(1,(CP$2=Table14[Column1])*($X54=Table14[Year]),0)),"")</f>
        <v/>
      </c>
      <c r="CQ54" s="28" t="str" cm="1">
        <f t="array" ref="CQ54">_xlfn.IFNA(INDEX(Table14[Ávöxtun],MATCH(1,(CQ$2=Table14[Column1])*($X54=Table14[Year]),0)),"")</f>
        <v/>
      </c>
      <c r="CR54" s="28" cm="1">
        <f t="array" ref="CR54">_xlfn.IFNA(INDEX(Table14[Ávöxtun],MATCH(1,(CR$2=Table14[Column1])*($X54=Table14[Year]),0)),"")</f>
        <v>0.10800000000000001</v>
      </c>
      <c r="CS54" s="28" t="str" cm="1">
        <f t="array" ref="CS54">_xlfn.IFNA(INDEX(Table14[Ávöxtun],MATCH(1,(CS$2=Table14[Column1])*($X54=Table14[Year]),0)),"")</f>
        <v/>
      </c>
      <c r="CT54" s="28" cm="1">
        <f t="array" ref="CT54">_xlfn.IFNA(INDEX(Table14[Ávöxtun],MATCH(1,(CT$2=Table14[Column1])*($X54=Table14[Year]),0)),"")</f>
        <v>0.11630000000000001</v>
      </c>
      <c r="CU54" s="28" t="str" cm="1">
        <f t="array" ref="CU54">_xlfn.IFNA(INDEX(Table14[Ávöxtun],MATCH(1,(CU$2=Table14[Column1])*($X54=Table14[Year]),0)),"")</f>
        <v/>
      </c>
      <c r="CV54" s="28" t="str" cm="1">
        <f t="array" ref="CV54">_xlfn.IFNA(INDEX(Table14[Ávöxtun],MATCH(1,(CV$2=Table14[Column1])*($X54=Table14[Year]),0)),"")</f>
        <v/>
      </c>
      <c r="CW54" s="28" t="str" cm="1">
        <f t="array" ref="CW54">_xlfn.IFNA(INDEX(Table14[Ávöxtun],MATCH(1,(CW$2=Table14[Column1])*($X54=Table14[Year]),0)),"")</f>
        <v/>
      </c>
      <c r="CX54" s="28" t="str" cm="1">
        <f t="array" ref="CX54">_xlfn.IFNA(INDEX(Table14[Ávöxtun],MATCH(1,(CX$2=Table14[Column1])*($X54=Table14[Year]),0)),"")</f>
        <v/>
      </c>
      <c r="CY54" s="28" cm="1">
        <f t="array" ref="CY54">_xlfn.IFNA(INDEX(Table14[Ávöxtun],MATCH(1,(CY$2=Table14[Column1])*($X54=Table14[Year]),0)),"")</f>
        <v>9.3000000000000013E-2</v>
      </c>
      <c r="CZ54" s="28" t="str" cm="1">
        <f t="array" ref="CZ54">_xlfn.IFNA(INDEX(Table14[Ávöxtun],MATCH(1,(CZ$2=Table14[Column1])*($X54=Table14[Year]),0)),"")</f>
        <v/>
      </c>
      <c r="DA54" s="28" t="str" cm="1">
        <f t="array" ref="DA54">_xlfn.IFNA(INDEX(Table14[Ávöxtun],MATCH(1,(DA$2=Table14[Column1])*($X54=Table14[Year]),0)),"")</f>
        <v/>
      </c>
      <c r="DB54" s="28" t="str" cm="1">
        <f t="array" ref="DB54">_xlfn.IFNA(INDEX(Table14[Ávöxtun],MATCH(1,(DB$2=Table14[Column1])*($X54=Table14[Year]),0)),"")</f>
        <v/>
      </c>
      <c r="DC54" s="28" cm="1">
        <f t="array" ref="DC54">_xlfn.IFNA(INDEX(Table14[Ávöxtun],MATCH(1,(DC$2=Table14[Column1])*($X54=Table14[Year]),0)),"")</f>
        <v>9.6999999999999989E-2</v>
      </c>
      <c r="DD54" s="28" t="str" cm="1">
        <f t="array" ref="DD54">_xlfn.IFNA(INDEX(Table14[Ávöxtun],MATCH(1,(DD$2=Table14[Column1])*($X54=Table14[Year]),0)),"")</f>
        <v/>
      </c>
      <c r="DE54" s="28" cm="1">
        <f t="array" ref="DE54">_xlfn.IFNA(INDEX(Table14[Ávöxtun],MATCH(1,(DE$2=Table14[Column1])*($X54=Table14[Year]),0)),"")</f>
        <v>9.1500000000000012E-2</v>
      </c>
      <c r="DF54" s="28" t="str" cm="1">
        <f t="array" ref="DF54">_xlfn.IFNA(INDEX(Table14[Ávöxtun],MATCH(1,(DF$2=Table14[Column1])*($X54=Table14[Year]),0)),"")</f>
        <v/>
      </c>
    </row>
    <row r="55" spans="1:110" ht="17" thickBot="1">
      <c r="A55" t="s">
        <v>62</v>
      </c>
      <c r="B55">
        <v>2001</v>
      </c>
      <c r="C55" s="16">
        <v>-0.01</v>
      </c>
      <c r="D55" s="1">
        <v>2568738</v>
      </c>
      <c r="E55" s="29">
        <f>Table14[[#This Row],[Ávöxtun]]*Table14[[#This Row],[Eignir]]/SUMIFS(Table14[Eignir],Table14[Year],Table14[[#This Row],[Year]])</f>
        <v>-2.2184153368379048E-5</v>
      </c>
      <c r="F55" s="23">
        <f>IF(B55=1997, 100, IF(COUNTIF(A$1:A54,A55)=0, "NEW", F54*(1+Table14[[#This Row],[Ávöxtun]])))</f>
        <v>111.97098000000001</v>
      </c>
      <c r="G55" s="18" cm="1">
        <f t="array" ref="G55">IFERROR(_xlfn.IFS(ISNUMBER(Table14[[#This Row],[Column3]]),Table14[[#This Row],[Column3]],Table14[[#This Row],[Column3]]="NEW",Table14[[#This Row],[Column3]]),"")</f>
        <v>111.97098000000001</v>
      </c>
      <c r="H55" s="15" cm="1">
        <f t="array" ref="H55">_xlfn.IFS(Table14[[#This Row],[Column4]]="NEW",AVERAGEIFS(Table14[Column4],Table14[Year],Table14[[#This Row],[Year]]),ISNUMBER(Table14[[#This Row],[Column4]]),Table14[[#This Row],[Column4]],Table14[[#This Row],[Column4]]="",H54*(1+Table14[[#This Row],[Ávöxtun]]))</f>
        <v>111.97098000000001</v>
      </c>
      <c r="I55" cm="1">
        <f t="array" ref="I55">_xlfn.IFS(Table14[[#This Row],[Column4]]="NEW",_xlfn.XLOOKUP(Table14[[#This Row],[Year]],$M$2:$M$27,$O$2:$O$27),ISNUMBER(Table14[[#This Row],[Column4]]),Table14[[#This Row],[Column4]],Table14[[#This Row],[Column4]]="",I54*(1+Table14[[#This Row],[Ávöxtun]]))</f>
        <v>111.97098000000001</v>
      </c>
      <c r="L55" s="33">
        <v>111.97098000000001</v>
      </c>
      <c r="X55" s="37">
        <v>2021</v>
      </c>
      <c r="Y55" s="28">
        <f t="shared" si="2"/>
        <v>0.13997775777110588</v>
      </c>
      <c r="Z55" s="38" cm="1">
        <f t="array" ref="Z55">_xlfn.IFNA(INDEX(Table14[Ávöxtun],MATCH(1,(Z$2=Table14[Column1])*($X55=Table14[Year]),0)),"")</f>
        <v>0.10199999999999999</v>
      </c>
      <c r="AA55" s="38" t="str" cm="1">
        <f t="array" ref="AA55">_xlfn.IFNA(INDEX(Table14[Ávöxtun],MATCH(1,(AA$2=Table14[Column1])*($X55=Table14[Year]),0)),"")</f>
        <v/>
      </c>
      <c r="AB55" s="38" t="str" cm="1">
        <f t="array" ref="AB55">_xlfn.IFNA(INDEX(Table14[Ávöxtun],MATCH(1,(AB$2=Table14[Column1])*($X55=Table14[Year]),0)),"")</f>
        <v/>
      </c>
      <c r="AC55" s="38" t="str" cm="1">
        <f t="array" ref="AC55">_xlfn.IFNA(INDEX(Table14[Ávöxtun],MATCH(1,(AC$2=Table14[Column1])*($X55=Table14[Year]),0)),"")</f>
        <v/>
      </c>
      <c r="AD55" s="38" cm="1">
        <f t="array" ref="AD55">_xlfn.IFNA(INDEX(Table14[Ávöxtun],MATCH(1,(AD$2=Table14[Column1])*($X55=Table14[Year]),0)),"")</f>
        <v>0.1011</v>
      </c>
      <c r="AE55" s="38" cm="1">
        <f t="array" ref="AE55">_xlfn.IFNA(INDEX(Table14[Ávöxtun],MATCH(1,(AE$2=Table14[Column1])*($X55=Table14[Year]),0)),"")</f>
        <v>0.249</v>
      </c>
      <c r="AF55" s="38" t="str" cm="1">
        <f t="array" ref="AF55">_xlfn.IFNA(INDEX(Table14[Ávöxtun],MATCH(1,(AF$2=Table14[Column1])*($X55=Table14[Year]),0)),"")</f>
        <v/>
      </c>
      <c r="AG55" s="38" t="str" cm="1">
        <f t="array" ref="AG55">_xlfn.IFNA(INDEX(Table14[Ávöxtun],MATCH(1,(AG$2=Table14[Column1])*($X55=Table14[Year]),0)),"")</f>
        <v/>
      </c>
      <c r="AH55" s="38" t="str" cm="1">
        <f t="array" ref="AH55">_xlfn.IFNA(INDEX(Table14[Ávöxtun],MATCH(1,(AH$2=Table14[Column1])*($X55=Table14[Year]),0)),"")</f>
        <v/>
      </c>
      <c r="AI55" s="38" t="str" cm="1">
        <f t="array" ref="AI55">_xlfn.IFNA(INDEX(Table14[Ávöxtun],MATCH(1,(AI$2=Table14[Column1])*($X55=Table14[Year]),0)),"")</f>
        <v/>
      </c>
      <c r="AJ55" s="38" t="str" cm="1">
        <f t="array" ref="AJ55">_xlfn.IFNA(INDEX(Table14[Ávöxtun],MATCH(1,(AJ$2=Table14[Column1])*($X55=Table14[Year]),0)),"")</f>
        <v/>
      </c>
      <c r="AK55" s="38" t="str" cm="1">
        <f t="array" ref="AK55">_xlfn.IFNA(INDEX(Table14[Ávöxtun],MATCH(1,(AK$2=Table14[Column1])*($X55=Table14[Year]),0)),"")</f>
        <v/>
      </c>
      <c r="AL55" s="38" cm="1">
        <f t="array" ref="AL55">_xlfn.IFNA(INDEX(Table14[Ávöxtun],MATCH(1,(AL$2=Table14[Column1])*($X55=Table14[Year]),0)),"")</f>
        <v>0.1128</v>
      </c>
      <c r="AM55" s="38" t="str" cm="1">
        <f t="array" ref="AM55">_xlfn.IFNA(INDEX(Table14[Ávöxtun],MATCH(1,(AM$2=Table14[Column1])*($X55=Table14[Year]),0)),"")</f>
        <v/>
      </c>
      <c r="AN55" s="38" t="str" cm="1">
        <f t="array" ref="AN55">_xlfn.IFNA(INDEX(Table14[Ávöxtun],MATCH(1,(AN$2=Table14[Column1])*($X55=Table14[Year]),0)),"")</f>
        <v/>
      </c>
      <c r="AO55" s="38" t="str" cm="1">
        <f t="array" ref="AO55">_xlfn.IFNA(INDEX(Table14[Ávöxtun],MATCH(1,(AO$2=Table14[Column1])*($X55=Table14[Year]),0)),"")</f>
        <v/>
      </c>
      <c r="AP55" s="38" cm="1">
        <f t="array" ref="AP55">_xlfn.IFNA(INDEX(Table14[Ávöxtun],MATCH(1,(AP$2=Table14[Column1])*($X55=Table14[Year]),0)),"")</f>
        <v>0.11</v>
      </c>
      <c r="AQ55" s="38" cm="1">
        <f t="array" ref="AQ55">_xlfn.IFNA(INDEX(Table14[Ávöxtun],MATCH(1,(AQ$2=Table14[Column1])*($X55=Table14[Year]),0)),"")</f>
        <v>8.8000000000000009E-2</v>
      </c>
      <c r="AR55" s="38" cm="1">
        <f t="array" ref="AR55">_xlfn.IFNA(INDEX(Table14[Ávöxtun],MATCH(1,(AR$2=Table14[Column1])*($X55=Table14[Year]),0)),"")</f>
        <v>0.12400000000000001</v>
      </c>
      <c r="AS55" s="38" t="str" cm="1">
        <f t="array" ref="AS55">_xlfn.IFNA(INDEX(Table14[Ávöxtun],MATCH(1,(AS$2=Table14[Column1])*($X55=Table14[Year]),0)),"")</f>
        <v/>
      </c>
      <c r="AT55" s="38" cm="1">
        <f t="array" ref="AT55">_xlfn.IFNA(INDEX(Table14[Ávöxtun],MATCH(1,(AT$2=Table14[Column1])*($X55=Table14[Year]),0)),"")</f>
        <v>7.6999999999999999E-2</v>
      </c>
      <c r="AU55" s="38" t="str" cm="1">
        <f t="array" ref="AU55">_xlfn.IFNA(INDEX(Table14[Ávöxtun],MATCH(1,(AU$2=Table14[Column1])*($X55=Table14[Year]),0)),"")</f>
        <v/>
      </c>
      <c r="AV55" s="38" t="str" cm="1">
        <f t="array" ref="AV55">_xlfn.IFNA(INDEX(Table14[Ávöxtun],MATCH(1,(AV$2=Table14[Column1])*($X55=Table14[Year]),0)),"")</f>
        <v/>
      </c>
      <c r="AW55" s="38" t="str" cm="1">
        <f t="array" ref="AW55">_xlfn.IFNA(INDEX(Table14[Ávöxtun],MATCH(1,(AW$2=Table14[Column1])*($X55=Table14[Year]),0)),"")</f>
        <v/>
      </c>
      <c r="AX55" s="38" t="str" cm="1">
        <f t="array" ref="AX55">_xlfn.IFNA(INDEX(Table14[Ávöxtun],MATCH(1,(AX$2=Table14[Column1])*($X55=Table14[Year]),0)),"")</f>
        <v/>
      </c>
      <c r="AY55" s="38" t="str" cm="1">
        <f t="array" ref="AY55">_xlfn.IFNA(INDEX(Table14[Ávöxtun],MATCH(1,(AY$2=Table14[Column1])*($X55=Table14[Year]),0)),"")</f>
        <v/>
      </c>
      <c r="AZ55" s="38" t="str" cm="1">
        <f t="array" ref="AZ55">_xlfn.IFNA(INDEX(Table14[Ávöxtun],MATCH(1,(AZ$2=Table14[Column1])*($X55=Table14[Year]),0)),"")</f>
        <v/>
      </c>
      <c r="BA55" s="38" t="str" cm="1">
        <f t="array" ref="BA55">_xlfn.IFNA(INDEX(Table14[Ávöxtun],MATCH(1,(BA$2=Table14[Column1])*($X55=Table14[Year]),0)),"")</f>
        <v/>
      </c>
      <c r="BB55" s="38" t="str" cm="1">
        <f t="array" ref="BB55">_xlfn.IFNA(INDEX(Table14[Ávöxtun],MATCH(1,(BB$2=Table14[Column1])*($X55=Table14[Year]),0)),"")</f>
        <v/>
      </c>
      <c r="BC55" s="38" t="str" cm="1">
        <f t="array" ref="BC55">_xlfn.IFNA(INDEX(Table14[Ávöxtun],MATCH(1,(BC$2=Table14[Column1])*($X55=Table14[Year]),0)),"")</f>
        <v/>
      </c>
      <c r="BD55" s="38" t="str" cm="1">
        <f t="array" ref="BD55">_xlfn.IFNA(INDEX(Table14[Ávöxtun],MATCH(1,(BD$2=Table14[Column1])*($X55=Table14[Year]),0)),"")</f>
        <v/>
      </c>
      <c r="BE55" s="38" t="str" cm="1">
        <f t="array" ref="BE55">_xlfn.IFNA(INDEX(Table14[Ávöxtun],MATCH(1,(BE$2=Table14[Column1])*($X55=Table14[Year]),0)),"")</f>
        <v/>
      </c>
      <c r="BF55" s="38" t="str" cm="1">
        <f t="array" ref="BF55">_xlfn.IFNA(INDEX(Table14[Ávöxtun],MATCH(1,(BF$2=Table14[Column1])*($X55=Table14[Year]),0)),"")</f>
        <v/>
      </c>
      <c r="BG55" s="38" t="str" cm="1">
        <f t="array" ref="BG55">_xlfn.IFNA(INDEX(Table14[Ávöxtun],MATCH(1,(BG$2=Table14[Column1])*($X55=Table14[Year]),0)),"")</f>
        <v/>
      </c>
      <c r="BH55" s="38" t="str" cm="1">
        <f t="array" ref="BH55">_xlfn.IFNA(INDEX(Table14[Ávöxtun],MATCH(1,(BH$2=Table14[Column1])*($X55=Table14[Year]),0)),"")</f>
        <v/>
      </c>
      <c r="BI55" s="38" t="str" cm="1">
        <f t="array" ref="BI55">_xlfn.IFNA(INDEX(Table14[Ávöxtun],MATCH(1,(BI$2=Table14[Column1])*($X55=Table14[Year]),0)),"")</f>
        <v/>
      </c>
      <c r="BJ55" s="38" t="str" cm="1">
        <f t="array" ref="BJ55">_xlfn.IFNA(INDEX(Table14[Ávöxtun],MATCH(1,(BJ$2=Table14[Column1])*($X55=Table14[Year]),0)),"")</f>
        <v/>
      </c>
      <c r="BK55" s="38" t="str" cm="1">
        <f t="array" ref="BK55">_xlfn.IFNA(INDEX(Table14[Ávöxtun],MATCH(1,(BK$2=Table14[Column1])*($X55=Table14[Year]),0)),"")</f>
        <v/>
      </c>
      <c r="BL55" s="38" t="str" cm="1">
        <f t="array" ref="BL55">_xlfn.IFNA(INDEX(Table14[Ávöxtun],MATCH(1,(BL$2=Table14[Column1])*($X55=Table14[Year]),0)),"")</f>
        <v/>
      </c>
      <c r="BM55" s="38" t="str" cm="1">
        <f t="array" ref="BM55">_xlfn.IFNA(INDEX(Table14[Ávöxtun],MATCH(1,(BM$2=Table14[Column1])*($X55=Table14[Year]),0)),"")</f>
        <v/>
      </c>
      <c r="BN55" s="38" t="str" cm="1">
        <f t="array" ref="BN55">_xlfn.IFNA(INDEX(Table14[Ávöxtun],MATCH(1,(BN$2=Table14[Column1])*($X55=Table14[Year]),0)),"")</f>
        <v/>
      </c>
      <c r="BO55" s="38" t="str" cm="1">
        <f t="array" ref="BO55">_xlfn.IFNA(INDEX(Table14[Ávöxtun],MATCH(1,(BO$2=Table14[Column1])*($X55=Table14[Year]),0)),"")</f>
        <v/>
      </c>
      <c r="BP55" s="38" t="str" cm="1">
        <f t="array" ref="BP55">_xlfn.IFNA(INDEX(Table14[Ávöxtun],MATCH(1,(BP$2=Table14[Column1])*($X55=Table14[Year]),0)),"")</f>
        <v/>
      </c>
      <c r="BQ55" s="38" cm="1">
        <f t="array" ref="BQ55">_xlfn.IFNA(INDEX(Table14[Ávöxtun],MATCH(1,(BQ$2=Table14[Column1])*($X55=Table14[Year]),0)),"")</f>
        <v>7.9699999999999993E-2</v>
      </c>
      <c r="BR55" s="38" cm="1">
        <f t="array" ref="BR55">_xlfn.IFNA(INDEX(Table14[Ávöxtun],MATCH(1,(BR$2=Table14[Column1])*($X55=Table14[Year]),0)),"")</f>
        <v>0.14929999999999999</v>
      </c>
      <c r="BS55" s="38" t="str" cm="1">
        <f t="array" ref="BS55">_xlfn.IFNA(INDEX(Table14[Ávöxtun],MATCH(1,(BS$2=Table14[Column1])*($X55=Table14[Year]),0)),"")</f>
        <v/>
      </c>
      <c r="BT55" s="38" t="str" cm="1">
        <f t="array" ref="BT55">_xlfn.IFNA(INDEX(Table14[Ávöxtun],MATCH(1,(BT$2=Table14[Column1])*($X55=Table14[Year]),0)),"")</f>
        <v/>
      </c>
      <c r="BU55" s="38" t="str" cm="1">
        <f t="array" ref="BU55">_xlfn.IFNA(INDEX(Table14[Ávöxtun],MATCH(1,(BU$2=Table14[Column1])*($X55=Table14[Year]),0)),"")</f>
        <v/>
      </c>
      <c r="BV55" s="38" t="str" cm="1">
        <f t="array" ref="BV55">_xlfn.IFNA(INDEX(Table14[Ávöxtun],MATCH(1,(BV$2=Table14[Column1])*($X55=Table14[Year]),0)),"")</f>
        <v/>
      </c>
      <c r="BW55" s="38" t="str" cm="1">
        <f t="array" ref="BW55">_xlfn.IFNA(INDEX(Table14[Ávöxtun],MATCH(1,(BW$2=Table14[Column1])*($X55=Table14[Year]),0)),"")</f>
        <v/>
      </c>
      <c r="BX55" s="38" t="str" cm="1">
        <f t="array" ref="BX55">_xlfn.IFNA(INDEX(Table14[Ávöxtun],MATCH(1,(BX$2=Table14[Column1])*($X55=Table14[Year]),0)),"")</f>
        <v/>
      </c>
      <c r="BY55" s="38" t="str" cm="1">
        <f t="array" ref="BY55">_xlfn.IFNA(INDEX(Table14[Ávöxtun],MATCH(1,(BY$2=Table14[Column1])*($X55=Table14[Year]),0)),"")</f>
        <v/>
      </c>
      <c r="BZ55" s="38" t="str" cm="1">
        <f t="array" ref="BZ55">_xlfn.IFNA(INDEX(Table14[Ávöxtun],MATCH(1,(BZ$2=Table14[Column1])*($X55=Table14[Year]),0)),"")</f>
        <v/>
      </c>
      <c r="CA55" s="38" t="str" cm="1">
        <f t="array" ref="CA55">_xlfn.IFNA(INDEX(Table14[Ávöxtun],MATCH(1,(CA$2=Table14[Column1])*($X55=Table14[Year]),0)),"")</f>
        <v/>
      </c>
      <c r="CB55" s="38" cm="1">
        <f t="array" ref="CB55">_xlfn.IFNA(INDEX(Table14[Ávöxtun],MATCH(1,(CB$2=Table14[Column1])*($X55=Table14[Year]),0)),"")</f>
        <v>8.0600000000000005E-2</v>
      </c>
      <c r="CC55" s="38" t="str" cm="1">
        <f t="array" ref="CC55">_xlfn.IFNA(INDEX(Table14[Ávöxtun],MATCH(1,(CC$2=Table14[Column1])*($X55=Table14[Year]),0)),"")</f>
        <v/>
      </c>
      <c r="CD55" s="38" t="str" cm="1">
        <f t="array" ref="CD55">_xlfn.IFNA(INDEX(Table14[Ávöxtun],MATCH(1,(CD$2=Table14[Column1])*($X55=Table14[Year]),0)),"")</f>
        <v/>
      </c>
      <c r="CE55" s="38" cm="1">
        <f t="array" ref="CE55">_xlfn.IFNA(INDEX(Table14[Ávöxtun],MATCH(1,(CE$2=Table14[Column1])*($X55=Table14[Year]),0)),"")</f>
        <v>0.08</v>
      </c>
      <c r="CF55" s="38" cm="1">
        <f t="array" ref="CF55">_xlfn.IFNA(INDEX(Table14[Ávöxtun],MATCH(1,(CF$2=Table14[Column1])*($X55=Table14[Year]),0)),"")</f>
        <v>8.2500000000000004E-2</v>
      </c>
      <c r="CG55" s="38" t="str" cm="1">
        <f t="array" ref="CG55">_xlfn.IFNA(INDEX(Table14[Ávöxtun],MATCH(1,(CG$2=Table14[Column1])*($X55=Table14[Year]),0)),"")</f>
        <v/>
      </c>
      <c r="CH55" s="38" cm="1">
        <f t="array" ref="CH55">_xlfn.IFNA(INDEX(Table14[Ávöxtun],MATCH(1,(CH$2=Table14[Column1])*($X55=Table14[Year]),0)),"")</f>
        <v>5.2999999999999999E-2</v>
      </c>
      <c r="CI55" s="38" cm="1">
        <f t="array" ref="CI55">_xlfn.IFNA(INDEX(Table14[Ávöxtun],MATCH(1,(CI$2=Table14[Column1])*($X55=Table14[Year]),0)),"")</f>
        <v>0.19700000000000001</v>
      </c>
      <c r="CJ55" s="38" t="str" cm="1">
        <f t="array" ref="CJ55">_xlfn.IFNA(INDEX(Table14[Ávöxtun],MATCH(1,(CJ$2=Table14[Column1])*($X55=Table14[Year]),0)),"")</f>
        <v/>
      </c>
      <c r="CK55" s="38" t="str" cm="1">
        <f t="array" ref="CK55">_xlfn.IFNA(INDEX(Table14[Ávöxtun],MATCH(1,(CK$2=Table14[Column1])*($X55=Table14[Year]),0)),"")</f>
        <v/>
      </c>
      <c r="CL55" s="38" t="str" cm="1">
        <f t="array" ref="CL55">_xlfn.IFNA(INDEX(Table14[Ávöxtun],MATCH(1,(CL$2=Table14[Column1])*($X55=Table14[Year]),0)),"")</f>
        <v/>
      </c>
      <c r="CM55" s="38" t="str" cm="1">
        <f t="array" ref="CM55">_xlfn.IFNA(INDEX(Table14[Ávöxtun],MATCH(1,(CM$2=Table14[Column1])*($X55=Table14[Year]),0)),"")</f>
        <v/>
      </c>
      <c r="CN55" s="38" cm="1">
        <f t="array" ref="CN55">_xlfn.IFNA(INDEX(Table14[Ávöxtun],MATCH(1,(CN$2=Table14[Column1])*($X55=Table14[Year]),0)),"")</f>
        <v>6.2699999999999992E-2</v>
      </c>
      <c r="CO55" s="38" t="str" cm="1">
        <f t="array" ref="CO55">_xlfn.IFNA(INDEX(Table14[Ávöxtun],MATCH(1,(CO$2=Table14[Column1])*($X55=Table14[Year]),0)),"")</f>
        <v/>
      </c>
      <c r="CP55" s="38" t="str" cm="1">
        <f t="array" ref="CP55">_xlfn.IFNA(INDEX(Table14[Ávöxtun],MATCH(1,(CP$2=Table14[Column1])*($X55=Table14[Year]),0)),"")</f>
        <v/>
      </c>
      <c r="CQ55" s="38" t="str" cm="1">
        <f t="array" ref="CQ55">_xlfn.IFNA(INDEX(Table14[Ávöxtun],MATCH(1,(CQ$2=Table14[Column1])*($X55=Table14[Year]),0)),"")</f>
        <v/>
      </c>
      <c r="CR55" s="38" cm="1">
        <f t="array" ref="CR55">_xlfn.IFNA(INDEX(Table14[Ávöxtun],MATCH(1,(CR$2=Table14[Column1])*($X55=Table14[Year]),0)),"")</f>
        <v>0.115</v>
      </c>
      <c r="CS55" s="38" t="str" cm="1">
        <f t="array" ref="CS55">_xlfn.IFNA(INDEX(Table14[Ávöxtun],MATCH(1,(CS$2=Table14[Column1])*($X55=Table14[Year]),0)),"")</f>
        <v/>
      </c>
      <c r="CT55" s="38" cm="1">
        <f t="array" ref="CT55">_xlfn.IFNA(INDEX(Table14[Ávöxtun],MATCH(1,(CT$2=Table14[Column1])*($X55=Table14[Year]),0)),"")</f>
        <v>0.17100000000000001</v>
      </c>
      <c r="CU55" s="38" t="str" cm="1">
        <f t="array" ref="CU55">_xlfn.IFNA(INDEX(Table14[Ávöxtun],MATCH(1,(CU$2=Table14[Column1])*($X55=Table14[Year]),0)),"")</f>
        <v/>
      </c>
      <c r="CV55" s="38" t="str" cm="1">
        <f t="array" ref="CV55">_xlfn.IFNA(INDEX(Table14[Ávöxtun],MATCH(1,(CV$2=Table14[Column1])*($X55=Table14[Year]),0)),"")</f>
        <v/>
      </c>
      <c r="CW55" s="38" t="str" cm="1">
        <f t="array" ref="CW55">_xlfn.IFNA(INDEX(Table14[Ávöxtun],MATCH(1,(CW$2=Table14[Column1])*($X55=Table14[Year]),0)),"")</f>
        <v/>
      </c>
      <c r="CX55" s="38" t="str" cm="1">
        <f t="array" ref="CX55">_xlfn.IFNA(INDEX(Table14[Ávöxtun],MATCH(1,(CX$2=Table14[Column1])*($X55=Table14[Year]),0)),"")</f>
        <v/>
      </c>
      <c r="CY55" s="38" cm="1">
        <f t="array" ref="CY55">_xlfn.IFNA(INDEX(Table14[Ávöxtun],MATCH(1,(CY$2=Table14[Column1])*($X55=Table14[Year]),0)),"")</f>
        <v>0.11900000000000001</v>
      </c>
      <c r="CZ55" s="38" t="str" cm="1">
        <f t="array" ref="CZ55">_xlfn.IFNA(INDEX(Table14[Ávöxtun],MATCH(1,(CZ$2=Table14[Column1])*($X55=Table14[Year]),0)),"")</f>
        <v/>
      </c>
      <c r="DA55" s="38" t="str" cm="1">
        <f t="array" ref="DA55">_xlfn.IFNA(INDEX(Table14[Ávöxtun],MATCH(1,(DA$2=Table14[Column1])*($X55=Table14[Year]),0)),"")</f>
        <v/>
      </c>
      <c r="DB55" s="38" t="str" cm="1">
        <f t="array" ref="DB55">_xlfn.IFNA(INDEX(Table14[Ávöxtun],MATCH(1,(DB$2=Table14[Column1])*($X55=Table14[Year]),0)),"")</f>
        <v/>
      </c>
      <c r="DC55" s="38" cm="1">
        <f t="array" ref="DC55">_xlfn.IFNA(INDEX(Table14[Ávöxtun],MATCH(1,(DC$2=Table14[Column1])*($X55=Table14[Year]),0)),"")</f>
        <v>0.11699999999999999</v>
      </c>
      <c r="DD55" s="38" t="str" cm="1">
        <f t="array" ref="DD55">_xlfn.IFNA(INDEX(Table14[Ávöxtun],MATCH(1,(DD$2=Table14[Column1])*($X55=Table14[Year]),0)),"")</f>
        <v/>
      </c>
      <c r="DE55" s="38" cm="1">
        <f t="array" ref="DE55">_xlfn.IFNA(INDEX(Table14[Ávöxtun],MATCH(1,(DE$2=Table14[Column1])*($X55=Table14[Year]),0)),"")</f>
        <v>0.12770000000000001</v>
      </c>
      <c r="DF55" s="38" t="str" cm="1">
        <f t="array" ref="DF55">_xlfn.IFNA(INDEX(Table14[Ávöxtun],MATCH(1,(DF$2=Table14[Column1])*($X55=Table14[Year]),0)),"")</f>
        <v/>
      </c>
    </row>
    <row r="56" spans="1:110" ht="17" thickTop="1">
      <c r="A56" t="s">
        <v>62</v>
      </c>
      <c r="B56">
        <v>2002</v>
      </c>
      <c r="C56" s="16">
        <v>-0.03</v>
      </c>
      <c r="D56" s="1">
        <v>2711576</v>
      </c>
      <c r="E56" s="29">
        <f>Table14[[#This Row],[Ávöxtun]]*Table14[[#This Row],[Eignir]]/SUMIFS(Table14[Eignir],Table14[Year],Table14[[#This Row],[Year]])</f>
        <v>-1.2807284434439666E-4</v>
      </c>
      <c r="F56" s="23">
        <f>IF(B56=1997, 100, IF(COUNTIF(A$1:A55,A56)=0, "NEW", F55*(1+Table14[[#This Row],[Ávöxtun]])))</f>
        <v>108.61185060000001</v>
      </c>
      <c r="G56" s="18" cm="1">
        <f t="array" ref="G56">IFERROR(_xlfn.IFS(ISNUMBER(Table14[[#This Row],[Column3]]),Table14[[#This Row],[Column3]],Table14[[#This Row],[Column3]]="NEW",Table14[[#This Row],[Column3]]),"")</f>
        <v>108.61185060000001</v>
      </c>
      <c r="H56" s="15" cm="1">
        <f t="array" ref="H56">_xlfn.IFS(Table14[[#This Row],[Column4]]="NEW",AVERAGEIFS(Table14[Column4],Table14[Year],Table14[[#This Row],[Year]]),ISNUMBER(Table14[[#This Row],[Column4]]),Table14[[#This Row],[Column4]],Table14[[#This Row],[Column4]]="",H55*(1+Table14[[#This Row],[Ávöxtun]]))</f>
        <v>108.61185060000001</v>
      </c>
      <c r="I56" cm="1">
        <f t="array" ref="I56">_xlfn.IFS(Table14[[#This Row],[Column4]]="NEW",_xlfn.XLOOKUP(Table14[[#This Row],[Year]],$M$2:$M$27,$O$2:$O$27),ISNUMBER(Table14[[#This Row],[Column4]]),Table14[[#This Row],[Column4]],Table14[[#This Row],[Column4]]="",I55*(1+Table14[[#This Row],[Ávöxtun]]))</f>
        <v>108.61185060000001</v>
      </c>
      <c r="L56" s="33">
        <v>108.61185060000001</v>
      </c>
      <c r="X56" t="s">
        <v>161</v>
      </c>
      <c r="Y56" s="36">
        <f>IFERROR(AVERAGE(Y31:Y55),"")</f>
        <v>6.0998703142094712E-2</v>
      </c>
      <c r="Z56" s="36">
        <f>IFERROR(AVERAGE(Z31:Z55),"")</f>
        <v>4.4368421052631578E-2</v>
      </c>
      <c r="AA56" s="36">
        <f t="shared" ref="AA56:CL56" si="3">IFERROR(AVERAGE(AA31:AA55),"")</f>
        <v>-5.000000000000001E-3</v>
      </c>
      <c r="AB56" s="36" t="str">
        <f t="shared" si="3"/>
        <v/>
      </c>
      <c r="AC56" s="36" t="str">
        <f t="shared" si="3"/>
        <v/>
      </c>
      <c r="AD56" s="36">
        <f t="shared" si="3"/>
        <v>5.9366666666666658E-2</v>
      </c>
      <c r="AE56" s="36">
        <f t="shared" si="3"/>
        <v>0.15366666666666667</v>
      </c>
      <c r="AF56" s="36">
        <f t="shared" si="3"/>
        <v>0.05</v>
      </c>
      <c r="AG56" s="36">
        <f t="shared" si="3"/>
        <v>3.5930769230769238E-2</v>
      </c>
      <c r="AH56" s="36">
        <f t="shared" si="3"/>
        <v>3.7777777777777771E-2</v>
      </c>
      <c r="AI56" s="36">
        <f t="shared" si="3"/>
        <v>-4.6350000000000002E-2</v>
      </c>
      <c r="AJ56" s="36">
        <f t="shared" si="3"/>
        <v>1.2550000000000002E-2</v>
      </c>
      <c r="AK56" s="36">
        <f t="shared" si="3"/>
        <v>6.0130000000000003E-2</v>
      </c>
      <c r="AL56" s="36">
        <f t="shared" si="3"/>
        <v>4.3588000000000016E-2</v>
      </c>
      <c r="AM56" s="36">
        <f t="shared" si="3"/>
        <v>4.1325000000000008E-2</v>
      </c>
      <c r="AN56" s="36">
        <f t="shared" si="3"/>
        <v>2.4285714285714289E-2</v>
      </c>
      <c r="AO56" s="36">
        <f>IFERROR(AVERAGE(AO31:AO55),"")</f>
        <v>-0.22012857142857142</v>
      </c>
      <c r="AP56" s="36">
        <f t="shared" si="3"/>
        <v>3.685625E-2</v>
      </c>
      <c r="AQ56" s="36">
        <f t="shared" si="3"/>
        <v>3.640869565217391E-2</v>
      </c>
      <c r="AR56" s="36">
        <f t="shared" si="3"/>
        <v>4.4705882352941179E-2</v>
      </c>
      <c r="AS56" s="36" t="str">
        <f t="shared" si="3"/>
        <v/>
      </c>
      <c r="AT56" s="36">
        <f t="shared" si="3"/>
        <v>3.2743478260869562E-2</v>
      </c>
      <c r="AU56" s="36">
        <f>IFERROR(AVERAGE(AU31:AU55),"")</f>
        <v>-3.4860000000000002E-2</v>
      </c>
      <c r="AV56" s="36" t="str">
        <f t="shared" si="3"/>
        <v/>
      </c>
      <c r="AW56" s="36" t="str">
        <f t="shared" si="3"/>
        <v/>
      </c>
      <c r="AX56" s="36">
        <f t="shared" si="3"/>
        <v>6.4444444444444443E-2</v>
      </c>
      <c r="AY56" s="36">
        <f t="shared" si="3"/>
        <v>0.04</v>
      </c>
      <c r="AZ56" s="36">
        <f t="shared" si="3"/>
        <v>2.7746153846153858E-2</v>
      </c>
      <c r="BA56" s="36">
        <f t="shared" si="3"/>
        <v>-1.6666666666666666E-2</v>
      </c>
      <c r="BB56" s="36">
        <f t="shared" si="3"/>
        <v>3.599999999999999E-2</v>
      </c>
      <c r="BC56" s="36">
        <f t="shared" si="3"/>
        <v>3.1612499999999995E-2</v>
      </c>
      <c r="BD56" s="36">
        <f t="shared" si="3"/>
        <v>3.0000000000000002E-2</v>
      </c>
      <c r="BE56" s="36">
        <f t="shared" si="3"/>
        <v>4.9176923076923076E-2</v>
      </c>
      <c r="BF56" s="36" t="str">
        <f t="shared" si="3"/>
        <v/>
      </c>
      <c r="BG56" s="36">
        <f t="shared" si="3"/>
        <v>2.2550000000000004E-2</v>
      </c>
      <c r="BH56" s="36">
        <f t="shared" si="3"/>
        <v>3.0931250000000007E-2</v>
      </c>
      <c r="BI56" s="36">
        <f t="shared" si="3"/>
        <v>3.6666666666666674E-2</v>
      </c>
      <c r="BJ56" s="36">
        <f t="shared" si="3"/>
        <v>0.13079375000000001</v>
      </c>
      <c r="BK56" s="36">
        <f t="shared" si="3"/>
        <v>9.9999999999999985E-3</v>
      </c>
      <c r="BL56" s="36">
        <f t="shared" si="3"/>
        <v>6.25E-2</v>
      </c>
      <c r="BM56" s="36">
        <f t="shared" si="3"/>
        <v>6.25E-2</v>
      </c>
      <c r="BN56" s="36">
        <f t="shared" si="3"/>
        <v>0</v>
      </c>
      <c r="BO56" s="36">
        <f t="shared" si="3"/>
        <v>7.0000000000000007E-2</v>
      </c>
      <c r="BP56" s="36">
        <f t="shared" si="3"/>
        <v>3.6829999999999995E-2</v>
      </c>
      <c r="BQ56" s="36">
        <f t="shared" si="3"/>
        <v>3.9199999999999992E-2</v>
      </c>
      <c r="BR56" s="36">
        <f t="shared" si="3"/>
        <v>7.3420833333333338E-2</v>
      </c>
      <c r="BS56" s="36">
        <f t="shared" si="3"/>
        <v>7.6666666666666661E-2</v>
      </c>
      <c r="BT56" s="36" t="str">
        <f t="shared" si="3"/>
        <v/>
      </c>
      <c r="BU56" s="36">
        <f t="shared" si="3"/>
        <v>6.1880000000000004E-2</v>
      </c>
      <c r="BV56" s="36">
        <f t="shared" si="3"/>
        <v>3.8300000000000001E-2</v>
      </c>
      <c r="BW56" s="36" t="str">
        <f t="shared" si="3"/>
        <v/>
      </c>
      <c r="BX56" s="36">
        <f t="shared" si="3"/>
        <v>0.06</v>
      </c>
      <c r="BY56" s="36">
        <f t="shared" si="3"/>
        <v>6.6489999999999994E-2</v>
      </c>
      <c r="BZ56" s="36">
        <f t="shared" si="3"/>
        <v>6.9640000000000007E-2</v>
      </c>
      <c r="CA56" s="36">
        <f t="shared" si="3"/>
        <v>0</v>
      </c>
      <c r="CB56" s="36">
        <f t="shared" si="3"/>
        <v>4.0896000000000009E-2</v>
      </c>
      <c r="CC56" s="36">
        <f t="shared" si="3"/>
        <v>6.7500000000000004E-2</v>
      </c>
      <c r="CD56" s="36">
        <f t="shared" si="3"/>
        <v>5.3333333333333337E-2</v>
      </c>
      <c r="CE56" s="36">
        <f t="shared" si="3"/>
        <v>4.9427999999999993E-2</v>
      </c>
      <c r="CF56" s="36">
        <f t="shared" si="3"/>
        <v>6.4448000000000005E-2</v>
      </c>
      <c r="CG56" s="36">
        <f t="shared" si="3"/>
        <v>3.9528571428571441E-2</v>
      </c>
      <c r="CH56" s="36">
        <f t="shared" si="3"/>
        <v>3.9584000000000022E-2</v>
      </c>
      <c r="CI56" s="36">
        <f t="shared" si="3"/>
        <v>9.5860000000000001E-2</v>
      </c>
      <c r="CJ56" s="36">
        <f t="shared" si="3"/>
        <v>3.1557894736842104E-2</v>
      </c>
      <c r="CK56" s="36">
        <f t="shared" si="3"/>
        <v>5.4069999999999993E-2</v>
      </c>
      <c r="CL56" s="36">
        <f t="shared" si="3"/>
        <v>3.4999999999999996E-2</v>
      </c>
      <c r="CM56" s="36" t="str">
        <f t="shared" ref="CM56:DF56" si="4">IFERROR(AVERAGE(CM31:CM55),"")</f>
        <v/>
      </c>
      <c r="CN56" s="36">
        <f t="shared" si="4"/>
        <v>3.3286956521739131E-2</v>
      </c>
      <c r="CO56" s="36">
        <f t="shared" si="4"/>
        <v>5.000000000000001E-2</v>
      </c>
      <c r="CP56" s="36">
        <f t="shared" si="4"/>
        <v>0.06</v>
      </c>
      <c r="CQ56" s="36">
        <f t="shared" si="4"/>
        <v>1.3935294117647061E-2</v>
      </c>
      <c r="CR56" s="36">
        <f t="shared" si="4"/>
        <v>5.5999999999999994E-2</v>
      </c>
      <c r="CS56" s="36">
        <f t="shared" si="4"/>
        <v>3.843888888888889E-2</v>
      </c>
      <c r="CT56" s="36">
        <f t="shared" si="4"/>
        <v>5.5400000000000012E-2</v>
      </c>
      <c r="CU56" s="36">
        <f t="shared" si="4"/>
        <v>6.0000000000000005E-2</v>
      </c>
      <c r="CV56" s="36">
        <f t="shared" si="4"/>
        <v>6.5000000000000002E-2</v>
      </c>
      <c r="CW56" s="36">
        <f t="shared" si="4"/>
        <v>4.9999999999999996E-2</v>
      </c>
      <c r="CX56" s="36" t="str">
        <f t="shared" si="4"/>
        <v/>
      </c>
      <c r="CY56" s="36">
        <f t="shared" si="4"/>
        <v>6.4750000000000016E-2</v>
      </c>
      <c r="CZ56" s="36">
        <f t="shared" si="4"/>
        <v>4.7699999999999992E-2</v>
      </c>
      <c r="DA56" s="36">
        <f t="shared" si="4"/>
        <v>0.13222222222222224</v>
      </c>
      <c r="DB56" s="36">
        <f t="shared" si="4"/>
        <v>4.1999999999999996E-2</v>
      </c>
      <c r="DC56" s="36">
        <f t="shared" si="4"/>
        <v>5.4091999999999994E-2</v>
      </c>
      <c r="DD56" s="36">
        <f t="shared" si="4"/>
        <v>1.1949999999999997E-2</v>
      </c>
      <c r="DE56" s="36">
        <f t="shared" si="4"/>
        <v>2.9999999999999995E-2</v>
      </c>
      <c r="DF56" s="36">
        <f t="shared" si="4"/>
        <v>3.3333333333333333E-2</v>
      </c>
    </row>
    <row r="57" spans="1:110">
      <c r="A57" t="s">
        <v>62</v>
      </c>
      <c r="B57">
        <v>2003</v>
      </c>
      <c r="C57" s="16">
        <v>0.09</v>
      </c>
      <c r="D57" s="1">
        <v>3247975</v>
      </c>
      <c r="E57" s="29">
        <f>Table14[[#This Row],[Ávöxtun]]*Table14[[#This Row],[Eignir]]/SUMIFS(Table14[Eignir],Table14[Year],Table14[[#This Row],[Year]])</f>
        <v>3.8468359027806712E-4</v>
      </c>
      <c r="F57" s="23">
        <f>IF(B57=1997, 100, IF(COUNTIF(A$1:A56,A57)=0, "NEW", F56*(1+Table14[[#This Row],[Ávöxtun]])))</f>
        <v>118.38691715400002</v>
      </c>
      <c r="G57" s="18" cm="1">
        <f t="array" ref="G57">IFERROR(_xlfn.IFS(ISNUMBER(Table14[[#This Row],[Column3]]),Table14[[#This Row],[Column3]],Table14[[#This Row],[Column3]]="NEW",Table14[[#This Row],[Column3]]),"")</f>
        <v>118.38691715400002</v>
      </c>
      <c r="H57" s="15" cm="1">
        <f t="array" ref="H57">_xlfn.IFS(Table14[[#This Row],[Column4]]="NEW",AVERAGEIFS(Table14[Column4],Table14[Year],Table14[[#This Row],[Year]]),ISNUMBER(Table14[[#This Row],[Column4]]),Table14[[#This Row],[Column4]],Table14[[#This Row],[Column4]]="",H56*(1+Table14[[#This Row],[Ávöxtun]]))</f>
        <v>118.38691715400002</v>
      </c>
      <c r="I57" cm="1">
        <f t="array" ref="I57">_xlfn.IFS(Table14[[#This Row],[Column4]]="NEW",_xlfn.XLOOKUP(Table14[[#This Row],[Year]],$M$2:$M$27,$O$2:$O$27),ISNUMBER(Table14[[#This Row],[Column4]]),Table14[[#This Row],[Column4]],Table14[[#This Row],[Column4]]="",I56*(1+Table14[[#This Row],[Ávöxtun]]))</f>
        <v>118.38691715400002</v>
      </c>
      <c r="L57" s="33">
        <v>118.38691715400002</v>
      </c>
      <c r="X57" t="s">
        <v>160</v>
      </c>
      <c r="Z57" s="36">
        <f>IF(COUNT(Z31:Z55)&gt;10,AVERAGE(Z31:Z55),"")</f>
        <v>4.4368421052631578E-2</v>
      </c>
      <c r="AA57" s="36" t="str">
        <f t="shared" ref="AA57:CL57" si="5">IF(COUNT(AA31:AA55)&gt;10,AVERAGE(AA31:AA55),"")</f>
        <v/>
      </c>
      <c r="AB57" s="36" t="str">
        <f t="shared" si="5"/>
        <v/>
      </c>
      <c r="AC57" s="36" t="str">
        <f t="shared" si="5"/>
        <v/>
      </c>
      <c r="AD57" s="36" t="str">
        <f t="shared" si="5"/>
        <v/>
      </c>
      <c r="AE57" s="36" t="str">
        <f t="shared" si="5"/>
        <v/>
      </c>
      <c r="AF57" s="36" t="str">
        <f t="shared" si="5"/>
        <v/>
      </c>
      <c r="AG57" s="36">
        <f t="shared" si="5"/>
        <v>3.5930769230769238E-2</v>
      </c>
      <c r="AH57" s="36" t="str">
        <f t="shared" si="5"/>
        <v/>
      </c>
      <c r="AI57" s="36" t="str">
        <f t="shared" si="5"/>
        <v/>
      </c>
      <c r="AJ57" s="36">
        <f t="shared" si="5"/>
        <v>1.2550000000000002E-2</v>
      </c>
      <c r="AK57" s="36" t="str">
        <f t="shared" si="5"/>
        <v/>
      </c>
      <c r="AL57" s="36">
        <f t="shared" si="5"/>
        <v>4.3588000000000016E-2</v>
      </c>
      <c r="AM57" s="36">
        <f t="shared" si="5"/>
        <v>4.1325000000000008E-2</v>
      </c>
      <c r="AN57" s="36" t="str">
        <f t="shared" si="5"/>
        <v/>
      </c>
      <c r="AO57" s="36">
        <f t="shared" si="5"/>
        <v>-0.22012857142857142</v>
      </c>
      <c r="AP57" s="36">
        <f t="shared" si="5"/>
        <v>3.685625E-2</v>
      </c>
      <c r="AQ57" s="36">
        <f t="shared" si="5"/>
        <v>3.640869565217391E-2</v>
      </c>
      <c r="AR57" s="36">
        <f t="shared" si="5"/>
        <v>4.4705882352941179E-2</v>
      </c>
      <c r="AS57" s="36" t="str">
        <f t="shared" si="5"/>
        <v/>
      </c>
      <c r="AT57" s="36">
        <f t="shared" si="5"/>
        <v>3.2743478260869562E-2</v>
      </c>
      <c r="AU57" s="36" t="str">
        <f t="shared" si="5"/>
        <v/>
      </c>
      <c r="AV57" s="36" t="str">
        <f t="shared" si="5"/>
        <v/>
      </c>
      <c r="AW57" s="36" t="str">
        <f t="shared" si="5"/>
        <v/>
      </c>
      <c r="AX57" s="36" t="str">
        <f t="shared" si="5"/>
        <v/>
      </c>
      <c r="AY57" s="36" t="str">
        <f t="shared" si="5"/>
        <v/>
      </c>
      <c r="AZ57" s="36">
        <f t="shared" si="5"/>
        <v>2.7746153846153858E-2</v>
      </c>
      <c r="BA57" s="36" t="str">
        <f t="shared" si="5"/>
        <v/>
      </c>
      <c r="BB57" s="36" t="str">
        <f t="shared" si="5"/>
        <v/>
      </c>
      <c r="BC57" s="36">
        <f t="shared" si="5"/>
        <v>3.1612499999999995E-2</v>
      </c>
      <c r="BD57" s="36" t="str">
        <f t="shared" si="5"/>
        <v/>
      </c>
      <c r="BE57" s="36">
        <f t="shared" si="5"/>
        <v>4.9176923076923076E-2</v>
      </c>
      <c r="BF57" s="36" t="str">
        <f t="shared" si="5"/>
        <v/>
      </c>
      <c r="BG57" s="36">
        <f t="shared" si="5"/>
        <v>2.2550000000000004E-2</v>
      </c>
      <c r="BH57" s="36">
        <f t="shared" si="5"/>
        <v>3.0931250000000007E-2</v>
      </c>
      <c r="BI57" s="36" t="str">
        <f t="shared" si="5"/>
        <v/>
      </c>
      <c r="BJ57" s="36">
        <f t="shared" si="5"/>
        <v>0.13079375000000001</v>
      </c>
      <c r="BK57" s="36" t="str">
        <f t="shared" si="5"/>
        <v/>
      </c>
      <c r="BL57" s="36" t="str">
        <f t="shared" si="5"/>
        <v/>
      </c>
      <c r="BM57" s="36" t="str">
        <f t="shared" si="5"/>
        <v/>
      </c>
      <c r="BN57" s="36" t="str">
        <f t="shared" si="5"/>
        <v/>
      </c>
      <c r="BO57" s="36" t="str">
        <f t="shared" si="5"/>
        <v/>
      </c>
      <c r="BP57" s="36" t="str">
        <f t="shared" si="5"/>
        <v/>
      </c>
      <c r="BQ57" s="36">
        <f t="shared" si="5"/>
        <v>3.9199999999999992E-2</v>
      </c>
      <c r="BR57" s="36">
        <f t="shared" si="5"/>
        <v>7.3420833333333338E-2</v>
      </c>
      <c r="BS57" s="36" t="str">
        <f t="shared" si="5"/>
        <v/>
      </c>
      <c r="BT57" s="36" t="str">
        <f t="shared" si="5"/>
        <v/>
      </c>
      <c r="BU57" s="36" t="str">
        <f t="shared" si="5"/>
        <v/>
      </c>
      <c r="BV57" s="36">
        <f t="shared" si="5"/>
        <v>3.8300000000000001E-2</v>
      </c>
      <c r="BW57" s="36" t="str">
        <f t="shared" si="5"/>
        <v/>
      </c>
      <c r="BX57" s="36" t="str">
        <f t="shared" si="5"/>
        <v/>
      </c>
      <c r="BY57" s="36" t="str">
        <f t="shared" si="5"/>
        <v/>
      </c>
      <c r="BZ57" s="36" t="str">
        <f t="shared" si="5"/>
        <v/>
      </c>
      <c r="CA57" s="36" t="str">
        <f t="shared" si="5"/>
        <v/>
      </c>
      <c r="CB57" s="36">
        <f t="shared" si="5"/>
        <v>4.0896000000000009E-2</v>
      </c>
      <c r="CC57" s="36" t="str">
        <f t="shared" si="5"/>
        <v/>
      </c>
      <c r="CD57" s="36" t="str">
        <f t="shared" si="5"/>
        <v/>
      </c>
      <c r="CE57" s="36">
        <f t="shared" si="5"/>
        <v>4.9427999999999993E-2</v>
      </c>
      <c r="CF57" s="36">
        <f t="shared" si="5"/>
        <v>6.4448000000000005E-2</v>
      </c>
      <c r="CG57" s="36">
        <f t="shared" si="5"/>
        <v>3.9528571428571441E-2</v>
      </c>
      <c r="CH57" s="36">
        <f t="shared" si="5"/>
        <v>3.9584000000000022E-2</v>
      </c>
      <c r="CI57" s="36">
        <f t="shared" si="5"/>
        <v>9.5860000000000001E-2</v>
      </c>
      <c r="CJ57" s="36">
        <f t="shared" si="5"/>
        <v>3.1557894736842104E-2</v>
      </c>
      <c r="CK57" s="36" t="str">
        <f t="shared" si="5"/>
        <v/>
      </c>
      <c r="CL57" s="36" t="str">
        <f t="shared" si="5"/>
        <v/>
      </c>
      <c r="CM57" s="36" t="str">
        <f t="shared" ref="CM57:DF57" si="6">IF(COUNT(CM31:CM55)&gt;10,AVERAGE(CM31:CM55),"")</f>
        <v/>
      </c>
      <c r="CN57" s="36">
        <f t="shared" si="6"/>
        <v>3.3286956521739131E-2</v>
      </c>
      <c r="CO57" s="36" t="str">
        <f t="shared" si="6"/>
        <v/>
      </c>
      <c r="CP57" s="36" t="str">
        <f t="shared" si="6"/>
        <v/>
      </c>
      <c r="CQ57" s="36">
        <f t="shared" si="6"/>
        <v>1.3935294117647061E-2</v>
      </c>
      <c r="CR57" s="36">
        <f t="shared" si="6"/>
        <v>5.5999999999999994E-2</v>
      </c>
      <c r="CS57" s="36">
        <f t="shared" si="6"/>
        <v>3.843888888888889E-2</v>
      </c>
      <c r="CT57" s="36">
        <f t="shared" si="6"/>
        <v>5.5400000000000012E-2</v>
      </c>
      <c r="CU57" s="36" t="str">
        <f t="shared" si="6"/>
        <v/>
      </c>
      <c r="CV57" s="36" t="str">
        <f t="shared" si="6"/>
        <v/>
      </c>
      <c r="CW57" s="36" t="str">
        <f t="shared" si="6"/>
        <v/>
      </c>
      <c r="CX57" s="36" t="str">
        <f t="shared" si="6"/>
        <v/>
      </c>
      <c r="CY57" s="36" t="str">
        <f t="shared" si="6"/>
        <v/>
      </c>
      <c r="CZ57" s="36">
        <f t="shared" si="6"/>
        <v>4.7699999999999992E-2</v>
      </c>
      <c r="DA57" s="36" t="str">
        <f t="shared" si="6"/>
        <v/>
      </c>
      <c r="DB57" s="36" t="str">
        <f t="shared" si="6"/>
        <v/>
      </c>
      <c r="DC57" s="36">
        <f t="shared" si="6"/>
        <v>5.4091999999999994E-2</v>
      </c>
      <c r="DD57" s="36" t="str">
        <f t="shared" si="6"/>
        <v/>
      </c>
      <c r="DE57" s="36">
        <f t="shared" si="6"/>
        <v>2.9999999999999995E-2</v>
      </c>
      <c r="DF57" s="36" t="str">
        <f t="shared" si="6"/>
        <v/>
      </c>
    </row>
    <row r="58" spans="1:110">
      <c r="A58" t="s">
        <v>62</v>
      </c>
      <c r="B58">
        <v>2004</v>
      </c>
      <c r="C58" s="16">
        <v>0.09</v>
      </c>
      <c r="D58" s="1">
        <v>4096174.72</v>
      </c>
      <c r="E58" s="29">
        <f>Table14[[#This Row],[Ávöxtun]]*Table14[[#This Row],[Eignir]]/SUMIFS(Table14[Eignir],Table14[Year],Table14[[#This Row],[Year]])</f>
        <v>4.0615592908799372E-4</v>
      </c>
      <c r="F58" s="23">
        <f>IF(B58=1997, 100, IF(COUNTIF(A$1:A57,A58)=0, "NEW", F57*(1+Table14[[#This Row],[Ávöxtun]])))</f>
        <v>129.04173969786004</v>
      </c>
      <c r="G58" s="18" cm="1">
        <f t="array" ref="G58">IFERROR(_xlfn.IFS(ISNUMBER(Table14[[#This Row],[Column3]]),Table14[[#This Row],[Column3]],Table14[[#This Row],[Column3]]="NEW",Table14[[#This Row],[Column3]]),"")</f>
        <v>129.04173969786004</v>
      </c>
      <c r="H58" s="15" cm="1">
        <f t="array" ref="H58">_xlfn.IFS(Table14[[#This Row],[Column4]]="NEW",AVERAGEIFS(Table14[Column4],Table14[Year],Table14[[#This Row],[Year]]),ISNUMBER(Table14[[#This Row],[Column4]]),Table14[[#This Row],[Column4]],Table14[[#This Row],[Column4]]="",H57*(1+Table14[[#This Row],[Ávöxtun]]))</f>
        <v>129.04173969786004</v>
      </c>
      <c r="I58" cm="1">
        <f t="array" ref="I58">_xlfn.IFS(Table14[[#This Row],[Column4]]="NEW",_xlfn.XLOOKUP(Table14[[#This Row],[Year]],$M$2:$M$27,$O$2:$O$27),ISNUMBER(Table14[[#This Row],[Column4]]),Table14[[#This Row],[Column4]],Table14[[#This Row],[Column4]]="",I57*(1+Table14[[#This Row],[Ávöxtun]]))</f>
        <v>129.04173969786004</v>
      </c>
      <c r="L58" s="33">
        <v>129.04173969786004</v>
      </c>
      <c r="X58" s="40" t="s">
        <v>162</v>
      </c>
      <c r="Y58" s="41" cm="1">
        <f t="array" ref="Y58">(INDEX(Y3:Y27,MAX(IF(Y3:Y27&lt;&gt;"",ROW(Y3:Y27)-ROW(Y3)+1)))/INDEX(Y3:Y27, MATCH(TRUE, INDEX((Y3:Y27&lt;&gt;""),), 0)))^(1/(COUNT(Y3:Y27)-1))-1</f>
        <v>5.6440553779950831E-2</v>
      </c>
      <c r="Z58" s="41" cm="1">
        <f t="array" ref="Z58">(INDEX(Z3:Z27,MAX(IF(Z3:Z27&lt;&gt;"",ROW(Z3:Z27)-ROW(Z3)+1)))/INDEX(Z3:Z27, MATCH(TRUE, INDEX((Z3:Z27&lt;&gt;""),), 0)))^(1/(COUNT(Z3:Z27)-1))-1</f>
        <v>2.7836937752388602E-2</v>
      </c>
      <c r="AA58" s="41" cm="1">
        <f t="array" ref="AA58">(INDEX(AA3:AA27,MAX(IF(AA3:AA27&lt;&gt;"",ROW(AA3:AA27)-ROW(AA3)+1)))/INDEX(AA3:AA27, MATCH(TRUE, INDEX((AA3:AA27&lt;&gt;""),), 0)))^(1/(COUNT(AA3:AA27)-1))-1</f>
        <v>-3.3760262511882244E-2</v>
      </c>
      <c r="AB58" s="41"/>
      <c r="AC58" s="40"/>
      <c r="AD58" s="41" cm="1">
        <f t="array" ref="AD58">(INDEX(AD3:AD27,MAX(IF(AD3:AD27&lt;&gt;"",ROW(AD3:AD27)-ROW(AD3)+1)))/INDEX(AD3:AD27, MATCH(TRUE, INDEX((AD3:AD27&lt;&gt;""),), 0)))^(1/(COUNT(AD3:AD27)-1))-1</f>
        <v>7.3640928034428121E-2</v>
      </c>
      <c r="AE58" s="41" cm="1">
        <f t="array" ref="AE58">(INDEX(AE3:AE27,MAX(IF(AE3:AE27&lt;&gt;"",ROW(AE3:AE27)-ROW(AE3)+1)))/INDEX(AE3:AE27, MATCH(TRUE, INDEX((AE3:AE27&lt;&gt;""),), 0)))^(1/(COUNT(AE3:AE27)-1))-1</f>
        <v>0.1827419747441239</v>
      </c>
      <c r="AF58" s="41"/>
      <c r="AG58" s="41" cm="1">
        <f t="array" ref="AG58">(INDEX(AG3:AG27,MAX(IF(AG3:AG27&lt;&gt;"",ROW(AG3:AG27)-ROW(AG3)+1)))/INDEX(AG3:AG27, MATCH(TRUE, INDEX((AG3:AG27&lt;&gt;""),), 0)))^(1/(COUNT(AG3:AG27)-1))-1</f>
        <v>3.1082563014508624E-2</v>
      </c>
      <c r="AH58" s="41" cm="1">
        <f t="array" ref="AH58">(INDEX(AH3:AH27,MAX(IF(AH3:AH27&lt;&gt;"",ROW(AH3:AH27)-ROW(AH3)+1)))/INDEX(AH3:AH27, MATCH(TRUE, INDEX((AH3:AH27&lt;&gt;""),), 0)))^(1/(COUNT(AH3:AH27)-1))-1</f>
        <v>3.3668895362813256E-2</v>
      </c>
      <c r="AI58" s="41" cm="1">
        <f t="array" ref="AI58">(INDEX(AI3:AI27,MAX(IF(AI3:AI27&lt;&gt;"",ROW(AI3:AI27)-ROW(AI3)+1)))/INDEX(AI3:AI27, MATCH(TRUE, INDEX((AI3:AI27&lt;&gt;""),), 0)))^(1/(COUNT(AI3:AI27)-1))-1</f>
        <v>-6.7040201129665911E-2</v>
      </c>
      <c r="AJ58" s="41" cm="1">
        <f t="array" ref="AJ58">(INDEX(AJ3:AJ27,MAX(IF(AJ3:AJ27&lt;&gt;"",ROW(AJ3:AJ27)-ROW(AJ3)+1)))/INDEX(AJ3:AJ27, MATCH(TRUE, INDEX((AJ3:AJ27&lt;&gt;""),), 0)))^(1/(COUNT(AJ3:AJ27)-1))-1</f>
        <v>3.4011616839793035E-3</v>
      </c>
      <c r="AK58" s="41" cm="1">
        <f t="array" ref="AK58">(INDEX(AK3:AK27,MAX(IF(AK3:AK27&lt;&gt;"",ROW(AK3:AK27)-ROW(AK3)+1)))/INDEX(AK3:AK27, MATCH(TRUE, INDEX((AK3:AK27&lt;&gt;""),), 0)))^(1/(COUNT(AK3:AK27)-1))-1</f>
        <v>5.9998933652504416E-2</v>
      </c>
      <c r="AL58" s="41" cm="1">
        <f t="array" ref="AL58">(INDEX(AL3:AL27,MAX(IF(AL3:AL27&lt;&gt;"",ROW(AL3:AL27)-ROW(AL3)+1)))/INDEX(AL3:AL27, MATCH(TRUE, INDEX((AL3:AL27&lt;&gt;""),), 0)))^(1/(COUNT(AL3:AL27)-1))-1</f>
        <v>3.9777149223538144E-2</v>
      </c>
      <c r="AM58" s="41" cm="1">
        <f t="array" ref="AM58">(INDEX(AM3:AM27,MAX(IF(AM3:AM27&lt;&gt;"",ROW(AM3:AM27)-ROW(AM3)+1)))/INDEX(AM3:AM27, MATCH(TRUE, INDEX((AM3:AM27&lt;&gt;""),), 0)))^(1/(COUNT(AM3:AM27)-1))-1</f>
        <v>4.0003017413891007E-2</v>
      </c>
      <c r="AN58" s="41" cm="1">
        <f t="array" ref="AN58">(INDEX(AN3:AN27,MAX(IF(AN3:AN27&lt;&gt;"",ROW(AN3:AN27)-ROW(AN3)+1)))/INDEX(AN3:AN27, MATCH(TRUE, INDEX((AN3:AN27&lt;&gt;""),), 0)))^(1/(COUNT(AN3:AN27)-1))-1</f>
        <v>1.4111033988881694E-2</v>
      </c>
      <c r="AO58" s="41" t="e" cm="1">
        <f t="array" ref="AO58">(INDEX(AO3:AO27,MAX(IF(AO3:AO27&lt;&gt;"",ROW(AO3:AO27)-ROW(AO3)+1)))/INDEX(AO3:AO27, MATCH(TRUE, INDEX((AO3:AO27&lt;&gt;""),), 0)))^(1/(COUNT(AO3:AO27)-1))-1</f>
        <v>#NUM!</v>
      </c>
      <c r="AP58" s="41" cm="1">
        <f t="array" ref="AP58">(INDEX(AP3:AP27,MAX(IF(AP3:AP27&lt;&gt;"",ROW(AP3:AP27)-ROW(AP3)+1)))/INDEX(AP3:AP27, MATCH(TRUE, INDEX((AP3:AP27&lt;&gt;""),), 0)))^(1/(COUNT(AP3:AP27)-1))-1</f>
        <v>2.9210306430366595E-2</v>
      </c>
      <c r="AQ58" s="41" cm="1">
        <f t="array" ref="AQ58">(INDEX(AQ3:AQ27,MAX(IF(AQ3:AQ27&lt;&gt;"",ROW(AQ3:AQ27)-ROW(AQ3)+1)))/INDEX(AQ3:AQ27, MATCH(TRUE, INDEX((AQ3:AQ27&lt;&gt;""),), 0)))^(1/(COUNT(AQ3:AQ27)-1))-1</f>
        <v>3.0388723542915885E-2</v>
      </c>
      <c r="AR58" s="41" cm="1">
        <f t="array" ref="AR58">(INDEX(AR3:AR27,MAX(IF(AR3:AR27&lt;&gt;"",ROW(AR3:AR27)-ROW(AR3)+1)))/INDEX(AR3:AR27, MATCH(TRUE, INDEX((AR3:AR27&lt;&gt;""),), 0)))^(1/(COUNT(AR3:AR27)-1))-1</f>
        <v>3.1792281229442887E-2</v>
      </c>
      <c r="AS58" s="41"/>
      <c r="AT58" s="41" cm="1">
        <f t="array" ref="AT58">(INDEX(AT3:AT27,MAX(IF(AT3:AT27&lt;&gt;"",ROW(AT3:AT27)-ROW(AT3)+1)))/INDEX(AT3:AT27, MATCH(TRUE, INDEX((AT3:AT27&lt;&gt;""),), 0)))^(1/(COUNT(AT3:AT27)-1))-1</f>
        <v>2.5167636390615256E-2</v>
      </c>
      <c r="AU58" s="41" cm="1">
        <f t="array" ref="AU58">(INDEX(AU3:AU27,MAX(IF(AU3:AU27&lt;&gt;"",ROW(AU3:AU27)-ROW(AU3)+1)))/INDEX(AU3:AU27, MATCH(TRUE, INDEX((AU3:AU27&lt;&gt;""),), 0)))^(1/(COUNT(AU3:AU27)-1))-1</f>
        <v>-6.1599613054481805E-2</v>
      </c>
      <c r="AV58" s="41"/>
      <c r="AW58" s="41"/>
      <c r="AX58" s="41" cm="1">
        <f t="array" ref="AX58">(INDEX(AX3:AX27,MAX(IF(AX3:AX27&lt;&gt;"",ROW(AX3:AX27)-ROW(AX3)+1)))/INDEX(AX3:AX27, MATCH(TRUE, INDEX((AX3:AX27&lt;&gt;""),), 0)))^(1/(COUNT(AX3:AX27)-1))-1</f>
        <v>5.9470342792777853E-2</v>
      </c>
      <c r="AY58" s="41" cm="1">
        <f t="array" ref="AY58">(INDEX(AY3:AY27,MAX(IF(AY3:AY27&lt;&gt;"",ROW(AY3:AY27)-ROW(AY3)+1)))/INDEX(AY3:AY27, MATCH(TRUE, INDEX((AY3:AY27&lt;&gt;""),), 0)))^(1/(COUNT(AY3:AY27)-1))-1</f>
        <v>3.3099482386397039E-2</v>
      </c>
      <c r="AZ58" s="41" cm="1">
        <f t="array" ref="AZ58">(INDEX(AZ3:AZ27,MAX(IF(AZ3:AZ27&lt;&gt;"",ROW(AZ3:AZ27)-ROW(AZ3)+1)))/INDEX(AZ3:AZ27, MATCH(TRUE, INDEX((AZ3:AZ27&lt;&gt;""),), 0)))^(1/(COUNT(AZ3:AZ27)-1))-1</f>
        <v>1.9832240434561665E-2</v>
      </c>
      <c r="BA58" s="41" cm="1">
        <f t="array" ref="BA58">(INDEX(BA3:BA27,MAX(IF(BA3:BA27&lt;&gt;"",ROW(BA3:BA27)-ROW(BA3)+1)))/INDEX(BA3:BA27, MATCH(TRUE, INDEX((BA3:BA27&lt;&gt;""),), 0)))^(1/(COUNT(BA3:BA27)-1))-1</f>
        <v>-7.5013513612225746E-2</v>
      </c>
      <c r="BB58" s="41" cm="1">
        <f t="array" ref="BB58">(INDEX(BB3:BB27,MAX(IF(BB3:BB27&lt;&gt;"",ROW(BB3:BB27)-ROW(BB3)+1)))/INDEX(BB3:BB27, MATCH(TRUE, INDEX((BB3:BB27&lt;&gt;""),), 0)))^(1/(COUNT(BB3:BB27)-1))-1</f>
        <v>-8.7226059431178005E-4</v>
      </c>
      <c r="BC58" s="41" cm="1">
        <f t="array" ref="BC58">(INDEX(BC3:BC27,MAX(IF(BC3:BC27&lt;&gt;"",ROW(BC3:BC27)-ROW(BC3)+1)))/INDEX(BC3:BC27, MATCH(TRUE, INDEX((BC3:BC27&lt;&gt;""),), 0)))^(1/(COUNT(BC3:BC27)-1))-1</f>
        <v>2.4798313067216471E-2</v>
      </c>
      <c r="BD58" s="41" cm="1">
        <f t="array" ref="BD58">(INDEX(BD3:BD27,MAX(IF(BD3:BD27&lt;&gt;"",ROW(BD3:BD27)-ROW(BD3)+1)))/INDEX(BD3:BD27, MATCH(TRUE, INDEX((BD3:BD27&lt;&gt;""),), 0)))^(1/(COUNT(BD3:BD27)-1))-1</f>
        <v>2.2748428202538973E-2</v>
      </c>
      <c r="BE58" s="41" cm="1">
        <f t="array" ref="BE58">(INDEX(BE3:BE27,MAX(IF(BE3:BE27&lt;&gt;"",ROW(BE3:BE27)-ROW(BE3)+1)))/INDEX(BE3:BE27, MATCH(TRUE, INDEX((BE3:BE27&lt;&gt;""),), 0)))^(1/(COUNT(BE3:BE27)-1))-1</f>
        <v>3.687337442830696E-2</v>
      </c>
      <c r="BF58" s="41"/>
      <c r="BG58" s="41" cm="1">
        <f t="array" ref="BG58">(INDEX(BG3:BG27,MAX(IF(BG3:BG27&lt;&gt;"",ROW(BG3:BG27)-ROW(BG3)+1)))/INDEX(BG3:BG27, MATCH(TRUE, INDEX((BG3:BG27&lt;&gt;""),), 0)))^(1/(COUNT(BG3:BG27)-1))-1</f>
        <v>2.0520682284381087E-2</v>
      </c>
      <c r="BH58" s="41" cm="1">
        <f t="array" ref="BH58">(INDEX(BH3:BH27,MAX(IF(BH3:BH27&lt;&gt;"",ROW(BH3:BH27)-ROW(BH3)+1)))/INDEX(BH3:BH27, MATCH(TRUE, INDEX((BH3:BH27&lt;&gt;""),), 0)))^(1/(COUNT(BH3:BH27)-1))-1</f>
        <v>2.8630848692388522E-2</v>
      </c>
      <c r="BI58" s="41" cm="1">
        <f t="array" ref="BI58">(INDEX(BI3:BI27,MAX(IF(BI3:BI27&lt;&gt;"",ROW(BI3:BI27)-ROW(BI3)+1)))/INDEX(BI3:BI27, MATCH(TRUE, INDEX((BI3:BI27&lt;&gt;""),), 0)))^(1/(COUNT(BI3:BI27)-1))-1</f>
        <v>3.0613970381950351E-2</v>
      </c>
      <c r="BJ58" s="41" cm="1">
        <f t="array" ref="BJ58">(INDEX(BJ3:BJ27,MAX(IF(BJ3:BJ27&lt;&gt;"",ROW(BJ3:BJ27)-ROW(BJ3)+1)))/INDEX(BJ3:BJ27, MATCH(TRUE, INDEX((BJ3:BJ27&lt;&gt;""),), 0)))^(1/(COUNT(BJ3:BJ27)-1))-1</f>
        <v>6.9135805449428656E-2</v>
      </c>
      <c r="BK58" s="41" cm="1">
        <f t="array" ref="BK58">(INDEX(BK3:BK27,MAX(IF(BK3:BK27&lt;&gt;"",ROW(BK3:BK27)-ROW(BK3)+1)))/INDEX(BK3:BK27, MATCH(TRUE, INDEX((BK3:BK27&lt;&gt;""),), 0)))^(1/(COUNT(BK3:BK27)-1))-1</f>
        <v>-6.7806546894582098E-3</v>
      </c>
      <c r="BL58" s="41" cm="1">
        <f t="array" ref="BL58">(INDEX(BL3:BL27,MAX(IF(BL3:BL27&lt;&gt;"",ROW(BL3:BL27)-ROW(BL3)+1)))/INDEX(BL3:BL27, MATCH(TRUE, INDEX((BL3:BL27&lt;&gt;""),), 0)))^(1/(COUNT(BL3:BL27)-1))-1</f>
        <v>5.9874198906960219E-2</v>
      </c>
      <c r="BM58" s="41" cm="1">
        <f t="array" ref="BM58">(INDEX(BM3:BM27,MAX(IF(BM3:BM27&lt;&gt;"",ROW(BM3:BM27)-ROW(BM3)+1)))/INDEX(BM3:BM27, MATCH(TRUE, INDEX((BM3:BM27&lt;&gt;""),), 0)))^(1/(COUNT(BM3:BM27)-1))-1</f>
        <v>5.6496980163616151E-2</v>
      </c>
      <c r="BN58" s="41" cm="1">
        <f t="array" ref="BN58">(INDEX(BN3:BN27,MAX(IF(BN3:BN27&lt;&gt;"",ROW(BN3:BN27)-ROW(BN3)+1)))/INDEX(BN3:BN27, MATCH(TRUE, INDEX((BN3:BN27&lt;&gt;""),), 0)))^(1/(COUNT(BN3:BN27)-1))-1</f>
        <v>0</v>
      </c>
      <c r="BO58" s="41"/>
      <c r="BP58" s="41" cm="1">
        <f t="array" ref="BP58">(INDEX(BP3:BP27,MAX(IF(BP3:BP27&lt;&gt;"",ROW(BP3:BP27)-ROW(BP3)+1)))/INDEX(BP3:BP27, MATCH(TRUE, INDEX((BP3:BP27&lt;&gt;""),), 0)))^(1/(COUNT(BP3:BP27)-1))-1</f>
        <v>2.2983711282869246E-2</v>
      </c>
      <c r="BQ58" s="41" cm="1">
        <f t="array" ref="BQ58">(INDEX(BQ3:BQ27,MAX(IF(BQ3:BQ27&lt;&gt;"",ROW(BQ3:BQ27)-ROW(BQ3)+1)))/INDEX(BQ3:BQ27, MATCH(TRUE, INDEX((BQ3:BQ27&lt;&gt;""),), 0)))^(1/(COUNT(BQ3:BQ27)-1))-1</f>
        <v>3.4988258909993464E-2</v>
      </c>
      <c r="BR58" s="41" cm="1">
        <f t="array" ref="BR58">(INDEX(BR3:BR27,MAX(IF(BR3:BR27&lt;&gt;"",ROW(BR3:BR27)-ROW(BR3)+1)))/INDEX(BR3:BR27, MATCH(TRUE, INDEX((BR3:BR27&lt;&gt;""),), 0)))^(1/(COUNT(BR3:BR27)-1))-1</f>
        <v>7.3962676966412122E-2</v>
      </c>
      <c r="BS58" s="41" cm="1">
        <f t="array" ref="BS58">(INDEX(BS3:BS27,MAX(IF(BS3:BS27&lt;&gt;"",ROW(BS3:BS27)-ROW(BS3)+1)))/INDEX(BS3:BS27, MATCH(TRUE, INDEX((BS3:BS27&lt;&gt;""),), 0)))^(1/(COUNT(BS3:BS27)-1))-1</f>
        <v>8.4711943328734662E-2</v>
      </c>
      <c r="BT58" s="41"/>
      <c r="BU58" s="41" cm="1">
        <f t="array" ref="BU58">(INDEX(BU3:BU27,MAX(IF(BU3:BU27&lt;&gt;"",ROW(BU3:BU27)-ROW(BU3)+1)))/INDEX(BU3:BU27, MATCH(TRUE, INDEX((BU3:BU27&lt;&gt;""),), 0)))^(1/(COUNT(BU3:BU27)-1))-1</f>
        <v>6.1616361713448198E-2</v>
      </c>
      <c r="BV58" s="41" cm="1">
        <f t="array" ref="BV58">(INDEX(BV3:BV27,MAX(IF(BV3:BV27&lt;&gt;"",ROW(BV3:BV27)-ROW(BV3)+1)))/INDEX(BV3:BV27, MATCH(TRUE, INDEX((BV3:BV27&lt;&gt;""),), 0)))^(1/(COUNT(BV3:BV27)-1))-1</f>
        <v>3.3198465013099643E-2</v>
      </c>
      <c r="BW58" s="41"/>
      <c r="BX58" s="41" cm="1">
        <f t="array" ref="BX58">(INDEX(BX3:BX27,MAX(IF(BX3:BX27&lt;&gt;"",ROW(BX3:BX27)-ROW(BX3)+1)))/INDEX(BX3:BX27, MATCH(TRUE, INDEX((BX3:BX27&lt;&gt;""),), 0)))^(1/(COUNT(BX3:BX27)-1))-1</f>
        <v>6.0000000000000053E-2</v>
      </c>
      <c r="BY58" s="41" cm="1">
        <f t="array" ref="BY58">(INDEX(BY3:BY27,MAX(IF(BY3:BY27&lt;&gt;"",ROW(BY3:BY27)-ROW(BY3)+1)))/INDEX(BY3:BY27, MATCH(TRUE, INDEX((BY3:BY27&lt;&gt;""),), 0)))^(1/(COUNT(BY3:BY27)-1))-1</f>
        <v>6.6781799105809503E-2</v>
      </c>
      <c r="BZ58" s="41" cm="1">
        <f t="array" ref="BZ58">(INDEX(BZ3:BZ27,MAX(IF(BZ3:BZ27&lt;&gt;"",ROW(BZ3:BZ27)-ROW(BZ3)+1)))/INDEX(BZ3:BZ27, MATCH(TRUE, INDEX((BZ3:BZ27&lt;&gt;""),), 0)))^(1/(COUNT(BZ3:BZ27)-1))-1</f>
        <v>6.5919391310764075E-2</v>
      </c>
      <c r="CA58" s="41" cm="1">
        <f t="array" ref="CA58">(INDEX(CA3:CA27,MAX(IF(CA3:CA27&lt;&gt;"",ROW(CA3:CA27)-ROW(CA3)+1)))/INDEX(CA3:CA27, MATCH(TRUE, INDEX((CA3:CA27&lt;&gt;""),), 0)))^(1/(COUNT(CA3:CA27)-1))-1</f>
        <v>0</v>
      </c>
      <c r="CB58" s="41" cm="1">
        <f t="array" ref="CB58">(INDEX(CB3:CB27,MAX(IF(CB3:CB27&lt;&gt;"",ROW(CB3:CB27)-ROW(CB3)+1)))/INDEX(CB3:CB27, MATCH(TRUE, INDEX((CB3:CB27&lt;&gt;""),), 0)))^(1/(COUNT(CB3:CB27)-1))-1</f>
        <v>3.953985961451445E-2</v>
      </c>
      <c r="CC58" s="41" cm="1">
        <f t="array" ref="CC58">(INDEX(CC3:CC27,MAX(IF(CC3:CC27&lt;&gt;"",ROW(CC3:CC27)-ROW(CC3)+1)))/INDEX(CC3:CC27, MATCH(TRUE, INDEX((CC3:CC27&lt;&gt;""),), 0)))^(1/(COUNT(CC3:CC27)-1))-1</f>
        <v>6.4564737732153654E-2</v>
      </c>
      <c r="CD58" s="41" cm="1">
        <f t="array" ref="CD58">(INDEX(CD3:CD27,MAX(IF(CD3:CD27&lt;&gt;"",ROW(CD3:CD27)-ROW(CD3)+1)))/INDEX(CD3:CD27, MATCH(TRUE, INDEX((CD3:CD27&lt;&gt;""),), 0)))^(1/(COUNT(CD3:CD27)-1))-1</f>
        <v>5.4988151592234802E-2</v>
      </c>
      <c r="CE58" s="41" cm="1">
        <f t="array" ref="CE58">(INDEX(CE3:CE27,MAX(IF(CE3:CE27&lt;&gt;"",ROW(CE3:CE27)-ROW(CE3)+1)))/INDEX(CE3:CE27, MATCH(TRUE, INDEX((CE3:CE27&lt;&gt;""),), 0)))^(1/(COUNT(CE3:CE27)-1))-1</f>
        <v>4.8834279787312695E-2</v>
      </c>
      <c r="CF58" s="41" cm="1">
        <f t="array" ref="CF58">(INDEX(CF3:CF27,MAX(IF(CF3:CF27&lt;&gt;"",ROW(CF3:CF27)-ROW(CF3)+1)))/INDEX(CF3:CF27, MATCH(TRUE, INDEX((CF3:CF27&lt;&gt;""),), 0)))^(1/(COUNT(CF3:CF27)-1))-1</f>
        <v>6.501312748052035E-2</v>
      </c>
      <c r="CG58" s="41" cm="1">
        <f t="array" ref="CG58">(INDEX(CG3:CG27,MAX(IF(CG3:CG27&lt;&gt;"",ROW(CG3:CG27)-ROW(CG3)+1)))/INDEX(CG3:CG27, MATCH(TRUE, INDEX((CG3:CG27&lt;&gt;""),), 0)))^(1/(COUNT(CG3:CG27)-1))-1</f>
        <v>3.4838901034456082E-2</v>
      </c>
      <c r="CH58" s="41" cm="1">
        <f t="array" ref="CH58">(INDEX(CH3:CH27,MAX(IF(CH3:CH27&lt;&gt;"",ROW(CH3:CH27)-ROW(CH3)+1)))/INDEX(CH3:CH27, MATCH(TRUE, INDEX((CH3:CH27&lt;&gt;""),), 0)))^(1/(COUNT(CH3:CH27)-1))-1</f>
        <v>3.9321829842080325E-2</v>
      </c>
      <c r="CI58" s="41" cm="1">
        <f t="array" ref="CI58">(INDEX(CI3:CI27,MAX(IF(CI3:CI27&lt;&gt;"",ROW(CI3:CI27)-ROW(CI3)+1)))/INDEX(CI3:CI27, MATCH(TRUE, INDEX((CI3:CI27&lt;&gt;""),), 0)))^(1/(COUNT(CI3:CI27)-1))-1</f>
        <v>8.3889043133960506E-2</v>
      </c>
      <c r="CJ58" s="41" cm="1">
        <f t="array" ref="CJ58">(INDEX(CJ3:CJ27,MAX(IF(CJ3:CJ27&lt;&gt;"",ROW(CJ3:CJ27)-ROW(CJ3)+1)))/INDEX(CJ3:CJ27, MATCH(TRUE, INDEX((CJ3:CJ27&lt;&gt;""),), 0)))^(1/(COUNT(CJ3:CJ27)-1))-1</f>
        <v>2.3263365797089097E-2</v>
      </c>
      <c r="CK58" s="41" cm="1">
        <f t="array" ref="CK58">(INDEX(CK3:CK27,MAX(IF(CK3:CK27&lt;&gt;"",ROW(CK3:CK27)-ROW(CK3)+1)))/INDEX(CK3:CK27, MATCH(TRUE, INDEX((CK3:CK27&lt;&gt;""),), 0)))^(1/(COUNT(CK3:CK27)-1))-1</f>
        <v>5.3079896667918902E-2</v>
      </c>
      <c r="CL58" s="41" cm="1">
        <f t="array" ref="CL58">(INDEX(CL3:CL27,MAX(IF(CL3:CL27&lt;&gt;"",ROW(CL3:CL27)-ROW(CL3)+1)))/INDEX(CL3:CL27, MATCH(TRUE, INDEX((CL3:CL27&lt;&gt;""),), 0)))^(1/(COUNT(CL3:CL27)-1))-1</f>
        <v>2.7954626219749201E-2</v>
      </c>
      <c r="CM58" s="41"/>
      <c r="CN58" s="41" cm="1">
        <f t="array" ref="CN58">(INDEX(CN3:CN27,MAX(IF(CN3:CN27&lt;&gt;"",ROW(CN3:CN27)-ROW(CN3)+1)))/INDEX(CN3:CN27, MATCH(TRUE, INDEX((CN3:CN27&lt;&gt;""),), 0)))^(1/(COUNT(CN3:CN27)-1))-1</f>
        <v>2.570337001807621E-2</v>
      </c>
      <c r="CO58" s="41" cm="1">
        <f t="array" ref="CO58">(INDEX(CO3:CO27,MAX(IF(CO3:CO27&lt;&gt;"",ROW(CO3:CO27)-ROW(CO3)+1)))/INDEX(CO3:CO27, MATCH(TRUE, INDEX((CO3:CO27&lt;&gt;""),), 0)))^(1/(COUNT(CO3:CO27)-1))-1</f>
        <v>5.0000000000000044E-2</v>
      </c>
      <c r="CP58" s="41"/>
      <c r="CQ58" s="41" cm="1">
        <f t="array" ref="CQ58">(INDEX(CQ3:CQ27,MAX(IF(CQ3:CQ27&lt;&gt;"",ROW(CQ3:CQ27)-ROW(CQ3)+1)))/INDEX(CQ3:CQ27, MATCH(TRUE, INDEX((CQ3:CQ27&lt;&gt;""),), 0)))^(1/(COUNT(CQ3:CQ27)-1))-1</f>
        <v>2.6691241597698312E-3</v>
      </c>
      <c r="CR58" s="41" cm="1">
        <f t="array" ref="CR58">(INDEX(CR3:CR27,MAX(IF(CR3:CR27&lt;&gt;"",ROW(CR3:CR27)-ROW(CR3)+1)))/INDEX(CR3:CR27, MATCH(TRUE, INDEX((CR3:CR27&lt;&gt;""),), 0)))^(1/(COUNT(CR3:CR27)-1))-1</f>
        <v>5.05334551697596E-2</v>
      </c>
      <c r="CS58" s="41" cm="1">
        <f t="array" ref="CS58">(INDEX(CS3:CS27,MAX(IF(CS3:CS27&lt;&gt;"",ROW(CS3:CS27)-ROW(CS3)+1)))/INDEX(CS3:CS27, MATCH(TRUE, INDEX((CS3:CS27&lt;&gt;""),), 0)))^(1/(COUNT(CS3:CS27)-1))-1</f>
        <v>3.024885793831511E-2</v>
      </c>
      <c r="CT58" s="41" cm="1">
        <f t="array" ref="CT58">(INDEX(CT3:CT27,MAX(IF(CT3:CT27&lt;&gt;"",ROW(CT3:CT27)-ROW(CT3)+1)))/INDEX(CT3:CT27, MATCH(TRUE, INDEX((CT3:CT27&lt;&gt;""),), 0)))^(1/(COUNT(CT3:CT27)-1))-1</f>
        <v>5.282489376207522E-2</v>
      </c>
      <c r="CU58" s="41" cm="1">
        <f t="array" ref="CU58">(INDEX(CU3:CU27,MAX(IF(CU3:CU27&lt;&gt;"",ROW(CU3:CU27)-ROW(CU3)+1)))/INDEX(CU3:CU27, MATCH(TRUE, INDEX((CU3:CU27&lt;&gt;""),), 0)))^(1/(COUNT(CU3:CU27)-1))-1</f>
        <v>5.7880710092818477E-2</v>
      </c>
      <c r="CV58" s="41" cm="1">
        <f t="array" ref="CV58">(INDEX(CV3:CV27,MAX(IF(CV3:CV27&lt;&gt;"",ROW(CV3:CV27)-ROW(CV3)+1)))/INDEX(CV3:CV27, MATCH(TRUE, INDEX((CV3:CV27&lt;&gt;""),), 0)))^(1/(COUNT(CV3:CV27)-1))-1</f>
        <v>5.9924770738733368E-2</v>
      </c>
      <c r="CW58" s="41" cm="1">
        <f t="array" ref="CW58">(INDEX(CW3:CW27,MAX(IF(CW3:CW27&lt;&gt;"",ROW(CW3:CW27)-ROW(CW3)+1)))/INDEX(CW3:CW27, MATCH(TRUE, INDEX((CW3:CW27&lt;&gt;""),), 0)))^(1/(COUNT(CW3:CW27)-1))-1</f>
        <v>4.0743619054312674E-2</v>
      </c>
      <c r="CX58" s="41"/>
      <c r="CY58" s="41" cm="1">
        <f t="array" ref="CY58">(INDEX(CY3:CY27,MAX(IF(CY3:CY27&lt;&gt;"",ROW(CY3:CY27)-ROW(CY3)+1)))/INDEX(CY3:CY27, MATCH(TRUE, INDEX((CY3:CY27&lt;&gt;""),), 0)))^(1/(COUNT(CY3:CY27)-1))-1</f>
        <v>6.4338629328353658E-2</v>
      </c>
      <c r="CZ58" s="41" cm="1">
        <f t="array" ref="CZ58">(INDEX(CZ3:CZ27,MAX(IF(CZ3:CZ27&lt;&gt;"",ROW(CZ3:CZ27)-ROW(CZ3)+1)))/INDEX(CZ3:CZ27, MATCH(TRUE, INDEX((CZ3:CZ27&lt;&gt;""),), 0)))^(1/(COUNT(CZ3:CZ27)-1))-1</f>
        <v>3.857044300755641E-2</v>
      </c>
      <c r="DA58" s="41" cm="1">
        <f t="array" ref="DA58">(INDEX(DA3:DA27,MAX(IF(DA3:DA27&lt;&gt;"",ROW(DA3:DA27)-ROW(DA3)+1)))/INDEX(DA3:DA27, MATCH(TRUE, INDEX((DA3:DA27&lt;&gt;""),), 0)))^(1/(COUNT(DA3:DA27)-1))-1</f>
        <v>0.12662581041698662</v>
      </c>
      <c r="DB58" s="41" cm="1">
        <f t="array" ref="DB58">(INDEX(DB3:DB27,MAX(IF(DB3:DB27&lt;&gt;"",ROW(DB3:DB27)-ROW(DB3)+1)))/INDEX(DB3:DB27, MATCH(TRUE, INDEX((DB3:DB27&lt;&gt;""),), 0)))^(1/(COUNT(DB3:DB27)-1))-1</f>
        <v>-5.436167443879536E-3</v>
      </c>
      <c r="DC58" s="41" cm="1">
        <f t="array" ref="DC58">(INDEX(DC3:DC27,MAX(IF(DC3:DC27&lt;&gt;"",ROW(DC3:DC27)-ROW(DC3)+1)))/INDEX(DC3:DC27, MATCH(TRUE, INDEX((DC3:DC27&lt;&gt;""),), 0)))^(1/(COUNT(DC3:DC27)-1))-1</f>
        <v>5.1036451000942451E-2</v>
      </c>
      <c r="DD58" s="41" cm="1">
        <f t="array" ref="DD58">(INDEX(DD3:DD27,MAX(IF(DD3:DD27&lt;&gt;"",ROW(DD3:DD27)-ROW(DD3)+1)))/INDEX(DD3:DD27, MATCH(TRUE, INDEX((DD3:DD27&lt;&gt;""),), 0)))^(1/(COUNT(DD3:DD27)-1))-1</f>
        <v>-1.5667271233136271E-3</v>
      </c>
      <c r="DE58" s="41" cm="1">
        <f t="array" ref="DE58">(INDEX(DE3:DE27,MAX(IF(DE3:DE27&lt;&gt;"",ROW(DE3:DE27)-ROW(DE3)+1)))/INDEX(DE3:DE27, MATCH(TRUE, INDEX((DE3:DE27&lt;&gt;""),), 0)))^(1/(COUNT(DE3:DE27)-1))-1</f>
        <v>3.0257545810150166E-2</v>
      </c>
      <c r="DF58" s="41" cm="1">
        <f t="array" ref="DF58">(INDEX(DF3:DF27,MAX(IF(DF3:DF27&lt;&gt;"",ROW(DF3:DF27)-ROW(DF3)+1)))/INDEX(DF3:DF27, MATCH(TRUE, INDEX((DF3:DF27&lt;&gt;""),), 0)))^(1/(COUNT(DF3:DF27)-1))-1</f>
        <v>2.4695076595959931E-2</v>
      </c>
    </row>
    <row r="59" spans="1:110">
      <c r="A59" t="s">
        <v>62</v>
      </c>
      <c r="B59">
        <v>2005</v>
      </c>
      <c r="C59" s="16">
        <v>0.01</v>
      </c>
      <c r="D59" s="1">
        <v>6265508</v>
      </c>
      <c r="E59" s="29">
        <f>Table14[[#This Row],[Ávöxtun]]*Table14[[#This Row],[Eignir]]/SUMIFS(Table14[Eignir],Table14[Year],Table14[[#This Row],[Year]])</f>
        <v>5.5875297610267454E-5</v>
      </c>
      <c r="F59" s="23">
        <f>IF(B59=1997, 100, IF(COUNTIF(A$1:A58,A59)=0, "NEW", F58*(1+Table14[[#This Row],[Ávöxtun]])))</f>
        <v>130.33215709483864</v>
      </c>
      <c r="G59" s="18" cm="1">
        <f t="array" ref="G59">IFERROR(_xlfn.IFS(ISNUMBER(Table14[[#This Row],[Column3]]),Table14[[#This Row],[Column3]],Table14[[#This Row],[Column3]]="NEW",Table14[[#This Row],[Column3]]),"")</f>
        <v>130.33215709483864</v>
      </c>
      <c r="H59" s="15" cm="1">
        <f t="array" ref="H59">_xlfn.IFS(Table14[[#This Row],[Column4]]="NEW",AVERAGEIFS(Table14[Column4],Table14[Year],Table14[[#This Row],[Year]]),ISNUMBER(Table14[[#This Row],[Column4]]),Table14[[#This Row],[Column4]],Table14[[#This Row],[Column4]]="",H58*(1+Table14[[#This Row],[Ávöxtun]]))</f>
        <v>130.33215709483864</v>
      </c>
      <c r="I59" cm="1">
        <f t="array" ref="I59">_xlfn.IFS(Table14[[#This Row],[Column4]]="NEW",_xlfn.XLOOKUP(Table14[[#This Row],[Year]],$M$2:$M$27,$O$2:$O$27),ISNUMBER(Table14[[#This Row],[Column4]]),Table14[[#This Row],[Column4]],Table14[[#This Row],[Column4]]="",I58*(1+Table14[[#This Row],[Ávöxtun]]))</f>
        <v>130.33215709483864</v>
      </c>
      <c r="L59" s="33">
        <v>130.33215709483864</v>
      </c>
      <c r="AB59" s="39"/>
    </row>
    <row r="60" spans="1:110">
      <c r="A60" t="s">
        <v>63</v>
      </c>
      <c r="B60">
        <v>2006</v>
      </c>
      <c r="C60" s="16">
        <v>1.2500000000000001E-2</v>
      </c>
      <c r="D60" s="1">
        <v>7077174</v>
      </c>
      <c r="E60" s="29">
        <f>Table14[[#This Row],[Ávöxtun]]*Table14[[#This Row],[Eignir]]/SUMIFS(Table14[Eignir],Table14[Year],Table14[[#This Row],[Year]])</f>
        <v>6.4446889288426507E-5</v>
      </c>
      <c r="F60" s="23" t="str">
        <f>IF(B60=1997, 100, IF(COUNTIF(A$1:A59,A60)=0, "NEW", F59*(1+Table14[[#This Row],[Ávöxtun]])))</f>
        <v>NEW</v>
      </c>
      <c r="G60" s="18" t="str" cm="1">
        <f t="array" ref="G60">IFERROR(_xlfn.IFS(ISNUMBER(Table14[[#This Row],[Column3]]),Table14[[#This Row],[Column3]],Table14[[#This Row],[Column3]]="NEW",Table14[[#This Row],[Column3]]),"")</f>
        <v>NEW</v>
      </c>
      <c r="H60" s="15" cm="1">
        <f t="array" ref="H60">_xlfn.IFS(Table14[[#This Row],[Column4]]="NEW",AVERAGEIFS(Table14[Column4],Table14[Year],Table14[[#This Row],[Year]]),ISNUMBER(Table14[[#This Row],[Column4]]),Table14[[#This Row],[Column4]],Table14[[#This Row],[Column4]]="",H59*(1+Table14[[#This Row],[Ávöxtun]]))</f>
        <v>173.57107422928632</v>
      </c>
      <c r="I60" cm="1">
        <f t="array" ref="I60">_xlfn.IFS(Table14[[#This Row],[Column4]]="NEW",_xlfn.XLOOKUP(Table14[[#This Row],[Year]],$M$2:$M$27,$O$2:$O$27),ISNUMBER(Table14[[#This Row],[Column4]]),Table14[[#This Row],[Column4]],Table14[[#This Row],[Column4]]="",I59*(1+Table14[[#This Row],[Ávöxtun]]))</f>
        <v>203.57786186085158</v>
      </c>
      <c r="L60" s="33">
        <v>203.57786186085158</v>
      </c>
    </row>
    <row r="61" spans="1:110">
      <c r="A61" t="s">
        <v>63</v>
      </c>
      <c r="B61">
        <v>2007</v>
      </c>
      <c r="C61" s="16">
        <v>-5.1000000000000004E-3</v>
      </c>
      <c r="D61" s="1">
        <v>7230035</v>
      </c>
      <c r="E61" s="29">
        <f>Table14[[#This Row],[Ávöxtun]]*Table14[[#This Row],[Eignir]]/SUMIFS(Table14[Eignir],Table14[Year],Table14[[#This Row],[Year]])</f>
        <v>-2.3844404858528142E-5</v>
      </c>
      <c r="F61" s="23" t="e">
        <f>IF(B61=1997, 100, IF(COUNTIF(A$1:A60,A61)=0, "NEW", F60*(1+Table14[[#This Row],[Ávöxtun]])))</f>
        <v>#VALUE!</v>
      </c>
      <c r="G61" s="18" t="str" cm="1">
        <f t="array" ref="G61">IFERROR(_xlfn.IFS(ISNUMBER(Table14[[#This Row],[Column3]]),Table14[[#This Row],[Column3]],Table14[[#This Row],[Column3]]="NEW",Table14[[#This Row],[Column3]]),"")</f>
        <v/>
      </c>
      <c r="H61" s="15" cm="1">
        <f t="array" ref="H61">_xlfn.IFS(Table14[[#This Row],[Column4]]="NEW",AVERAGEIFS(Table14[Column4],Table14[Year],Table14[[#This Row],[Year]]),ISNUMBER(Table14[[#This Row],[Column4]]),Table14[[#This Row],[Column4]],Table14[[#This Row],[Column4]]="",H60*(1+Table14[[#This Row],[Ávöxtun]]))</f>
        <v>172.68586175071695</v>
      </c>
      <c r="I61" cm="1">
        <f t="array" ref="I61">_xlfn.IFS(Table14[[#This Row],[Column4]]="NEW",_xlfn.XLOOKUP(Table14[[#This Row],[Year]],$M$2:$M$27,$O$2:$O$27),ISNUMBER(Table14[[#This Row],[Column4]]),Table14[[#This Row],[Column4]],Table14[[#This Row],[Column4]]="",I60*(1+Table14[[#This Row],[Ávöxtun]]))</f>
        <v>202.53961476536125</v>
      </c>
      <c r="L61" s="33">
        <v>202.53961476536125</v>
      </c>
    </row>
    <row r="62" spans="1:110">
      <c r="A62" t="s">
        <v>63</v>
      </c>
      <c r="B62">
        <v>2008</v>
      </c>
      <c r="C62" s="16">
        <v>-0.1128</v>
      </c>
      <c r="D62" s="1">
        <v>6467811</v>
      </c>
      <c r="E62" s="29">
        <f>Table14[[#This Row],[Ávöxtun]]*Table14[[#This Row],[Eignir]]/SUMIFS(Table14[Eignir],Table14[Year],Table14[[#This Row],[Year]])</f>
        <v>-4.872506231478958E-4</v>
      </c>
      <c r="F62" s="23" t="e">
        <f>IF(B62=1997, 100, IF(COUNTIF(A$1:A61,A62)=0, "NEW", F61*(1+Table14[[#This Row],[Ávöxtun]])))</f>
        <v>#VALUE!</v>
      </c>
      <c r="G62" s="18" t="str" cm="1">
        <f t="array" ref="G62">IFERROR(_xlfn.IFS(ISNUMBER(Table14[[#This Row],[Column3]]),Table14[[#This Row],[Column3]],Table14[[#This Row],[Column3]]="NEW",Table14[[#This Row],[Column3]]),"")</f>
        <v/>
      </c>
      <c r="H62" s="15" cm="1">
        <f t="array" ref="H62">_xlfn.IFS(Table14[[#This Row],[Column4]]="NEW",AVERAGEIFS(Table14[Column4],Table14[Year],Table14[[#This Row],[Year]]),ISNUMBER(Table14[[#This Row],[Column4]]),Table14[[#This Row],[Column4]],Table14[[#This Row],[Column4]]="",H61*(1+Table14[[#This Row],[Ávöxtun]]))</f>
        <v>153.20689654523608</v>
      </c>
      <c r="I62" cm="1">
        <f t="array" ref="I62">_xlfn.IFS(Table14[[#This Row],[Column4]]="NEW",_xlfn.XLOOKUP(Table14[[#This Row],[Year]],$M$2:$M$27,$O$2:$O$27),ISNUMBER(Table14[[#This Row],[Column4]]),Table14[[#This Row],[Column4]],Table14[[#This Row],[Column4]]="",I61*(1+Table14[[#This Row],[Ávöxtun]]))</f>
        <v>179.69314621982849</v>
      </c>
      <c r="L62" s="33">
        <v>179.69314621982849</v>
      </c>
      <c r="Y62" t="s">
        <v>165</v>
      </c>
    </row>
    <row r="63" spans="1:110">
      <c r="A63" t="s">
        <v>63</v>
      </c>
      <c r="B63">
        <v>2009</v>
      </c>
      <c r="C63" s="16">
        <v>-0.08</v>
      </c>
      <c r="D63" s="1">
        <v>6283951</v>
      </c>
      <c r="E63" s="29">
        <f>Table14[[#This Row],[Ávöxtun]]*Table14[[#This Row],[Eignir]]/SUMIFS(Table14[Eignir],Table14[Year],Table14[[#This Row],[Year]])</f>
        <v>-3.0134186224250396E-4</v>
      </c>
      <c r="F63" s="23" t="e">
        <f>IF(B63=1997, 100, IF(COUNTIF(A$1:A62,A63)=0, "NEW", F62*(1+Table14[[#This Row],[Ávöxtun]])))</f>
        <v>#VALUE!</v>
      </c>
      <c r="G63" s="18" t="str" cm="1">
        <f t="array" ref="G63">IFERROR(_xlfn.IFS(ISNUMBER(Table14[[#This Row],[Column3]]),Table14[[#This Row],[Column3]],Table14[[#This Row],[Column3]]="NEW",Table14[[#This Row],[Column3]]),"")</f>
        <v/>
      </c>
      <c r="H63" s="15" cm="1">
        <f t="array" ref="H63">_xlfn.IFS(Table14[[#This Row],[Column4]]="NEW",AVERAGEIFS(Table14[Column4],Table14[Year],Table14[[#This Row],[Year]]),ISNUMBER(Table14[[#This Row],[Column4]]),Table14[[#This Row],[Column4]],Table14[[#This Row],[Column4]]="",H62*(1+Table14[[#This Row],[Ávöxtun]]))</f>
        <v>140.95034482161719</v>
      </c>
      <c r="I63" cm="1">
        <f t="array" ref="I63">_xlfn.IFS(Table14[[#This Row],[Column4]]="NEW",_xlfn.XLOOKUP(Table14[[#This Row],[Year]],$M$2:$M$27,$O$2:$O$27),ISNUMBER(Table14[[#This Row],[Column4]]),Table14[[#This Row],[Column4]],Table14[[#This Row],[Column4]]="",I62*(1+Table14[[#This Row],[Ávöxtun]]))</f>
        <v>165.31769452224222</v>
      </c>
      <c r="L63" s="33">
        <v>165.31769452224222</v>
      </c>
    </row>
    <row r="64" spans="1:110">
      <c r="A64" t="s">
        <v>64</v>
      </c>
      <c r="B64">
        <v>1997</v>
      </c>
      <c r="C64" s="16">
        <v>0.06</v>
      </c>
      <c r="D64" s="1">
        <v>830178.14</v>
      </c>
      <c r="E64" s="29">
        <f>Table14[[#This Row],[Ávöxtun]]*Table14[[#This Row],[Eignir]]/SUMIFS(Table14[Eignir],Table14[Year],Table14[[#This Row],[Year]])</f>
        <v>1.4692320097643103E-4</v>
      </c>
      <c r="F64" s="23">
        <f>IF(B64=1997, 100, IF(COUNTIF(A$1:A63,A64)=0, "NEW", F63*(1+Table14[[#This Row],[Ávöxtun]])))</f>
        <v>100</v>
      </c>
      <c r="G64" s="18" cm="1">
        <f t="array" ref="G64">IFERROR(_xlfn.IFS(ISNUMBER(Table14[[#This Row],[Column3]]),Table14[[#This Row],[Column3]],Table14[[#This Row],[Column3]]="NEW",Table14[[#This Row],[Column3]]),"")</f>
        <v>100</v>
      </c>
      <c r="H64" s="15" cm="1">
        <f t="array" ref="H64">_xlfn.IFS(Table14[[#This Row],[Column4]]="NEW",AVERAGEIFS(Table14[Column4],Table14[Year],Table14[[#This Row],[Year]]),ISNUMBER(Table14[[#This Row],[Column4]]),Table14[[#This Row],[Column4]],Table14[[#This Row],[Column4]]="",H63*(1+Table14[[#This Row],[Ávöxtun]]))</f>
        <v>100</v>
      </c>
      <c r="I64" cm="1">
        <f t="array" ref="I64">_xlfn.IFS(Table14[[#This Row],[Column4]]="NEW",_xlfn.XLOOKUP(Table14[[#This Row],[Year]],$M$2:$M$27,$O$2:$O$27),ISNUMBER(Table14[[#This Row],[Column4]]),Table14[[#This Row],[Column4]],Table14[[#This Row],[Column4]]="",I63*(1+Table14[[#This Row],[Ávöxtun]]))</f>
        <v>100</v>
      </c>
      <c r="L64" s="33">
        <v>100</v>
      </c>
    </row>
    <row r="65" spans="1:12">
      <c r="A65" t="s">
        <v>64</v>
      </c>
      <c r="B65">
        <v>1998</v>
      </c>
      <c r="C65" s="16">
        <v>0.08</v>
      </c>
      <c r="D65" s="1">
        <v>954109.64</v>
      </c>
      <c r="E65" s="29">
        <f>Table14[[#This Row],[Ávöxtun]]*Table14[[#This Row],[Eignir]]/SUMIFS(Table14[Eignir],Table14[Year],Table14[[#This Row],[Year]])</f>
        <v>1.9489777109038574E-4</v>
      </c>
      <c r="F65" s="23">
        <f>IF(B65=1997, 100, IF(COUNTIF(A$1:A64,A65)=0, "NEW", F64*(1+Table14[[#This Row],[Ávöxtun]])))</f>
        <v>108</v>
      </c>
      <c r="G65" s="18" cm="1">
        <f t="array" ref="G65">IFERROR(_xlfn.IFS(ISNUMBER(Table14[[#This Row],[Column3]]),Table14[[#This Row],[Column3]],Table14[[#This Row],[Column3]]="NEW",Table14[[#This Row],[Column3]]),"")</f>
        <v>108</v>
      </c>
      <c r="H65" s="15" cm="1">
        <f t="array" ref="H65">_xlfn.IFS(Table14[[#This Row],[Column4]]="NEW",AVERAGEIFS(Table14[Column4],Table14[Year],Table14[[#This Row],[Year]]),ISNUMBER(Table14[[#This Row],[Column4]]),Table14[[#This Row],[Column4]],Table14[[#This Row],[Column4]]="",H64*(1+Table14[[#This Row],[Ávöxtun]]))</f>
        <v>108</v>
      </c>
      <c r="I65" cm="1">
        <f t="array" ref="I65">_xlfn.IFS(Table14[[#This Row],[Column4]]="NEW",_xlfn.XLOOKUP(Table14[[#This Row],[Year]],$M$2:$M$27,$O$2:$O$27),ISNUMBER(Table14[[#This Row],[Column4]]),Table14[[#This Row],[Column4]],Table14[[#This Row],[Column4]]="",I64*(1+Table14[[#This Row],[Ávöxtun]]))</f>
        <v>108</v>
      </c>
      <c r="L65" s="33">
        <v>108</v>
      </c>
    </row>
    <row r="66" spans="1:12">
      <c r="A66" t="s">
        <v>64</v>
      </c>
      <c r="B66">
        <v>1999</v>
      </c>
      <c r="C66" s="16">
        <v>0.08</v>
      </c>
      <c r="D66" s="1">
        <v>1153227.56</v>
      </c>
      <c r="E66" s="29">
        <f>Table14[[#This Row],[Ávöxtun]]*Table14[[#This Row],[Eignir]]/SUMIFS(Table14[Eignir],Table14[Year],Table14[[#This Row],[Year]])</f>
        <v>1.7717543382076367E-4</v>
      </c>
      <c r="F66" s="23">
        <f>IF(B66=1997, 100, IF(COUNTIF(A$1:A65,A66)=0, "NEW", F65*(1+Table14[[#This Row],[Ávöxtun]])))</f>
        <v>116.64000000000001</v>
      </c>
      <c r="G66" s="18" cm="1">
        <f t="array" ref="G66">IFERROR(_xlfn.IFS(ISNUMBER(Table14[[#This Row],[Column3]]),Table14[[#This Row],[Column3]],Table14[[#This Row],[Column3]]="NEW",Table14[[#This Row],[Column3]]),"")</f>
        <v>116.64000000000001</v>
      </c>
      <c r="H66" s="15" cm="1">
        <f t="array" ref="H66">_xlfn.IFS(Table14[[#This Row],[Column4]]="NEW",AVERAGEIFS(Table14[Column4],Table14[Year],Table14[[#This Row],[Year]]),ISNUMBER(Table14[[#This Row],[Column4]]),Table14[[#This Row],[Column4]],Table14[[#This Row],[Column4]]="",H65*(1+Table14[[#This Row],[Ávöxtun]]))</f>
        <v>116.64000000000001</v>
      </c>
      <c r="I66" cm="1">
        <f t="array" ref="I66">_xlfn.IFS(Table14[[#This Row],[Column4]]="NEW",_xlfn.XLOOKUP(Table14[[#This Row],[Year]],$M$2:$M$27,$O$2:$O$27),ISNUMBER(Table14[[#This Row],[Column4]]),Table14[[#This Row],[Column4]],Table14[[#This Row],[Column4]]="",I65*(1+Table14[[#This Row],[Ávöxtun]]))</f>
        <v>116.64000000000001</v>
      </c>
      <c r="L66" s="33">
        <v>116.64000000000001</v>
      </c>
    </row>
    <row r="67" spans="1:12">
      <c r="A67" t="s">
        <v>64</v>
      </c>
      <c r="B67">
        <v>2000</v>
      </c>
      <c r="C67" s="16">
        <v>-0.1</v>
      </c>
      <c r="D67" s="1">
        <v>2511894.67</v>
      </c>
      <c r="E67" s="29">
        <f>Table14[[#This Row],[Ávöxtun]]*Table14[[#This Row],[Eignir]]/SUMIFS(Table14[Eignir],Table14[Year],Table14[[#This Row],[Year]])</f>
        <v>-3.5334519991808098E-4</v>
      </c>
      <c r="F67" s="23">
        <f>IF(B67=1997, 100, IF(COUNTIF(A$1:A66,A67)=0, "NEW", F66*(1+Table14[[#This Row],[Ávöxtun]])))</f>
        <v>104.97600000000001</v>
      </c>
      <c r="G67" s="18" cm="1">
        <f t="array" ref="G67">IFERROR(_xlfn.IFS(ISNUMBER(Table14[[#This Row],[Column3]]),Table14[[#This Row],[Column3]],Table14[[#This Row],[Column3]]="NEW",Table14[[#This Row],[Column3]]),"")</f>
        <v>104.97600000000001</v>
      </c>
      <c r="H67" s="15" cm="1">
        <f t="array" ref="H67">_xlfn.IFS(Table14[[#This Row],[Column4]]="NEW",AVERAGEIFS(Table14[Column4],Table14[Year],Table14[[#This Row],[Year]]),ISNUMBER(Table14[[#This Row],[Column4]]),Table14[[#This Row],[Column4]],Table14[[#This Row],[Column4]]="",H66*(1+Table14[[#This Row],[Ávöxtun]]))</f>
        <v>104.97600000000001</v>
      </c>
      <c r="I67" cm="1">
        <f t="array" ref="I67">_xlfn.IFS(Table14[[#This Row],[Column4]]="NEW",_xlfn.XLOOKUP(Table14[[#This Row],[Year]],$M$2:$M$27,$O$2:$O$27),ISNUMBER(Table14[[#This Row],[Column4]]),Table14[[#This Row],[Column4]],Table14[[#This Row],[Column4]]="",I66*(1+Table14[[#This Row],[Ávöxtun]]))</f>
        <v>104.97600000000001</v>
      </c>
      <c r="L67" s="33">
        <v>104.97600000000001</v>
      </c>
    </row>
    <row r="68" spans="1:12">
      <c r="A68" t="s">
        <v>64</v>
      </c>
      <c r="B68">
        <v>2001</v>
      </c>
      <c r="C68" s="16">
        <v>0.02</v>
      </c>
      <c r="D68" s="1">
        <v>1292047</v>
      </c>
      <c r="E68" s="29">
        <f>Table14[[#This Row],[Ávöxtun]]*Table14[[#This Row],[Eignir]]/SUMIFS(Table14[Eignir],Table14[Year],Table14[[#This Row],[Year]])</f>
        <v>2.2316770964694762E-5</v>
      </c>
      <c r="F68" s="23">
        <f>IF(B68=1997, 100, IF(COUNTIF(A$1:A67,A68)=0, "NEW", F67*(1+Table14[[#This Row],[Ávöxtun]])))</f>
        <v>107.07552000000001</v>
      </c>
      <c r="G68" s="18" cm="1">
        <f t="array" ref="G68">IFERROR(_xlfn.IFS(ISNUMBER(Table14[[#This Row],[Column3]]),Table14[[#This Row],[Column3]],Table14[[#This Row],[Column3]]="NEW",Table14[[#This Row],[Column3]]),"")</f>
        <v>107.07552000000001</v>
      </c>
      <c r="H68" s="15" cm="1">
        <f t="array" ref="H68">_xlfn.IFS(Table14[[#This Row],[Column4]]="NEW",AVERAGEIFS(Table14[Column4],Table14[Year],Table14[[#This Row],[Year]]),ISNUMBER(Table14[[#This Row],[Column4]]),Table14[[#This Row],[Column4]],Table14[[#This Row],[Column4]]="",H67*(1+Table14[[#This Row],[Ávöxtun]]))</f>
        <v>107.07552000000001</v>
      </c>
      <c r="I68" cm="1">
        <f t="array" ref="I68">_xlfn.IFS(Table14[[#This Row],[Column4]]="NEW",_xlfn.XLOOKUP(Table14[[#This Row],[Year]],$M$2:$M$27,$O$2:$O$27),ISNUMBER(Table14[[#This Row],[Column4]]),Table14[[#This Row],[Column4]],Table14[[#This Row],[Column4]]="",I67*(1+Table14[[#This Row],[Ávöxtun]]))</f>
        <v>107.07552000000001</v>
      </c>
      <c r="L68" s="33">
        <v>107.07552000000001</v>
      </c>
    </row>
    <row r="69" spans="1:12">
      <c r="A69" t="s">
        <v>64</v>
      </c>
      <c r="B69">
        <v>2002</v>
      </c>
      <c r="C69" s="16">
        <v>-0.02</v>
      </c>
      <c r="D69" s="1">
        <v>1309124.67</v>
      </c>
      <c r="E69" s="29">
        <f>Table14[[#This Row],[Ávöxtun]]*Table14[[#This Row],[Eignir]]/SUMIFS(Table14[Eignir],Table14[Year],Table14[[#This Row],[Year]])</f>
        <v>-4.1221616773989158E-5</v>
      </c>
      <c r="F69" s="23">
        <f>IF(B69=1997, 100, IF(COUNTIF(A$1:A68,A69)=0, "NEW", F68*(1+Table14[[#This Row],[Ávöxtun]])))</f>
        <v>104.93400960000001</v>
      </c>
      <c r="G69" s="18" cm="1">
        <f t="array" ref="G69">IFERROR(_xlfn.IFS(ISNUMBER(Table14[[#This Row],[Column3]]),Table14[[#This Row],[Column3]],Table14[[#This Row],[Column3]]="NEW",Table14[[#This Row],[Column3]]),"")</f>
        <v>104.93400960000001</v>
      </c>
      <c r="H69" s="15" cm="1">
        <f t="array" ref="H69">_xlfn.IFS(Table14[[#This Row],[Column4]]="NEW",AVERAGEIFS(Table14[Column4],Table14[Year],Table14[[#This Row],[Year]]),ISNUMBER(Table14[[#This Row],[Column4]]),Table14[[#This Row],[Column4]],Table14[[#This Row],[Column4]]="",H68*(1+Table14[[#This Row],[Ávöxtun]]))</f>
        <v>104.93400960000001</v>
      </c>
      <c r="I69" cm="1">
        <f t="array" ref="I69">_xlfn.IFS(Table14[[#This Row],[Column4]]="NEW",_xlfn.XLOOKUP(Table14[[#This Row],[Year]],$M$2:$M$27,$O$2:$O$27),ISNUMBER(Table14[[#This Row],[Column4]]),Table14[[#This Row],[Column4]],Table14[[#This Row],[Column4]]="",I68*(1+Table14[[#This Row],[Ávöxtun]]))</f>
        <v>104.93400960000001</v>
      </c>
      <c r="L69" s="33">
        <v>104.93400960000001</v>
      </c>
    </row>
    <row r="70" spans="1:12">
      <c r="A70" t="s">
        <v>64</v>
      </c>
      <c r="B70">
        <v>2003</v>
      </c>
      <c r="C70" s="16">
        <v>0.08</v>
      </c>
      <c r="D70" s="1">
        <v>1476166</v>
      </c>
      <c r="E70" s="29">
        <f>Table14[[#This Row],[Ávöxtun]]*Table14[[#This Row],[Eignir]]/SUMIFS(Table14[Eignir],Table14[Year],Table14[[#This Row],[Year]])</f>
        <v>1.5540810278579751E-4</v>
      </c>
      <c r="F70" s="23">
        <f>IF(B70=1997, 100, IF(COUNTIF(A$1:A69,A70)=0, "NEW", F69*(1+Table14[[#This Row],[Ávöxtun]])))</f>
        <v>113.32873036800002</v>
      </c>
      <c r="G70" s="18" cm="1">
        <f t="array" ref="G70">IFERROR(_xlfn.IFS(ISNUMBER(Table14[[#This Row],[Column3]]),Table14[[#This Row],[Column3]],Table14[[#This Row],[Column3]]="NEW",Table14[[#This Row],[Column3]]),"")</f>
        <v>113.32873036800002</v>
      </c>
      <c r="H70" s="15" cm="1">
        <f t="array" ref="H70">_xlfn.IFS(Table14[[#This Row],[Column4]]="NEW",AVERAGEIFS(Table14[Column4],Table14[Year],Table14[[#This Row],[Year]]),ISNUMBER(Table14[[#This Row],[Column4]]),Table14[[#This Row],[Column4]],Table14[[#This Row],[Column4]]="",H69*(1+Table14[[#This Row],[Ávöxtun]]))</f>
        <v>113.32873036800002</v>
      </c>
      <c r="I70" cm="1">
        <f t="array" ref="I70">_xlfn.IFS(Table14[[#This Row],[Column4]]="NEW",_xlfn.XLOOKUP(Table14[[#This Row],[Year]],$M$2:$M$27,$O$2:$O$27),ISNUMBER(Table14[[#This Row],[Column4]]),Table14[[#This Row],[Column4]],Table14[[#This Row],[Column4]]="",I69*(1+Table14[[#This Row],[Ávöxtun]]))</f>
        <v>113.32873036800002</v>
      </c>
      <c r="L70" s="33">
        <v>113.32873036800002</v>
      </c>
    </row>
    <row r="71" spans="1:12">
      <c r="A71" t="s">
        <v>64</v>
      </c>
      <c r="B71">
        <v>2004</v>
      </c>
      <c r="C71" s="16">
        <v>0.06</v>
      </c>
      <c r="D71" s="1">
        <v>1628355</v>
      </c>
      <c r="E71" s="29">
        <f>Table14[[#This Row],[Ávöxtun]]*Table14[[#This Row],[Eignir]]/SUMIFS(Table14[Eignir],Table14[Year],Table14[[#This Row],[Year]])</f>
        <v>1.0763962039686953E-4</v>
      </c>
      <c r="F71" s="23">
        <f>IF(B71=1997, 100, IF(COUNTIF(A$1:A70,A71)=0, "NEW", F70*(1+Table14[[#This Row],[Ávöxtun]])))</f>
        <v>120.12845419008003</v>
      </c>
      <c r="G71" s="18" cm="1">
        <f t="array" ref="G71">IFERROR(_xlfn.IFS(ISNUMBER(Table14[[#This Row],[Column3]]),Table14[[#This Row],[Column3]],Table14[[#This Row],[Column3]]="NEW",Table14[[#This Row],[Column3]]),"")</f>
        <v>120.12845419008003</v>
      </c>
      <c r="H71" s="15" cm="1">
        <f t="array" ref="H71">_xlfn.IFS(Table14[[#This Row],[Column4]]="NEW",AVERAGEIFS(Table14[Column4],Table14[Year],Table14[[#This Row],[Year]]),ISNUMBER(Table14[[#This Row],[Column4]]),Table14[[#This Row],[Column4]],Table14[[#This Row],[Column4]]="",H70*(1+Table14[[#This Row],[Ávöxtun]]))</f>
        <v>120.12845419008003</v>
      </c>
      <c r="I71" cm="1">
        <f t="array" ref="I71">_xlfn.IFS(Table14[[#This Row],[Column4]]="NEW",_xlfn.XLOOKUP(Table14[[#This Row],[Year]],$M$2:$M$27,$O$2:$O$27),ISNUMBER(Table14[[#This Row],[Column4]]),Table14[[#This Row],[Column4]],Table14[[#This Row],[Column4]]="",I70*(1+Table14[[#This Row],[Ávöxtun]]))</f>
        <v>120.12845419008003</v>
      </c>
      <c r="L71" s="33">
        <v>120.12845419008003</v>
      </c>
    </row>
    <row r="72" spans="1:12">
      <c r="A72" t="s">
        <v>64</v>
      </c>
      <c r="B72">
        <v>2005</v>
      </c>
      <c r="C72" s="16">
        <v>0.1</v>
      </c>
      <c r="D72" s="1">
        <v>1877012</v>
      </c>
      <c r="E72" s="29">
        <f>Table14[[#This Row],[Ávöxtun]]*Table14[[#This Row],[Eignir]]/SUMIFS(Table14[Eignir],Table14[Year],Table14[[#This Row],[Year]])</f>
        <v>1.6739042407741452E-4</v>
      </c>
      <c r="F72" s="23">
        <f>IF(B72=1997, 100, IF(COUNTIF(A$1:A71,A72)=0, "NEW", F71*(1+Table14[[#This Row],[Ávöxtun]])))</f>
        <v>132.14129960908804</v>
      </c>
      <c r="G72" s="18" cm="1">
        <f t="array" ref="G72">IFERROR(_xlfn.IFS(ISNUMBER(Table14[[#This Row],[Column3]]),Table14[[#This Row],[Column3]],Table14[[#This Row],[Column3]]="NEW",Table14[[#This Row],[Column3]]),"")</f>
        <v>132.14129960908804</v>
      </c>
      <c r="H72" s="15" cm="1">
        <f t="array" ref="H72">_xlfn.IFS(Table14[[#This Row],[Column4]]="NEW",AVERAGEIFS(Table14[Column4],Table14[Year],Table14[[#This Row],[Year]]),ISNUMBER(Table14[[#This Row],[Column4]]),Table14[[#This Row],[Column4]],Table14[[#This Row],[Column4]]="",H71*(1+Table14[[#This Row],[Ávöxtun]]))</f>
        <v>132.14129960908804</v>
      </c>
      <c r="I72" cm="1">
        <f t="array" ref="I72">_xlfn.IFS(Table14[[#This Row],[Column4]]="NEW",_xlfn.XLOOKUP(Table14[[#This Row],[Year]],$M$2:$M$27,$O$2:$O$27),ISNUMBER(Table14[[#This Row],[Column4]]),Table14[[#This Row],[Column4]],Table14[[#This Row],[Column4]]="",I71*(1+Table14[[#This Row],[Ávöxtun]]))</f>
        <v>132.14129960908804</v>
      </c>
      <c r="L72" s="33">
        <v>132.14129960908804</v>
      </c>
    </row>
    <row r="73" spans="1:12">
      <c r="A73" t="s">
        <v>64</v>
      </c>
      <c r="B73">
        <v>2006</v>
      </c>
      <c r="C73" s="16">
        <v>0.1082</v>
      </c>
      <c r="D73" s="1">
        <v>2186980</v>
      </c>
      <c r="E73" s="29">
        <f>Table14[[#This Row],[Ávöxtun]]*Table14[[#This Row],[Eignir]]/SUMIFS(Table14[Eignir],Table14[Year],Table14[[#This Row],[Year]])</f>
        <v>1.7238685462502999E-4</v>
      </c>
      <c r="F73" s="23">
        <f>IF(B73=1997, 100, IF(COUNTIF(A$1:A72,A73)=0, "NEW", F72*(1+Table14[[#This Row],[Ávöxtun]])))</f>
        <v>146.43898822679137</v>
      </c>
      <c r="G73" s="18" cm="1">
        <f t="array" ref="G73">IFERROR(_xlfn.IFS(ISNUMBER(Table14[[#This Row],[Column3]]),Table14[[#This Row],[Column3]],Table14[[#This Row],[Column3]]="NEW",Table14[[#This Row],[Column3]]),"")</f>
        <v>146.43898822679137</v>
      </c>
      <c r="H73" s="15" cm="1">
        <f t="array" ref="H73">_xlfn.IFS(Table14[[#This Row],[Column4]]="NEW",AVERAGEIFS(Table14[Column4],Table14[Year],Table14[[#This Row],[Year]]),ISNUMBER(Table14[[#This Row],[Column4]]),Table14[[#This Row],[Column4]],Table14[[#This Row],[Column4]]="",H72*(1+Table14[[#This Row],[Ávöxtun]]))</f>
        <v>146.43898822679137</v>
      </c>
      <c r="I73" cm="1">
        <f t="array" ref="I73">_xlfn.IFS(Table14[[#This Row],[Column4]]="NEW",_xlfn.XLOOKUP(Table14[[#This Row],[Year]],$M$2:$M$27,$O$2:$O$27),ISNUMBER(Table14[[#This Row],[Column4]]),Table14[[#This Row],[Column4]],Table14[[#This Row],[Column4]]="",I72*(1+Table14[[#This Row],[Ávöxtun]]))</f>
        <v>146.43898822679137</v>
      </c>
      <c r="L73" s="33">
        <v>146.43898822679137</v>
      </c>
    </row>
    <row r="74" spans="1:12">
      <c r="A74" t="s">
        <v>64</v>
      </c>
      <c r="B74">
        <v>2007</v>
      </c>
      <c r="C74" s="16">
        <v>-1.38E-2</v>
      </c>
      <c r="D74" s="1">
        <v>2263953</v>
      </c>
      <c r="E74" s="29">
        <f>Table14[[#This Row],[Ávöxtun]]*Table14[[#This Row],[Eignir]]/SUMIFS(Table14[Eignir],Table14[Year],Table14[[#This Row],[Year]])</f>
        <v>-2.0203304263422128E-5</v>
      </c>
      <c r="F74" s="23">
        <f>IF(B74=1997, 100, IF(COUNTIF(A$1:A73,A74)=0, "NEW", F73*(1+Table14[[#This Row],[Ávöxtun]])))</f>
        <v>144.41813018926163</v>
      </c>
      <c r="G74" s="18" cm="1">
        <f t="array" ref="G74">IFERROR(_xlfn.IFS(ISNUMBER(Table14[[#This Row],[Column3]]),Table14[[#This Row],[Column3]],Table14[[#This Row],[Column3]]="NEW",Table14[[#This Row],[Column3]]),"")</f>
        <v>144.41813018926163</v>
      </c>
      <c r="H74" s="15" cm="1">
        <f t="array" ref="H74">_xlfn.IFS(Table14[[#This Row],[Column4]]="NEW",AVERAGEIFS(Table14[Column4],Table14[Year],Table14[[#This Row],[Year]]),ISNUMBER(Table14[[#This Row],[Column4]]),Table14[[#This Row],[Column4]],Table14[[#This Row],[Column4]]="",H73*(1+Table14[[#This Row],[Ávöxtun]]))</f>
        <v>144.41813018926163</v>
      </c>
      <c r="I74" cm="1">
        <f t="array" ref="I74">_xlfn.IFS(Table14[[#This Row],[Column4]]="NEW",_xlfn.XLOOKUP(Table14[[#This Row],[Year]],$M$2:$M$27,$O$2:$O$27),ISNUMBER(Table14[[#This Row],[Column4]]),Table14[[#This Row],[Column4]],Table14[[#This Row],[Column4]]="",I73*(1+Table14[[#This Row],[Ávöxtun]]))</f>
        <v>144.41813018926163</v>
      </c>
      <c r="L74" s="33">
        <v>144.41813018926163</v>
      </c>
    </row>
    <row r="75" spans="1:12">
      <c r="A75" t="s">
        <v>64</v>
      </c>
      <c r="B75">
        <v>2008</v>
      </c>
      <c r="C75" s="16">
        <v>-0.30599999999999999</v>
      </c>
      <c r="D75" s="1">
        <v>1773548</v>
      </c>
      <c r="E75" s="29">
        <f>Table14[[#This Row],[Ávöxtun]]*Table14[[#This Row],[Eignir]]/SUMIFS(Table14[Eignir],Table14[Year],Table14[[#This Row],[Year]])</f>
        <v>-3.6245187964098751E-4</v>
      </c>
      <c r="F75" s="23">
        <f>IF(B75=1997, 100, IF(COUNTIF(A$1:A74,A75)=0, "NEW", F74*(1+Table14[[#This Row],[Ávöxtun]])))</f>
        <v>100.22618235134756</v>
      </c>
      <c r="G75" s="18" cm="1">
        <f t="array" ref="G75">IFERROR(_xlfn.IFS(ISNUMBER(Table14[[#This Row],[Column3]]),Table14[[#This Row],[Column3]],Table14[[#This Row],[Column3]]="NEW",Table14[[#This Row],[Column3]]),"")</f>
        <v>100.22618235134756</v>
      </c>
      <c r="H75" s="15" cm="1">
        <f t="array" ref="H75">_xlfn.IFS(Table14[[#This Row],[Column4]]="NEW",AVERAGEIFS(Table14[Column4],Table14[Year],Table14[[#This Row],[Year]]),ISNUMBER(Table14[[#This Row],[Column4]]),Table14[[#This Row],[Column4]],Table14[[#This Row],[Column4]]="",H74*(1+Table14[[#This Row],[Ávöxtun]]))</f>
        <v>100.22618235134756</v>
      </c>
      <c r="I75" cm="1">
        <f t="array" ref="I75">_xlfn.IFS(Table14[[#This Row],[Column4]]="NEW",_xlfn.XLOOKUP(Table14[[#This Row],[Year]],$M$2:$M$27,$O$2:$O$27),ISNUMBER(Table14[[#This Row],[Column4]]),Table14[[#This Row],[Column4]],Table14[[#This Row],[Column4]]="",I74*(1+Table14[[#This Row],[Ávöxtun]]))</f>
        <v>100.22618235134756</v>
      </c>
      <c r="L75" s="33">
        <v>100.22618235134756</v>
      </c>
    </row>
    <row r="76" spans="1:12">
      <c r="A76" t="s">
        <v>64</v>
      </c>
      <c r="B76">
        <v>2009</v>
      </c>
      <c r="C76" s="16">
        <v>1.1000000000000001E-2</v>
      </c>
      <c r="D76" s="1">
        <v>1875403</v>
      </c>
      <c r="E76" s="29">
        <f>Table14[[#This Row],[Ávöxtun]]*Table14[[#This Row],[Eignir]]/SUMIFS(Table14[Eignir],Table14[Year],Table14[[#This Row],[Year]])</f>
        <v>1.2365850237428183E-5</v>
      </c>
      <c r="F76" s="23">
        <f>IF(B76=1997, 100, IF(COUNTIF(A$1:A75,A76)=0, "NEW", F75*(1+Table14[[#This Row],[Ávöxtun]])))</f>
        <v>101.32867035721237</v>
      </c>
      <c r="G76" s="18" cm="1">
        <f t="array" ref="G76">IFERROR(_xlfn.IFS(ISNUMBER(Table14[[#This Row],[Column3]]),Table14[[#This Row],[Column3]],Table14[[#This Row],[Column3]]="NEW",Table14[[#This Row],[Column3]]),"")</f>
        <v>101.32867035721237</v>
      </c>
      <c r="H76" s="15" cm="1">
        <f t="array" ref="H76">_xlfn.IFS(Table14[[#This Row],[Column4]]="NEW",AVERAGEIFS(Table14[Column4],Table14[Year],Table14[[#This Row],[Year]]),ISNUMBER(Table14[[#This Row],[Column4]]),Table14[[#This Row],[Column4]],Table14[[#This Row],[Column4]]="",H75*(1+Table14[[#This Row],[Ávöxtun]]))</f>
        <v>101.32867035721237</v>
      </c>
      <c r="I76" cm="1">
        <f t="array" ref="I76">_xlfn.IFS(Table14[[#This Row],[Column4]]="NEW",_xlfn.XLOOKUP(Table14[[#This Row],[Year]],$M$2:$M$27,$O$2:$O$27),ISNUMBER(Table14[[#This Row],[Column4]]),Table14[[#This Row],[Column4]],Table14[[#This Row],[Column4]]="",I75*(1+Table14[[#This Row],[Ávöxtun]]))</f>
        <v>101.32867035721237</v>
      </c>
      <c r="L76" s="33">
        <v>101.32867035721237</v>
      </c>
    </row>
    <row r="77" spans="1:12">
      <c r="A77" t="s">
        <v>64</v>
      </c>
      <c r="B77">
        <v>2010</v>
      </c>
      <c r="C77" s="16">
        <v>-1.26E-2</v>
      </c>
      <c r="D77" s="1">
        <v>1834264</v>
      </c>
      <c r="E77" s="29">
        <f>Table14[[#This Row],[Ávöxtun]]*Table14[[#This Row],[Eignir]]/SUMIFS(Table14[Eignir],Table14[Year],Table14[[#This Row],[Year]])</f>
        <v>-1.2927564693700105E-5</v>
      </c>
      <c r="F77" s="23">
        <f>IF(B77=1997, 100, IF(COUNTIF(A$1:A76,A77)=0, "NEW", F76*(1+Table14[[#This Row],[Ávöxtun]])))</f>
        <v>100.0519291107115</v>
      </c>
      <c r="G77" s="18" cm="1">
        <f t="array" ref="G77">IFERROR(_xlfn.IFS(ISNUMBER(Table14[[#This Row],[Column3]]),Table14[[#This Row],[Column3]],Table14[[#This Row],[Column3]]="NEW",Table14[[#This Row],[Column3]]),"")</f>
        <v>100.0519291107115</v>
      </c>
      <c r="H77" s="15" cm="1">
        <f t="array" ref="H77">_xlfn.IFS(Table14[[#This Row],[Column4]]="NEW",AVERAGEIFS(Table14[Column4],Table14[Year],Table14[[#This Row],[Year]]),ISNUMBER(Table14[[#This Row],[Column4]]),Table14[[#This Row],[Column4]],Table14[[#This Row],[Column4]]="",H76*(1+Table14[[#This Row],[Ávöxtun]]))</f>
        <v>100.0519291107115</v>
      </c>
      <c r="I77" cm="1">
        <f t="array" ref="I77">_xlfn.IFS(Table14[[#This Row],[Column4]]="NEW",_xlfn.XLOOKUP(Table14[[#This Row],[Year]],$M$2:$M$27,$O$2:$O$27),ISNUMBER(Table14[[#This Row],[Column4]]),Table14[[#This Row],[Column4]],Table14[[#This Row],[Column4]]="",I76*(1+Table14[[#This Row],[Ávöxtun]]))</f>
        <v>100.0519291107115</v>
      </c>
      <c r="L77" s="33">
        <v>100.0519291107115</v>
      </c>
    </row>
    <row r="78" spans="1:12">
      <c r="A78" t="s">
        <v>64</v>
      </c>
      <c r="B78">
        <v>2011</v>
      </c>
      <c r="C78" s="16">
        <v>-2.7999999999999997E-2</v>
      </c>
      <c r="D78" s="1">
        <v>1807571</v>
      </c>
      <c r="E78" s="29">
        <f>Table14[[#This Row],[Ávöxtun]]*Table14[[#This Row],[Eignir]]/SUMIFS(Table14[Eignir],Table14[Year],Table14[[#This Row],[Year]])</f>
        <v>-2.5947429533525302E-5</v>
      </c>
      <c r="F78" s="23">
        <f>IF(B78=1997, 100, IF(COUNTIF(A$1:A77,A78)=0, "NEW", F77*(1+Table14[[#This Row],[Ávöxtun]])))</f>
        <v>97.250475095611577</v>
      </c>
      <c r="G78" s="18" cm="1">
        <f t="array" ref="G78">IFERROR(_xlfn.IFS(ISNUMBER(Table14[[#This Row],[Column3]]),Table14[[#This Row],[Column3]],Table14[[#This Row],[Column3]]="NEW",Table14[[#This Row],[Column3]]),"")</f>
        <v>97.250475095611577</v>
      </c>
      <c r="H78" s="15" cm="1">
        <f t="array" ref="H78">_xlfn.IFS(Table14[[#This Row],[Column4]]="NEW",AVERAGEIFS(Table14[Column4],Table14[Year],Table14[[#This Row],[Year]]),ISNUMBER(Table14[[#This Row],[Column4]]),Table14[[#This Row],[Column4]],Table14[[#This Row],[Column4]]="",H77*(1+Table14[[#This Row],[Ávöxtun]]))</f>
        <v>97.250475095611577</v>
      </c>
      <c r="I78" cm="1">
        <f t="array" ref="I78">_xlfn.IFS(Table14[[#This Row],[Column4]]="NEW",_xlfn.XLOOKUP(Table14[[#This Row],[Year]],$M$2:$M$27,$O$2:$O$27),ISNUMBER(Table14[[#This Row],[Column4]]),Table14[[#This Row],[Column4]],Table14[[#This Row],[Column4]]="",I77*(1+Table14[[#This Row],[Ávöxtun]]))</f>
        <v>97.250475095611577</v>
      </c>
      <c r="L78" s="33">
        <v>97.250475095611577</v>
      </c>
    </row>
    <row r="79" spans="1:12">
      <c r="A79" t="s">
        <v>64</v>
      </c>
      <c r="B79">
        <v>2012</v>
      </c>
      <c r="C79" s="16">
        <v>8.199999999999999E-2</v>
      </c>
      <c r="D79" s="1">
        <v>2010404</v>
      </c>
      <c r="E79" s="29">
        <f>Table14[[#This Row],[Ávöxtun]]*Table14[[#This Row],[Eignir]]/SUMIFS(Table14[Eignir],Table14[Year],Table14[[#This Row],[Year]])</f>
        <v>7.483653062238994E-5</v>
      </c>
      <c r="F79" s="23">
        <f>IF(B79=1997, 100, IF(COUNTIF(A$1:A78,A79)=0, "NEW", F78*(1+Table14[[#This Row],[Ávöxtun]])))</f>
        <v>105.22501405345173</v>
      </c>
      <c r="G79" s="18" cm="1">
        <f t="array" ref="G79">IFERROR(_xlfn.IFS(ISNUMBER(Table14[[#This Row],[Column3]]),Table14[[#This Row],[Column3]],Table14[[#This Row],[Column3]]="NEW",Table14[[#This Row],[Column3]]),"")</f>
        <v>105.22501405345173</v>
      </c>
      <c r="H79" s="15" cm="1">
        <f t="array" ref="H79">_xlfn.IFS(Table14[[#This Row],[Column4]]="NEW",AVERAGEIFS(Table14[Column4],Table14[Year],Table14[[#This Row],[Year]]),ISNUMBER(Table14[[#This Row],[Column4]]),Table14[[#This Row],[Column4]],Table14[[#This Row],[Column4]]="",H78*(1+Table14[[#This Row],[Ávöxtun]]))</f>
        <v>105.22501405345173</v>
      </c>
      <c r="I79" cm="1">
        <f t="array" ref="I79">_xlfn.IFS(Table14[[#This Row],[Column4]]="NEW",_xlfn.XLOOKUP(Table14[[#This Row],[Year]],$M$2:$M$27,$O$2:$O$27),ISNUMBER(Table14[[#This Row],[Column4]]),Table14[[#This Row],[Column4]],Table14[[#This Row],[Column4]]="",I78*(1+Table14[[#This Row],[Ávöxtun]]))</f>
        <v>105.22501405345173</v>
      </c>
      <c r="L79" s="33">
        <v>105.22501405345173</v>
      </c>
    </row>
    <row r="80" spans="1:12">
      <c r="A80" t="s">
        <v>65</v>
      </c>
      <c r="B80">
        <v>1997</v>
      </c>
      <c r="C80" s="16">
        <v>0.06</v>
      </c>
      <c r="D80" s="1">
        <v>526483.16</v>
      </c>
      <c r="E80" s="29">
        <f>Table14[[#This Row],[Ávöxtun]]*Table14[[#This Row],[Eignir]]/SUMIFS(Table14[Eignir],Table14[Year],Table14[[#This Row],[Year]])</f>
        <v>9.3175894907792322E-5</v>
      </c>
      <c r="F80" s="23">
        <f>IF(B80=1997, 100, IF(COUNTIF(A$1:A79,A80)=0, "NEW", F79*(1+Table14[[#This Row],[Ávöxtun]])))</f>
        <v>100</v>
      </c>
      <c r="G80" s="18" cm="1">
        <f t="array" ref="G80">IFERROR(_xlfn.IFS(ISNUMBER(Table14[[#This Row],[Column3]]),Table14[[#This Row],[Column3]],Table14[[#This Row],[Column3]]="NEW",Table14[[#This Row],[Column3]]),"")</f>
        <v>100</v>
      </c>
      <c r="H80" s="15" cm="1">
        <f t="array" ref="H80">_xlfn.IFS(Table14[[#This Row],[Column4]]="NEW",AVERAGEIFS(Table14[Column4],Table14[Year],Table14[[#This Row],[Year]]),ISNUMBER(Table14[[#This Row],[Column4]]),Table14[[#This Row],[Column4]],Table14[[#This Row],[Column4]]="",H79*(1+Table14[[#This Row],[Ávöxtun]]))</f>
        <v>100</v>
      </c>
      <c r="I80" cm="1">
        <f t="array" ref="I80">_xlfn.IFS(Table14[[#This Row],[Column4]]="NEW",_xlfn.XLOOKUP(Table14[[#This Row],[Year]],$M$2:$M$27,$O$2:$O$27),ISNUMBER(Table14[[#This Row],[Column4]]),Table14[[#This Row],[Column4]],Table14[[#This Row],[Column4]]="",I79*(1+Table14[[#This Row],[Ávöxtun]]))</f>
        <v>100</v>
      </c>
      <c r="L80" s="33">
        <v>100</v>
      </c>
    </row>
    <row r="81" spans="1:12">
      <c r="A81" t="s">
        <v>65</v>
      </c>
      <c r="B81">
        <v>1998</v>
      </c>
      <c r="C81" s="16">
        <v>0.06</v>
      </c>
      <c r="D81" s="1">
        <v>536166.88</v>
      </c>
      <c r="E81" s="29">
        <f>Table14[[#This Row],[Ávöxtun]]*Table14[[#This Row],[Eignir]]/SUMIFS(Table14[Eignir],Table14[Year],Table14[[#This Row],[Year]])</f>
        <v>8.214286293487689E-5</v>
      </c>
      <c r="F81" s="23">
        <f>IF(B81=1997, 100, IF(COUNTIF(A$1:A80,A81)=0, "NEW", F80*(1+Table14[[#This Row],[Ávöxtun]])))</f>
        <v>106</v>
      </c>
      <c r="G81" s="18" cm="1">
        <f t="array" ref="G81">IFERROR(_xlfn.IFS(ISNUMBER(Table14[[#This Row],[Column3]]),Table14[[#This Row],[Column3]],Table14[[#This Row],[Column3]]="NEW",Table14[[#This Row],[Column3]]),"")</f>
        <v>106</v>
      </c>
      <c r="H81" s="15" cm="1">
        <f t="array" ref="H81">_xlfn.IFS(Table14[[#This Row],[Column4]]="NEW",AVERAGEIFS(Table14[Column4],Table14[Year],Table14[[#This Row],[Year]]),ISNUMBER(Table14[[#This Row],[Column4]]),Table14[[#This Row],[Column4]],Table14[[#This Row],[Column4]]="",H80*(1+Table14[[#This Row],[Ávöxtun]]))</f>
        <v>106</v>
      </c>
      <c r="I81" cm="1">
        <f t="array" ref="I81">_xlfn.IFS(Table14[[#This Row],[Column4]]="NEW",_xlfn.XLOOKUP(Table14[[#This Row],[Year]],$M$2:$M$27,$O$2:$O$27),ISNUMBER(Table14[[#This Row],[Column4]]),Table14[[#This Row],[Column4]],Table14[[#This Row],[Column4]]="",I80*(1+Table14[[#This Row],[Ávöxtun]]))</f>
        <v>106</v>
      </c>
      <c r="L81" s="33">
        <v>106</v>
      </c>
    </row>
    <row r="82" spans="1:12">
      <c r="A82" t="s">
        <v>65</v>
      </c>
      <c r="B82">
        <v>1999</v>
      </c>
      <c r="C82" s="16">
        <v>7.0000000000000007E-2</v>
      </c>
      <c r="D82" s="1">
        <v>574450.77</v>
      </c>
      <c r="E82" s="29">
        <f>Table14[[#This Row],[Ávöxtun]]*Table14[[#This Row],[Eignir]]/SUMIFS(Table14[Eignir],Table14[Year],Table14[[#This Row],[Year]])</f>
        <v>7.7223478630266188E-5</v>
      </c>
      <c r="F82" s="23">
        <f>IF(B82=1997, 100, IF(COUNTIF(A$1:A81,A82)=0, "NEW", F81*(1+Table14[[#This Row],[Ávöxtun]])))</f>
        <v>113.42</v>
      </c>
      <c r="G82" s="18" cm="1">
        <f t="array" ref="G82">IFERROR(_xlfn.IFS(ISNUMBER(Table14[[#This Row],[Column3]]),Table14[[#This Row],[Column3]],Table14[[#This Row],[Column3]]="NEW",Table14[[#This Row],[Column3]]),"")</f>
        <v>113.42</v>
      </c>
      <c r="H82" s="15" cm="1">
        <f t="array" ref="H82">_xlfn.IFS(Table14[[#This Row],[Column4]]="NEW",AVERAGEIFS(Table14[Column4],Table14[Year],Table14[[#This Row],[Year]]),ISNUMBER(Table14[[#This Row],[Column4]]),Table14[[#This Row],[Column4]],Table14[[#This Row],[Column4]]="",H81*(1+Table14[[#This Row],[Ávöxtun]]))</f>
        <v>113.42</v>
      </c>
      <c r="I82" cm="1">
        <f t="array" ref="I82">_xlfn.IFS(Table14[[#This Row],[Column4]]="NEW",_xlfn.XLOOKUP(Table14[[#This Row],[Year]],$M$2:$M$27,$O$2:$O$27),ISNUMBER(Table14[[#This Row],[Column4]]),Table14[[#This Row],[Column4]],Table14[[#This Row],[Column4]]="",I81*(1+Table14[[#This Row],[Ávöxtun]]))</f>
        <v>113.42</v>
      </c>
      <c r="L82" s="33">
        <v>113.42</v>
      </c>
    </row>
    <row r="83" spans="1:12">
      <c r="A83" t="s">
        <v>65</v>
      </c>
      <c r="B83">
        <v>2000</v>
      </c>
      <c r="C83" s="16">
        <v>0.03</v>
      </c>
      <c r="D83" s="1">
        <v>590126.5</v>
      </c>
      <c r="E83" s="29">
        <f>Table14[[#This Row],[Ávöxtun]]*Table14[[#This Row],[Eignir]]/SUMIFS(Table14[Eignir],Table14[Year],Table14[[#This Row],[Year]])</f>
        <v>2.4903715344018472E-5</v>
      </c>
      <c r="F83" s="23">
        <f>IF(B83=1997, 100, IF(COUNTIF(A$1:A82,A83)=0, "NEW", F82*(1+Table14[[#This Row],[Ávöxtun]])))</f>
        <v>116.82260000000001</v>
      </c>
      <c r="G83" s="18" cm="1">
        <f t="array" ref="G83">IFERROR(_xlfn.IFS(ISNUMBER(Table14[[#This Row],[Column3]]),Table14[[#This Row],[Column3]],Table14[[#This Row],[Column3]]="NEW",Table14[[#This Row],[Column3]]),"")</f>
        <v>116.82260000000001</v>
      </c>
      <c r="H83" s="15" cm="1">
        <f t="array" ref="H83">_xlfn.IFS(Table14[[#This Row],[Column4]]="NEW",AVERAGEIFS(Table14[Column4],Table14[Year],Table14[[#This Row],[Year]]),ISNUMBER(Table14[[#This Row],[Column4]]),Table14[[#This Row],[Column4]],Table14[[#This Row],[Column4]]="",H82*(1+Table14[[#This Row],[Ávöxtun]]))</f>
        <v>116.82260000000001</v>
      </c>
      <c r="I83" cm="1">
        <f t="array" ref="I83">_xlfn.IFS(Table14[[#This Row],[Column4]]="NEW",_xlfn.XLOOKUP(Table14[[#This Row],[Year]],$M$2:$M$27,$O$2:$O$27),ISNUMBER(Table14[[#This Row],[Column4]]),Table14[[#This Row],[Column4]],Table14[[#This Row],[Column4]]="",I82*(1+Table14[[#This Row],[Ávöxtun]]))</f>
        <v>116.82260000000001</v>
      </c>
      <c r="L83" s="33">
        <v>116.82260000000001</v>
      </c>
    </row>
    <row r="84" spans="1:12">
      <c r="A84" t="s">
        <v>65</v>
      </c>
      <c r="B84">
        <v>2001</v>
      </c>
      <c r="C84" s="16">
        <v>0.04</v>
      </c>
      <c r="D84" s="1">
        <v>619900</v>
      </c>
      <c r="E84" s="29">
        <f>Table14[[#This Row],[Ávöxtun]]*Table14[[#This Row],[Eignir]]/SUMIFS(Table14[Eignir],Table14[Year],Table14[[#This Row],[Year]])</f>
        <v>2.1414339139387778E-5</v>
      </c>
      <c r="F84" s="23">
        <f>IF(B84=1997, 100, IF(COUNTIF(A$1:A83,A84)=0, "NEW", F83*(1+Table14[[#This Row],[Ávöxtun]])))</f>
        <v>121.49550400000001</v>
      </c>
      <c r="G84" s="18" cm="1">
        <f t="array" ref="G84">IFERROR(_xlfn.IFS(ISNUMBER(Table14[[#This Row],[Column3]]),Table14[[#This Row],[Column3]],Table14[[#This Row],[Column3]]="NEW",Table14[[#This Row],[Column3]]),"")</f>
        <v>121.49550400000001</v>
      </c>
      <c r="H84" s="15" cm="1">
        <f t="array" ref="H84">_xlfn.IFS(Table14[[#This Row],[Column4]]="NEW",AVERAGEIFS(Table14[Column4],Table14[Year],Table14[[#This Row],[Year]]),ISNUMBER(Table14[[#This Row],[Column4]]),Table14[[#This Row],[Column4]],Table14[[#This Row],[Column4]]="",H83*(1+Table14[[#This Row],[Ávöxtun]]))</f>
        <v>121.49550400000001</v>
      </c>
      <c r="I84" cm="1">
        <f t="array" ref="I84">_xlfn.IFS(Table14[[#This Row],[Column4]]="NEW",_xlfn.XLOOKUP(Table14[[#This Row],[Year]],$M$2:$M$27,$O$2:$O$27),ISNUMBER(Table14[[#This Row],[Column4]]),Table14[[#This Row],[Column4]],Table14[[#This Row],[Column4]]="",I83*(1+Table14[[#This Row],[Ávöxtun]]))</f>
        <v>121.49550400000001</v>
      </c>
      <c r="L84" s="33">
        <v>121.49550400000001</v>
      </c>
    </row>
    <row r="85" spans="1:12">
      <c r="A85" t="s">
        <v>65</v>
      </c>
      <c r="B85">
        <v>2002</v>
      </c>
      <c r="C85" s="16">
        <v>0.06</v>
      </c>
      <c r="D85" s="1">
        <v>631434</v>
      </c>
      <c r="E85" s="29">
        <f>Table14[[#This Row],[Ávöxtun]]*Table14[[#This Row],[Eignir]]/SUMIFS(Table14[Eignir],Table14[Year],Table14[[#This Row],[Year]])</f>
        <v>5.9647635467904832E-5</v>
      </c>
      <c r="F85" s="23">
        <f>IF(B85=1997, 100, IF(COUNTIF(A$1:A84,A85)=0, "NEW", F84*(1+Table14[[#This Row],[Ávöxtun]])))</f>
        <v>128.78523424000002</v>
      </c>
      <c r="G85" s="18" cm="1">
        <f t="array" ref="G85">IFERROR(_xlfn.IFS(ISNUMBER(Table14[[#This Row],[Column3]]),Table14[[#This Row],[Column3]],Table14[[#This Row],[Column3]]="NEW",Table14[[#This Row],[Column3]]),"")</f>
        <v>128.78523424000002</v>
      </c>
      <c r="H85" s="15" cm="1">
        <f t="array" ref="H85">_xlfn.IFS(Table14[[#This Row],[Column4]]="NEW",AVERAGEIFS(Table14[Column4],Table14[Year],Table14[[#This Row],[Year]]),ISNUMBER(Table14[[#This Row],[Column4]]),Table14[[#This Row],[Column4]],Table14[[#This Row],[Column4]]="",H84*(1+Table14[[#This Row],[Ávöxtun]]))</f>
        <v>128.78523424000002</v>
      </c>
      <c r="I85" cm="1">
        <f t="array" ref="I85">_xlfn.IFS(Table14[[#This Row],[Column4]]="NEW",_xlfn.XLOOKUP(Table14[[#This Row],[Year]],$M$2:$M$27,$O$2:$O$27),ISNUMBER(Table14[[#This Row],[Column4]]),Table14[[#This Row],[Column4]],Table14[[#This Row],[Column4]]="",I84*(1+Table14[[#This Row],[Ávöxtun]]))</f>
        <v>128.78523424000002</v>
      </c>
      <c r="L85" s="33">
        <v>128.78523424000002</v>
      </c>
    </row>
    <row r="86" spans="1:12">
      <c r="A86" t="s">
        <v>65</v>
      </c>
      <c r="B86">
        <v>2003</v>
      </c>
      <c r="C86" s="16">
        <v>0.09</v>
      </c>
      <c r="D86" s="1">
        <v>666338</v>
      </c>
      <c r="E86" s="29">
        <f>Table14[[#This Row],[Ávöxtun]]*Table14[[#This Row],[Eignir]]/SUMIFS(Table14[Eignir],Table14[Year],Table14[[#This Row],[Year]])</f>
        <v>7.8919725114481081E-5</v>
      </c>
      <c r="F86" s="23">
        <f>IF(B86=1997, 100, IF(COUNTIF(A$1:A85,A86)=0, "NEW", F85*(1+Table14[[#This Row],[Ávöxtun]])))</f>
        <v>140.37590532160004</v>
      </c>
      <c r="G86" s="18" cm="1">
        <f t="array" ref="G86">IFERROR(_xlfn.IFS(ISNUMBER(Table14[[#This Row],[Column3]]),Table14[[#This Row],[Column3]],Table14[[#This Row],[Column3]]="NEW",Table14[[#This Row],[Column3]]),"")</f>
        <v>140.37590532160004</v>
      </c>
      <c r="H86" s="15" cm="1">
        <f t="array" ref="H86">_xlfn.IFS(Table14[[#This Row],[Column4]]="NEW",AVERAGEIFS(Table14[Column4],Table14[Year],Table14[[#This Row],[Year]]),ISNUMBER(Table14[[#This Row],[Column4]]),Table14[[#This Row],[Column4]],Table14[[#This Row],[Column4]]="",H85*(1+Table14[[#This Row],[Ávöxtun]]))</f>
        <v>140.37590532160004</v>
      </c>
      <c r="I86" cm="1">
        <f t="array" ref="I86">_xlfn.IFS(Table14[[#This Row],[Column4]]="NEW",_xlfn.XLOOKUP(Table14[[#This Row],[Year]],$M$2:$M$27,$O$2:$O$27),ISNUMBER(Table14[[#This Row],[Column4]]),Table14[[#This Row],[Column4]],Table14[[#This Row],[Column4]]="",I85*(1+Table14[[#This Row],[Ávöxtun]]))</f>
        <v>140.37590532160004</v>
      </c>
      <c r="L86" s="33">
        <v>140.37590532160004</v>
      </c>
    </row>
    <row r="87" spans="1:12">
      <c r="A87" t="s">
        <v>65</v>
      </c>
      <c r="B87">
        <v>2004</v>
      </c>
      <c r="C87" s="16">
        <v>0.08</v>
      </c>
      <c r="D87" s="1">
        <v>703719</v>
      </c>
      <c r="E87" s="29">
        <f>Table14[[#This Row],[Ávöxtun]]*Table14[[#This Row],[Eignir]]/SUMIFS(Table14[Eignir],Table14[Year],Table14[[#This Row],[Year]])</f>
        <v>6.2024186802889727E-5</v>
      </c>
      <c r="F87" s="23">
        <f>IF(B87=1997, 100, IF(COUNTIF(A$1:A86,A87)=0, "NEW", F86*(1+Table14[[#This Row],[Ávöxtun]])))</f>
        <v>151.60597774732807</v>
      </c>
      <c r="G87" s="18" cm="1">
        <f t="array" ref="G87">IFERROR(_xlfn.IFS(ISNUMBER(Table14[[#This Row],[Column3]]),Table14[[#This Row],[Column3]],Table14[[#This Row],[Column3]]="NEW",Table14[[#This Row],[Column3]]),"")</f>
        <v>151.60597774732807</v>
      </c>
      <c r="H87" s="15" cm="1">
        <f t="array" ref="H87">_xlfn.IFS(Table14[[#This Row],[Column4]]="NEW",AVERAGEIFS(Table14[Column4],Table14[Year],Table14[[#This Row],[Year]]),ISNUMBER(Table14[[#This Row],[Column4]]),Table14[[#This Row],[Column4]],Table14[[#This Row],[Column4]]="",H86*(1+Table14[[#This Row],[Ávöxtun]]))</f>
        <v>151.60597774732807</v>
      </c>
      <c r="I87" cm="1">
        <f t="array" ref="I87">_xlfn.IFS(Table14[[#This Row],[Column4]]="NEW",_xlfn.XLOOKUP(Table14[[#This Row],[Year]],$M$2:$M$27,$O$2:$O$27),ISNUMBER(Table14[[#This Row],[Column4]]),Table14[[#This Row],[Column4]],Table14[[#This Row],[Column4]]="",I86*(1+Table14[[#This Row],[Ávöxtun]]))</f>
        <v>151.60597774732807</v>
      </c>
      <c r="L87" s="33">
        <v>151.60597774732807</v>
      </c>
    </row>
    <row r="88" spans="1:12">
      <c r="A88" t="s">
        <v>65</v>
      </c>
      <c r="B88">
        <v>2005</v>
      </c>
      <c r="C88" s="16">
        <v>0.06</v>
      </c>
      <c r="D88" s="1">
        <v>734520</v>
      </c>
      <c r="E88" s="29">
        <f>Table14[[#This Row],[Ávöxtun]]*Table14[[#This Row],[Eignir]]/SUMIFS(Table14[Eignir],Table14[Year],Table14[[#This Row],[Year]])</f>
        <v>3.9302342540167831E-5</v>
      </c>
      <c r="F88" s="23">
        <f>IF(B88=1997, 100, IF(COUNTIF(A$1:A87,A88)=0, "NEW", F87*(1+Table14[[#This Row],[Ávöxtun]])))</f>
        <v>160.70233641216777</v>
      </c>
      <c r="G88" s="18" cm="1">
        <f t="array" ref="G88">IFERROR(_xlfn.IFS(ISNUMBER(Table14[[#This Row],[Column3]]),Table14[[#This Row],[Column3]],Table14[[#This Row],[Column3]]="NEW",Table14[[#This Row],[Column3]]),"")</f>
        <v>160.70233641216777</v>
      </c>
      <c r="H88" s="15" cm="1">
        <f t="array" ref="H88">_xlfn.IFS(Table14[[#This Row],[Column4]]="NEW",AVERAGEIFS(Table14[Column4],Table14[Year],Table14[[#This Row],[Year]]),ISNUMBER(Table14[[#This Row],[Column4]]),Table14[[#This Row],[Column4]],Table14[[#This Row],[Column4]]="",H87*(1+Table14[[#This Row],[Ávöxtun]]))</f>
        <v>160.70233641216777</v>
      </c>
      <c r="I88" cm="1">
        <f t="array" ref="I88">_xlfn.IFS(Table14[[#This Row],[Column4]]="NEW",_xlfn.XLOOKUP(Table14[[#This Row],[Year]],$M$2:$M$27,$O$2:$O$27),ISNUMBER(Table14[[#This Row],[Column4]]),Table14[[#This Row],[Column4]],Table14[[#This Row],[Column4]]="",I87*(1+Table14[[#This Row],[Ávöxtun]]))</f>
        <v>160.70233641216777</v>
      </c>
      <c r="L88" s="33">
        <v>160.70233641216777</v>
      </c>
    </row>
    <row r="89" spans="1:12">
      <c r="A89" t="s">
        <v>65</v>
      </c>
      <c r="B89">
        <v>2006</v>
      </c>
      <c r="C89" s="16">
        <v>5.1299999999999998E-2</v>
      </c>
      <c r="D89" s="1">
        <v>778769</v>
      </c>
      <c r="E89" s="29">
        <f>Table14[[#This Row],[Ávöxtun]]*Table14[[#This Row],[Eignir]]/SUMIFS(Table14[Eignir],Table14[Year],Table14[[#This Row],[Year]])</f>
        <v>2.9104362702903361E-5</v>
      </c>
      <c r="F89" s="23">
        <f>IF(B89=1997, 100, IF(COUNTIF(A$1:A88,A89)=0, "NEW", F88*(1+Table14[[#This Row],[Ávöxtun]])))</f>
        <v>168.94636627011195</v>
      </c>
      <c r="G89" s="18" cm="1">
        <f t="array" ref="G89">IFERROR(_xlfn.IFS(ISNUMBER(Table14[[#This Row],[Column3]]),Table14[[#This Row],[Column3]],Table14[[#This Row],[Column3]]="NEW",Table14[[#This Row],[Column3]]),"")</f>
        <v>168.94636627011195</v>
      </c>
      <c r="H89" s="15" cm="1">
        <f t="array" ref="H89">_xlfn.IFS(Table14[[#This Row],[Column4]]="NEW",AVERAGEIFS(Table14[Column4],Table14[Year],Table14[[#This Row],[Year]]),ISNUMBER(Table14[[#This Row],[Column4]]),Table14[[#This Row],[Column4]],Table14[[#This Row],[Column4]]="",H88*(1+Table14[[#This Row],[Ávöxtun]]))</f>
        <v>168.94636627011195</v>
      </c>
      <c r="I89" cm="1">
        <f t="array" ref="I89">_xlfn.IFS(Table14[[#This Row],[Column4]]="NEW",_xlfn.XLOOKUP(Table14[[#This Row],[Year]],$M$2:$M$27,$O$2:$O$27),ISNUMBER(Table14[[#This Row],[Column4]]),Table14[[#This Row],[Column4]],Table14[[#This Row],[Column4]]="",I88*(1+Table14[[#This Row],[Ávöxtun]]))</f>
        <v>168.94636627011195</v>
      </c>
      <c r="L89" s="33">
        <v>168.94636627011195</v>
      </c>
    </row>
    <row r="90" spans="1:12">
      <c r="A90" t="s">
        <v>66</v>
      </c>
      <c r="B90">
        <v>1997</v>
      </c>
      <c r="C90" s="16">
        <v>0.06</v>
      </c>
      <c r="D90" s="1">
        <v>4779686.8</v>
      </c>
      <c r="E90" s="29">
        <f>Table14[[#This Row],[Ávöxtun]]*Table14[[#This Row],[Eignir]]/SUMIFS(Table14[Eignir],Table14[Year],Table14[[#This Row],[Year]])</f>
        <v>8.4589903116552134E-4</v>
      </c>
      <c r="F90" s="23">
        <f>IF(B90=1997, 100, IF(COUNTIF(A$1:A89,A90)=0, "NEW", F89*(1+Table14[[#This Row],[Ávöxtun]])))</f>
        <v>100</v>
      </c>
      <c r="G90" s="18" cm="1">
        <f t="array" ref="G90">IFERROR(_xlfn.IFS(ISNUMBER(Table14[[#This Row],[Column3]]),Table14[[#This Row],[Column3]],Table14[[#This Row],[Column3]]="NEW",Table14[[#This Row],[Column3]]),"")</f>
        <v>100</v>
      </c>
      <c r="H90" s="15" cm="1">
        <f t="array" ref="H90">_xlfn.IFS(Table14[[#This Row],[Column4]]="NEW",AVERAGEIFS(Table14[Column4],Table14[Year],Table14[[#This Row],[Year]]),ISNUMBER(Table14[[#This Row],[Column4]]),Table14[[#This Row],[Column4]],Table14[[#This Row],[Column4]]="",H89*(1+Table14[[#This Row],[Ávöxtun]]))</f>
        <v>100</v>
      </c>
      <c r="I90" cm="1">
        <f t="array" ref="I90">_xlfn.IFS(Table14[[#This Row],[Column4]]="NEW",_xlfn.XLOOKUP(Table14[[#This Row],[Year]],$M$2:$M$27,$O$2:$O$27),ISNUMBER(Table14[[#This Row],[Column4]]),Table14[[#This Row],[Column4]],Table14[[#This Row],[Column4]]="",I89*(1+Table14[[#This Row],[Ávöxtun]]))</f>
        <v>100</v>
      </c>
      <c r="L90" s="33">
        <v>100</v>
      </c>
    </row>
    <row r="91" spans="1:12">
      <c r="A91" t="s">
        <v>66</v>
      </c>
      <c r="B91">
        <v>1998</v>
      </c>
      <c r="C91" s="16">
        <v>7.0000000000000007E-2</v>
      </c>
      <c r="D91" s="1">
        <v>5298845.5</v>
      </c>
      <c r="E91" s="29">
        <f>Table14[[#This Row],[Ávöxtun]]*Table14[[#This Row],[Eignir]]/SUMIFS(Table14[Eignir],Table14[Year],Table14[[#This Row],[Year]])</f>
        <v>9.4710449643872232E-4</v>
      </c>
      <c r="F91" s="23">
        <f>IF(B91=1997, 100, IF(COUNTIF(A$1:A90,A91)=0, "NEW", F90*(1+Table14[[#This Row],[Ávöxtun]])))</f>
        <v>107</v>
      </c>
      <c r="G91" s="18" cm="1">
        <f t="array" ref="G91">IFERROR(_xlfn.IFS(ISNUMBER(Table14[[#This Row],[Column3]]),Table14[[#This Row],[Column3]],Table14[[#This Row],[Column3]]="NEW",Table14[[#This Row],[Column3]]),"")</f>
        <v>107</v>
      </c>
      <c r="H91" s="15" cm="1">
        <f t="array" ref="H91">_xlfn.IFS(Table14[[#This Row],[Column4]]="NEW",AVERAGEIFS(Table14[Column4],Table14[Year],Table14[[#This Row],[Year]]),ISNUMBER(Table14[[#This Row],[Column4]]),Table14[[#This Row],[Column4]],Table14[[#This Row],[Column4]]="",H90*(1+Table14[[#This Row],[Ávöxtun]]))</f>
        <v>107</v>
      </c>
      <c r="I91" cm="1">
        <f t="array" ref="I91">_xlfn.IFS(Table14[[#This Row],[Column4]]="NEW",_xlfn.XLOOKUP(Table14[[#This Row],[Year]],$M$2:$M$27,$O$2:$O$27),ISNUMBER(Table14[[#This Row],[Column4]]),Table14[[#This Row],[Column4]],Table14[[#This Row],[Column4]]="",I90*(1+Table14[[#This Row],[Ávöxtun]]))</f>
        <v>107</v>
      </c>
      <c r="L91" s="33">
        <v>107</v>
      </c>
    </row>
    <row r="92" spans="1:12">
      <c r="A92" t="s">
        <v>66</v>
      </c>
      <c r="B92">
        <v>1999</v>
      </c>
      <c r="C92" s="16">
        <v>0.08</v>
      </c>
      <c r="D92" s="1">
        <v>6193614.6399999997</v>
      </c>
      <c r="E92" s="29">
        <f>Table14[[#This Row],[Ávöxtun]]*Table14[[#This Row],[Eignir]]/SUMIFS(Table14[Eignir],Table14[Year],Table14[[#This Row],[Year]])</f>
        <v>9.5155232048099237E-4</v>
      </c>
      <c r="F92" s="23">
        <f>IF(B92=1997, 100, IF(COUNTIF(A$1:A91,A92)=0, "NEW", F91*(1+Table14[[#This Row],[Ávöxtun]])))</f>
        <v>115.56</v>
      </c>
      <c r="G92" s="18" cm="1">
        <f t="array" ref="G92">IFERROR(_xlfn.IFS(ISNUMBER(Table14[[#This Row],[Column3]]),Table14[[#This Row],[Column3]],Table14[[#This Row],[Column3]]="NEW",Table14[[#This Row],[Column3]]),"")</f>
        <v>115.56</v>
      </c>
      <c r="H92" s="15" cm="1">
        <f t="array" ref="H92">_xlfn.IFS(Table14[[#This Row],[Column4]]="NEW",AVERAGEIFS(Table14[Column4],Table14[Year],Table14[[#This Row],[Year]]),ISNUMBER(Table14[[#This Row],[Column4]]),Table14[[#This Row],[Column4]],Table14[[#This Row],[Column4]]="",H91*(1+Table14[[#This Row],[Ávöxtun]]))</f>
        <v>115.56</v>
      </c>
      <c r="I92" cm="1">
        <f t="array" ref="I92">_xlfn.IFS(Table14[[#This Row],[Column4]]="NEW",_xlfn.XLOOKUP(Table14[[#This Row],[Year]],$M$2:$M$27,$O$2:$O$27),ISNUMBER(Table14[[#This Row],[Column4]]),Table14[[#This Row],[Column4]],Table14[[#This Row],[Column4]]="",I91*(1+Table14[[#This Row],[Ávöxtun]]))</f>
        <v>115.56</v>
      </c>
      <c r="L92" s="33">
        <v>115.56</v>
      </c>
    </row>
    <row r="93" spans="1:12">
      <c r="A93" t="s">
        <v>66</v>
      </c>
      <c r="B93">
        <v>2000</v>
      </c>
      <c r="C93" s="16">
        <v>0.03</v>
      </c>
      <c r="D93" s="1">
        <v>6782032.7699999996</v>
      </c>
      <c r="E93" s="29">
        <f>Table14[[#This Row],[Ávöxtun]]*Table14[[#This Row],[Eignir]]/SUMIFS(Table14[Eignir],Table14[Year],Table14[[#This Row],[Year]])</f>
        <v>2.8620611607491802E-4</v>
      </c>
      <c r="F93" s="23">
        <f>IF(B93=1997, 100, IF(COUNTIF(A$1:A92,A93)=0, "NEW", F92*(1+Table14[[#This Row],[Ávöxtun]])))</f>
        <v>119.02680000000001</v>
      </c>
      <c r="G93" s="18" cm="1">
        <f t="array" ref="G93">IFERROR(_xlfn.IFS(ISNUMBER(Table14[[#This Row],[Column3]]),Table14[[#This Row],[Column3]],Table14[[#This Row],[Column3]]="NEW",Table14[[#This Row],[Column3]]),"")</f>
        <v>119.02680000000001</v>
      </c>
      <c r="H93" s="15" cm="1">
        <f t="array" ref="H93">_xlfn.IFS(Table14[[#This Row],[Column4]]="NEW",AVERAGEIFS(Table14[Column4],Table14[Year],Table14[[#This Row],[Year]]),ISNUMBER(Table14[[#This Row],[Column4]]),Table14[[#This Row],[Column4]],Table14[[#This Row],[Column4]]="",H92*(1+Table14[[#This Row],[Ávöxtun]]))</f>
        <v>119.02680000000001</v>
      </c>
      <c r="I93" cm="1">
        <f t="array" ref="I93">_xlfn.IFS(Table14[[#This Row],[Column4]]="NEW",_xlfn.XLOOKUP(Table14[[#This Row],[Year]],$M$2:$M$27,$O$2:$O$27),ISNUMBER(Table14[[#This Row],[Column4]]),Table14[[#This Row],[Column4]],Table14[[#This Row],[Column4]]="",I92*(1+Table14[[#This Row],[Ávöxtun]]))</f>
        <v>119.02680000000001</v>
      </c>
      <c r="L93" s="33">
        <v>119.02680000000001</v>
      </c>
    </row>
    <row r="94" spans="1:12">
      <c r="A94" t="s">
        <v>66</v>
      </c>
      <c r="B94">
        <v>2001</v>
      </c>
      <c r="C94" s="16">
        <v>7.0000000000000007E-2</v>
      </c>
      <c r="D94" s="1">
        <v>15679219</v>
      </c>
      <c r="E94" s="29">
        <f>Table14[[#This Row],[Ávöxtun]]*Table14[[#This Row],[Eignir]]/SUMIFS(Table14[Eignir],Table14[Year],Table14[[#This Row],[Year]])</f>
        <v>9.4786287778154856E-4</v>
      </c>
      <c r="F94" s="23">
        <f>IF(B94=1997, 100, IF(COUNTIF(A$1:A93,A94)=0, "NEW", F93*(1+Table14[[#This Row],[Ávöxtun]])))</f>
        <v>127.35867600000002</v>
      </c>
      <c r="G94" s="18" cm="1">
        <f t="array" ref="G94">IFERROR(_xlfn.IFS(ISNUMBER(Table14[[#This Row],[Column3]]),Table14[[#This Row],[Column3]],Table14[[#This Row],[Column3]]="NEW",Table14[[#This Row],[Column3]]),"")</f>
        <v>127.35867600000002</v>
      </c>
      <c r="H94" s="15" cm="1">
        <f t="array" ref="H94">_xlfn.IFS(Table14[[#This Row],[Column4]]="NEW",AVERAGEIFS(Table14[Column4],Table14[Year],Table14[[#This Row],[Year]]),ISNUMBER(Table14[[#This Row],[Column4]]),Table14[[#This Row],[Column4]],Table14[[#This Row],[Column4]]="",H93*(1+Table14[[#This Row],[Ávöxtun]]))</f>
        <v>127.35867600000002</v>
      </c>
      <c r="I94" cm="1">
        <f t="array" ref="I94">_xlfn.IFS(Table14[[#This Row],[Column4]]="NEW",_xlfn.XLOOKUP(Table14[[#This Row],[Year]],$M$2:$M$27,$O$2:$O$27),ISNUMBER(Table14[[#This Row],[Column4]]),Table14[[#This Row],[Column4]],Table14[[#This Row],[Column4]]="",I93*(1+Table14[[#This Row],[Ávöxtun]]))</f>
        <v>127.35867600000002</v>
      </c>
      <c r="L94" s="33">
        <v>127.35867600000002</v>
      </c>
    </row>
    <row r="95" spans="1:12">
      <c r="A95" t="s">
        <v>66</v>
      </c>
      <c r="B95">
        <v>2002</v>
      </c>
      <c r="C95" s="16">
        <v>-0.04</v>
      </c>
      <c r="D95" s="1">
        <v>7831183</v>
      </c>
      <c r="E95" s="29">
        <f>Table14[[#This Row],[Ávöxtun]]*Table14[[#This Row],[Eignir]]/SUMIFS(Table14[Eignir],Table14[Year],Table14[[#This Row],[Year]])</f>
        <v>-4.9317537421852834E-4</v>
      </c>
      <c r="F95" s="23">
        <f>IF(B95=1997, 100, IF(COUNTIF(A$1:A94,A95)=0, "NEW", F94*(1+Table14[[#This Row],[Ávöxtun]])))</f>
        <v>122.26432896000001</v>
      </c>
      <c r="G95" s="18" cm="1">
        <f t="array" ref="G95">IFERROR(_xlfn.IFS(ISNUMBER(Table14[[#This Row],[Column3]]),Table14[[#This Row],[Column3]],Table14[[#This Row],[Column3]]="NEW",Table14[[#This Row],[Column3]]),"")</f>
        <v>122.26432896000001</v>
      </c>
      <c r="H95" s="15" cm="1">
        <f t="array" ref="H95">_xlfn.IFS(Table14[[#This Row],[Column4]]="NEW",AVERAGEIFS(Table14[Column4],Table14[Year],Table14[[#This Row],[Year]]),ISNUMBER(Table14[[#This Row],[Column4]]),Table14[[#This Row],[Column4]],Table14[[#This Row],[Column4]]="",H94*(1+Table14[[#This Row],[Ávöxtun]]))</f>
        <v>122.26432896000001</v>
      </c>
      <c r="I95" cm="1">
        <f t="array" ref="I95">_xlfn.IFS(Table14[[#This Row],[Column4]]="NEW",_xlfn.XLOOKUP(Table14[[#This Row],[Year]],$M$2:$M$27,$O$2:$O$27),ISNUMBER(Table14[[#This Row],[Column4]]),Table14[[#This Row],[Column4]],Table14[[#This Row],[Column4]]="",I94*(1+Table14[[#This Row],[Ávöxtun]]))</f>
        <v>122.26432896000001</v>
      </c>
      <c r="L95" s="33">
        <v>122.26432896000001</v>
      </c>
    </row>
    <row r="96" spans="1:12">
      <c r="A96" t="s">
        <v>66</v>
      </c>
      <c r="B96">
        <v>2003</v>
      </c>
      <c r="C96" s="16">
        <v>0.1</v>
      </c>
      <c r="D96" s="1">
        <v>9043587</v>
      </c>
      <c r="E96" s="29">
        <f>Table14[[#This Row],[Ávöxtun]]*Table14[[#This Row],[Eignir]]/SUMIFS(Table14[Eignir],Table14[Year],Table14[[#This Row],[Year]])</f>
        <v>1.1901157272016683E-3</v>
      </c>
      <c r="F96" s="23">
        <f>IF(B96=1997, 100, IF(COUNTIF(A$1:A95,A96)=0, "NEW", F95*(1+Table14[[#This Row],[Ávöxtun]])))</f>
        <v>134.49076185600003</v>
      </c>
      <c r="G96" s="18" cm="1">
        <f t="array" ref="G96">IFERROR(_xlfn.IFS(ISNUMBER(Table14[[#This Row],[Column3]]),Table14[[#This Row],[Column3]],Table14[[#This Row],[Column3]]="NEW",Table14[[#This Row],[Column3]]),"")</f>
        <v>134.49076185600003</v>
      </c>
      <c r="H96" s="15" cm="1">
        <f t="array" ref="H96">_xlfn.IFS(Table14[[#This Row],[Column4]]="NEW",AVERAGEIFS(Table14[Column4],Table14[Year],Table14[[#This Row],[Year]]),ISNUMBER(Table14[[#This Row],[Column4]]),Table14[[#This Row],[Column4]],Table14[[#This Row],[Column4]]="",H95*(1+Table14[[#This Row],[Ávöxtun]]))</f>
        <v>134.49076185600003</v>
      </c>
      <c r="I96" cm="1">
        <f t="array" ref="I96">_xlfn.IFS(Table14[[#This Row],[Column4]]="NEW",_xlfn.XLOOKUP(Table14[[#This Row],[Year]],$M$2:$M$27,$O$2:$O$27),ISNUMBER(Table14[[#This Row],[Column4]]),Table14[[#This Row],[Column4]],Table14[[#This Row],[Column4]]="",I95*(1+Table14[[#This Row],[Ávöxtun]]))</f>
        <v>134.49076185600003</v>
      </c>
      <c r="L96" s="33">
        <v>134.49076185600003</v>
      </c>
    </row>
    <row r="97" spans="1:12">
      <c r="A97" t="s">
        <v>66</v>
      </c>
      <c r="B97">
        <v>2004</v>
      </c>
      <c r="C97" s="16">
        <v>0.06</v>
      </c>
      <c r="D97" s="1">
        <v>10215286</v>
      </c>
      <c r="E97" s="29">
        <f>Table14[[#This Row],[Ávöxtun]]*Table14[[#This Row],[Eignir]]/SUMIFS(Table14[Eignir],Table14[Year],Table14[[#This Row],[Year]])</f>
        <v>6.7526399789078905E-4</v>
      </c>
      <c r="F97" s="23">
        <f>IF(B97=1997, 100, IF(COUNTIF(A$1:A96,A97)=0, "NEW", F96*(1+Table14[[#This Row],[Ávöxtun]])))</f>
        <v>142.56020756736004</v>
      </c>
      <c r="G97" s="18" cm="1">
        <f t="array" ref="G97">IFERROR(_xlfn.IFS(ISNUMBER(Table14[[#This Row],[Column3]]),Table14[[#This Row],[Column3]],Table14[[#This Row],[Column3]]="NEW",Table14[[#This Row],[Column3]]),"")</f>
        <v>142.56020756736004</v>
      </c>
      <c r="H97" s="15" cm="1">
        <f t="array" ref="H97">_xlfn.IFS(Table14[[#This Row],[Column4]]="NEW",AVERAGEIFS(Table14[Column4],Table14[Year],Table14[[#This Row],[Year]]),ISNUMBER(Table14[[#This Row],[Column4]]),Table14[[#This Row],[Column4]],Table14[[#This Row],[Column4]]="",H96*(1+Table14[[#This Row],[Ávöxtun]]))</f>
        <v>142.56020756736004</v>
      </c>
      <c r="I97" cm="1">
        <f t="array" ref="I97">_xlfn.IFS(Table14[[#This Row],[Column4]]="NEW",_xlfn.XLOOKUP(Table14[[#This Row],[Year]],$M$2:$M$27,$O$2:$O$27),ISNUMBER(Table14[[#This Row],[Column4]]),Table14[[#This Row],[Column4]],Table14[[#This Row],[Column4]]="",I96*(1+Table14[[#This Row],[Ávöxtun]]))</f>
        <v>142.56020756736004</v>
      </c>
      <c r="L97" s="33">
        <v>142.56020756736004</v>
      </c>
    </row>
    <row r="98" spans="1:12">
      <c r="A98" t="s">
        <v>66</v>
      </c>
      <c r="B98">
        <v>2005</v>
      </c>
      <c r="C98" s="16">
        <v>7.0000000000000007E-2</v>
      </c>
      <c r="D98" s="1">
        <v>11749371</v>
      </c>
      <c r="E98" s="29">
        <f>Table14[[#This Row],[Ávöxtun]]*Table14[[#This Row],[Eignir]]/SUMIFS(Table14[Eignir],Table14[Year],Table14[[#This Row],[Year]])</f>
        <v>7.3345963479882559E-4</v>
      </c>
      <c r="F98" s="23">
        <f>IF(B98=1997, 100, IF(COUNTIF(A$1:A97,A98)=0, "NEW", F97*(1+Table14[[#This Row],[Ávöxtun]])))</f>
        <v>152.53942209707526</v>
      </c>
      <c r="G98" s="18" cm="1">
        <f t="array" ref="G98">IFERROR(_xlfn.IFS(ISNUMBER(Table14[[#This Row],[Column3]]),Table14[[#This Row],[Column3]],Table14[[#This Row],[Column3]]="NEW",Table14[[#This Row],[Column3]]),"")</f>
        <v>152.53942209707526</v>
      </c>
      <c r="H98" s="15" cm="1">
        <f t="array" ref="H98">_xlfn.IFS(Table14[[#This Row],[Column4]]="NEW",AVERAGEIFS(Table14[Column4],Table14[Year],Table14[[#This Row],[Year]]),ISNUMBER(Table14[[#This Row],[Column4]]),Table14[[#This Row],[Column4]],Table14[[#This Row],[Column4]]="",H97*(1+Table14[[#This Row],[Ávöxtun]]))</f>
        <v>152.53942209707526</v>
      </c>
      <c r="I98" cm="1">
        <f t="array" ref="I98">_xlfn.IFS(Table14[[#This Row],[Column4]]="NEW",_xlfn.XLOOKUP(Table14[[#This Row],[Year]],$M$2:$M$27,$O$2:$O$27),ISNUMBER(Table14[[#This Row],[Column4]]),Table14[[#This Row],[Column4]],Table14[[#This Row],[Column4]]="",I97*(1+Table14[[#This Row],[Ávöxtun]]))</f>
        <v>152.53942209707526</v>
      </c>
      <c r="L98" s="33">
        <v>152.53942209707526</v>
      </c>
    </row>
    <row r="99" spans="1:12">
      <c r="A99" t="s">
        <v>66</v>
      </c>
      <c r="B99">
        <v>2006</v>
      </c>
      <c r="C99" s="16">
        <v>8.77E-2</v>
      </c>
      <c r="D99" s="1">
        <v>14131890</v>
      </c>
      <c r="E99" s="29">
        <f>Table14[[#This Row],[Ávöxtun]]*Table14[[#This Row],[Eignir]]/SUMIFS(Table14[Eignir],Table14[Year],Table14[[#This Row],[Year]])</f>
        <v>9.028839129104091E-4</v>
      </c>
      <c r="F99" s="23">
        <f>IF(B99=1997, 100, IF(COUNTIF(A$1:A98,A99)=0, "NEW", F98*(1+Table14[[#This Row],[Ávöxtun]])))</f>
        <v>165.91712941498875</v>
      </c>
      <c r="G99" s="18" cm="1">
        <f t="array" ref="G99">IFERROR(_xlfn.IFS(ISNUMBER(Table14[[#This Row],[Column3]]),Table14[[#This Row],[Column3]],Table14[[#This Row],[Column3]]="NEW",Table14[[#This Row],[Column3]]),"")</f>
        <v>165.91712941498875</v>
      </c>
      <c r="H99" s="15" cm="1">
        <f t="array" ref="H99">_xlfn.IFS(Table14[[#This Row],[Column4]]="NEW",AVERAGEIFS(Table14[Column4],Table14[Year],Table14[[#This Row],[Year]]),ISNUMBER(Table14[[#This Row],[Column4]]),Table14[[#This Row],[Column4]],Table14[[#This Row],[Column4]]="",H98*(1+Table14[[#This Row],[Ávöxtun]]))</f>
        <v>165.91712941498875</v>
      </c>
      <c r="I99" cm="1">
        <f t="array" ref="I99">_xlfn.IFS(Table14[[#This Row],[Column4]]="NEW",_xlfn.XLOOKUP(Table14[[#This Row],[Year]],$M$2:$M$27,$O$2:$O$27),ISNUMBER(Table14[[#This Row],[Column4]]),Table14[[#This Row],[Column4]],Table14[[#This Row],[Column4]]="",I98*(1+Table14[[#This Row],[Ávöxtun]]))</f>
        <v>165.91712941498875</v>
      </c>
      <c r="L99" s="33">
        <v>165.91712941498875</v>
      </c>
    </row>
    <row r="100" spans="1:12">
      <c r="A100" t="s">
        <v>66</v>
      </c>
      <c r="B100">
        <v>2007</v>
      </c>
      <c r="C100" s="16">
        <v>1.5700000000000002E-2</v>
      </c>
      <c r="D100" s="1">
        <v>15631046</v>
      </c>
      <c r="E100" s="29">
        <f>Table14[[#This Row],[Ávöxtun]]*Table14[[#This Row],[Eignir]]/SUMIFS(Table14[Eignir],Table14[Year],Table14[[#This Row],[Year]])</f>
        <v>1.5869513202461098E-4</v>
      </c>
      <c r="F100" s="23">
        <f>IF(B100=1997, 100, IF(COUNTIF(A$1:A99,A100)=0, "NEW", F99*(1+Table14[[#This Row],[Ávöxtun]])))</f>
        <v>168.52202834680409</v>
      </c>
      <c r="G100" s="18" cm="1">
        <f t="array" ref="G100">IFERROR(_xlfn.IFS(ISNUMBER(Table14[[#This Row],[Column3]]),Table14[[#This Row],[Column3]],Table14[[#This Row],[Column3]]="NEW",Table14[[#This Row],[Column3]]),"")</f>
        <v>168.52202834680409</v>
      </c>
      <c r="H100" s="15" cm="1">
        <f t="array" ref="H100">_xlfn.IFS(Table14[[#This Row],[Column4]]="NEW",AVERAGEIFS(Table14[Column4],Table14[Year],Table14[[#This Row],[Year]]),ISNUMBER(Table14[[#This Row],[Column4]]),Table14[[#This Row],[Column4]],Table14[[#This Row],[Column4]]="",H99*(1+Table14[[#This Row],[Ávöxtun]]))</f>
        <v>168.52202834680409</v>
      </c>
      <c r="I100" cm="1">
        <f t="array" ref="I100">_xlfn.IFS(Table14[[#This Row],[Column4]]="NEW",_xlfn.XLOOKUP(Table14[[#This Row],[Year]],$M$2:$M$27,$O$2:$O$27),ISNUMBER(Table14[[#This Row],[Column4]]),Table14[[#This Row],[Column4]],Table14[[#This Row],[Column4]]="",I99*(1+Table14[[#This Row],[Ávöxtun]]))</f>
        <v>168.52202834680409</v>
      </c>
      <c r="L100" s="33">
        <v>168.52202834680409</v>
      </c>
    </row>
    <row r="101" spans="1:12">
      <c r="A101" t="s">
        <v>66</v>
      </c>
      <c r="B101">
        <v>2008</v>
      </c>
      <c r="C101" s="16">
        <v>-0.26019999999999999</v>
      </c>
      <c r="D101" s="1">
        <v>14046610</v>
      </c>
      <c r="E101" s="29">
        <f>Table14[[#This Row],[Ávöxtun]]*Table14[[#This Row],[Eignir]]/SUMIFS(Table14[Eignir],Table14[Year],Table14[[#This Row],[Year]])</f>
        <v>-2.4409832521991711E-3</v>
      </c>
      <c r="F101" s="23">
        <f>IF(B101=1997, 100, IF(COUNTIF(A$1:A100,A101)=0, "NEW", F100*(1+Table14[[#This Row],[Ávöxtun]])))</f>
        <v>124.67259657096567</v>
      </c>
      <c r="G101" s="18" cm="1">
        <f t="array" ref="G101">IFERROR(_xlfn.IFS(ISNUMBER(Table14[[#This Row],[Column3]]),Table14[[#This Row],[Column3]],Table14[[#This Row],[Column3]]="NEW",Table14[[#This Row],[Column3]]),"")</f>
        <v>124.67259657096567</v>
      </c>
      <c r="H101" s="15" cm="1">
        <f t="array" ref="H101">_xlfn.IFS(Table14[[#This Row],[Column4]]="NEW",AVERAGEIFS(Table14[Column4],Table14[Year],Table14[[#This Row],[Year]]),ISNUMBER(Table14[[#This Row],[Column4]]),Table14[[#This Row],[Column4]],Table14[[#This Row],[Column4]]="",H100*(1+Table14[[#This Row],[Ávöxtun]]))</f>
        <v>124.67259657096567</v>
      </c>
      <c r="I101" cm="1">
        <f t="array" ref="I101">_xlfn.IFS(Table14[[#This Row],[Column4]]="NEW",_xlfn.XLOOKUP(Table14[[#This Row],[Year]],$M$2:$M$27,$O$2:$O$27),ISNUMBER(Table14[[#This Row],[Column4]]),Table14[[#This Row],[Column4]],Table14[[#This Row],[Column4]]="",I100*(1+Table14[[#This Row],[Ávöxtun]]))</f>
        <v>124.67259657096567</v>
      </c>
      <c r="L101" s="33">
        <v>124.67259657096567</v>
      </c>
    </row>
    <row r="102" spans="1:12">
      <c r="A102" t="s">
        <v>66</v>
      </c>
      <c r="B102">
        <v>2009</v>
      </c>
      <c r="C102" s="16">
        <v>9.5999999999999992E-3</v>
      </c>
      <c r="D102" s="1">
        <v>15283515</v>
      </c>
      <c r="E102" s="29">
        <f>Table14[[#This Row],[Ávöxtun]]*Table14[[#This Row],[Eignir]]/SUMIFS(Table14[Eignir],Table14[Year],Table14[[#This Row],[Year]])</f>
        <v>8.79490538047399E-5</v>
      </c>
      <c r="F102" s="23">
        <f>IF(B102=1997, 100, IF(COUNTIF(A$1:A101,A102)=0, "NEW", F101*(1+Table14[[#This Row],[Ávöxtun]])))</f>
        <v>125.86945349804694</v>
      </c>
      <c r="G102" s="18" cm="1">
        <f t="array" ref="G102">IFERROR(_xlfn.IFS(ISNUMBER(Table14[[#This Row],[Column3]]),Table14[[#This Row],[Column3]],Table14[[#This Row],[Column3]]="NEW",Table14[[#This Row],[Column3]]),"")</f>
        <v>125.86945349804694</v>
      </c>
      <c r="H102" s="15" cm="1">
        <f t="array" ref="H102">_xlfn.IFS(Table14[[#This Row],[Column4]]="NEW",AVERAGEIFS(Table14[Column4],Table14[Year],Table14[[#This Row],[Year]]),ISNUMBER(Table14[[#This Row],[Column4]]),Table14[[#This Row],[Column4]],Table14[[#This Row],[Column4]]="",H101*(1+Table14[[#This Row],[Ávöxtun]]))</f>
        <v>125.86945349804694</v>
      </c>
      <c r="I102" cm="1">
        <f t="array" ref="I102">_xlfn.IFS(Table14[[#This Row],[Column4]]="NEW",_xlfn.XLOOKUP(Table14[[#This Row],[Year]],$M$2:$M$27,$O$2:$O$27),ISNUMBER(Table14[[#This Row],[Column4]]),Table14[[#This Row],[Column4]],Table14[[#This Row],[Column4]]="",I101*(1+Table14[[#This Row],[Ávöxtun]]))</f>
        <v>125.86945349804694</v>
      </c>
      <c r="L102" s="33">
        <v>125.86945349804694</v>
      </c>
    </row>
    <row r="103" spans="1:12">
      <c r="A103" t="s">
        <v>66</v>
      </c>
      <c r="B103">
        <v>2010</v>
      </c>
      <c r="C103" s="16">
        <v>4.6800000000000001E-2</v>
      </c>
      <c r="D103" s="1">
        <v>16601483</v>
      </c>
      <c r="E103" s="29">
        <f>Table14[[#This Row],[Ávöxtun]]*Table14[[#This Row],[Eignir]]/SUMIFS(Table14[Eignir],Table14[Year],Table14[[#This Row],[Year]])</f>
        <v>4.3458733957290035E-4</v>
      </c>
      <c r="F103" s="23">
        <f>IF(B103=1997, 100, IF(COUNTIF(A$1:A102,A103)=0, "NEW", F102*(1+Table14[[#This Row],[Ávöxtun]])))</f>
        <v>131.76014392175551</v>
      </c>
      <c r="G103" s="18" cm="1">
        <f t="array" ref="G103">IFERROR(_xlfn.IFS(ISNUMBER(Table14[[#This Row],[Column3]]),Table14[[#This Row],[Column3]],Table14[[#This Row],[Column3]]="NEW",Table14[[#This Row],[Column3]]),"")</f>
        <v>131.76014392175551</v>
      </c>
      <c r="H103" s="15" cm="1">
        <f t="array" ref="H103">_xlfn.IFS(Table14[[#This Row],[Column4]]="NEW",AVERAGEIFS(Table14[Column4],Table14[Year],Table14[[#This Row],[Year]]),ISNUMBER(Table14[[#This Row],[Column4]]),Table14[[#This Row],[Column4]],Table14[[#This Row],[Column4]]="",H102*(1+Table14[[#This Row],[Ávöxtun]]))</f>
        <v>131.76014392175551</v>
      </c>
      <c r="I103" cm="1">
        <f t="array" ref="I103">_xlfn.IFS(Table14[[#This Row],[Column4]]="NEW",_xlfn.XLOOKUP(Table14[[#This Row],[Year]],$M$2:$M$27,$O$2:$O$27),ISNUMBER(Table14[[#This Row],[Column4]]),Table14[[#This Row],[Column4]],Table14[[#This Row],[Column4]]="",I102*(1+Table14[[#This Row],[Ávöxtun]]))</f>
        <v>131.76014392175551</v>
      </c>
      <c r="L103" s="33">
        <v>131.76014392175551</v>
      </c>
    </row>
    <row r="104" spans="1:12">
      <c r="A104" t="s">
        <v>66</v>
      </c>
      <c r="B104">
        <v>2011</v>
      </c>
      <c r="C104" s="16">
        <v>2.4E-2</v>
      </c>
      <c r="D104" s="1">
        <v>18212500</v>
      </c>
      <c r="E104" s="29">
        <f>Table14[[#This Row],[Ávöxtun]]*Table14[[#This Row],[Eignir]]/SUMIFS(Table14[Eignir],Table14[Year],Table14[[#This Row],[Year]])</f>
        <v>2.24089625744476E-4</v>
      </c>
      <c r="F104" s="23">
        <f>IF(B104=1997, 100, IF(COUNTIF(A$1:A103,A104)=0, "NEW", F103*(1+Table14[[#This Row],[Ávöxtun]])))</f>
        <v>134.92238737587766</v>
      </c>
      <c r="G104" s="18" cm="1">
        <f t="array" ref="G104">IFERROR(_xlfn.IFS(ISNUMBER(Table14[[#This Row],[Column3]]),Table14[[#This Row],[Column3]],Table14[[#This Row],[Column3]]="NEW",Table14[[#This Row],[Column3]]),"")</f>
        <v>134.92238737587766</v>
      </c>
      <c r="H104" s="15" cm="1">
        <f t="array" ref="H104">_xlfn.IFS(Table14[[#This Row],[Column4]]="NEW",AVERAGEIFS(Table14[Column4],Table14[Year],Table14[[#This Row],[Year]]),ISNUMBER(Table14[[#This Row],[Column4]]),Table14[[#This Row],[Column4]],Table14[[#This Row],[Column4]]="",H103*(1+Table14[[#This Row],[Ávöxtun]]))</f>
        <v>134.92238737587766</v>
      </c>
      <c r="I104" cm="1">
        <f t="array" ref="I104">_xlfn.IFS(Table14[[#This Row],[Column4]]="NEW",_xlfn.XLOOKUP(Table14[[#This Row],[Year]],$M$2:$M$27,$O$2:$O$27),ISNUMBER(Table14[[#This Row],[Column4]]),Table14[[#This Row],[Column4]],Table14[[#This Row],[Column4]]="",I103*(1+Table14[[#This Row],[Ávöxtun]]))</f>
        <v>134.92238737587766</v>
      </c>
      <c r="L104" s="33">
        <v>134.92238737587766</v>
      </c>
    </row>
    <row r="105" spans="1:12">
      <c r="A105" t="s">
        <v>66</v>
      </c>
      <c r="B105">
        <v>2012</v>
      </c>
      <c r="C105" s="16">
        <v>5.4000000000000006E-2</v>
      </c>
      <c r="D105" s="1">
        <v>20407313</v>
      </c>
      <c r="E105" s="29">
        <f>Table14[[#This Row],[Ávöxtun]]*Table14[[#This Row],[Eignir]]/SUMIFS(Table14[Eignir],Table14[Year],Table14[[#This Row],[Year]])</f>
        <v>5.0026029975749464E-4</v>
      </c>
      <c r="F105" s="23">
        <f>IF(B105=1997, 100, IF(COUNTIF(A$1:A104,A105)=0, "NEW", F104*(1+Table14[[#This Row],[Ávöxtun]])))</f>
        <v>142.20819629417505</v>
      </c>
      <c r="G105" s="18" cm="1">
        <f t="array" ref="G105">IFERROR(_xlfn.IFS(ISNUMBER(Table14[[#This Row],[Column3]]),Table14[[#This Row],[Column3]],Table14[[#This Row],[Column3]]="NEW",Table14[[#This Row],[Column3]]),"")</f>
        <v>142.20819629417505</v>
      </c>
      <c r="H105" s="15" cm="1">
        <f t="array" ref="H105">_xlfn.IFS(Table14[[#This Row],[Column4]]="NEW",AVERAGEIFS(Table14[Column4],Table14[Year],Table14[[#This Row],[Year]]),ISNUMBER(Table14[[#This Row],[Column4]]),Table14[[#This Row],[Column4]],Table14[[#This Row],[Column4]]="",H104*(1+Table14[[#This Row],[Ávöxtun]]))</f>
        <v>142.20819629417505</v>
      </c>
      <c r="I105" cm="1">
        <f t="array" ref="I105">_xlfn.IFS(Table14[[#This Row],[Column4]]="NEW",_xlfn.XLOOKUP(Table14[[#This Row],[Year]],$M$2:$M$27,$O$2:$O$27),ISNUMBER(Table14[[#This Row],[Column4]]),Table14[[#This Row],[Column4]],Table14[[#This Row],[Column4]]="",I104*(1+Table14[[#This Row],[Ávöxtun]]))</f>
        <v>142.20819629417505</v>
      </c>
      <c r="L105" s="33">
        <v>142.20819629417505</v>
      </c>
    </row>
    <row r="106" spans="1:12">
      <c r="A106" t="s">
        <v>66</v>
      </c>
      <c r="B106">
        <v>2013</v>
      </c>
      <c r="C106" s="16">
        <v>9.6000000000000002E-2</v>
      </c>
      <c r="D106" s="1">
        <v>23503659</v>
      </c>
      <c r="E106" s="29">
        <f>Table14[[#This Row],[Ávöxtun]]*Table14[[#This Row],[Eignir]]/SUMIFS(Table14[Eignir],Table14[Year],Table14[[#This Row],[Year]])</f>
        <v>9.271738335774267E-4</v>
      </c>
      <c r="F106" s="23">
        <f>IF(B106=1997, 100, IF(COUNTIF(A$1:A105,A106)=0, "NEW", F105*(1+Table14[[#This Row],[Ávöxtun]])))</f>
        <v>155.86018313841586</v>
      </c>
      <c r="G106" s="18" cm="1">
        <f t="array" ref="G106">IFERROR(_xlfn.IFS(ISNUMBER(Table14[[#This Row],[Column3]]),Table14[[#This Row],[Column3]],Table14[[#This Row],[Column3]]="NEW",Table14[[#This Row],[Column3]]),"")</f>
        <v>155.86018313841586</v>
      </c>
      <c r="H106" s="15" cm="1">
        <f t="array" ref="H106">_xlfn.IFS(Table14[[#This Row],[Column4]]="NEW",AVERAGEIFS(Table14[Column4],Table14[Year],Table14[[#This Row],[Year]]),ISNUMBER(Table14[[#This Row],[Column4]]),Table14[[#This Row],[Column4]],Table14[[#This Row],[Column4]]="",H105*(1+Table14[[#This Row],[Ávöxtun]]))</f>
        <v>155.86018313841586</v>
      </c>
      <c r="I106" cm="1">
        <f t="array" ref="I106">_xlfn.IFS(Table14[[#This Row],[Column4]]="NEW",_xlfn.XLOOKUP(Table14[[#This Row],[Year]],$M$2:$M$27,$O$2:$O$27),ISNUMBER(Table14[[#This Row],[Column4]]),Table14[[#This Row],[Column4]],Table14[[#This Row],[Column4]]="",I105*(1+Table14[[#This Row],[Ávöxtun]]))</f>
        <v>155.86018313841586</v>
      </c>
      <c r="L106" s="33">
        <v>155.86018313841586</v>
      </c>
    </row>
    <row r="107" spans="1:12">
      <c r="A107" t="s">
        <v>66</v>
      </c>
      <c r="B107">
        <v>2014</v>
      </c>
      <c r="C107" s="16">
        <v>5.2999999999999999E-2</v>
      </c>
      <c r="D107" s="1">
        <v>25426320</v>
      </c>
      <c r="E107" s="29">
        <f>Table14[[#This Row],[Ávöxtun]]*Table14[[#This Row],[Eignir]]/SUMIFS(Table14[Eignir],Table14[Year],Table14[[#This Row],[Year]])</f>
        <v>5.0794782480948787E-4</v>
      </c>
      <c r="F107" s="23">
        <f>IF(B107=1997, 100, IF(COUNTIF(A$1:A106,A107)=0, "NEW", F106*(1+Table14[[#This Row],[Ávöxtun]])))</f>
        <v>164.12077284475188</v>
      </c>
      <c r="G107" s="18" cm="1">
        <f t="array" ref="G107">IFERROR(_xlfn.IFS(ISNUMBER(Table14[[#This Row],[Column3]]),Table14[[#This Row],[Column3]],Table14[[#This Row],[Column3]]="NEW",Table14[[#This Row],[Column3]]),"")</f>
        <v>164.12077284475188</v>
      </c>
      <c r="H107" s="15" cm="1">
        <f t="array" ref="H107">_xlfn.IFS(Table14[[#This Row],[Column4]]="NEW",AVERAGEIFS(Table14[Column4],Table14[Year],Table14[[#This Row],[Year]]),ISNUMBER(Table14[[#This Row],[Column4]]),Table14[[#This Row],[Column4]],Table14[[#This Row],[Column4]]="",H106*(1+Table14[[#This Row],[Ávöxtun]]))</f>
        <v>164.12077284475188</v>
      </c>
      <c r="I107" cm="1">
        <f t="array" ref="I107">_xlfn.IFS(Table14[[#This Row],[Column4]]="NEW",_xlfn.XLOOKUP(Table14[[#This Row],[Year]],$M$2:$M$27,$O$2:$O$27),ISNUMBER(Table14[[#This Row],[Column4]]),Table14[[#This Row],[Column4]],Table14[[#This Row],[Column4]]="",I106*(1+Table14[[#This Row],[Ávöxtun]]))</f>
        <v>164.12077284475188</v>
      </c>
      <c r="L107" s="33">
        <v>164.12077284475188</v>
      </c>
    </row>
    <row r="108" spans="1:12">
      <c r="A108" t="s">
        <v>66</v>
      </c>
      <c r="B108">
        <v>2015</v>
      </c>
      <c r="C108" s="16">
        <v>0.125</v>
      </c>
      <c r="D108" s="1">
        <v>29785809</v>
      </c>
      <c r="E108" s="29">
        <f>Table14[[#This Row],[Ávöxtun]]*Table14[[#This Row],[Eignir]]/SUMIFS(Table14[Eignir],Table14[Year],Table14[[#This Row],[Year]])</f>
        <v>1.2572612602079957E-3</v>
      </c>
      <c r="F108" s="23">
        <f>IF(B108=1997, 100, IF(COUNTIF(A$1:A107,A108)=0, "NEW", F107*(1+Table14[[#This Row],[Ávöxtun]])))</f>
        <v>184.63586945034587</v>
      </c>
      <c r="G108" s="18" cm="1">
        <f t="array" ref="G108">IFERROR(_xlfn.IFS(ISNUMBER(Table14[[#This Row],[Column3]]),Table14[[#This Row],[Column3]],Table14[[#This Row],[Column3]]="NEW",Table14[[#This Row],[Column3]]),"")</f>
        <v>184.63586945034587</v>
      </c>
      <c r="H108" s="15" cm="1">
        <f t="array" ref="H108">_xlfn.IFS(Table14[[#This Row],[Column4]]="NEW",AVERAGEIFS(Table14[Column4],Table14[Year],Table14[[#This Row],[Year]]),ISNUMBER(Table14[[#This Row],[Column4]]),Table14[[#This Row],[Column4]],Table14[[#This Row],[Column4]]="",H107*(1+Table14[[#This Row],[Ávöxtun]]))</f>
        <v>184.63586945034587</v>
      </c>
      <c r="I108" cm="1">
        <f t="array" ref="I108">_xlfn.IFS(Table14[[#This Row],[Column4]]="NEW",_xlfn.XLOOKUP(Table14[[#This Row],[Year]],$M$2:$M$27,$O$2:$O$27),ISNUMBER(Table14[[#This Row],[Column4]]),Table14[[#This Row],[Column4]],Table14[[#This Row],[Column4]]="",I107*(1+Table14[[#This Row],[Ávöxtun]]))</f>
        <v>184.63586945034587</v>
      </c>
      <c r="L108" s="33">
        <v>184.63586945034587</v>
      </c>
    </row>
    <row r="109" spans="1:12">
      <c r="A109" t="s">
        <v>66</v>
      </c>
      <c r="B109">
        <v>2016</v>
      </c>
      <c r="C109" s="16">
        <v>-1.8500000000000003E-2</v>
      </c>
      <c r="D109" s="1">
        <v>31678771</v>
      </c>
      <c r="E109" s="29">
        <f>Table14[[#This Row],[Ávöxtun]]*Table14[[#This Row],[Eignir]]/SUMIFS(Table14[Eignir],Table14[Year],Table14[[#This Row],[Year]])</f>
        <v>-1.8314022455683196E-4</v>
      </c>
      <c r="F109" s="23">
        <f>IF(B109=1997, 100, IF(COUNTIF(A$1:A108,A109)=0, "NEW", F108*(1+Table14[[#This Row],[Ávöxtun]])))</f>
        <v>181.22010586551448</v>
      </c>
      <c r="G109" s="18" cm="1">
        <f t="array" ref="G109">IFERROR(_xlfn.IFS(ISNUMBER(Table14[[#This Row],[Column3]]),Table14[[#This Row],[Column3]],Table14[[#This Row],[Column3]]="NEW",Table14[[#This Row],[Column3]]),"")</f>
        <v>181.22010586551448</v>
      </c>
      <c r="H109" s="15" cm="1">
        <f t="array" ref="H109">_xlfn.IFS(Table14[[#This Row],[Column4]]="NEW",AVERAGEIFS(Table14[Column4],Table14[Year],Table14[[#This Row],[Year]]),ISNUMBER(Table14[[#This Row],[Column4]]),Table14[[#This Row],[Column4]],Table14[[#This Row],[Column4]]="",H108*(1+Table14[[#This Row],[Ávöxtun]]))</f>
        <v>181.22010586551448</v>
      </c>
      <c r="I109" cm="1">
        <f t="array" ref="I109">_xlfn.IFS(Table14[[#This Row],[Column4]]="NEW",_xlfn.XLOOKUP(Table14[[#This Row],[Year]],$M$2:$M$27,$O$2:$O$27),ISNUMBER(Table14[[#This Row],[Column4]]),Table14[[#This Row],[Column4]],Table14[[#This Row],[Column4]]="",I108*(1+Table14[[#This Row],[Ávöxtun]]))</f>
        <v>181.22010586551448</v>
      </c>
      <c r="L109" s="33">
        <v>181.22010586551448</v>
      </c>
    </row>
    <row r="110" spans="1:12">
      <c r="A110" t="s">
        <v>66</v>
      </c>
      <c r="B110">
        <v>2017</v>
      </c>
      <c r="C110" s="16">
        <v>4.2000000000000003E-2</v>
      </c>
      <c r="D110" s="1">
        <v>34622341</v>
      </c>
      <c r="E110" s="29">
        <f>Table14[[#This Row],[Ávöxtun]]*Table14[[#This Row],[Eignir]]/SUMIFS(Table14[Eignir],Table14[Year],Table14[[#This Row],[Year]])</f>
        <v>4.0856322214391104E-4</v>
      </c>
      <c r="F110" s="23">
        <f>IF(B110=1997, 100, IF(COUNTIF(A$1:A109,A110)=0, "NEW", F109*(1+Table14[[#This Row],[Ávöxtun]])))</f>
        <v>188.83135031186609</v>
      </c>
      <c r="G110" s="18" cm="1">
        <f t="array" ref="G110">IFERROR(_xlfn.IFS(ISNUMBER(Table14[[#This Row],[Column3]]),Table14[[#This Row],[Column3]],Table14[[#This Row],[Column3]]="NEW",Table14[[#This Row],[Column3]]),"")</f>
        <v>188.83135031186609</v>
      </c>
      <c r="H110" s="15" cm="1">
        <f t="array" ref="H110">_xlfn.IFS(Table14[[#This Row],[Column4]]="NEW",AVERAGEIFS(Table14[Column4],Table14[Year],Table14[[#This Row],[Year]]),ISNUMBER(Table14[[#This Row],[Column4]]),Table14[[#This Row],[Column4]],Table14[[#This Row],[Column4]]="",H109*(1+Table14[[#This Row],[Ávöxtun]]))</f>
        <v>188.83135031186609</v>
      </c>
      <c r="I110" cm="1">
        <f t="array" ref="I110">_xlfn.IFS(Table14[[#This Row],[Column4]]="NEW",_xlfn.XLOOKUP(Table14[[#This Row],[Year]],$M$2:$M$27,$O$2:$O$27),ISNUMBER(Table14[[#This Row],[Column4]]),Table14[[#This Row],[Column4]],Table14[[#This Row],[Column4]]="",I109*(1+Table14[[#This Row],[Ávöxtun]]))</f>
        <v>188.83135031186609</v>
      </c>
      <c r="L110" s="33">
        <v>188.83135031186609</v>
      </c>
    </row>
    <row r="111" spans="1:12">
      <c r="A111" t="s">
        <v>66</v>
      </c>
      <c r="B111">
        <v>2018</v>
      </c>
      <c r="C111" s="16">
        <v>1.7000000000000001E-2</v>
      </c>
      <c r="D111" s="1">
        <v>37404716</v>
      </c>
      <c r="E111" s="29">
        <f>Table14[[#This Row],[Ávöxtun]]*Table14[[#This Row],[Eignir]]/SUMIFS(Table14[Eignir],Table14[Year],Table14[[#This Row],[Year]])</f>
        <v>1.6653408744924446E-4</v>
      </c>
      <c r="F111" s="23">
        <f>IF(B111=1997, 100, IF(COUNTIF(A$1:A110,A111)=0, "NEW", F110*(1+Table14[[#This Row],[Ávöxtun]])))</f>
        <v>192.04148326716779</v>
      </c>
      <c r="G111" s="18" cm="1">
        <f t="array" ref="G111">IFERROR(_xlfn.IFS(ISNUMBER(Table14[[#This Row],[Column3]]),Table14[[#This Row],[Column3]],Table14[[#This Row],[Column3]]="NEW",Table14[[#This Row],[Column3]]),"")</f>
        <v>192.04148326716779</v>
      </c>
      <c r="H111" s="15" cm="1">
        <f t="array" ref="H111">_xlfn.IFS(Table14[[#This Row],[Column4]]="NEW",AVERAGEIFS(Table14[Column4],Table14[Year],Table14[[#This Row],[Year]]),ISNUMBER(Table14[[#This Row],[Column4]]),Table14[[#This Row],[Column4]],Table14[[#This Row],[Column4]]="",H110*(1+Table14[[#This Row],[Ávöxtun]]))</f>
        <v>192.04148326716779</v>
      </c>
      <c r="I111" cm="1">
        <f t="array" ref="I111">_xlfn.IFS(Table14[[#This Row],[Column4]]="NEW",_xlfn.XLOOKUP(Table14[[#This Row],[Year]],$M$2:$M$27,$O$2:$O$27),ISNUMBER(Table14[[#This Row],[Column4]]),Table14[[#This Row],[Column4]],Table14[[#This Row],[Column4]]="",I110*(1+Table14[[#This Row],[Ávöxtun]]))</f>
        <v>192.04148326716779</v>
      </c>
      <c r="L111" s="33">
        <v>192.04148326716779</v>
      </c>
    </row>
    <row r="112" spans="1:12">
      <c r="A112" t="s">
        <v>66</v>
      </c>
      <c r="B112">
        <v>2019</v>
      </c>
      <c r="C112" s="16">
        <v>9.74E-2</v>
      </c>
      <c r="D112" s="1">
        <v>43590858</v>
      </c>
      <c r="E112" s="29">
        <f>Table14[[#This Row],[Ávöxtun]]*Table14[[#This Row],[Eignir]]/SUMIFS(Table14[Eignir],Table14[Year],Table14[[#This Row],[Year]])</f>
        <v>9.5908415155060813E-4</v>
      </c>
      <c r="F112" s="23">
        <f>IF(B112=1997, 100, IF(COUNTIF(A$1:A111,A112)=0, "NEW", F111*(1+Table14[[#This Row],[Ávöxtun]])))</f>
        <v>210.74632373738993</v>
      </c>
      <c r="G112" s="18" cm="1">
        <f t="array" ref="G112">IFERROR(_xlfn.IFS(ISNUMBER(Table14[[#This Row],[Column3]]),Table14[[#This Row],[Column3]],Table14[[#This Row],[Column3]]="NEW",Table14[[#This Row],[Column3]]),"")</f>
        <v>210.74632373738993</v>
      </c>
      <c r="H112" s="15" cm="1">
        <f t="array" ref="H112">_xlfn.IFS(Table14[[#This Row],[Column4]]="NEW",AVERAGEIFS(Table14[Column4],Table14[Year],Table14[[#This Row],[Year]]),ISNUMBER(Table14[[#This Row],[Column4]]),Table14[[#This Row],[Column4]],Table14[[#This Row],[Column4]]="",H111*(1+Table14[[#This Row],[Ávöxtun]]))</f>
        <v>210.74632373738993</v>
      </c>
      <c r="I112" cm="1">
        <f t="array" ref="I112">_xlfn.IFS(Table14[[#This Row],[Column4]]="NEW",_xlfn.XLOOKUP(Table14[[#This Row],[Year]],$M$2:$M$27,$O$2:$O$27),ISNUMBER(Table14[[#This Row],[Column4]]),Table14[[#This Row],[Column4]],Table14[[#This Row],[Column4]]="",I111*(1+Table14[[#This Row],[Ávöxtun]]))</f>
        <v>210.74632373738993</v>
      </c>
      <c r="L112" s="33">
        <v>210.74632373738993</v>
      </c>
    </row>
    <row r="113" spans="1:12">
      <c r="A113" t="s">
        <v>66</v>
      </c>
      <c r="B113">
        <v>2020</v>
      </c>
      <c r="C113" s="16">
        <v>8.7400000000000005E-2</v>
      </c>
      <c r="D113" s="1">
        <v>49926910</v>
      </c>
      <c r="E113" s="29">
        <f>Table14[[#This Row],[Ávöxtun]]*Table14[[#This Row],[Eignir]]/SUMIFS(Table14[Eignir],Table14[Year],Table14[[#This Row],[Year]])</f>
        <v>8.495114215451451E-4</v>
      </c>
      <c r="F113" s="23">
        <f>IF(B113=1997, 100, IF(COUNTIF(A$1:A112,A113)=0, "NEW", F112*(1+Table14[[#This Row],[Ávöxtun]])))</f>
        <v>229.1655524320378</v>
      </c>
      <c r="G113" s="18" cm="1">
        <f t="array" ref="G113">IFERROR(_xlfn.IFS(ISNUMBER(Table14[[#This Row],[Column3]]),Table14[[#This Row],[Column3]],Table14[[#This Row],[Column3]]="NEW",Table14[[#This Row],[Column3]]),"")</f>
        <v>229.1655524320378</v>
      </c>
      <c r="H113" s="15" cm="1">
        <f t="array" ref="H113">_xlfn.IFS(Table14[[#This Row],[Column4]]="NEW",AVERAGEIFS(Table14[Column4],Table14[Year],Table14[[#This Row],[Year]]),ISNUMBER(Table14[[#This Row],[Column4]]),Table14[[#This Row],[Column4]],Table14[[#This Row],[Column4]]="",H112*(1+Table14[[#This Row],[Ávöxtun]]))</f>
        <v>229.1655524320378</v>
      </c>
      <c r="I113" cm="1">
        <f t="array" ref="I113">_xlfn.IFS(Table14[[#This Row],[Column4]]="NEW",_xlfn.XLOOKUP(Table14[[#This Row],[Year]],$M$2:$M$27,$O$2:$O$27),ISNUMBER(Table14[[#This Row],[Column4]]),Table14[[#This Row],[Column4]],Table14[[#This Row],[Column4]]="",I112*(1+Table14[[#This Row],[Ávöxtun]]))</f>
        <v>229.1655524320378</v>
      </c>
      <c r="L113" s="33">
        <v>229.1655524320378</v>
      </c>
    </row>
    <row r="114" spans="1:12">
      <c r="A114" t="s">
        <v>66</v>
      </c>
      <c r="B114">
        <v>2021</v>
      </c>
      <c r="C114" s="16">
        <v>0.1128</v>
      </c>
      <c r="D114" s="1">
        <v>58615521</v>
      </c>
      <c r="E114" s="29">
        <f>Table14[[#This Row],[Ávöxtun]]*Table14[[#This Row],[Eignir]]/SUMIFS(Table14[Eignir],Table14[Year],Table14[[#This Row],[Year]])</f>
        <v>1.0947649186961164E-3</v>
      </c>
      <c r="F114" s="23">
        <f>IF(B114=1997, 100, IF(COUNTIF(A$1:A113,A114)=0, "NEW", F113*(1+Table14[[#This Row],[Ávöxtun]])))</f>
        <v>255.01542674637167</v>
      </c>
      <c r="G114" s="18" cm="1">
        <f t="array" ref="G114">IFERROR(_xlfn.IFS(ISNUMBER(Table14[[#This Row],[Column3]]),Table14[[#This Row],[Column3]],Table14[[#This Row],[Column3]]="NEW",Table14[[#This Row],[Column3]]),"")</f>
        <v>255.01542674637167</v>
      </c>
      <c r="H114" s="15" cm="1">
        <f t="array" ref="H114">_xlfn.IFS(Table14[[#This Row],[Column4]]="NEW",AVERAGEIFS(Table14[Column4],Table14[Year],Table14[[#This Row],[Year]]),ISNUMBER(Table14[[#This Row],[Column4]]),Table14[[#This Row],[Column4]],Table14[[#This Row],[Column4]]="",H113*(1+Table14[[#This Row],[Ávöxtun]]))</f>
        <v>255.01542674637167</v>
      </c>
      <c r="I114" cm="1">
        <f t="array" ref="I114">_xlfn.IFS(Table14[[#This Row],[Column4]]="NEW",_xlfn.XLOOKUP(Table14[[#This Row],[Year]],$M$2:$M$27,$O$2:$O$27),ISNUMBER(Table14[[#This Row],[Column4]]),Table14[[#This Row],[Column4]],Table14[[#This Row],[Column4]]="",I113*(1+Table14[[#This Row],[Ávöxtun]]))</f>
        <v>255.01542674637167</v>
      </c>
      <c r="L114" s="33">
        <v>255.01542674637167</v>
      </c>
    </row>
    <row r="115" spans="1:12">
      <c r="A115" t="s">
        <v>67</v>
      </c>
      <c r="B115">
        <v>1997</v>
      </c>
      <c r="C115" s="16">
        <v>0.05</v>
      </c>
      <c r="D115" s="1">
        <v>352682.32</v>
      </c>
      <c r="E115" s="29">
        <f>Table14[[#This Row],[Ávöxtun]]*Table14[[#This Row],[Eignir]]/SUMIFS(Table14[Eignir],Table14[Year],Table14[[#This Row],[Year]])</f>
        <v>5.2014153032859883E-5</v>
      </c>
      <c r="F115" s="23">
        <f>IF(B115=1997, 100, IF(COUNTIF(A$1:A114,A115)=0, "NEW", F114*(1+Table14[[#This Row],[Ávöxtun]])))</f>
        <v>100</v>
      </c>
      <c r="G115" s="18" cm="1">
        <f t="array" ref="G115">IFERROR(_xlfn.IFS(ISNUMBER(Table14[[#This Row],[Column3]]),Table14[[#This Row],[Column3]],Table14[[#This Row],[Column3]]="NEW",Table14[[#This Row],[Column3]]),"")</f>
        <v>100</v>
      </c>
      <c r="H115" s="15" cm="1">
        <f t="array" ref="H115">_xlfn.IFS(Table14[[#This Row],[Column4]]="NEW",AVERAGEIFS(Table14[Column4],Table14[Year],Table14[[#This Row],[Year]]),ISNUMBER(Table14[[#This Row],[Column4]]),Table14[[#This Row],[Column4]],Table14[[#This Row],[Column4]]="",H114*(1+Table14[[#This Row],[Ávöxtun]]))</f>
        <v>100</v>
      </c>
      <c r="I115" cm="1">
        <f t="array" ref="I115">_xlfn.IFS(Table14[[#This Row],[Column4]]="NEW",_xlfn.XLOOKUP(Table14[[#This Row],[Year]],$M$2:$M$27,$O$2:$O$27),ISNUMBER(Table14[[#This Row],[Column4]]),Table14[[#This Row],[Column4]],Table14[[#This Row],[Column4]]="",I114*(1+Table14[[#This Row],[Ávöxtun]]))</f>
        <v>100</v>
      </c>
      <c r="L115" s="33">
        <v>100</v>
      </c>
    </row>
    <row r="116" spans="1:12">
      <c r="A116" t="s">
        <v>67</v>
      </c>
      <c r="B116">
        <v>1998</v>
      </c>
      <c r="C116" s="16">
        <v>0.06</v>
      </c>
      <c r="D116" s="1">
        <v>381285.82</v>
      </c>
      <c r="E116" s="29">
        <f>Table14[[#This Row],[Ávöxtun]]*Table14[[#This Row],[Eignir]]/SUMIFS(Table14[Eignir],Table14[Year],Table14[[#This Row],[Year]])</f>
        <v>5.8414478811656814E-5</v>
      </c>
      <c r="F116" s="23">
        <f>IF(B116=1997, 100, IF(COUNTIF(A$1:A115,A116)=0, "NEW", F115*(1+Table14[[#This Row],[Ávöxtun]])))</f>
        <v>106</v>
      </c>
      <c r="G116" s="18" cm="1">
        <f t="array" ref="G116">IFERROR(_xlfn.IFS(ISNUMBER(Table14[[#This Row],[Column3]]),Table14[[#This Row],[Column3]],Table14[[#This Row],[Column3]]="NEW",Table14[[#This Row],[Column3]]),"")</f>
        <v>106</v>
      </c>
      <c r="H116" s="15" cm="1">
        <f t="array" ref="H116">_xlfn.IFS(Table14[[#This Row],[Column4]]="NEW",AVERAGEIFS(Table14[Column4],Table14[Year],Table14[[#This Row],[Year]]),ISNUMBER(Table14[[#This Row],[Column4]]),Table14[[#This Row],[Column4]],Table14[[#This Row],[Column4]]="",H115*(1+Table14[[#This Row],[Ávöxtun]]))</f>
        <v>106</v>
      </c>
      <c r="I116" cm="1">
        <f t="array" ref="I116">_xlfn.IFS(Table14[[#This Row],[Column4]]="NEW",_xlfn.XLOOKUP(Table14[[#This Row],[Year]],$M$2:$M$27,$O$2:$O$27),ISNUMBER(Table14[[#This Row],[Column4]]),Table14[[#This Row],[Column4]],Table14[[#This Row],[Column4]]="",I115*(1+Table14[[#This Row],[Ávöxtun]]))</f>
        <v>106</v>
      </c>
      <c r="L116" s="33">
        <v>106</v>
      </c>
    </row>
    <row r="117" spans="1:12">
      <c r="A117" t="s">
        <v>67</v>
      </c>
      <c r="B117">
        <v>1999</v>
      </c>
      <c r="C117" s="16">
        <v>0.06</v>
      </c>
      <c r="D117" s="1">
        <v>450997.77</v>
      </c>
      <c r="E117" s="29">
        <f>Table14[[#This Row],[Ávöxtun]]*Table14[[#This Row],[Eignir]]/SUMIFS(Table14[Eignir],Table14[Year],Table14[[#This Row],[Year]])</f>
        <v>5.1966581655367517E-5</v>
      </c>
      <c r="F117" s="23">
        <f>IF(B117=1997, 100, IF(COUNTIF(A$1:A116,A117)=0, "NEW", F116*(1+Table14[[#This Row],[Ávöxtun]])))</f>
        <v>112.36</v>
      </c>
      <c r="G117" s="18" cm="1">
        <f t="array" ref="G117">IFERROR(_xlfn.IFS(ISNUMBER(Table14[[#This Row],[Column3]]),Table14[[#This Row],[Column3]],Table14[[#This Row],[Column3]]="NEW",Table14[[#This Row],[Column3]]),"")</f>
        <v>112.36</v>
      </c>
      <c r="H117" s="15" cm="1">
        <f t="array" ref="H117">_xlfn.IFS(Table14[[#This Row],[Column4]]="NEW",AVERAGEIFS(Table14[Column4],Table14[Year],Table14[[#This Row],[Year]]),ISNUMBER(Table14[[#This Row],[Column4]]),Table14[[#This Row],[Column4]],Table14[[#This Row],[Column4]]="",H116*(1+Table14[[#This Row],[Ávöxtun]]))</f>
        <v>112.36</v>
      </c>
      <c r="I117" cm="1">
        <f t="array" ref="I117">_xlfn.IFS(Table14[[#This Row],[Column4]]="NEW",_xlfn.XLOOKUP(Table14[[#This Row],[Year]],$M$2:$M$27,$O$2:$O$27),ISNUMBER(Table14[[#This Row],[Column4]]),Table14[[#This Row],[Column4]],Table14[[#This Row],[Column4]]="",I116*(1+Table14[[#This Row],[Ávöxtun]]))</f>
        <v>112.36</v>
      </c>
      <c r="L117" s="33">
        <v>112.36</v>
      </c>
    </row>
    <row r="118" spans="1:12">
      <c r="A118" t="s">
        <v>67</v>
      </c>
      <c r="B118">
        <v>2000</v>
      </c>
      <c r="C118" s="16">
        <v>0</v>
      </c>
      <c r="D118" s="1">
        <v>469089.31</v>
      </c>
      <c r="E118" s="29">
        <f>Table14[[#This Row],[Ávöxtun]]*Table14[[#This Row],[Eignir]]/SUMIFS(Table14[Eignir],Table14[Year],Table14[[#This Row],[Year]])</f>
        <v>0</v>
      </c>
      <c r="F118" s="23">
        <f>IF(B118=1997, 100, IF(COUNTIF(A$1:A117,A118)=0, "NEW", F117*(1+Table14[[#This Row],[Ávöxtun]])))</f>
        <v>112.36</v>
      </c>
      <c r="G118" s="18" cm="1">
        <f t="array" ref="G118">IFERROR(_xlfn.IFS(ISNUMBER(Table14[[#This Row],[Column3]]),Table14[[#This Row],[Column3]],Table14[[#This Row],[Column3]]="NEW",Table14[[#This Row],[Column3]]),"")</f>
        <v>112.36</v>
      </c>
      <c r="H118" s="15" cm="1">
        <f t="array" ref="H118">_xlfn.IFS(Table14[[#This Row],[Column4]]="NEW",AVERAGEIFS(Table14[Column4],Table14[Year],Table14[[#This Row],[Year]]),ISNUMBER(Table14[[#This Row],[Column4]]),Table14[[#This Row],[Column4]],Table14[[#This Row],[Column4]]="",H117*(1+Table14[[#This Row],[Ávöxtun]]))</f>
        <v>112.36</v>
      </c>
      <c r="I118" cm="1">
        <f t="array" ref="I118">_xlfn.IFS(Table14[[#This Row],[Column4]]="NEW",_xlfn.XLOOKUP(Table14[[#This Row],[Year]],$M$2:$M$27,$O$2:$O$27),ISNUMBER(Table14[[#This Row],[Column4]]),Table14[[#This Row],[Column4]],Table14[[#This Row],[Column4]]="",I117*(1+Table14[[#This Row],[Ávöxtun]]))</f>
        <v>112.36</v>
      </c>
      <c r="L118" s="33">
        <v>112.36</v>
      </c>
    </row>
    <row r="119" spans="1:12">
      <c r="A119" t="s">
        <v>67</v>
      </c>
      <c r="B119">
        <v>2001</v>
      </c>
      <c r="C119" s="16">
        <v>-0.02</v>
      </c>
      <c r="D119" s="1">
        <v>503671</v>
      </c>
      <c r="E119" s="29">
        <f>Table14[[#This Row],[Ávöxtun]]*Table14[[#This Row],[Eignir]]/SUMIFS(Table14[Eignir],Table14[Year],Table14[[#This Row],[Year]])</f>
        <v>-8.6996141383082615E-6</v>
      </c>
      <c r="F119" s="23">
        <f>IF(B119=1997, 100, IF(COUNTIF(A$1:A118,A119)=0, "NEW", F118*(1+Table14[[#This Row],[Ávöxtun]])))</f>
        <v>110.11279999999999</v>
      </c>
      <c r="G119" s="18" cm="1">
        <f t="array" ref="G119">IFERROR(_xlfn.IFS(ISNUMBER(Table14[[#This Row],[Column3]]),Table14[[#This Row],[Column3]],Table14[[#This Row],[Column3]]="NEW",Table14[[#This Row],[Column3]]),"")</f>
        <v>110.11279999999999</v>
      </c>
      <c r="H119" s="15" cm="1">
        <f t="array" ref="H119">_xlfn.IFS(Table14[[#This Row],[Column4]]="NEW",AVERAGEIFS(Table14[Column4],Table14[Year],Table14[[#This Row],[Year]]),ISNUMBER(Table14[[#This Row],[Column4]]),Table14[[#This Row],[Column4]],Table14[[#This Row],[Column4]]="",H118*(1+Table14[[#This Row],[Ávöxtun]]))</f>
        <v>110.11279999999999</v>
      </c>
      <c r="I119" cm="1">
        <f t="array" ref="I119">_xlfn.IFS(Table14[[#This Row],[Column4]]="NEW",_xlfn.XLOOKUP(Table14[[#This Row],[Year]],$M$2:$M$27,$O$2:$O$27),ISNUMBER(Table14[[#This Row],[Column4]]),Table14[[#This Row],[Column4]],Table14[[#This Row],[Column4]]="",I118*(1+Table14[[#This Row],[Ávöxtun]]))</f>
        <v>110.11279999999999</v>
      </c>
      <c r="L119" s="33">
        <v>110.11279999999999</v>
      </c>
    </row>
    <row r="120" spans="1:12">
      <c r="A120" t="s">
        <v>67</v>
      </c>
      <c r="B120">
        <v>2002</v>
      </c>
      <c r="C120" s="16">
        <v>-0.04</v>
      </c>
      <c r="D120" s="1">
        <v>494839</v>
      </c>
      <c r="E120" s="29">
        <f>Table14[[#This Row],[Ávöxtun]]*Table14[[#This Row],[Eignir]]/SUMIFS(Table14[Eignir],Table14[Year],Table14[[#This Row],[Year]])</f>
        <v>-3.1162904634321836E-5</v>
      </c>
      <c r="F120" s="23">
        <f>IF(B120=1997, 100, IF(COUNTIF(A$1:A119,A120)=0, "NEW", F119*(1+Table14[[#This Row],[Ávöxtun]])))</f>
        <v>105.708288</v>
      </c>
      <c r="G120" s="18" cm="1">
        <f t="array" ref="G120">IFERROR(_xlfn.IFS(ISNUMBER(Table14[[#This Row],[Column3]]),Table14[[#This Row],[Column3]],Table14[[#This Row],[Column3]]="NEW",Table14[[#This Row],[Column3]]),"")</f>
        <v>105.708288</v>
      </c>
      <c r="H120" s="15" cm="1">
        <f t="array" ref="H120">_xlfn.IFS(Table14[[#This Row],[Column4]]="NEW",AVERAGEIFS(Table14[Column4],Table14[Year],Table14[[#This Row],[Year]]),ISNUMBER(Table14[[#This Row],[Column4]]),Table14[[#This Row],[Column4]],Table14[[#This Row],[Column4]]="",H119*(1+Table14[[#This Row],[Ávöxtun]]))</f>
        <v>105.708288</v>
      </c>
      <c r="I120" cm="1">
        <f t="array" ref="I120">_xlfn.IFS(Table14[[#This Row],[Column4]]="NEW",_xlfn.XLOOKUP(Table14[[#This Row],[Year]],$M$2:$M$27,$O$2:$O$27),ISNUMBER(Table14[[#This Row],[Column4]]),Table14[[#This Row],[Column4]],Table14[[#This Row],[Column4]]="",I119*(1+Table14[[#This Row],[Ávöxtun]]))</f>
        <v>105.708288</v>
      </c>
      <c r="L120" s="33">
        <v>105.708288</v>
      </c>
    </row>
    <row r="121" spans="1:12">
      <c r="A121" t="s">
        <v>67</v>
      </c>
      <c r="B121">
        <v>2003</v>
      </c>
      <c r="C121" s="16">
        <v>0.08</v>
      </c>
      <c r="D121" s="1">
        <v>553008</v>
      </c>
      <c r="E121" s="29">
        <f>Table14[[#This Row],[Ávöxtun]]*Table14[[#This Row],[Eignir]]/SUMIFS(Table14[Eignir],Table14[Year],Table14[[#This Row],[Year]])</f>
        <v>5.8219688101045753E-5</v>
      </c>
      <c r="F121" s="23">
        <f>IF(B121=1997, 100, IF(COUNTIF(A$1:A120,A121)=0, "NEW", F120*(1+Table14[[#This Row],[Ávöxtun]])))</f>
        <v>114.16495104000001</v>
      </c>
      <c r="G121" s="18" cm="1">
        <f t="array" ref="G121">IFERROR(_xlfn.IFS(ISNUMBER(Table14[[#This Row],[Column3]]),Table14[[#This Row],[Column3]],Table14[[#This Row],[Column3]]="NEW",Table14[[#This Row],[Column3]]),"")</f>
        <v>114.16495104000001</v>
      </c>
      <c r="H121" s="15" cm="1">
        <f t="array" ref="H121">_xlfn.IFS(Table14[[#This Row],[Column4]]="NEW",AVERAGEIFS(Table14[Column4],Table14[Year],Table14[[#This Row],[Year]]),ISNUMBER(Table14[[#This Row],[Column4]]),Table14[[#This Row],[Column4]],Table14[[#This Row],[Column4]]="",H120*(1+Table14[[#This Row],[Ávöxtun]]))</f>
        <v>114.16495104000001</v>
      </c>
      <c r="I121" cm="1">
        <f t="array" ref="I121">_xlfn.IFS(Table14[[#This Row],[Column4]]="NEW",_xlfn.XLOOKUP(Table14[[#This Row],[Year]],$M$2:$M$27,$O$2:$O$27),ISNUMBER(Table14[[#This Row],[Column4]]),Table14[[#This Row],[Column4]],Table14[[#This Row],[Column4]]="",I120*(1+Table14[[#This Row],[Ávöxtun]]))</f>
        <v>114.16495104000001</v>
      </c>
      <c r="L121" s="33">
        <v>114.16495104000001</v>
      </c>
    </row>
    <row r="122" spans="1:12">
      <c r="A122" t="s">
        <v>67</v>
      </c>
      <c r="B122">
        <v>2004</v>
      </c>
      <c r="C122" s="16">
        <v>0.06</v>
      </c>
      <c r="D122" s="1">
        <v>610446</v>
      </c>
      <c r="E122" s="29">
        <f>Table14[[#This Row],[Ávöxtun]]*Table14[[#This Row],[Eignir]]/SUMIFS(Table14[Eignir],Table14[Year],Table14[[#This Row],[Year]])</f>
        <v>4.03524880709596E-5</v>
      </c>
      <c r="F122" s="23">
        <f>IF(B122=1997, 100, IF(COUNTIF(A$1:A121,A122)=0, "NEW", F121*(1+Table14[[#This Row],[Ávöxtun]])))</f>
        <v>121.01484810240001</v>
      </c>
      <c r="G122" s="18" cm="1">
        <f t="array" ref="G122">IFERROR(_xlfn.IFS(ISNUMBER(Table14[[#This Row],[Column3]]),Table14[[#This Row],[Column3]],Table14[[#This Row],[Column3]]="NEW",Table14[[#This Row],[Column3]]),"")</f>
        <v>121.01484810240001</v>
      </c>
      <c r="H122" s="15" cm="1">
        <f t="array" ref="H122">_xlfn.IFS(Table14[[#This Row],[Column4]]="NEW",AVERAGEIFS(Table14[Column4],Table14[Year],Table14[[#This Row],[Year]]),ISNUMBER(Table14[[#This Row],[Column4]]),Table14[[#This Row],[Column4]],Table14[[#This Row],[Column4]]="",H121*(1+Table14[[#This Row],[Ávöxtun]]))</f>
        <v>121.01484810240001</v>
      </c>
      <c r="I122" cm="1">
        <f t="array" ref="I122">_xlfn.IFS(Table14[[#This Row],[Column4]]="NEW",_xlfn.XLOOKUP(Table14[[#This Row],[Year]],$M$2:$M$27,$O$2:$O$27),ISNUMBER(Table14[[#This Row],[Column4]]),Table14[[#This Row],[Column4]],Table14[[#This Row],[Column4]]="",I121*(1+Table14[[#This Row],[Ávöxtun]]))</f>
        <v>121.01484810240001</v>
      </c>
      <c r="L122" s="33">
        <v>121.01484810240001</v>
      </c>
    </row>
    <row r="123" spans="1:12">
      <c r="A123" t="s">
        <v>67</v>
      </c>
      <c r="B123">
        <v>2005</v>
      </c>
      <c r="C123" s="16">
        <v>0.08</v>
      </c>
      <c r="D123" s="1">
        <v>683879</v>
      </c>
      <c r="E123" s="29">
        <f>Table14[[#This Row],[Ávöxtun]]*Table14[[#This Row],[Eignir]]/SUMIFS(Table14[Eignir],Table14[Year],Table14[[#This Row],[Year]])</f>
        <v>4.8790224389673867E-5</v>
      </c>
      <c r="F123" s="23">
        <f>IF(B123=1997, 100, IF(COUNTIF(A$1:A122,A123)=0, "NEW", F122*(1+Table14[[#This Row],[Ávöxtun]])))</f>
        <v>130.69603595059201</v>
      </c>
      <c r="G123" s="18" cm="1">
        <f t="array" ref="G123">IFERROR(_xlfn.IFS(ISNUMBER(Table14[[#This Row],[Column3]]),Table14[[#This Row],[Column3]],Table14[[#This Row],[Column3]]="NEW",Table14[[#This Row],[Column3]]),"")</f>
        <v>130.69603595059201</v>
      </c>
      <c r="H123" s="15" cm="1">
        <f t="array" ref="H123">_xlfn.IFS(Table14[[#This Row],[Column4]]="NEW",AVERAGEIFS(Table14[Column4],Table14[Year],Table14[[#This Row],[Year]]),ISNUMBER(Table14[[#This Row],[Column4]]),Table14[[#This Row],[Column4]],Table14[[#This Row],[Column4]]="",H122*(1+Table14[[#This Row],[Ávöxtun]]))</f>
        <v>130.69603595059201</v>
      </c>
      <c r="I123" cm="1">
        <f t="array" ref="I123">_xlfn.IFS(Table14[[#This Row],[Column4]]="NEW",_xlfn.XLOOKUP(Table14[[#This Row],[Year]],$M$2:$M$27,$O$2:$O$27),ISNUMBER(Table14[[#This Row],[Column4]]),Table14[[#This Row],[Column4]],Table14[[#This Row],[Column4]]="",I122*(1+Table14[[#This Row],[Ávöxtun]]))</f>
        <v>130.69603595059201</v>
      </c>
      <c r="L123" s="33">
        <v>130.69603595059201</v>
      </c>
    </row>
    <row r="124" spans="1:12">
      <c r="A124" t="s">
        <v>67</v>
      </c>
      <c r="B124">
        <v>2006</v>
      </c>
      <c r="C124" s="16">
        <v>9.69E-2</v>
      </c>
      <c r="D124" s="1">
        <v>803064</v>
      </c>
      <c r="E124" s="29">
        <f>Table14[[#This Row],[Ávöxtun]]*Table14[[#This Row],[Eignir]]/SUMIFS(Table14[Eignir],Table14[Year],Table14[[#This Row],[Year]])</f>
        <v>5.6689941405239766E-5</v>
      </c>
      <c r="F124" s="23">
        <f>IF(B124=1997, 100, IF(COUNTIF(A$1:A123,A124)=0, "NEW", F123*(1+Table14[[#This Row],[Ávöxtun]])))</f>
        <v>143.36048183420436</v>
      </c>
      <c r="G124" s="18" cm="1">
        <f t="array" ref="G124">IFERROR(_xlfn.IFS(ISNUMBER(Table14[[#This Row],[Column3]]),Table14[[#This Row],[Column3]],Table14[[#This Row],[Column3]]="NEW",Table14[[#This Row],[Column3]]),"")</f>
        <v>143.36048183420436</v>
      </c>
      <c r="H124" s="15" cm="1">
        <f t="array" ref="H124">_xlfn.IFS(Table14[[#This Row],[Column4]]="NEW",AVERAGEIFS(Table14[Column4],Table14[Year],Table14[[#This Row],[Year]]),ISNUMBER(Table14[[#This Row],[Column4]]),Table14[[#This Row],[Column4]],Table14[[#This Row],[Column4]]="",H123*(1+Table14[[#This Row],[Ávöxtun]]))</f>
        <v>143.36048183420436</v>
      </c>
      <c r="I124" cm="1">
        <f t="array" ref="I124">_xlfn.IFS(Table14[[#This Row],[Column4]]="NEW",_xlfn.XLOOKUP(Table14[[#This Row],[Year]],$M$2:$M$27,$O$2:$O$27),ISNUMBER(Table14[[#This Row],[Column4]]),Table14[[#This Row],[Column4]],Table14[[#This Row],[Column4]]="",I123*(1+Table14[[#This Row],[Ávöxtun]]))</f>
        <v>143.36048183420436</v>
      </c>
      <c r="L124" s="33">
        <v>143.36048183420436</v>
      </c>
    </row>
    <row r="125" spans="1:12">
      <c r="A125" t="s">
        <v>67</v>
      </c>
      <c r="B125">
        <v>2007</v>
      </c>
      <c r="C125" s="16">
        <v>5.9299999999999999E-2</v>
      </c>
      <c r="D125" s="1">
        <v>2238036</v>
      </c>
      <c r="E125" s="29">
        <f>Table14[[#This Row],[Ávöxtun]]*Table14[[#This Row],[Eignir]]/SUMIFS(Table14[Eignir],Table14[Year],Table14[[#This Row],[Year]])</f>
        <v>8.5821810636348592E-5</v>
      </c>
      <c r="F125" s="23">
        <f>IF(B125=1997, 100, IF(COUNTIF(A$1:A124,A125)=0, "NEW", F124*(1+Table14[[#This Row],[Ávöxtun]])))</f>
        <v>151.86175840697268</v>
      </c>
      <c r="G125" s="18" cm="1">
        <f t="array" ref="G125">IFERROR(_xlfn.IFS(ISNUMBER(Table14[[#This Row],[Column3]]),Table14[[#This Row],[Column3]],Table14[[#This Row],[Column3]]="NEW",Table14[[#This Row],[Column3]]),"")</f>
        <v>151.86175840697268</v>
      </c>
      <c r="H125" s="15" cm="1">
        <f t="array" ref="H125">_xlfn.IFS(Table14[[#This Row],[Column4]]="NEW",AVERAGEIFS(Table14[Column4],Table14[Year],Table14[[#This Row],[Year]]),ISNUMBER(Table14[[#This Row],[Column4]]),Table14[[#This Row],[Column4]],Table14[[#This Row],[Column4]]="",H124*(1+Table14[[#This Row],[Ávöxtun]]))</f>
        <v>151.86175840697268</v>
      </c>
      <c r="I125" cm="1">
        <f t="array" ref="I125">_xlfn.IFS(Table14[[#This Row],[Column4]]="NEW",_xlfn.XLOOKUP(Table14[[#This Row],[Year]],$M$2:$M$27,$O$2:$O$27),ISNUMBER(Table14[[#This Row],[Column4]]),Table14[[#This Row],[Column4]],Table14[[#This Row],[Column4]]="",I124*(1+Table14[[#This Row],[Ávöxtun]]))</f>
        <v>151.86175840697268</v>
      </c>
      <c r="L125" s="33">
        <v>151.86175840697268</v>
      </c>
    </row>
    <row r="126" spans="1:12">
      <c r="A126" t="s">
        <v>67</v>
      </c>
      <c r="B126">
        <v>2008</v>
      </c>
      <c r="C126" s="16">
        <v>-3.3300000000000003E-2</v>
      </c>
      <c r="D126" s="1">
        <v>2472134</v>
      </c>
      <c r="E126" s="29">
        <f>Table14[[#This Row],[Ávöxtun]]*Table14[[#This Row],[Eignir]]/SUMIFS(Table14[Eignir],Table14[Year],Table14[[#This Row],[Year]])</f>
        <v>-5.4979682063535503E-5</v>
      </c>
      <c r="F126" s="23">
        <f>IF(B126=1997, 100, IF(COUNTIF(A$1:A125,A126)=0, "NEW", F125*(1+Table14[[#This Row],[Ávöxtun]])))</f>
        <v>146.8047618520205</v>
      </c>
      <c r="G126" s="18" cm="1">
        <f t="array" ref="G126">IFERROR(_xlfn.IFS(ISNUMBER(Table14[[#This Row],[Column3]]),Table14[[#This Row],[Column3]],Table14[[#This Row],[Column3]]="NEW",Table14[[#This Row],[Column3]]),"")</f>
        <v>146.8047618520205</v>
      </c>
      <c r="H126" s="15" cm="1">
        <f t="array" ref="H126">_xlfn.IFS(Table14[[#This Row],[Column4]]="NEW",AVERAGEIFS(Table14[Column4],Table14[Year],Table14[[#This Row],[Year]]),ISNUMBER(Table14[[#This Row],[Column4]]),Table14[[#This Row],[Column4]],Table14[[#This Row],[Column4]]="",H125*(1+Table14[[#This Row],[Ávöxtun]]))</f>
        <v>146.8047618520205</v>
      </c>
      <c r="I126" cm="1">
        <f t="array" ref="I126">_xlfn.IFS(Table14[[#This Row],[Column4]]="NEW",_xlfn.XLOOKUP(Table14[[#This Row],[Year]],$M$2:$M$27,$O$2:$O$27),ISNUMBER(Table14[[#This Row],[Column4]]),Table14[[#This Row],[Column4]],Table14[[#This Row],[Column4]]="",I125*(1+Table14[[#This Row],[Ávöxtun]]))</f>
        <v>146.8047618520205</v>
      </c>
      <c r="L126" s="33">
        <v>146.8047618520205</v>
      </c>
    </row>
    <row r="127" spans="1:12">
      <c r="A127" t="s">
        <v>67</v>
      </c>
      <c r="B127">
        <v>2009</v>
      </c>
      <c r="C127" s="16">
        <v>2.3599999999999999E-2</v>
      </c>
      <c r="D127" s="1">
        <v>2820276</v>
      </c>
      <c r="E127" s="29">
        <f>Table14[[#This Row],[Ávöxtun]]*Table14[[#This Row],[Eignir]]/SUMIFS(Table14[Eignir],Table14[Year],Table14[[#This Row],[Year]])</f>
        <v>3.9897005952777619E-5</v>
      </c>
      <c r="F127" s="23">
        <f>IF(B127=1997, 100, IF(COUNTIF(A$1:A126,A127)=0, "NEW", F126*(1+Table14[[#This Row],[Ávöxtun]])))</f>
        <v>150.26935423172819</v>
      </c>
      <c r="G127" s="18" cm="1">
        <f t="array" ref="G127">IFERROR(_xlfn.IFS(ISNUMBER(Table14[[#This Row],[Column3]]),Table14[[#This Row],[Column3]],Table14[[#This Row],[Column3]]="NEW",Table14[[#This Row],[Column3]]),"")</f>
        <v>150.26935423172819</v>
      </c>
      <c r="H127" s="15" cm="1">
        <f t="array" ref="H127">_xlfn.IFS(Table14[[#This Row],[Column4]]="NEW",AVERAGEIFS(Table14[Column4],Table14[Year],Table14[[#This Row],[Year]]),ISNUMBER(Table14[[#This Row],[Column4]]),Table14[[#This Row],[Column4]],Table14[[#This Row],[Column4]]="",H126*(1+Table14[[#This Row],[Ávöxtun]]))</f>
        <v>150.26935423172819</v>
      </c>
      <c r="I127" cm="1">
        <f t="array" ref="I127">_xlfn.IFS(Table14[[#This Row],[Column4]]="NEW",_xlfn.XLOOKUP(Table14[[#This Row],[Year]],$M$2:$M$27,$O$2:$O$27),ISNUMBER(Table14[[#This Row],[Column4]]),Table14[[#This Row],[Column4]],Table14[[#This Row],[Column4]]="",I126*(1+Table14[[#This Row],[Ávöxtun]]))</f>
        <v>150.26935423172819</v>
      </c>
      <c r="L127" s="33">
        <v>150.26935423172819</v>
      </c>
    </row>
    <row r="128" spans="1:12">
      <c r="A128" t="s">
        <v>67</v>
      </c>
      <c r="B128">
        <v>2010</v>
      </c>
      <c r="C128" s="16">
        <v>3.3000000000000002E-2</v>
      </c>
      <c r="D128" s="1">
        <v>2910176</v>
      </c>
      <c r="E128" s="29">
        <f>Table14[[#This Row],[Ávöxtun]]*Table14[[#This Row],[Eignir]]/SUMIFS(Table14[Eignir],Table14[Year],Table14[[#This Row],[Year]])</f>
        <v>5.3717714520528513E-5</v>
      </c>
      <c r="F128" s="23">
        <f>IF(B128=1997, 100, IF(COUNTIF(A$1:A127,A128)=0, "NEW", F127*(1+Table14[[#This Row],[Ávöxtun]])))</f>
        <v>155.2282429213752</v>
      </c>
      <c r="G128" s="18" cm="1">
        <f t="array" ref="G128">IFERROR(_xlfn.IFS(ISNUMBER(Table14[[#This Row],[Column3]]),Table14[[#This Row],[Column3]],Table14[[#This Row],[Column3]]="NEW",Table14[[#This Row],[Column3]]),"")</f>
        <v>155.2282429213752</v>
      </c>
      <c r="H128" s="15" cm="1">
        <f t="array" ref="H128">_xlfn.IFS(Table14[[#This Row],[Column4]]="NEW",AVERAGEIFS(Table14[Column4],Table14[Year],Table14[[#This Row],[Year]]),ISNUMBER(Table14[[#This Row],[Column4]]),Table14[[#This Row],[Column4]],Table14[[#This Row],[Column4]]="",H127*(1+Table14[[#This Row],[Ávöxtun]]))</f>
        <v>155.2282429213752</v>
      </c>
      <c r="I128" cm="1">
        <f t="array" ref="I128">_xlfn.IFS(Table14[[#This Row],[Column4]]="NEW",_xlfn.XLOOKUP(Table14[[#This Row],[Year]],$M$2:$M$27,$O$2:$O$27),ISNUMBER(Table14[[#This Row],[Column4]]),Table14[[#This Row],[Column4]],Table14[[#This Row],[Column4]]="",I127*(1+Table14[[#This Row],[Ávöxtun]]))</f>
        <v>155.2282429213752</v>
      </c>
      <c r="L128" s="33">
        <v>155.2282429213752</v>
      </c>
    </row>
    <row r="129" spans="1:12">
      <c r="A129" t="s">
        <v>67</v>
      </c>
      <c r="B129">
        <v>2011</v>
      </c>
      <c r="C129" s="16">
        <v>4.2000000000000003E-2</v>
      </c>
      <c r="D129" s="1">
        <v>3095568</v>
      </c>
      <c r="E129" s="29">
        <f>Table14[[#This Row],[Ávöxtun]]*Table14[[#This Row],[Eignir]]/SUMIFS(Table14[Eignir],Table14[Year],Table14[[#This Row],[Year]])</f>
        <v>6.6654670173040952E-5</v>
      </c>
      <c r="F129" s="23">
        <f>IF(B129=1997, 100, IF(COUNTIF(A$1:A128,A129)=0, "NEW", F128*(1+Table14[[#This Row],[Ávöxtun]])))</f>
        <v>161.74782912407295</v>
      </c>
      <c r="G129" s="18" cm="1">
        <f t="array" ref="G129">IFERROR(_xlfn.IFS(ISNUMBER(Table14[[#This Row],[Column3]]),Table14[[#This Row],[Column3]],Table14[[#This Row],[Column3]]="NEW",Table14[[#This Row],[Column3]]),"")</f>
        <v>161.74782912407295</v>
      </c>
      <c r="H129" s="15" cm="1">
        <f t="array" ref="H129">_xlfn.IFS(Table14[[#This Row],[Column4]]="NEW",AVERAGEIFS(Table14[Column4],Table14[Year],Table14[[#This Row],[Year]]),ISNUMBER(Table14[[#This Row],[Column4]]),Table14[[#This Row],[Column4]],Table14[[#This Row],[Column4]]="",H128*(1+Table14[[#This Row],[Ávöxtun]]))</f>
        <v>161.74782912407295</v>
      </c>
      <c r="I129" cm="1">
        <f t="array" ref="I129">_xlfn.IFS(Table14[[#This Row],[Column4]]="NEW",_xlfn.XLOOKUP(Table14[[#This Row],[Year]],$M$2:$M$27,$O$2:$O$27),ISNUMBER(Table14[[#This Row],[Column4]]),Table14[[#This Row],[Column4]],Table14[[#This Row],[Column4]]="",I128*(1+Table14[[#This Row],[Ávöxtun]]))</f>
        <v>161.74782912407295</v>
      </c>
      <c r="L129" s="33">
        <v>161.74782912407295</v>
      </c>
    </row>
    <row r="130" spans="1:12">
      <c r="A130" t="s">
        <v>67</v>
      </c>
      <c r="B130">
        <v>2012</v>
      </c>
      <c r="C130" s="16">
        <v>6.5000000000000002E-2</v>
      </c>
      <c r="D130" s="1">
        <v>3321777</v>
      </c>
      <c r="E130" s="29">
        <f>Table14[[#This Row],[Ávöxtun]]*Table14[[#This Row],[Eignir]]/SUMIFS(Table14[Eignir],Table14[Year],Table14[[#This Row],[Year]])</f>
        <v>9.8016746772201319E-5</v>
      </c>
      <c r="F130" s="23">
        <f>IF(B130=1997, 100, IF(COUNTIF(A$1:A129,A130)=0, "NEW", F129*(1+Table14[[#This Row],[Ávöxtun]])))</f>
        <v>172.26143801713769</v>
      </c>
      <c r="G130" s="18" cm="1">
        <f t="array" ref="G130">IFERROR(_xlfn.IFS(ISNUMBER(Table14[[#This Row],[Column3]]),Table14[[#This Row],[Column3]],Table14[[#This Row],[Column3]]="NEW",Table14[[#This Row],[Column3]]),"")</f>
        <v>172.26143801713769</v>
      </c>
      <c r="H130" s="15" cm="1">
        <f t="array" ref="H130">_xlfn.IFS(Table14[[#This Row],[Column4]]="NEW",AVERAGEIFS(Table14[Column4],Table14[Year],Table14[[#This Row],[Year]]),ISNUMBER(Table14[[#This Row],[Column4]]),Table14[[#This Row],[Column4]],Table14[[#This Row],[Column4]]="",H129*(1+Table14[[#This Row],[Ávöxtun]]))</f>
        <v>172.26143801713769</v>
      </c>
      <c r="I130" cm="1">
        <f t="array" ref="I130">_xlfn.IFS(Table14[[#This Row],[Column4]]="NEW",_xlfn.XLOOKUP(Table14[[#This Row],[Year]],$M$2:$M$27,$O$2:$O$27),ISNUMBER(Table14[[#This Row],[Column4]]),Table14[[#This Row],[Column4]],Table14[[#This Row],[Column4]]="",I129*(1+Table14[[#This Row],[Ávöxtun]]))</f>
        <v>172.26143801713769</v>
      </c>
      <c r="L130" s="33">
        <v>172.26143801713769</v>
      </c>
    </row>
    <row r="131" spans="1:12">
      <c r="A131" t="s">
        <v>67</v>
      </c>
      <c r="B131">
        <v>2013</v>
      </c>
      <c r="C131" s="16">
        <v>7.2000000000000008E-2</v>
      </c>
      <c r="D131" s="1">
        <v>3569359</v>
      </c>
      <c r="E131" s="29">
        <f>Table14[[#This Row],[Ávöxtun]]*Table14[[#This Row],[Eignir]]/SUMIFS(Table14[Eignir],Table14[Year],Table14[[#This Row],[Year]])</f>
        <v>1.0560322546302547E-4</v>
      </c>
      <c r="F131" s="23">
        <f>IF(B131=1997, 100, IF(COUNTIF(A$1:A130,A131)=0, "NEW", F130*(1+Table14[[#This Row],[Ávöxtun]])))</f>
        <v>184.66426155437162</v>
      </c>
      <c r="G131" s="18" cm="1">
        <f t="array" ref="G131">IFERROR(_xlfn.IFS(ISNUMBER(Table14[[#This Row],[Column3]]),Table14[[#This Row],[Column3]],Table14[[#This Row],[Column3]]="NEW",Table14[[#This Row],[Column3]]),"")</f>
        <v>184.66426155437162</v>
      </c>
      <c r="H131" s="15" cm="1">
        <f t="array" ref="H131">_xlfn.IFS(Table14[[#This Row],[Column4]]="NEW",AVERAGEIFS(Table14[Column4],Table14[Year],Table14[[#This Row],[Year]]),ISNUMBER(Table14[[#This Row],[Column4]]),Table14[[#This Row],[Column4]],Table14[[#This Row],[Column4]]="",H130*(1+Table14[[#This Row],[Ávöxtun]]))</f>
        <v>184.66426155437162</v>
      </c>
      <c r="I131" cm="1">
        <f t="array" ref="I131">_xlfn.IFS(Table14[[#This Row],[Column4]]="NEW",_xlfn.XLOOKUP(Table14[[#This Row],[Year]],$M$2:$M$27,$O$2:$O$27),ISNUMBER(Table14[[#This Row],[Column4]]),Table14[[#This Row],[Column4]],Table14[[#This Row],[Column4]]="",I130*(1+Table14[[#This Row],[Ávöxtun]]))</f>
        <v>184.66426155437162</v>
      </c>
      <c r="L131" s="33">
        <v>184.66426155437162</v>
      </c>
    </row>
    <row r="132" spans="1:12">
      <c r="A132" t="s">
        <v>67</v>
      </c>
      <c r="B132">
        <v>2014</v>
      </c>
      <c r="C132" s="16">
        <v>5.4000000000000006E-2</v>
      </c>
      <c r="D132" s="1">
        <v>3676993</v>
      </c>
      <c r="E132" s="29">
        <f>Table14[[#This Row],[Ávöxtun]]*Table14[[#This Row],[Eignir]]/SUMIFS(Table14[Eignir],Table14[Year],Table14[[#This Row],[Year]])</f>
        <v>7.4842155980046505E-5</v>
      </c>
      <c r="F132" s="23">
        <f>IF(B132=1997, 100, IF(COUNTIF(A$1:A131,A132)=0, "NEW", F131*(1+Table14[[#This Row],[Ávöxtun]])))</f>
        <v>194.63613167830769</v>
      </c>
      <c r="G132" s="18" cm="1">
        <f t="array" ref="G132">IFERROR(_xlfn.IFS(ISNUMBER(Table14[[#This Row],[Column3]]),Table14[[#This Row],[Column3]],Table14[[#This Row],[Column3]]="NEW",Table14[[#This Row],[Column3]]),"")</f>
        <v>194.63613167830769</v>
      </c>
      <c r="H132" s="15" cm="1">
        <f t="array" ref="H132">_xlfn.IFS(Table14[[#This Row],[Column4]]="NEW",AVERAGEIFS(Table14[Column4],Table14[Year],Table14[[#This Row],[Year]]),ISNUMBER(Table14[[#This Row],[Column4]]),Table14[[#This Row],[Column4]],Table14[[#This Row],[Column4]]="",H131*(1+Table14[[#This Row],[Ávöxtun]]))</f>
        <v>194.63613167830769</v>
      </c>
      <c r="I132" cm="1">
        <f t="array" ref="I132">_xlfn.IFS(Table14[[#This Row],[Column4]]="NEW",_xlfn.XLOOKUP(Table14[[#This Row],[Year]],$M$2:$M$27,$O$2:$O$27),ISNUMBER(Table14[[#This Row],[Column4]]),Table14[[#This Row],[Column4]],Table14[[#This Row],[Column4]]="",I131*(1+Table14[[#This Row],[Ávöxtun]]))</f>
        <v>194.63613167830769</v>
      </c>
      <c r="L132" s="33">
        <v>194.63613167830769</v>
      </c>
    </row>
    <row r="133" spans="1:12">
      <c r="A133" t="s">
        <v>67</v>
      </c>
      <c r="B133">
        <v>2015</v>
      </c>
      <c r="C133" s="16">
        <v>9.9000000000000005E-2</v>
      </c>
      <c r="D133" s="1">
        <v>3954387</v>
      </c>
      <c r="E133" s="29">
        <f>Table14[[#This Row],[Ávöxtun]]*Table14[[#This Row],[Eignir]]/SUMIFS(Table14[Eignir],Table14[Year],Table14[[#This Row],[Year]])</f>
        <v>1.3219666068873038E-4</v>
      </c>
      <c r="F133" s="23">
        <f>IF(B133=1997, 100, IF(COUNTIF(A$1:A132,A133)=0, "NEW", F132*(1+Table14[[#This Row],[Ávöxtun]])))</f>
        <v>213.90510871446014</v>
      </c>
      <c r="G133" s="18" cm="1">
        <f t="array" ref="G133">IFERROR(_xlfn.IFS(ISNUMBER(Table14[[#This Row],[Column3]]),Table14[[#This Row],[Column3]],Table14[[#This Row],[Column3]]="NEW",Table14[[#This Row],[Column3]]),"")</f>
        <v>213.90510871446014</v>
      </c>
      <c r="H133" s="15" cm="1">
        <f t="array" ref="H133">_xlfn.IFS(Table14[[#This Row],[Column4]]="NEW",AVERAGEIFS(Table14[Column4],Table14[Year],Table14[[#This Row],[Year]]),ISNUMBER(Table14[[#This Row],[Column4]]),Table14[[#This Row],[Column4]],Table14[[#This Row],[Column4]]="",H132*(1+Table14[[#This Row],[Ávöxtun]]))</f>
        <v>213.90510871446014</v>
      </c>
      <c r="I133" cm="1">
        <f t="array" ref="I133">_xlfn.IFS(Table14[[#This Row],[Column4]]="NEW",_xlfn.XLOOKUP(Table14[[#This Row],[Year]],$M$2:$M$27,$O$2:$O$27),ISNUMBER(Table14[[#This Row],[Column4]]),Table14[[#This Row],[Column4]],Table14[[#This Row],[Column4]]="",I132*(1+Table14[[#This Row],[Ávöxtun]]))</f>
        <v>213.90510871446014</v>
      </c>
      <c r="L133" s="33">
        <v>213.90510871446014</v>
      </c>
    </row>
    <row r="134" spans="1:12">
      <c r="A134" t="s">
        <v>67</v>
      </c>
      <c r="B134">
        <v>2016</v>
      </c>
      <c r="C134" s="16">
        <v>-1.4999999999999999E-2</v>
      </c>
      <c r="D134" s="1">
        <v>4026601.54</v>
      </c>
      <c r="E134" s="29">
        <f>Table14[[#This Row],[Ávöxtun]]*Table14[[#This Row],[Eignir]]/SUMIFS(Table14[Eignir],Table14[Year],Table14[[#This Row],[Year]])</f>
        <v>-1.8874419519155535E-5</v>
      </c>
      <c r="F134" s="23">
        <f>IF(B134=1997, 100, IF(COUNTIF(A$1:A133,A134)=0, "NEW", F133*(1+Table14[[#This Row],[Ávöxtun]])))</f>
        <v>210.69653208374325</v>
      </c>
      <c r="G134" s="18" cm="1">
        <f t="array" ref="G134">IFERROR(_xlfn.IFS(ISNUMBER(Table14[[#This Row],[Column3]]),Table14[[#This Row],[Column3]],Table14[[#This Row],[Column3]]="NEW",Table14[[#This Row],[Column3]]),"")</f>
        <v>210.69653208374325</v>
      </c>
      <c r="H134" s="15" cm="1">
        <f t="array" ref="H134">_xlfn.IFS(Table14[[#This Row],[Column4]]="NEW",AVERAGEIFS(Table14[Column4],Table14[Year],Table14[[#This Row],[Year]]),ISNUMBER(Table14[[#This Row],[Column4]]),Table14[[#This Row],[Column4]],Table14[[#This Row],[Column4]]="",H133*(1+Table14[[#This Row],[Ávöxtun]]))</f>
        <v>210.69653208374325</v>
      </c>
      <c r="I134" cm="1">
        <f t="array" ref="I134">_xlfn.IFS(Table14[[#This Row],[Column4]]="NEW",_xlfn.XLOOKUP(Table14[[#This Row],[Year]],$M$2:$M$27,$O$2:$O$27),ISNUMBER(Table14[[#This Row],[Column4]]),Table14[[#This Row],[Column4]],Table14[[#This Row],[Column4]]="",I133*(1+Table14[[#This Row],[Ávöxtun]]))</f>
        <v>210.69653208374325</v>
      </c>
      <c r="L134" s="33">
        <v>210.69653208374325</v>
      </c>
    </row>
    <row r="135" spans="1:12">
      <c r="A135" t="s">
        <v>68</v>
      </c>
      <c r="B135">
        <v>1997</v>
      </c>
      <c r="C135" s="16">
        <v>7.0000000000000007E-2</v>
      </c>
      <c r="D135" s="1">
        <v>1200321.1299999999</v>
      </c>
      <c r="E135" s="29">
        <f>Table14[[#This Row],[Ávöxtun]]*Table14[[#This Row],[Eignir]]/SUMIFS(Table14[Eignir],Table14[Year],Table14[[#This Row],[Year]])</f>
        <v>2.4783539396631342E-4</v>
      </c>
      <c r="F135" s="23">
        <f>IF(B135=1997, 100, IF(COUNTIF(A$1:A134,A135)=0, "NEW", F134*(1+Table14[[#This Row],[Ávöxtun]])))</f>
        <v>100</v>
      </c>
      <c r="G135" s="18" cm="1">
        <f t="array" ref="G135">IFERROR(_xlfn.IFS(ISNUMBER(Table14[[#This Row],[Column3]]),Table14[[#This Row],[Column3]],Table14[[#This Row],[Column3]]="NEW",Table14[[#This Row],[Column3]]),"")</f>
        <v>100</v>
      </c>
      <c r="H135" s="15" cm="1">
        <f t="array" ref="H135">_xlfn.IFS(Table14[[#This Row],[Column4]]="NEW",AVERAGEIFS(Table14[Column4],Table14[Year],Table14[[#This Row],[Year]]),ISNUMBER(Table14[[#This Row],[Column4]]),Table14[[#This Row],[Column4]],Table14[[#This Row],[Column4]]="",H134*(1+Table14[[#This Row],[Ávöxtun]]))</f>
        <v>100</v>
      </c>
      <c r="I135" cm="1">
        <f t="array" ref="I135">_xlfn.IFS(Table14[[#This Row],[Column4]]="NEW",_xlfn.XLOOKUP(Table14[[#This Row],[Year]],$M$2:$M$27,$O$2:$O$27),ISNUMBER(Table14[[#This Row],[Column4]]),Table14[[#This Row],[Column4]],Table14[[#This Row],[Column4]]="",I134*(1+Table14[[#This Row],[Ávöxtun]]))</f>
        <v>100</v>
      </c>
      <c r="L135" s="33">
        <v>100</v>
      </c>
    </row>
    <row r="136" spans="1:12">
      <c r="A136" t="s">
        <v>68</v>
      </c>
      <c r="B136">
        <v>1998</v>
      </c>
      <c r="C136" s="16">
        <v>0.11</v>
      </c>
      <c r="D136" s="1">
        <v>1395118.5</v>
      </c>
      <c r="E136" s="29">
        <f>Table14[[#This Row],[Ávöxtun]]*Table14[[#This Row],[Eignir]]/SUMIFS(Table14[Eignir],Table14[Year],Table14[[#This Row],[Year]])</f>
        <v>3.9185228579005155E-4</v>
      </c>
      <c r="F136" s="23">
        <f>IF(B136=1997, 100, IF(COUNTIF(A$1:A135,A136)=0, "NEW", F135*(1+Table14[[#This Row],[Ávöxtun]])))</f>
        <v>111.00000000000001</v>
      </c>
      <c r="G136" s="18" cm="1">
        <f t="array" ref="G136">IFERROR(_xlfn.IFS(ISNUMBER(Table14[[#This Row],[Column3]]),Table14[[#This Row],[Column3]],Table14[[#This Row],[Column3]]="NEW",Table14[[#This Row],[Column3]]),"")</f>
        <v>111.00000000000001</v>
      </c>
      <c r="H136" s="15" cm="1">
        <f t="array" ref="H136">_xlfn.IFS(Table14[[#This Row],[Column4]]="NEW",AVERAGEIFS(Table14[Column4],Table14[Year],Table14[[#This Row],[Year]]),ISNUMBER(Table14[[#This Row],[Column4]]),Table14[[#This Row],[Column4]],Table14[[#This Row],[Column4]]="",H135*(1+Table14[[#This Row],[Ávöxtun]]))</f>
        <v>111.00000000000001</v>
      </c>
      <c r="I136" cm="1">
        <f t="array" ref="I136">_xlfn.IFS(Table14[[#This Row],[Column4]]="NEW",_xlfn.XLOOKUP(Table14[[#This Row],[Year]],$M$2:$M$27,$O$2:$O$27),ISNUMBER(Table14[[#This Row],[Column4]]),Table14[[#This Row],[Column4]],Table14[[#This Row],[Column4]]="",I135*(1+Table14[[#This Row],[Ávöxtun]]))</f>
        <v>111.00000000000001</v>
      </c>
      <c r="L136" s="33">
        <v>111.00000000000001</v>
      </c>
    </row>
    <row r="137" spans="1:12">
      <c r="A137" t="s">
        <v>68</v>
      </c>
      <c r="B137">
        <v>1999</v>
      </c>
      <c r="C137" s="16">
        <v>0.08</v>
      </c>
      <c r="D137" s="1">
        <v>1650594.18</v>
      </c>
      <c r="E137" s="29">
        <f>Table14[[#This Row],[Ávöxtun]]*Table14[[#This Row],[Eignir]]/SUMIFS(Table14[Eignir],Table14[Year],Table14[[#This Row],[Year]])</f>
        <v>2.5358806019475257E-4</v>
      </c>
      <c r="F137" s="23">
        <f>IF(B137=1997, 100, IF(COUNTIF(A$1:A136,A137)=0, "NEW", F136*(1+Table14[[#This Row],[Ávöxtun]])))</f>
        <v>119.88000000000002</v>
      </c>
      <c r="G137" s="18" cm="1">
        <f t="array" ref="G137">IFERROR(_xlfn.IFS(ISNUMBER(Table14[[#This Row],[Column3]]),Table14[[#This Row],[Column3]],Table14[[#This Row],[Column3]]="NEW",Table14[[#This Row],[Column3]]),"")</f>
        <v>119.88000000000002</v>
      </c>
      <c r="H137" s="15" cm="1">
        <f t="array" ref="H137">_xlfn.IFS(Table14[[#This Row],[Column4]]="NEW",AVERAGEIFS(Table14[Column4],Table14[Year],Table14[[#This Row],[Year]]),ISNUMBER(Table14[[#This Row],[Column4]]),Table14[[#This Row],[Column4]],Table14[[#This Row],[Column4]]="",H136*(1+Table14[[#This Row],[Ávöxtun]]))</f>
        <v>119.88000000000002</v>
      </c>
      <c r="I137" cm="1">
        <f t="array" ref="I137">_xlfn.IFS(Table14[[#This Row],[Column4]]="NEW",_xlfn.XLOOKUP(Table14[[#This Row],[Year]],$M$2:$M$27,$O$2:$O$27),ISNUMBER(Table14[[#This Row],[Column4]]),Table14[[#This Row],[Column4]],Table14[[#This Row],[Column4]]="",I136*(1+Table14[[#This Row],[Ávöxtun]]))</f>
        <v>119.88000000000002</v>
      </c>
      <c r="L137" s="33">
        <v>119.88000000000002</v>
      </c>
    </row>
    <row r="138" spans="1:12">
      <c r="A138" t="s">
        <v>68</v>
      </c>
      <c r="B138">
        <v>2000</v>
      </c>
      <c r="C138" s="16">
        <v>-0.06</v>
      </c>
      <c r="D138" s="1">
        <v>1697089.07</v>
      </c>
      <c r="E138" s="29">
        <f>Table14[[#This Row],[Ávöxtun]]*Table14[[#This Row],[Eignir]]/SUMIFS(Table14[Eignir],Table14[Year],Table14[[#This Row],[Year]])</f>
        <v>-1.4323648611856964E-4</v>
      </c>
      <c r="F138" s="23">
        <f>IF(B138=1997, 100, IF(COUNTIF(A$1:A137,A138)=0, "NEW", F137*(1+Table14[[#This Row],[Ávöxtun]])))</f>
        <v>112.68720000000002</v>
      </c>
      <c r="G138" s="18" cm="1">
        <f t="array" ref="G138">IFERROR(_xlfn.IFS(ISNUMBER(Table14[[#This Row],[Column3]]),Table14[[#This Row],[Column3]],Table14[[#This Row],[Column3]]="NEW",Table14[[#This Row],[Column3]]),"")</f>
        <v>112.68720000000002</v>
      </c>
      <c r="H138" s="15" cm="1">
        <f t="array" ref="H138">_xlfn.IFS(Table14[[#This Row],[Column4]]="NEW",AVERAGEIFS(Table14[Column4],Table14[Year],Table14[[#This Row],[Year]]),ISNUMBER(Table14[[#This Row],[Column4]]),Table14[[#This Row],[Column4]],Table14[[#This Row],[Column4]]="",H137*(1+Table14[[#This Row],[Ávöxtun]]))</f>
        <v>112.68720000000002</v>
      </c>
      <c r="I138" cm="1">
        <f t="array" ref="I138">_xlfn.IFS(Table14[[#This Row],[Column4]]="NEW",_xlfn.XLOOKUP(Table14[[#This Row],[Year]],$M$2:$M$27,$O$2:$O$27),ISNUMBER(Table14[[#This Row],[Column4]]),Table14[[#This Row],[Column4]],Table14[[#This Row],[Column4]]="",I137*(1+Table14[[#This Row],[Ávöxtun]]))</f>
        <v>112.68720000000002</v>
      </c>
      <c r="L138" s="33">
        <v>112.68720000000002</v>
      </c>
    </row>
    <row r="139" spans="1:12">
      <c r="A139" t="s">
        <v>68</v>
      </c>
      <c r="B139">
        <v>2001</v>
      </c>
      <c r="C139" s="16">
        <v>-7.0000000000000007E-2</v>
      </c>
      <c r="D139" s="1">
        <v>1413860.28</v>
      </c>
      <c r="E139" s="29">
        <f>Table14[[#This Row],[Ávöxtun]]*Table14[[#This Row],[Eignir]]/SUMIFS(Table14[Eignir],Table14[Year],Table14[[#This Row],[Year]])</f>
        <v>-8.5472731376596382E-5</v>
      </c>
      <c r="F139" s="23">
        <f>IF(B139=1997, 100, IF(COUNTIF(A$1:A138,A139)=0, "NEW", F138*(1+Table14[[#This Row],[Ávöxtun]])))</f>
        <v>104.79909600000001</v>
      </c>
      <c r="G139" s="18" cm="1">
        <f t="array" ref="G139">IFERROR(_xlfn.IFS(ISNUMBER(Table14[[#This Row],[Column3]]),Table14[[#This Row],[Column3]],Table14[[#This Row],[Column3]]="NEW",Table14[[#This Row],[Column3]]),"")</f>
        <v>104.79909600000001</v>
      </c>
      <c r="H139" s="15" cm="1">
        <f t="array" ref="H139">_xlfn.IFS(Table14[[#This Row],[Column4]]="NEW",AVERAGEIFS(Table14[Column4],Table14[Year],Table14[[#This Row],[Year]]),ISNUMBER(Table14[[#This Row],[Column4]]),Table14[[#This Row],[Column4]],Table14[[#This Row],[Column4]]="",H138*(1+Table14[[#This Row],[Ávöxtun]]))</f>
        <v>104.79909600000001</v>
      </c>
      <c r="I139" cm="1">
        <f t="array" ref="I139">_xlfn.IFS(Table14[[#This Row],[Column4]]="NEW",_xlfn.XLOOKUP(Table14[[#This Row],[Year]],$M$2:$M$27,$O$2:$O$27),ISNUMBER(Table14[[#This Row],[Column4]]),Table14[[#This Row],[Column4]],Table14[[#This Row],[Column4]]="",I138*(1+Table14[[#This Row],[Ávöxtun]]))</f>
        <v>104.79909600000001</v>
      </c>
      <c r="L139" s="33">
        <v>104.79909600000001</v>
      </c>
    </row>
    <row r="140" spans="1:12">
      <c r="A140" t="s">
        <v>68</v>
      </c>
      <c r="B140">
        <v>2002</v>
      </c>
      <c r="C140" s="16">
        <v>-0.03</v>
      </c>
      <c r="D140" s="1">
        <v>1346720</v>
      </c>
      <c r="E140" s="29">
        <f>Table14[[#This Row],[Ávöxtun]]*Table14[[#This Row],[Eignir]]/SUMIFS(Table14[Eignir],Table14[Year],Table14[[#This Row],[Year]])</f>
        <v>-6.3608123443888661E-5</v>
      </c>
      <c r="F140" s="23">
        <f>IF(B140=1997, 100, IF(COUNTIF(A$1:A139,A140)=0, "NEW", F139*(1+Table14[[#This Row],[Ávöxtun]])))</f>
        <v>101.65512312</v>
      </c>
      <c r="G140" s="18" cm="1">
        <f t="array" ref="G140">IFERROR(_xlfn.IFS(ISNUMBER(Table14[[#This Row],[Column3]]),Table14[[#This Row],[Column3]],Table14[[#This Row],[Column3]]="NEW",Table14[[#This Row],[Column3]]),"")</f>
        <v>101.65512312</v>
      </c>
      <c r="H140" s="15" cm="1">
        <f t="array" ref="H140">_xlfn.IFS(Table14[[#This Row],[Column4]]="NEW",AVERAGEIFS(Table14[Column4],Table14[Year],Table14[[#This Row],[Year]]),ISNUMBER(Table14[[#This Row],[Column4]]),Table14[[#This Row],[Column4]],Table14[[#This Row],[Column4]]="",H139*(1+Table14[[#This Row],[Ávöxtun]]))</f>
        <v>101.65512312</v>
      </c>
      <c r="I140" cm="1">
        <f t="array" ref="I140">_xlfn.IFS(Table14[[#This Row],[Column4]]="NEW",_xlfn.XLOOKUP(Table14[[#This Row],[Year]],$M$2:$M$27,$O$2:$O$27),ISNUMBER(Table14[[#This Row],[Column4]]),Table14[[#This Row],[Column4]],Table14[[#This Row],[Column4]]="",I139*(1+Table14[[#This Row],[Ávöxtun]]))</f>
        <v>101.65512312</v>
      </c>
      <c r="L140" s="33">
        <v>101.65512312</v>
      </c>
    </row>
    <row r="141" spans="1:12">
      <c r="A141" t="s">
        <v>68</v>
      </c>
      <c r="B141">
        <v>2003</v>
      </c>
      <c r="C141" s="16">
        <v>7.0000000000000007E-2</v>
      </c>
      <c r="D141" s="1">
        <v>1419171.14</v>
      </c>
      <c r="E141" s="29">
        <f>Table14[[#This Row],[Ávöxtun]]*Table14[[#This Row],[Eignir]]/SUMIFS(Table14[Eignir],Table14[Year],Table14[[#This Row],[Year]])</f>
        <v>1.3073181308625707E-4</v>
      </c>
      <c r="F141" s="23">
        <f>IF(B141=1997, 100, IF(COUNTIF(A$1:A140,A141)=0, "NEW", F140*(1+Table14[[#This Row],[Ávöxtun]])))</f>
        <v>108.77098173840001</v>
      </c>
      <c r="G141" s="18" cm="1">
        <f t="array" ref="G141">IFERROR(_xlfn.IFS(ISNUMBER(Table14[[#This Row],[Column3]]),Table14[[#This Row],[Column3]],Table14[[#This Row],[Column3]]="NEW",Table14[[#This Row],[Column3]]),"")</f>
        <v>108.77098173840001</v>
      </c>
      <c r="H141" s="15" cm="1">
        <f t="array" ref="H141">_xlfn.IFS(Table14[[#This Row],[Column4]]="NEW",AVERAGEIFS(Table14[Column4],Table14[Year],Table14[[#This Row],[Year]]),ISNUMBER(Table14[[#This Row],[Column4]]),Table14[[#This Row],[Column4]],Table14[[#This Row],[Column4]]="",H140*(1+Table14[[#This Row],[Ávöxtun]]))</f>
        <v>108.77098173840001</v>
      </c>
      <c r="I141" cm="1">
        <f t="array" ref="I141">_xlfn.IFS(Table14[[#This Row],[Column4]]="NEW",_xlfn.XLOOKUP(Table14[[#This Row],[Year]],$M$2:$M$27,$O$2:$O$27),ISNUMBER(Table14[[#This Row],[Column4]]),Table14[[#This Row],[Column4]],Table14[[#This Row],[Column4]]="",I140*(1+Table14[[#This Row],[Ávöxtun]]))</f>
        <v>108.77098173840001</v>
      </c>
      <c r="L141" s="33">
        <v>108.77098173840001</v>
      </c>
    </row>
    <row r="142" spans="1:12">
      <c r="A142" t="s">
        <v>69</v>
      </c>
      <c r="B142">
        <v>1997</v>
      </c>
      <c r="C142" s="16">
        <v>0.03</v>
      </c>
      <c r="D142" s="1">
        <v>181986.57</v>
      </c>
      <c r="E142" s="29">
        <f>Table14[[#This Row],[Ávöxtun]]*Table14[[#This Row],[Eignir]]/SUMIFS(Table14[Eignir],Table14[Year],Table14[[#This Row],[Year]])</f>
        <v>1.6103802371332819E-5</v>
      </c>
      <c r="F142" s="23">
        <f>IF(B142=1997, 100, IF(COUNTIF(A$1:A141,A142)=0, "NEW", F141*(1+Table14[[#This Row],[Ávöxtun]])))</f>
        <v>100</v>
      </c>
      <c r="G142" s="18" cm="1">
        <f t="array" ref="G142">IFERROR(_xlfn.IFS(ISNUMBER(Table14[[#This Row],[Column3]]),Table14[[#This Row],[Column3]],Table14[[#This Row],[Column3]]="NEW",Table14[[#This Row],[Column3]]),"")</f>
        <v>100</v>
      </c>
      <c r="H142" s="15" cm="1">
        <f t="array" ref="H142">_xlfn.IFS(Table14[[#This Row],[Column4]]="NEW",AVERAGEIFS(Table14[Column4],Table14[Year],Table14[[#This Row],[Year]]),ISNUMBER(Table14[[#This Row],[Column4]]),Table14[[#This Row],[Column4]],Table14[[#This Row],[Column4]]="",H141*(1+Table14[[#This Row],[Ávöxtun]]))</f>
        <v>100</v>
      </c>
      <c r="I142" cm="1">
        <f t="array" ref="I142">_xlfn.IFS(Table14[[#This Row],[Column4]]="NEW",_xlfn.XLOOKUP(Table14[[#This Row],[Year]],$M$2:$M$27,$O$2:$O$27),ISNUMBER(Table14[[#This Row],[Column4]]),Table14[[#This Row],[Column4]],Table14[[#This Row],[Column4]]="",I141*(1+Table14[[#This Row],[Ávöxtun]]))</f>
        <v>100</v>
      </c>
      <c r="L142" s="33">
        <v>100</v>
      </c>
    </row>
    <row r="143" spans="1:12">
      <c r="A143" t="s">
        <v>69</v>
      </c>
      <c r="B143">
        <v>1998</v>
      </c>
      <c r="C143" s="16">
        <v>0.04</v>
      </c>
      <c r="D143" s="1">
        <v>201857.63</v>
      </c>
      <c r="E143" s="29">
        <f>Table14[[#This Row],[Ávöxtun]]*Table14[[#This Row],[Eignir]]/SUMIFS(Table14[Eignir],Table14[Year],Table14[[#This Row],[Year]])</f>
        <v>2.0616918913316807E-5</v>
      </c>
      <c r="F143" s="23">
        <f>IF(B143=1997, 100, IF(COUNTIF(A$1:A142,A143)=0, "NEW", F142*(1+Table14[[#This Row],[Ávöxtun]])))</f>
        <v>104</v>
      </c>
      <c r="G143" s="18" cm="1">
        <f t="array" ref="G143">IFERROR(_xlfn.IFS(ISNUMBER(Table14[[#This Row],[Column3]]),Table14[[#This Row],[Column3]],Table14[[#This Row],[Column3]]="NEW",Table14[[#This Row],[Column3]]),"")</f>
        <v>104</v>
      </c>
      <c r="H143" s="15" cm="1">
        <f t="array" ref="H143">_xlfn.IFS(Table14[[#This Row],[Column4]]="NEW",AVERAGEIFS(Table14[Column4],Table14[Year],Table14[[#This Row],[Year]]),ISNUMBER(Table14[[#This Row],[Column4]]),Table14[[#This Row],[Column4]],Table14[[#This Row],[Column4]]="",H142*(1+Table14[[#This Row],[Ávöxtun]]))</f>
        <v>104</v>
      </c>
      <c r="I143" cm="1">
        <f t="array" ref="I143">_xlfn.IFS(Table14[[#This Row],[Column4]]="NEW",_xlfn.XLOOKUP(Table14[[#This Row],[Year]],$M$2:$M$27,$O$2:$O$27),ISNUMBER(Table14[[#This Row],[Column4]]),Table14[[#This Row],[Column4]],Table14[[#This Row],[Column4]]="",I142*(1+Table14[[#This Row],[Ávöxtun]]))</f>
        <v>104</v>
      </c>
      <c r="L143" s="33">
        <v>104</v>
      </c>
    </row>
    <row r="144" spans="1:12">
      <c r="A144" t="s">
        <v>69</v>
      </c>
      <c r="B144">
        <v>1999</v>
      </c>
      <c r="C144" s="16">
        <v>0</v>
      </c>
      <c r="D144" s="1">
        <v>134620.59</v>
      </c>
      <c r="E144" s="29">
        <f>Table14[[#This Row],[Ávöxtun]]*Table14[[#This Row],[Eignir]]/SUMIFS(Table14[Eignir],Table14[Year],Table14[[#This Row],[Year]])</f>
        <v>0</v>
      </c>
      <c r="F144" s="23">
        <f>IF(B144=1997, 100, IF(COUNTIF(A$1:A143,A144)=0, "NEW", F143*(1+Table14[[#This Row],[Ávöxtun]])))</f>
        <v>104</v>
      </c>
      <c r="G144" s="18" cm="1">
        <f t="array" ref="G144">IFERROR(_xlfn.IFS(ISNUMBER(Table14[[#This Row],[Column3]]),Table14[[#This Row],[Column3]],Table14[[#This Row],[Column3]]="NEW",Table14[[#This Row],[Column3]]),"")</f>
        <v>104</v>
      </c>
      <c r="H144" s="15" cm="1">
        <f t="array" ref="H144">_xlfn.IFS(Table14[[#This Row],[Column4]]="NEW",AVERAGEIFS(Table14[Column4],Table14[Year],Table14[[#This Row],[Year]]),ISNUMBER(Table14[[#This Row],[Column4]]),Table14[[#This Row],[Column4]],Table14[[#This Row],[Column4]]="",H143*(1+Table14[[#This Row],[Ávöxtun]]))</f>
        <v>104</v>
      </c>
      <c r="I144" cm="1">
        <f t="array" ref="I144">_xlfn.IFS(Table14[[#This Row],[Column4]]="NEW",_xlfn.XLOOKUP(Table14[[#This Row],[Year]],$M$2:$M$27,$O$2:$O$27),ISNUMBER(Table14[[#This Row],[Column4]]),Table14[[#This Row],[Column4]],Table14[[#This Row],[Column4]]="",I143*(1+Table14[[#This Row],[Ávöxtun]]))</f>
        <v>104</v>
      </c>
      <c r="L144" s="33">
        <v>104</v>
      </c>
    </row>
    <row r="145" spans="1:12">
      <c r="A145" t="s">
        <v>69</v>
      </c>
      <c r="B145">
        <v>2000</v>
      </c>
      <c r="C145" s="16">
        <v>0.02</v>
      </c>
      <c r="D145" s="1">
        <v>109293.44</v>
      </c>
      <c r="E145" s="29">
        <f>Table14[[#This Row],[Ávöxtun]]*Table14[[#This Row],[Eignir]]/SUMIFS(Table14[Eignir],Table14[Year],Table14[[#This Row],[Year]])</f>
        <v>3.0748353318919055E-6</v>
      </c>
      <c r="F145" s="23">
        <f>IF(B145=1997, 100, IF(COUNTIF(A$1:A144,A145)=0, "NEW", F144*(1+Table14[[#This Row],[Ávöxtun]])))</f>
        <v>106.08</v>
      </c>
      <c r="G145" s="18" cm="1">
        <f t="array" ref="G145">IFERROR(_xlfn.IFS(ISNUMBER(Table14[[#This Row],[Column3]]),Table14[[#This Row],[Column3]],Table14[[#This Row],[Column3]]="NEW",Table14[[#This Row],[Column3]]),"")</f>
        <v>106.08</v>
      </c>
      <c r="H145" s="15" cm="1">
        <f t="array" ref="H145">_xlfn.IFS(Table14[[#This Row],[Column4]]="NEW",AVERAGEIFS(Table14[Column4],Table14[Year],Table14[[#This Row],[Year]]),ISNUMBER(Table14[[#This Row],[Column4]]),Table14[[#This Row],[Column4]],Table14[[#This Row],[Column4]]="",H144*(1+Table14[[#This Row],[Ávöxtun]]))</f>
        <v>106.08</v>
      </c>
      <c r="I145" cm="1">
        <f t="array" ref="I145">_xlfn.IFS(Table14[[#This Row],[Column4]]="NEW",_xlfn.XLOOKUP(Table14[[#This Row],[Year]],$M$2:$M$27,$O$2:$O$27),ISNUMBER(Table14[[#This Row],[Column4]]),Table14[[#This Row],[Column4]],Table14[[#This Row],[Column4]]="",I144*(1+Table14[[#This Row],[Ávöxtun]]))</f>
        <v>106.08</v>
      </c>
      <c r="L145" s="33">
        <v>106.08</v>
      </c>
    </row>
    <row r="146" spans="1:12">
      <c r="A146" t="s">
        <v>69</v>
      </c>
      <c r="B146">
        <v>2001</v>
      </c>
      <c r="C146" s="16">
        <v>0</v>
      </c>
      <c r="D146" s="1">
        <v>103756</v>
      </c>
      <c r="E146" s="29">
        <f>Table14[[#This Row],[Ávöxtun]]*Table14[[#This Row],[Eignir]]/SUMIFS(Table14[Eignir],Table14[Year],Table14[[#This Row],[Year]])</f>
        <v>0</v>
      </c>
      <c r="F146" s="23">
        <f>IF(B146=1997, 100, IF(COUNTIF(A$1:A145,A146)=0, "NEW", F145*(1+Table14[[#This Row],[Ávöxtun]])))</f>
        <v>106.08</v>
      </c>
      <c r="G146" s="18" cm="1">
        <f t="array" ref="G146">IFERROR(_xlfn.IFS(ISNUMBER(Table14[[#This Row],[Column3]]),Table14[[#This Row],[Column3]],Table14[[#This Row],[Column3]]="NEW",Table14[[#This Row],[Column3]]),"")</f>
        <v>106.08</v>
      </c>
      <c r="H146" s="15" cm="1">
        <f t="array" ref="H146">_xlfn.IFS(Table14[[#This Row],[Column4]]="NEW",AVERAGEIFS(Table14[Column4],Table14[Year],Table14[[#This Row],[Year]]),ISNUMBER(Table14[[#This Row],[Column4]]),Table14[[#This Row],[Column4]],Table14[[#This Row],[Column4]]="",H145*(1+Table14[[#This Row],[Ávöxtun]]))</f>
        <v>106.08</v>
      </c>
      <c r="I146" cm="1">
        <f t="array" ref="I146">_xlfn.IFS(Table14[[#This Row],[Column4]]="NEW",_xlfn.XLOOKUP(Table14[[#This Row],[Year]],$M$2:$M$27,$O$2:$O$27),ISNUMBER(Table14[[#This Row],[Column4]]),Table14[[#This Row],[Column4]],Table14[[#This Row],[Column4]]="",I145*(1+Table14[[#This Row],[Ávöxtun]]))</f>
        <v>106.08</v>
      </c>
      <c r="L146" s="33">
        <v>106.08</v>
      </c>
    </row>
    <row r="147" spans="1:12">
      <c r="A147" t="s">
        <v>69</v>
      </c>
      <c r="B147">
        <v>2002</v>
      </c>
      <c r="C147" s="16">
        <v>0.02</v>
      </c>
      <c r="D147" s="1">
        <v>104163.4</v>
      </c>
      <c r="E147" s="29">
        <f>Table14[[#This Row],[Ávöxtun]]*Table14[[#This Row],[Eignir]]/SUMIFS(Table14[Eignir],Table14[Year],Table14[[#This Row],[Year]])</f>
        <v>3.2798891160425097E-6</v>
      </c>
      <c r="F147" s="23">
        <f>IF(B147=1997, 100, IF(COUNTIF(A$1:A146,A147)=0, "NEW", F146*(1+Table14[[#This Row],[Ávöxtun]])))</f>
        <v>108.2016</v>
      </c>
      <c r="G147" s="18" cm="1">
        <f t="array" ref="G147">IFERROR(_xlfn.IFS(ISNUMBER(Table14[[#This Row],[Column3]]),Table14[[#This Row],[Column3]],Table14[[#This Row],[Column3]]="NEW",Table14[[#This Row],[Column3]]),"")</f>
        <v>108.2016</v>
      </c>
      <c r="H147" s="15" cm="1">
        <f t="array" ref="H147">_xlfn.IFS(Table14[[#This Row],[Column4]]="NEW",AVERAGEIFS(Table14[Column4],Table14[Year],Table14[[#This Row],[Year]]),ISNUMBER(Table14[[#This Row],[Column4]]),Table14[[#This Row],[Column4]],Table14[[#This Row],[Column4]]="",H146*(1+Table14[[#This Row],[Ávöxtun]]))</f>
        <v>108.2016</v>
      </c>
      <c r="I147" cm="1">
        <f t="array" ref="I147">_xlfn.IFS(Table14[[#This Row],[Column4]]="NEW",_xlfn.XLOOKUP(Table14[[#This Row],[Year]],$M$2:$M$27,$O$2:$O$27),ISNUMBER(Table14[[#This Row],[Column4]]),Table14[[#This Row],[Column4]],Table14[[#This Row],[Column4]]="",I146*(1+Table14[[#This Row],[Ávöxtun]]))</f>
        <v>108.2016</v>
      </c>
      <c r="L147" s="33">
        <v>108.2016</v>
      </c>
    </row>
    <row r="148" spans="1:12">
      <c r="A148" t="s">
        <v>69</v>
      </c>
      <c r="B148">
        <v>2003</v>
      </c>
      <c r="C148" s="16">
        <v>0.01</v>
      </c>
      <c r="D148" s="1">
        <v>97770</v>
      </c>
      <c r="E148" s="29">
        <f>Table14[[#This Row],[Ávöxtun]]*Table14[[#This Row],[Eignir]]/SUMIFS(Table14[Eignir],Table14[Year],Table14[[#This Row],[Year]])</f>
        <v>1.2866312299368282E-6</v>
      </c>
      <c r="F148" s="23">
        <f>IF(B148=1997, 100, IF(COUNTIF(A$1:A147,A148)=0, "NEW", F147*(1+Table14[[#This Row],[Ávöxtun]])))</f>
        <v>109.28361599999999</v>
      </c>
      <c r="G148" s="18" cm="1">
        <f t="array" ref="G148">IFERROR(_xlfn.IFS(ISNUMBER(Table14[[#This Row],[Column3]]),Table14[[#This Row],[Column3]],Table14[[#This Row],[Column3]]="NEW",Table14[[#This Row],[Column3]]),"")</f>
        <v>109.28361599999999</v>
      </c>
      <c r="H148" s="15" cm="1">
        <f t="array" ref="H148">_xlfn.IFS(Table14[[#This Row],[Column4]]="NEW",AVERAGEIFS(Table14[Column4],Table14[Year],Table14[[#This Row],[Year]]),ISNUMBER(Table14[[#This Row],[Column4]]),Table14[[#This Row],[Column4]],Table14[[#This Row],[Column4]]="",H147*(1+Table14[[#This Row],[Ávöxtun]]))</f>
        <v>109.28361599999999</v>
      </c>
      <c r="I148" cm="1">
        <f t="array" ref="I148">_xlfn.IFS(Table14[[#This Row],[Column4]]="NEW",_xlfn.XLOOKUP(Table14[[#This Row],[Year]],$M$2:$M$27,$O$2:$O$27),ISNUMBER(Table14[[#This Row],[Column4]]),Table14[[#This Row],[Column4]],Table14[[#This Row],[Column4]]="",I147*(1+Table14[[#This Row],[Ávöxtun]]))</f>
        <v>109.28361599999999</v>
      </c>
      <c r="L148" s="33">
        <v>109.28361599999999</v>
      </c>
    </row>
    <row r="149" spans="1:12">
      <c r="A149" t="s">
        <v>69</v>
      </c>
      <c r="B149">
        <v>2004</v>
      </c>
      <c r="C149" s="16">
        <v>0.01</v>
      </c>
      <c r="D149" s="1">
        <v>90196</v>
      </c>
      <c r="E149" s="29">
        <f>Table14[[#This Row],[Ávöxtun]]*Table14[[#This Row],[Eignir]]/SUMIFS(Table14[Eignir],Table14[Year],Table14[[#This Row],[Year]])</f>
        <v>9.9370870206599543E-7</v>
      </c>
      <c r="F149" s="23">
        <f>IF(B149=1997, 100, IF(COUNTIF(A$1:A148,A149)=0, "NEW", F148*(1+Table14[[#This Row],[Ávöxtun]])))</f>
        <v>110.37645216</v>
      </c>
      <c r="G149" s="18" cm="1">
        <f t="array" ref="G149">IFERROR(_xlfn.IFS(ISNUMBER(Table14[[#This Row],[Column3]]),Table14[[#This Row],[Column3]],Table14[[#This Row],[Column3]]="NEW",Table14[[#This Row],[Column3]]),"")</f>
        <v>110.37645216</v>
      </c>
      <c r="H149" s="15" cm="1">
        <f t="array" ref="H149">_xlfn.IFS(Table14[[#This Row],[Column4]]="NEW",AVERAGEIFS(Table14[Column4],Table14[Year],Table14[[#This Row],[Year]]),ISNUMBER(Table14[[#This Row],[Column4]]),Table14[[#This Row],[Column4]],Table14[[#This Row],[Column4]]="",H148*(1+Table14[[#This Row],[Ávöxtun]]))</f>
        <v>110.37645216</v>
      </c>
      <c r="I149" cm="1">
        <f t="array" ref="I149">_xlfn.IFS(Table14[[#This Row],[Column4]]="NEW",_xlfn.XLOOKUP(Table14[[#This Row],[Year]],$M$2:$M$27,$O$2:$O$27),ISNUMBER(Table14[[#This Row],[Column4]]),Table14[[#This Row],[Column4]],Table14[[#This Row],[Column4]]="",I148*(1+Table14[[#This Row],[Ávöxtun]]))</f>
        <v>110.37645216</v>
      </c>
      <c r="L149" s="33">
        <v>110.37645216</v>
      </c>
    </row>
    <row r="150" spans="1:12">
      <c r="A150" t="s">
        <v>69</v>
      </c>
      <c r="B150">
        <v>2005</v>
      </c>
      <c r="C150" s="16">
        <v>0</v>
      </c>
      <c r="D150" s="1">
        <v>71767</v>
      </c>
      <c r="E150" s="29">
        <f>Table14[[#This Row],[Ávöxtun]]*Table14[[#This Row],[Eignir]]/SUMIFS(Table14[Eignir],Table14[Year],Table14[[#This Row],[Year]])</f>
        <v>0</v>
      </c>
      <c r="F150" s="23">
        <f>IF(B150=1997, 100, IF(COUNTIF(A$1:A149,A150)=0, "NEW", F149*(1+Table14[[#This Row],[Ávöxtun]])))</f>
        <v>110.37645216</v>
      </c>
      <c r="G150" s="18" cm="1">
        <f t="array" ref="G150">IFERROR(_xlfn.IFS(ISNUMBER(Table14[[#This Row],[Column3]]),Table14[[#This Row],[Column3]],Table14[[#This Row],[Column3]]="NEW",Table14[[#This Row],[Column3]]),"")</f>
        <v>110.37645216</v>
      </c>
      <c r="H150" s="15" cm="1">
        <f t="array" ref="H150">_xlfn.IFS(Table14[[#This Row],[Column4]]="NEW",AVERAGEIFS(Table14[Column4],Table14[Year],Table14[[#This Row],[Year]]),ISNUMBER(Table14[[#This Row],[Column4]]),Table14[[#This Row],[Column4]],Table14[[#This Row],[Column4]]="",H149*(1+Table14[[#This Row],[Ávöxtun]]))</f>
        <v>110.37645216</v>
      </c>
      <c r="I150" cm="1">
        <f t="array" ref="I150">_xlfn.IFS(Table14[[#This Row],[Column4]]="NEW",_xlfn.XLOOKUP(Table14[[#This Row],[Year]],$M$2:$M$27,$O$2:$O$27),ISNUMBER(Table14[[#This Row],[Column4]]),Table14[[#This Row],[Column4]],Table14[[#This Row],[Column4]]="",I149*(1+Table14[[#This Row],[Ávöxtun]]))</f>
        <v>110.37645216</v>
      </c>
      <c r="L150" s="33">
        <v>110.37645216</v>
      </c>
    </row>
    <row r="151" spans="1:12">
      <c r="A151" t="s">
        <v>69</v>
      </c>
      <c r="B151">
        <v>2006</v>
      </c>
      <c r="C151" s="16">
        <v>-4.7400000000000005E-2</v>
      </c>
      <c r="D151" s="1">
        <v>42744</v>
      </c>
      <c r="E151" s="29">
        <f>Table14[[#This Row],[Ávöxtun]]*Table14[[#This Row],[Eignir]]/SUMIFS(Table14[Eignir],Table14[Year],Table14[[#This Row],[Year]])</f>
        <v>-1.4759973448643703E-6</v>
      </c>
      <c r="F151" s="23">
        <f>IF(B151=1997, 100, IF(COUNTIF(A$1:A150,A151)=0, "NEW", F150*(1+Table14[[#This Row],[Ávöxtun]])))</f>
        <v>105.144608327616</v>
      </c>
      <c r="G151" s="18" cm="1">
        <f t="array" ref="G151">IFERROR(_xlfn.IFS(ISNUMBER(Table14[[#This Row],[Column3]]),Table14[[#This Row],[Column3]],Table14[[#This Row],[Column3]]="NEW",Table14[[#This Row],[Column3]]),"")</f>
        <v>105.144608327616</v>
      </c>
      <c r="H151" s="15" cm="1">
        <f t="array" ref="H151">_xlfn.IFS(Table14[[#This Row],[Column4]]="NEW",AVERAGEIFS(Table14[Column4],Table14[Year],Table14[[#This Row],[Year]]),ISNUMBER(Table14[[#This Row],[Column4]]),Table14[[#This Row],[Column4]],Table14[[#This Row],[Column4]]="",H150*(1+Table14[[#This Row],[Ávöxtun]]))</f>
        <v>105.144608327616</v>
      </c>
      <c r="I151" cm="1">
        <f t="array" ref="I151">_xlfn.IFS(Table14[[#This Row],[Column4]]="NEW",_xlfn.XLOOKUP(Table14[[#This Row],[Year]],$M$2:$M$27,$O$2:$O$27),ISNUMBER(Table14[[#This Row],[Column4]]),Table14[[#This Row],[Column4]],Table14[[#This Row],[Column4]]="",I150*(1+Table14[[#This Row],[Ávöxtun]]))</f>
        <v>105.144608327616</v>
      </c>
      <c r="L151" s="33">
        <v>105.144608327616</v>
      </c>
    </row>
    <row r="152" spans="1:12">
      <c r="A152" t="s">
        <v>69</v>
      </c>
      <c r="B152">
        <v>2007</v>
      </c>
      <c r="C152" s="16">
        <v>-3.4599999999999999E-2</v>
      </c>
      <c r="D152" s="1">
        <v>39014</v>
      </c>
      <c r="E152" s="29">
        <f>Table14[[#This Row],[Ávöxtun]]*Table14[[#This Row],[Eignir]]/SUMIFS(Table14[Eignir],Table14[Year],Table14[[#This Row],[Year]])</f>
        <v>-8.7291607220167749E-7</v>
      </c>
      <c r="F152" s="23">
        <f>IF(B152=1997, 100, IF(COUNTIF(A$1:A151,A152)=0, "NEW", F151*(1+Table14[[#This Row],[Ávöxtun]])))</f>
        <v>101.50660487948049</v>
      </c>
      <c r="G152" s="18" cm="1">
        <f t="array" ref="G152">IFERROR(_xlfn.IFS(ISNUMBER(Table14[[#This Row],[Column3]]),Table14[[#This Row],[Column3]],Table14[[#This Row],[Column3]]="NEW",Table14[[#This Row],[Column3]]),"")</f>
        <v>101.50660487948049</v>
      </c>
      <c r="H152" s="15" cm="1">
        <f t="array" ref="H152">_xlfn.IFS(Table14[[#This Row],[Column4]]="NEW",AVERAGEIFS(Table14[Column4],Table14[Year],Table14[[#This Row],[Year]]),ISNUMBER(Table14[[#This Row],[Column4]]),Table14[[#This Row],[Column4]],Table14[[#This Row],[Column4]]="",H151*(1+Table14[[#This Row],[Ávöxtun]]))</f>
        <v>101.50660487948049</v>
      </c>
      <c r="I152" cm="1">
        <f t="array" ref="I152">_xlfn.IFS(Table14[[#This Row],[Column4]]="NEW",_xlfn.XLOOKUP(Table14[[#This Row],[Year]],$M$2:$M$27,$O$2:$O$27),ISNUMBER(Table14[[#This Row],[Column4]]),Table14[[#This Row],[Column4]],Table14[[#This Row],[Column4]]="",I151*(1+Table14[[#This Row],[Ávöxtun]]))</f>
        <v>101.50660487948049</v>
      </c>
      <c r="L152" s="33">
        <v>101.50660487948049</v>
      </c>
    </row>
    <row r="153" spans="1:12">
      <c r="A153" t="s">
        <v>69</v>
      </c>
      <c r="B153">
        <v>2008</v>
      </c>
      <c r="C153" s="16">
        <v>-8.900000000000001E-2</v>
      </c>
      <c r="D153" s="1">
        <v>22083</v>
      </c>
      <c r="E153" s="29">
        <f>Table14[[#This Row],[Ávöxtun]]*Table14[[#This Row],[Eignir]]/SUMIFS(Table14[Eignir],Table14[Year],Table14[[#This Row],[Year]])</f>
        <v>-1.3126050235389493E-6</v>
      </c>
      <c r="F153" s="23">
        <f>IF(B153=1997, 100, IF(COUNTIF(A$1:A152,A153)=0, "NEW", F152*(1+Table14[[#This Row],[Ávöxtun]])))</f>
        <v>92.472517045206729</v>
      </c>
      <c r="G153" s="18" cm="1">
        <f t="array" ref="G153">IFERROR(_xlfn.IFS(ISNUMBER(Table14[[#This Row],[Column3]]),Table14[[#This Row],[Column3]],Table14[[#This Row],[Column3]]="NEW",Table14[[#This Row],[Column3]]),"")</f>
        <v>92.472517045206729</v>
      </c>
      <c r="H153" s="15" cm="1">
        <f t="array" ref="H153">_xlfn.IFS(Table14[[#This Row],[Column4]]="NEW",AVERAGEIFS(Table14[Column4],Table14[Year],Table14[[#This Row],[Year]]),ISNUMBER(Table14[[#This Row],[Column4]]),Table14[[#This Row],[Column4]],Table14[[#This Row],[Column4]]="",H152*(1+Table14[[#This Row],[Ávöxtun]]))</f>
        <v>92.472517045206729</v>
      </c>
      <c r="I153" cm="1">
        <f t="array" ref="I153">_xlfn.IFS(Table14[[#This Row],[Column4]]="NEW",_xlfn.XLOOKUP(Table14[[#This Row],[Year]],$M$2:$M$27,$O$2:$O$27),ISNUMBER(Table14[[#This Row],[Column4]]),Table14[[#This Row],[Column4]],Table14[[#This Row],[Column4]]="",I152*(1+Table14[[#This Row],[Ávöxtun]]))</f>
        <v>92.472517045206729</v>
      </c>
      <c r="L153" s="33">
        <v>92.472517045206729</v>
      </c>
    </row>
    <row r="154" spans="1:12">
      <c r="A154" t="s">
        <v>69</v>
      </c>
      <c r="B154">
        <v>2009</v>
      </c>
      <c r="C154" s="16">
        <v>-7.0999999999999994E-2</v>
      </c>
      <c r="D154" s="1">
        <v>20946</v>
      </c>
      <c r="E154" s="29">
        <f>Table14[[#This Row],[Ávöxtun]]*Table14[[#This Row],[Eignir]]/SUMIFS(Table14[Eignir],Table14[Year],Table14[[#This Row],[Year]])</f>
        <v>-8.9144825425861776E-7</v>
      </c>
      <c r="F154" s="23">
        <f>IF(B154=1997, 100, IF(COUNTIF(A$1:A153,A154)=0, "NEW", F153*(1+Table14[[#This Row],[Ávöxtun]])))</f>
        <v>85.90696833499706</v>
      </c>
      <c r="G154" s="18" cm="1">
        <f t="array" ref="G154">IFERROR(_xlfn.IFS(ISNUMBER(Table14[[#This Row],[Column3]]),Table14[[#This Row],[Column3]],Table14[[#This Row],[Column3]]="NEW",Table14[[#This Row],[Column3]]),"")</f>
        <v>85.90696833499706</v>
      </c>
      <c r="H154" s="15" cm="1">
        <f t="array" ref="H154">_xlfn.IFS(Table14[[#This Row],[Column4]]="NEW",AVERAGEIFS(Table14[Column4],Table14[Year],Table14[[#This Row],[Year]]),ISNUMBER(Table14[[#This Row],[Column4]]),Table14[[#This Row],[Column4]],Table14[[#This Row],[Column4]]="",H153*(1+Table14[[#This Row],[Ávöxtun]]))</f>
        <v>85.90696833499706</v>
      </c>
      <c r="I154" cm="1">
        <f t="array" ref="I154">_xlfn.IFS(Table14[[#This Row],[Column4]]="NEW",_xlfn.XLOOKUP(Table14[[#This Row],[Year]],$M$2:$M$27,$O$2:$O$27),ISNUMBER(Table14[[#This Row],[Column4]]),Table14[[#This Row],[Column4]],Table14[[#This Row],[Column4]]="",I153*(1+Table14[[#This Row],[Ávöxtun]]))</f>
        <v>85.90696833499706</v>
      </c>
      <c r="L154" s="33">
        <v>85.90696833499706</v>
      </c>
    </row>
    <row r="155" spans="1:12">
      <c r="A155" t="s">
        <v>69</v>
      </c>
      <c r="B155">
        <v>2010</v>
      </c>
      <c r="C155" s="16">
        <v>-0.35869999999999996</v>
      </c>
      <c r="D155" s="1">
        <v>32349</v>
      </c>
      <c r="E155" s="29">
        <f>Table14[[#This Row],[Ávöxtun]]*Table14[[#This Row],[Eignir]]/SUMIFS(Table14[Eignir],Table14[Year],Table14[[#This Row],[Year]])</f>
        <v>-6.4904763052310196E-6</v>
      </c>
      <c r="F155" s="23">
        <f>IF(B155=1997, 100, IF(COUNTIF(A$1:A154,A155)=0, "NEW", F154*(1+Table14[[#This Row],[Ávöxtun]])))</f>
        <v>55.092138793233616</v>
      </c>
      <c r="G155" s="18" cm="1">
        <f t="array" ref="G155">IFERROR(_xlfn.IFS(ISNUMBER(Table14[[#This Row],[Column3]]),Table14[[#This Row],[Column3]],Table14[[#This Row],[Column3]]="NEW",Table14[[#This Row],[Column3]]),"")</f>
        <v>55.092138793233616</v>
      </c>
      <c r="H155" s="15" cm="1">
        <f t="array" ref="H155">_xlfn.IFS(Table14[[#This Row],[Column4]]="NEW",AVERAGEIFS(Table14[Column4],Table14[Year],Table14[[#This Row],[Year]]),ISNUMBER(Table14[[#This Row],[Column4]]),Table14[[#This Row],[Column4]],Table14[[#This Row],[Column4]]="",H154*(1+Table14[[#This Row],[Ávöxtun]]))</f>
        <v>55.092138793233616</v>
      </c>
      <c r="I155" cm="1">
        <f t="array" ref="I155">_xlfn.IFS(Table14[[#This Row],[Column4]]="NEW",_xlfn.XLOOKUP(Table14[[#This Row],[Year]],$M$2:$M$27,$O$2:$O$27),ISNUMBER(Table14[[#This Row],[Column4]]),Table14[[#This Row],[Column4]],Table14[[#This Row],[Column4]]="",I154*(1+Table14[[#This Row],[Ávöxtun]]))</f>
        <v>55.092138793233616</v>
      </c>
      <c r="L155" s="33">
        <v>55.092138793233616</v>
      </c>
    </row>
    <row r="156" spans="1:12">
      <c r="A156" t="s">
        <v>69</v>
      </c>
      <c r="B156">
        <v>2011</v>
      </c>
      <c r="C156" s="16">
        <v>-0.33200000000000002</v>
      </c>
      <c r="D156" s="1">
        <v>25992</v>
      </c>
      <c r="E156" s="29">
        <f>Table14[[#This Row],[Ávöxtun]]*Table14[[#This Row],[Eignir]]/SUMIFS(Table14[Eignir],Table14[Year],Table14[[#This Row],[Year]])</f>
        <v>-4.4240367590490504E-6</v>
      </c>
      <c r="F156" s="23">
        <f>IF(B156=1997, 100, IF(COUNTIF(A$1:A155,A156)=0, "NEW", F155*(1+Table14[[#This Row],[Ávöxtun]])))</f>
        <v>36.801548713880052</v>
      </c>
      <c r="G156" s="18" cm="1">
        <f t="array" ref="G156">IFERROR(_xlfn.IFS(ISNUMBER(Table14[[#This Row],[Column3]]),Table14[[#This Row],[Column3]],Table14[[#This Row],[Column3]]="NEW",Table14[[#This Row],[Column3]]),"")</f>
        <v>36.801548713880052</v>
      </c>
      <c r="H156" s="15" cm="1">
        <f t="array" ref="H156">_xlfn.IFS(Table14[[#This Row],[Column4]]="NEW",AVERAGEIFS(Table14[Column4],Table14[Year],Table14[[#This Row],[Year]]),ISNUMBER(Table14[[#This Row],[Column4]]),Table14[[#This Row],[Column4]],Table14[[#This Row],[Column4]]="",H155*(1+Table14[[#This Row],[Ávöxtun]]))</f>
        <v>36.801548713880052</v>
      </c>
      <c r="I156" cm="1">
        <f t="array" ref="I156">_xlfn.IFS(Table14[[#This Row],[Column4]]="NEW",_xlfn.XLOOKUP(Table14[[#This Row],[Year]],$M$2:$M$27,$O$2:$O$27),ISNUMBER(Table14[[#This Row],[Column4]]),Table14[[#This Row],[Column4]],Table14[[#This Row],[Column4]]="",I155*(1+Table14[[#This Row],[Ávöxtun]]))</f>
        <v>36.801548713880052</v>
      </c>
      <c r="L156" s="33">
        <v>36.801548713880052</v>
      </c>
    </row>
    <row r="157" spans="1:12">
      <c r="A157" t="s">
        <v>69</v>
      </c>
      <c r="B157">
        <v>2012</v>
      </c>
      <c r="C157" s="16">
        <v>-0.47500000000000003</v>
      </c>
      <c r="D157" s="1">
        <v>18178</v>
      </c>
      <c r="E157" s="29">
        <f>Table14[[#This Row],[Ávöxtun]]*Table14[[#This Row],[Eignir]]/SUMIFS(Table14[Eignir],Table14[Year],Table14[[#This Row],[Year]])</f>
        <v>-3.9197300853494101E-6</v>
      </c>
      <c r="F157" s="23">
        <f>IF(B157=1997, 100, IF(COUNTIF(A$1:A156,A157)=0, "NEW", F156*(1+Table14[[#This Row],[Ávöxtun]])))</f>
        <v>19.320813074787026</v>
      </c>
      <c r="G157" s="18" cm="1">
        <f t="array" ref="G157">IFERROR(_xlfn.IFS(ISNUMBER(Table14[[#This Row],[Column3]]),Table14[[#This Row],[Column3]],Table14[[#This Row],[Column3]]="NEW",Table14[[#This Row],[Column3]]),"")</f>
        <v>19.320813074787026</v>
      </c>
      <c r="H157" s="15" cm="1">
        <f t="array" ref="H157">_xlfn.IFS(Table14[[#This Row],[Column4]]="NEW",AVERAGEIFS(Table14[Column4],Table14[Year],Table14[[#This Row],[Year]]),ISNUMBER(Table14[[#This Row],[Column4]]),Table14[[#This Row],[Column4]],Table14[[#This Row],[Column4]]="",H156*(1+Table14[[#This Row],[Ávöxtun]]))</f>
        <v>19.320813074787026</v>
      </c>
      <c r="I157" cm="1">
        <f t="array" ref="I157">_xlfn.IFS(Table14[[#This Row],[Column4]]="NEW",_xlfn.XLOOKUP(Table14[[#This Row],[Year]],$M$2:$M$27,$O$2:$O$27),ISNUMBER(Table14[[#This Row],[Column4]]),Table14[[#This Row],[Column4]],Table14[[#This Row],[Column4]]="",I156*(1+Table14[[#This Row],[Ávöxtun]]))</f>
        <v>19.320813074787026</v>
      </c>
      <c r="L157" s="33">
        <v>19.320813074787026</v>
      </c>
    </row>
    <row r="158" spans="1:12">
      <c r="A158" t="s">
        <v>69</v>
      </c>
      <c r="B158">
        <v>2013</v>
      </c>
      <c r="C158" s="16">
        <v>-0.81599999999999995</v>
      </c>
      <c r="D158" s="1">
        <v>9224</v>
      </c>
      <c r="E158" s="29">
        <f>Table14[[#This Row],[Ávöxtun]]*Table14[[#This Row],[Eignir]]/SUMIFS(Table14[Eignir],Table14[Year],Table14[[#This Row],[Year]])</f>
        <v>-3.0928859735330809E-6</v>
      </c>
      <c r="F158" s="23">
        <f>IF(B158=1997, 100, IF(COUNTIF(A$1:A157,A158)=0, "NEW", F157*(1+Table14[[#This Row],[Ávöxtun]])))</f>
        <v>3.5550296057608137</v>
      </c>
      <c r="G158" s="18" cm="1">
        <f t="array" ref="G158">IFERROR(_xlfn.IFS(ISNUMBER(Table14[[#This Row],[Column3]]),Table14[[#This Row],[Column3]],Table14[[#This Row],[Column3]]="NEW",Table14[[#This Row],[Column3]]),"")</f>
        <v>3.5550296057608137</v>
      </c>
      <c r="H158" s="15" cm="1">
        <f t="array" ref="H158">_xlfn.IFS(Table14[[#This Row],[Column4]]="NEW",AVERAGEIFS(Table14[Column4],Table14[Year],Table14[[#This Row],[Year]]),ISNUMBER(Table14[[#This Row],[Column4]]),Table14[[#This Row],[Column4]],Table14[[#This Row],[Column4]]="",H157*(1+Table14[[#This Row],[Ávöxtun]]))</f>
        <v>3.5550296057608137</v>
      </c>
      <c r="I158" cm="1">
        <f t="array" ref="I158">_xlfn.IFS(Table14[[#This Row],[Column4]]="NEW",_xlfn.XLOOKUP(Table14[[#This Row],[Year]],$M$2:$M$27,$O$2:$O$27),ISNUMBER(Table14[[#This Row],[Column4]]),Table14[[#This Row],[Column4]],Table14[[#This Row],[Column4]]="",I157*(1+Table14[[#This Row],[Ávöxtun]]))</f>
        <v>3.5550296057608137</v>
      </c>
      <c r="L158" s="33">
        <v>3.5550296057608137</v>
      </c>
    </row>
    <row r="159" spans="1:12">
      <c r="A159" t="s">
        <v>69</v>
      </c>
      <c r="B159">
        <v>2014</v>
      </c>
      <c r="C159" s="16">
        <v>-1.4830000000000001</v>
      </c>
      <c r="D159" s="1">
        <v>29907</v>
      </c>
      <c r="E159" s="29">
        <f>Table14[[#This Row],[Ávöxtun]]*Table14[[#This Row],[Eignir]]/SUMIFS(Table14[Eignir],Table14[Year],Table14[[#This Row],[Year]])</f>
        <v>-1.6717592257635204E-5</v>
      </c>
      <c r="F159" s="23">
        <f>IF(B159=1997, 100, IF(COUNTIF(A$1:A158,A159)=0, "NEW", F158*(1+Table14[[#This Row],[Ávöxtun]])))</f>
        <v>-1.7170792995824733</v>
      </c>
      <c r="G159" s="18" cm="1">
        <f t="array" ref="G159">IFERROR(_xlfn.IFS(ISNUMBER(Table14[[#This Row],[Column3]]),Table14[[#This Row],[Column3]],Table14[[#This Row],[Column3]]="NEW",Table14[[#This Row],[Column3]]),"")</f>
        <v>-1.7170792995824733</v>
      </c>
      <c r="H159" s="15" cm="1">
        <f t="array" ref="H159">_xlfn.IFS(Table14[[#This Row],[Column4]]="NEW",AVERAGEIFS(Table14[Column4],Table14[Year],Table14[[#This Row],[Year]]),ISNUMBER(Table14[[#This Row],[Column4]]),Table14[[#This Row],[Column4]],Table14[[#This Row],[Column4]]="",H158*(1+Table14[[#This Row],[Ávöxtun]]))</f>
        <v>-1.7170792995824733</v>
      </c>
      <c r="I159" cm="1">
        <f t="array" ref="I159">_xlfn.IFS(Table14[[#This Row],[Column4]]="NEW",_xlfn.XLOOKUP(Table14[[#This Row],[Year]],$M$2:$M$27,$O$2:$O$27),ISNUMBER(Table14[[#This Row],[Column4]]),Table14[[#This Row],[Column4]],Table14[[#This Row],[Column4]]="",I158*(1+Table14[[#This Row],[Ávöxtun]]))</f>
        <v>-1.7170792995824733</v>
      </c>
      <c r="L159" s="33">
        <v>-1.7170792995824733</v>
      </c>
    </row>
    <row r="160" spans="1:12">
      <c r="A160" t="s">
        <v>69</v>
      </c>
      <c r="B160">
        <v>2015</v>
      </c>
      <c r="C160" s="16">
        <v>-0.34899999999999998</v>
      </c>
      <c r="D160" s="1">
        <v>34063</v>
      </c>
      <c r="E160" s="29">
        <f>Table14[[#This Row],[Ávöxtun]]*Table14[[#This Row],[Eignir]]/SUMIFS(Table14[Eignir],Table14[Year],Table14[[#This Row],[Year]])</f>
        <v>-4.0143426735748609E-6</v>
      </c>
      <c r="F160" s="23">
        <f>IF(B160=1997, 100, IF(COUNTIF(A$1:A159,A160)=0, "NEW", F159*(1+Table14[[#This Row],[Ávöxtun]])))</f>
        <v>-1.1178186240281902</v>
      </c>
      <c r="G160" s="18" cm="1">
        <f t="array" ref="G160">IFERROR(_xlfn.IFS(ISNUMBER(Table14[[#This Row],[Column3]]),Table14[[#This Row],[Column3]],Table14[[#This Row],[Column3]]="NEW",Table14[[#This Row],[Column3]]),"")</f>
        <v>-1.1178186240281902</v>
      </c>
      <c r="H160" s="15" cm="1">
        <f t="array" ref="H160">_xlfn.IFS(Table14[[#This Row],[Column4]]="NEW",AVERAGEIFS(Table14[Column4],Table14[Year],Table14[[#This Row],[Year]]),ISNUMBER(Table14[[#This Row],[Column4]]),Table14[[#This Row],[Column4]],Table14[[#This Row],[Column4]]="",H159*(1+Table14[[#This Row],[Ávöxtun]]))</f>
        <v>-1.1178186240281902</v>
      </c>
      <c r="I160" cm="1">
        <f t="array" ref="I160">_xlfn.IFS(Table14[[#This Row],[Column4]]="NEW",_xlfn.XLOOKUP(Table14[[#This Row],[Year]],$M$2:$M$27,$O$2:$O$27),ISNUMBER(Table14[[#This Row],[Column4]]),Table14[[#This Row],[Column4]],Table14[[#This Row],[Column4]]="",I159*(1+Table14[[#This Row],[Ávöxtun]]))</f>
        <v>-1.1178186240281902</v>
      </c>
      <c r="L160" s="33">
        <v>-1.1178186240281902</v>
      </c>
    </row>
    <row r="161" spans="1:12">
      <c r="A161" t="s">
        <v>69</v>
      </c>
      <c r="B161">
        <v>2016</v>
      </c>
      <c r="C161" s="16">
        <v>-0.33200000000000002</v>
      </c>
      <c r="D161" s="1">
        <v>38840.51</v>
      </c>
      <c r="E161" s="29">
        <f>Table14[[#This Row],[Ávöxtun]]*Table14[[#This Row],[Eignir]]/SUMIFS(Table14[Eignir],Table14[Year],Table14[[#This Row],[Year]])</f>
        <v>-4.0296441580340946E-6</v>
      </c>
      <c r="F161" s="23">
        <f>IF(B161=1997, 100, IF(COUNTIF(A$1:A160,A161)=0, "NEW", F160*(1+Table14[[#This Row],[Ávöxtun]])))</f>
        <v>-0.74670284085083094</v>
      </c>
      <c r="G161" s="18" cm="1">
        <f t="array" ref="G161">IFERROR(_xlfn.IFS(ISNUMBER(Table14[[#This Row],[Column3]]),Table14[[#This Row],[Column3]],Table14[[#This Row],[Column3]]="NEW",Table14[[#This Row],[Column3]]),"")</f>
        <v>-0.74670284085083094</v>
      </c>
      <c r="H161" s="15" cm="1">
        <f t="array" ref="H161">_xlfn.IFS(Table14[[#This Row],[Column4]]="NEW",AVERAGEIFS(Table14[Column4],Table14[Year],Table14[[#This Row],[Year]]),ISNUMBER(Table14[[#This Row],[Column4]]),Table14[[#This Row],[Column4]],Table14[[#This Row],[Column4]]="",H160*(1+Table14[[#This Row],[Ávöxtun]]))</f>
        <v>-0.74670284085083094</v>
      </c>
      <c r="I161" cm="1">
        <f t="array" ref="I161">_xlfn.IFS(Table14[[#This Row],[Column4]]="NEW",_xlfn.XLOOKUP(Table14[[#This Row],[Year]],$M$2:$M$27,$O$2:$O$27),ISNUMBER(Table14[[#This Row],[Column4]]),Table14[[#This Row],[Column4]],Table14[[#This Row],[Column4]]="",I160*(1+Table14[[#This Row],[Ávöxtun]]))</f>
        <v>-0.74670284085083094</v>
      </c>
      <c r="L161" s="33">
        <v>-0.74670284085083094</v>
      </c>
    </row>
    <row r="162" spans="1:12">
      <c r="A162" t="s">
        <v>69</v>
      </c>
      <c r="B162">
        <v>2017</v>
      </c>
      <c r="C162" s="16">
        <v>-0.36499999999999999</v>
      </c>
      <c r="D162" s="1">
        <v>29527</v>
      </c>
      <c r="E162" s="29">
        <f>Table14[[#This Row],[Ávöxtun]]*Table14[[#This Row],[Eignir]]/SUMIFS(Table14[Eignir],Table14[Year],Table14[[#This Row],[Year]])</f>
        <v>-3.0280688008639043E-6</v>
      </c>
      <c r="F162" s="23">
        <f>IF(B162=1997, 100, IF(COUNTIF(A$1:A161,A162)=0, "NEW", F161*(1+Table14[[#This Row],[Ávöxtun]])))</f>
        <v>-0.47415630394027763</v>
      </c>
      <c r="G162" s="18" cm="1">
        <f t="array" ref="G162">IFERROR(_xlfn.IFS(ISNUMBER(Table14[[#This Row],[Column3]]),Table14[[#This Row],[Column3]],Table14[[#This Row],[Column3]]="NEW",Table14[[#This Row],[Column3]]),"")</f>
        <v>-0.47415630394027763</v>
      </c>
      <c r="H162" s="15" cm="1">
        <f t="array" ref="H162">_xlfn.IFS(Table14[[#This Row],[Column4]]="NEW",AVERAGEIFS(Table14[Column4],Table14[Year],Table14[[#This Row],[Year]]),ISNUMBER(Table14[[#This Row],[Column4]]),Table14[[#This Row],[Column4]],Table14[[#This Row],[Column4]]="",H161*(1+Table14[[#This Row],[Ávöxtun]]))</f>
        <v>-0.47415630394027763</v>
      </c>
      <c r="I162" cm="1">
        <f t="array" ref="I162">_xlfn.IFS(Table14[[#This Row],[Column4]]="NEW",_xlfn.XLOOKUP(Table14[[#This Row],[Year]],$M$2:$M$27,$O$2:$O$27),ISNUMBER(Table14[[#This Row],[Column4]]),Table14[[#This Row],[Column4]],Table14[[#This Row],[Column4]]="",I161*(1+Table14[[#This Row],[Ávöxtun]]))</f>
        <v>-0.47415630394027763</v>
      </c>
      <c r="L162" s="33">
        <v>-0.47415630394027763</v>
      </c>
    </row>
    <row r="163" spans="1:12">
      <c r="A163" t="s">
        <v>70</v>
      </c>
      <c r="B163">
        <v>2006</v>
      </c>
      <c r="C163" s="16">
        <v>0.1106</v>
      </c>
      <c r="D163" s="1">
        <v>49484781</v>
      </c>
      <c r="E163" s="29">
        <f>Table14[[#This Row],[Ávöxtun]]*Table14[[#This Row],[Eignir]]/SUMIFS(Table14[Eignir],Table14[Year],Table14[[#This Row],[Year]])</f>
        <v>3.9871158335701212E-3</v>
      </c>
      <c r="F163" s="23" t="str">
        <f>IF(B163=1997, 100, IF(COUNTIF(A$1:A162,A163)=0, "NEW", F162*(1+Table14[[#This Row],[Ávöxtun]])))</f>
        <v>NEW</v>
      </c>
      <c r="G163" s="18" t="str" cm="1">
        <f t="array" ref="G163">IFERROR(_xlfn.IFS(ISNUMBER(Table14[[#This Row],[Column3]]),Table14[[#This Row],[Column3]],Table14[[#This Row],[Column3]]="NEW",Table14[[#This Row],[Column3]]),"")</f>
        <v>NEW</v>
      </c>
      <c r="H163" s="15" cm="1">
        <f t="array" ref="H163">_xlfn.IFS(Table14[[#This Row],[Column4]]="NEW",AVERAGEIFS(Table14[Column4],Table14[Year],Table14[[#This Row],[Year]]),ISNUMBER(Table14[[#This Row],[Column4]]),Table14[[#This Row],[Column4]],Table14[[#This Row],[Column4]]="",H162*(1+Table14[[#This Row],[Ávöxtun]]))</f>
        <v>173.57107422928632</v>
      </c>
      <c r="I163" cm="1">
        <f t="array" ref="I163">_xlfn.IFS(Table14[[#This Row],[Column4]]="NEW",_xlfn.XLOOKUP(Table14[[#This Row],[Year]],$M$2:$M$27,$O$2:$O$27),ISNUMBER(Table14[[#This Row],[Column4]]),Table14[[#This Row],[Column4]],Table14[[#This Row],[Column4]]="",I162*(1+Table14[[#This Row],[Ávöxtun]]))</f>
        <v>203.57786186085158</v>
      </c>
      <c r="L163" s="33">
        <v>203.57786186085158</v>
      </c>
    </row>
    <row r="164" spans="1:12">
      <c r="A164" t="s">
        <v>70</v>
      </c>
      <c r="B164">
        <v>2007</v>
      </c>
      <c r="C164" s="16">
        <v>2.7700000000000002E-2</v>
      </c>
      <c r="D164" s="1">
        <v>55430643</v>
      </c>
      <c r="E164" s="29">
        <f>Table14[[#This Row],[Ávöxtun]]*Table14[[#This Row],[Eignir]]/SUMIFS(Table14[Eignir],Table14[Year],Table14[[#This Row],[Year]])</f>
        <v>9.9290019718036851E-4</v>
      </c>
      <c r="F164" s="23" t="e">
        <f>IF(B164=1997, 100, IF(COUNTIF(A$1:A163,A164)=0, "NEW", F163*(1+Table14[[#This Row],[Ávöxtun]])))</f>
        <v>#VALUE!</v>
      </c>
      <c r="G164" s="18" t="str" cm="1">
        <f t="array" ref="G164">IFERROR(_xlfn.IFS(ISNUMBER(Table14[[#This Row],[Column3]]),Table14[[#This Row],[Column3]],Table14[[#This Row],[Column3]]="NEW",Table14[[#This Row],[Column3]]),"")</f>
        <v/>
      </c>
      <c r="H164" s="15" cm="1">
        <f t="array" ref="H164">_xlfn.IFS(Table14[[#This Row],[Column4]]="NEW",AVERAGEIFS(Table14[Column4],Table14[Year],Table14[[#This Row],[Year]]),ISNUMBER(Table14[[#This Row],[Column4]]),Table14[[#This Row],[Column4]],Table14[[#This Row],[Column4]]="",H163*(1+Table14[[#This Row],[Ávöxtun]]))</f>
        <v>178.37899298543758</v>
      </c>
      <c r="I164" cm="1">
        <f t="array" ref="I164">_xlfn.IFS(Table14[[#This Row],[Column4]]="NEW",_xlfn.XLOOKUP(Table14[[#This Row],[Year]],$M$2:$M$27,$O$2:$O$27),ISNUMBER(Table14[[#This Row],[Column4]]),Table14[[#This Row],[Column4]],Table14[[#This Row],[Column4]]="",I163*(1+Table14[[#This Row],[Ávöxtun]]))</f>
        <v>209.21696863439718</v>
      </c>
      <c r="L164" s="33">
        <v>209.21696863439718</v>
      </c>
    </row>
    <row r="165" spans="1:12">
      <c r="A165" t="s">
        <v>70</v>
      </c>
      <c r="B165">
        <v>2008</v>
      </c>
      <c r="C165" s="16">
        <v>-0.18840000000000001</v>
      </c>
      <c r="D165" s="1">
        <v>56941947</v>
      </c>
      <c r="E165" s="29">
        <f>Table14[[#This Row],[Ávöxtun]]*Table14[[#This Row],[Eignir]]/SUMIFS(Table14[Eignir],Table14[Year],Table14[[#This Row],[Year]])</f>
        <v>-7.1647195298143174E-3</v>
      </c>
      <c r="F165" s="23" t="e">
        <f>IF(B165=1997, 100, IF(COUNTIF(A$1:A164,A165)=0, "NEW", F164*(1+Table14[[#This Row],[Ávöxtun]])))</f>
        <v>#VALUE!</v>
      </c>
      <c r="G165" s="18" t="str" cm="1">
        <f t="array" ref="G165">IFERROR(_xlfn.IFS(ISNUMBER(Table14[[#This Row],[Column3]]),Table14[[#This Row],[Column3]],Table14[[#This Row],[Column3]]="NEW",Table14[[#This Row],[Column3]]),"")</f>
        <v/>
      </c>
      <c r="H165" s="15" cm="1">
        <f t="array" ref="H165">_xlfn.IFS(Table14[[#This Row],[Column4]]="NEW",AVERAGEIFS(Table14[Column4],Table14[Year],Table14[[#This Row],[Year]]),ISNUMBER(Table14[[#This Row],[Column4]]),Table14[[#This Row],[Column4]],Table14[[#This Row],[Column4]]="",H164*(1+Table14[[#This Row],[Ávöxtun]]))</f>
        <v>144.77239070698113</v>
      </c>
      <c r="I165" cm="1">
        <f t="array" ref="I165">_xlfn.IFS(Table14[[#This Row],[Column4]]="NEW",_xlfn.XLOOKUP(Table14[[#This Row],[Year]],$M$2:$M$27,$O$2:$O$27),ISNUMBER(Table14[[#This Row],[Column4]]),Table14[[#This Row],[Column4]],Table14[[#This Row],[Column4]]="",I164*(1+Table14[[#This Row],[Ávöxtun]]))</f>
        <v>169.80049174367676</v>
      </c>
      <c r="L165" s="33">
        <v>169.80049174367676</v>
      </c>
    </row>
    <row r="166" spans="1:12">
      <c r="A166" t="s">
        <v>70</v>
      </c>
      <c r="B166">
        <v>2009</v>
      </c>
      <c r="C166" s="16">
        <v>-5.2000000000000005E-2</v>
      </c>
      <c r="D166" s="1">
        <v>61072687</v>
      </c>
      <c r="E166" s="29">
        <f>Table14[[#This Row],[Ávöxtun]]*Table14[[#This Row],[Eignir]]/SUMIFS(Table14[Eignir],Table14[Year],Table14[[#This Row],[Year]])</f>
        <v>-1.9036498217883649E-3</v>
      </c>
      <c r="F166" s="23" t="e">
        <f>IF(B166=1997, 100, IF(COUNTIF(A$1:A165,A166)=0, "NEW", F165*(1+Table14[[#This Row],[Ávöxtun]])))</f>
        <v>#VALUE!</v>
      </c>
      <c r="G166" s="18" t="str" cm="1">
        <f t="array" ref="G166">IFERROR(_xlfn.IFS(ISNUMBER(Table14[[#This Row],[Column3]]),Table14[[#This Row],[Column3]],Table14[[#This Row],[Column3]]="NEW",Table14[[#This Row],[Column3]]),"")</f>
        <v/>
      </c>
      <c r="H166" s="15" cm="1">
        <f t="array" ref="H166">_xlfn.IFS(Table14[[#This Row],[Column4]]="NEW",AVERAGEIFS(Table14[Column4],Table14[Year],Table14[[#This Row],[Year]]),ISNUMBER(Table14[[#This Row],[Column4]]),Table14[[#This Row],[Column4]],Table14[[#This Row],[Column4]]="",H165*(1+Table14[[#This Row],[Ávöxtun]]))</f>
        <v>137.2442263902181</v>
      </c>
      <c r="I166" cm="1">
        <f t="array" ref="I166">_xlfn.IFS(Table14[[#This Row],[Column4]]="NEW",_xlfn.XLOOKUP(Table14[[#This Row],[Year]],$M$2:$M$27,$O$2:$O$27),ISNUMBER(Table14[[#This Row],[Column4]]),Table14[[#This Row],[Column4]],Table14[[#This Row],[Column4]]="",I165*(1+Table14[[#This Row],[Ávöxtun]]))</f>
        <v>160.97086617300556</v>
      </c>
      <c r="L166" s="33">
        <v>160.97086617300556</v>
      </c>
    </row>
    <row r="167" spans="1:12">
      <c r="A167" t="s">
        <v>70</v>
      </c>
      <c r="B167">
        <v>2010</v>
      </c>
      <c r="C167" s="16">
        <v>2.1000000000000001E-2</v>
      </c>
      <c r="D167" s="1">
        <v>66171290</v>
      </c>
      <c r="E167" s="29">
        <f>Table14[[#This Row],[Ávöxtun]]*Table14[[#This Row],[Eignir]]/SUMIFS(Table14[Eignir],Table14[Year],Table14[[#This Row],[Year]])</f>
        <v>7.7727236677362229E-4</v>
      </c>
      <c r="F167" s="23" t="e">
        <f>IF(B167=1997, 100, IF(COUNTIF(A$1:A166,A167)=0, "NEW", F166*(1+Table14[[#This Row],[Ávöxtun]])))</f>
        <v>#VALUE!</v>
      </c>
      <c r="G167" s="18" t="str" cm="1">
        <f t="array" ref="G167">IFERROR(_xlfn.IFS(ISNUMBER(Table14[[#This Row],[Column3]]),Table14[[#This Row],[Column3]],Table14[[#This Row],[Column3]]="NEW",Table14[[#This Row],[Column3]]),"")</f>
        <v/>
      </c>
      <c r="H167" s="15" cm="1">
        <f t="array" ref="H167">_xlfn.IFS(Table14[[#This Row],[Column4]]="NEW",AVERAGEIFS(Table14[Column4],Table14[Year],Table14[[#This Row],[Year]]),ISNUMBER(Table14[[#This Row],[Column4]]),Table14[[#This Row],[Column4]],Table14[[#This Row],[Column4]]="",H166*(1+Table14[[#This Row],[Ávöxtun]]))</f>
        <v>140.12635514441266</v>
      </c>
      <c r="I167" cm="1">
        <f t="array" ref="I167">_xlfn.IFS(Table14[[#This Row],[Column4]]="NEW",_xlfn.XLOOKUP(Table14[[#This Row],[Year]],$M$2:$M$27,$O$2:$O$27),ISNUMBER(Table14[[#This Row],[Column4]]),Table14[[#This Row],[Column4]],Table14[[#This Row],[Column4]]="",I166*(1+Table14[[#This Row],[Ávöxtun]]))</f>
        <v>164.35125436263866</v>
      </c>
      <c r="L167" s="33">
        <v>164.35125436263866</v>
      </c>
    </row>
    <row r="168" spans="1:12">
      <c r="A168" t="s">
        <v>70</v>
      </c>
      <c r="B168">
        <v>2011</v>
      </c>
      <c r="C168" s="16">
        <v>1.8000000000000002E-2</v>
      </c>
      <c r="D168" s="1">
        <v>71442566</v>
      </c>
      <c r="E168" s="29">
        <f>Table14[[#This Row],[Ávöxtun]]*Table14[[#This Row],[Eignir]]/SUMIFS(Table14[Eignir],Table14[Year],Table14[[#This Row],[Year]])</f>
        <v>6.5928090091276707E-4</v>
      </c>
      <c r="F168" s="23" t="e">
        <f>IF(B168=1997, 100, IF(COUNTIF(A$1:A167,A168)=0, "NEW", F167*(1+Table14[[#This Row],[Ávöxtun]])))</f>
        <v>#VALUE!</v>
      </c>
      <c r="G168" s="18" t="str" cm="1">
        <f t="array" ref="G168">IFERROR(_xlfn.IFS(ISNUMBER(Table14[[#This Row],[Column3]]),Table14[[#This Row],[Column3]],Table14[[#This Row],[Column3]]="NEW",Table14[[#This Row],[Column3]]),"")</f>
        <v/>
      </c>
      <c r="H168" s="15" cm="1">
        <f t="array" ref="H168">_xlfn.IFS(Table14[[#This Row],[Column4]]="NEW",AVERAGEIFS(Table14[Column4],Table14[Year],Table14[[#This Row],[Year]]),ISNUMBER(Table14[[#This Row],[Column4]]),Table14[[#This Row],[Column4]],Table14[[#This Row],[Column4]]="",H167*(1+Table14[[#This Row],[Ávöxtun]]))</f>
        <v>142.64862953701208</v>
      </c>
      <c r="I168" cm="1">
        <f t="array" ref="I168">_xlfn.IFS(Table14[[#This Row],[Column4]]="NEW",_xlfn.XLOOKUP(Table14[[#This Row],[Year]],$M$2:$M$27,$O$2:$O$27),ISNUMBER(Table14[[#This Row],[Column4]]),Table14[[#This Row],[Column4]],Table14[[#This Row],[Column4]]="",I167*(1+Table14[[#This Row],[Ávöxtun]]))</f>
        <v>167.30957694116614</v>
      </c>
      <c r="L168" s="33">
        <v>167.30957694116614</v>
      </c>
    </row>
    <row r="169" spans="1:12">
      <c r="A169" t="s">
        <v>70</v>
      </c>
      <c r="B169">
        <v>2012</v>
      </c>
      <c r="C169" s="16">
        <v>0.06</v>
      </c>
      <c r="D169" s="1">
        <v>81175431</v>
      </c>
      <c r="E169" s="29">
        <f>Table14[[#This Row],[Ávöxtun]]*Table14[[#This Row],[Eignir]]/SUMIFS(Table14[Eignir],Table14[Year],Table14[[#This Row],[Year]])</f>
        <v>2.2110181474326173E-3</v>
      </c>
      <c r="F169" s="23" t="e">
        <f>IF(B169=1997, 100, IF(COUNTIF(A$1:A168,A169)=0, "NEW", F168*(1+Table14[[#This Row],[Ávöxtun]])))</f>
        <v>#VALUE!</v>
      </c>
      <c r="G169" s="18" t="str" cm="1">
        <f t="array" ref="G169">IFERROR(_xlfn.IFS(ISNUMBER(Table14[[#This Row],[Column3]]),Table14[[#This Row],[Column3]],Table14[[#This Row],[Column3]]="NEW",Table14[[#This Row],[Column3]]),"")</f>
        <v/>
      </c>
      <c r="H169" s="15" cm="1">
        <f t="array" ref="H169">_xlfn.IFS(Table14[[#This Row],[Column4]]="NEW",AVERAGEIFS(Table14[Column4],Table14[Year],Table14[[#This Row],[Year]]),ISNUMBER(Table14[[#This Row],[Column4]]),Table14[[#This Row],[Column4]],Table14[[#This Row],[Column4]]="",H168*(1+Table14[[#This Row],[Ávöxtun]]))</f>
        <v>151.20754730923281</v>
      </c>
      <c r="I169" cm="1">
        <f t="array" ref="I169">_xlfn.IFS(Table14[[#This Row],[Column4]]="NEW",_xlfn.XLOOKUP(Table14[[#This Row],[Year]],$M$2:$M$27,$O$2:$O$27),ISNUMBER(Table14[[#This Row],[Column4]]),Table14[[#This Row],[Column4]],Table14[[#This Row],[Column4]]="",I168*(1+Table14[[#This Row],[Ávöxtun]]))</f>
        <v>177.34815155763613</v>
      </c>
      <c r="L169" s="33">
        <v>177.34815155763613</v>
      </c>
    </row>
    <row r="170" spans="1:12">
      <c r="A170" t="s">
        <v>70</v>
      </c>
      <c r="B170">
        <v>2013</v>
      </c>
      <c r="C170" s="16">
        <v>5.5E-2</v>
      </c>
      <c r="D170" s="1">
        <v>90629835</v>
      </c>
      <c r="E170" s="29">
        <f>Table14[[#This Row],[Ávöxtun]]*Table14[[#This Row],[Eignir]]/SUMIFS(Table14[Eignir],Table14[Year],Table14[[#This Row],[Year]])</f>
        <v>2.0482753324702107E-3</v>
      </c>
      <c r="F170" s="23" t="e">
        <f>IF(B170=1997, 100, IF(COUNTIF(A$1:A169,A170)=0, "NEW", F169*(1+Table14[[#This Row],[Ávöxtun]])))</f>
        <v>#VALUE!</v>
      </c>
      <c r="G170" s="18" t="str" cm="1">
        <f t="array" ref="G170">IFERROR(_xlfn.IFS(ISNUMBER(Table14[[#This Row],[Column3]]),Table14[[#This Row],[Column3]],Table14[[#This Row],[Column3]]="NEW",Table14[[#This Row],[Column3]]),"")</f>
        <v/>
      </c>
      <c r="H170" s="15" cm="1">
        <f t="array" ref="H170">_xlfn.IFS(Table14[[#This Row],[Column4]]="NEW",AVERAGEIFS(Table14[Column4],Table14[Year],Table14[[#This Row],[Year]]),ISNUMBER(Table14[[#This Row],[Column4]]),Table14[[#This Row],[Column4]],Table14[[#This Row],[Column4]]="",H169*(1+Table14[[#This Row],[Ávöxtun]]))</f>
        <v>159.5239624112406</v>
      </c>
      <c r="I170" cm="1">
        <f t="array" ref="I170">_xlfn.IFS(Table14[[#This Row],[Column4]]="NEW",_xlfn.XLOOKUP(Table14[[#This Row],[Year]],$M$2:$M$27,$O$2:$O$27),ISNUMBER(Table14[[#This Row],[Column4]]),Table14[[#This Row],[Column4]],Table14[[#This Row],[Column4]]="",I169*(1+Table14[[#This Row],[Ávöxtun]]))</f>
        <v>187.10229989330611</v>
      </c>
      <c r="L170" s="33">
        <v>187.10229989330611</v>
      </c>
    </row>
    <row r="171" spans="1:12">
      <c r="A171" t="s">
        <v>70</v>
      </c>
      <c r="B171">
        <v>2014</v>
      </c>
      <c r="C171" s="16">
        <v>6.7000000000000004E-2</v>
      </c>
      <c r="D171" s="1">
        <v>99181133</v>
      </c>
      <c r="E171" s="29">
        <f>Table14[[#This Row],[Ávöxtun]]*Table14[[#This Row],[Eignir]]/SUMIFS(Table14[Eignir],Table14[Year],Table14[[#This Row],[Year]])</f>
        <v>2.5047454403924639E-3</v>
      </c>
      <c r="F171" s="23" t="e">
        <f>IF(B171=1997, 100, IF(COUNTIF(A$1:A170,A171)=0, "NEW", F170*(1+Table14[[#This Row],[Ávöxtun]])))</f>
        <v>#VALUE!</v>
      </c>
      <c r="G171" s="18" t="str" cm="1">
        <f t="array" ref="G171">IFERROR(_xlfn.IFS(ISNUMBER(Table14[[#This Row],[Column3]]),Table14[[#This Row],[Column3]],Table14[[#This Row],[Column3]]="NEW",Table14[[#This Row],[Column3]]),"")</f>
        <v/>
      </c>
      <c r="H171" s="15" cm="1">
        <f t="array" ref="H171">_xlfn.IFS(Table14[[#This Row],[Column4]]="NEW",AVERAGEIFS(Table14[Column4],Table14[Year],Table14[[#This Row],[Year]]),ISNUMBER(Table14[[#This Row],[Column4]]),Table14[[#This Row],[Column4]],Table14[[#This Row],[Column4]]="",H170*(1+Table14[[#This Row],[Ávöxtun]]))</f>
        <v>170.21206789279373</v>
      </c>
      <c r="I171" cm="1">
        <f t="array" ref="I171">_xlfn.IFS(Table14[[#This Row],[Column4]]="NEW",_xlfn.XLOOKUP(Table14[[#This Row],[Year]],$M$2:$M$27,$O$2:$O$27),ISNUMBER(Table14[[#This Row],[Column4]]),Table14[[#This Row],[Column4]],Table14[[#This Row],[Column4]]="",I170*(1+Table14[[#This Row],[Ávöxtun]]))</f>
        <v>199.63815398615762</v>
      </c>
      <c r="L171" s="33">
        <v>199.63815398615762</v>
      </c>
    </row>
    <row r="172" spans="1:12">
      <c r="A172" t="s">
        <v>70</v>
      </c>
      <c r="B172">
        <v>2015</v>
      </c>
      <c r="C172" s="16">
        <v>8.199999999999999E-2</v>
      </c>
      <c r="D172" s="1">
        <v>112149164</v>
      </c>
      <c r="E172" s="29">
        <f>Table14[[#This Row],[Ávöxtun]]*Table14[[#This Row],[Eignir]]/SUMIFS(Table14[Eignir],Table14[Year],Table14[[#This Row],[Year]])</f>
        <v>3.1053890232027957E-3</v>
      </c>
      <c r="F172" s="23" t="e">
        <f>IF(B172=1997, 100, IF(COUNTIF(A$1:A171,A172)=0, "NEW", F171*(1+Table14[[#This Row],[Ávöxtun]])))</f>
        <v>#VALUE!</v>
      </c>
      <c r="G172" s="18" t="str" cm="1">
        <f t="array" ref="G172">IFERROR(_xlfn.IFS(ISNUMBER(Table14[[#This Row],[Column3]]),Table14[[#This Row],[Column3]],Table14[[#This Row],[Column3]]="NEW",Table14[[#This Row],[Column3]]),"")</f>
        <v/>
      </c>
      <c r="H172" s="15" cm="1">
        <f t="array" ref="H172">_xlfn.IFS(Table14[[#This Row],[Column4]]="NEW",AVERAGEIFS(Table14[Column4],Table14[Year],Table14[[#This Row],[Year]]),ISNUMBER(Table14[[#This Row],[Column4]]),Table14[[#This Row],[Column4]],Table14[[#This Row],[Column4]]="",H171*(1+Table14[[#This Row],[Ávöxtun]]))</f>
        <v>184.16945746000283</v>
      </c>
      <c r="I172" cm="1">
        <f t="array" ref="I172">_xlfn.IFS(Table14[[#This Row],[Column4]]="NEW",_xlfn.XLOOKUP(Table14[[#This Row],[Year]],$M$2:$M$27,$O$2:$O$27),ISNUMBER(Table14[[#This Row],[Column4]]),Table14[[#This Row],[Column4]],Table14[[#This Row],[Column4]]="",I171*(1+Table14[[#This Row],[Ávöxtun]]))</f>
        <v>216.00848261302255</v>
      </c>
      <c r="L172" s="33">
        <v>216.00848261302255</v>
      </c>
    </row>
    <row r="173" spans="1:12">
      <c r="A173" t="s">
        <v>70</v>
      </c>
      <c r="B173">
        <v>2016</v>
      </c>
      <c r="C173" s="16">
        <v>5.3E-3</v>
      </c>
      <c r="D173" s="1">
        <v>119454530.14</v>
      </c>
      <c r="E173" s="29">
        <f>Table14[[#This Row],[Ávöxtun]]*Table14[[#This Row],[Eignir]]/SUMIFS(Table14[Eignir],Table14[Year],Table14[[#This Row],[Year]])</f>
        <v>1.978436808728391E-4</v>
      </c>
      <c r="F173" s="23" t="e">
        <f>IF(B173=1997, 100, IF(COUNTIF(A$1:A172,A173)=0, "NEW", F172*(1+Table14[[#This Row],[Ávöxtun]])))</f>
        <v>#VALUE!</v>
      </c>
      <c r="G173" s="18" t="str" cm="1">
        <f t="array" ref="G173">IFERROR(_xlfn.IFS(ISNUMBER(Table14[[#This Row],[Column3]]),Table14[[#This Row],[Column3]],Table14[[#This Row],[Column3]]="NEW",Table14[[#This Row],[Column3]]),"")</f>
        <v/>
      </c>
      <c r="H173" s="15" cm="1">
        <f t="array" ref="H173">_xlfn.IFS(Table14[[#This Row],[Column4]]="NEW",AVERAGEIFS(Table14[Column4],Table14[Year],Table14[[#This Row],[Year]]),ISNUMBER(Table14[[#This Row],[Column4]]),Table14[[#This Row],[Column4]],Table14[[#This Row],[Column4]]="",H172*(1+Table14[[#This Row],[Ávöxtun]]))</f>
        <v>185.14555558454086</v>
      </c>
      <c r="I173" cm="1">
        <f t="array" ref="I173">_xlfn.IFS(Table14[[#This Row],[Column4]]="NEW",_xlfn.XLOOKUP(Table14[[#This Row],[Year]],$M$2:$M$27,$O$2:$O$27),ISNUMBER(Table14[[#This Row],[Column4]]),Table14[[#This Row],[Column4]],Table14[[#This Row],[Column4]]="",I172*(1+Table14[[#This Row],[Ávöxtun]]))</f>
        <v>217.1533275708716</v>
      </c>
      <c r="L173" s="33">
        <v>217.1533275708716</v>
      </c>
    </row>
    <row r="174" spans="1:12">
      <c r="A174" t="s">
        <v>70</v>
      </c>
      <c r="B174">
        <v>2017</v>
      </c>
      <c r="C174" s="16">
        <v>5.2999999999999999E-2</v>
      </c>
      <c r="D174" s="1">
        <v>133123682</v>
      </c>
      <c r="E174" s="29">
        <f>Table14[[#This Row],[Ávöxtun]]*Table14[[#This Row],[Eignir]]/SUMIFS(Table14[Eignir],Table14[Year],Table14[[#This Row],[Year]])</f>
        <v>1.9823701093985833E-3</v>
      </c>
      <c r="F174" s="23" t="e">
        <f>IF(B174=1997, 100, IF(COUNTIF(A$1:A173,A174)=0, "NEW", F173*(1+Table14[[#This Row],[Ávöxtun]])))</f>
        <v>#VALUE!</v>
      </c>
      <c r="G174" s="18" t="str" cm="1">
        <f t="array" ref="G174">IFERROR(_xlfn.IFS(ISNUMBER(Table14[[#This Row],[Column3]]),Table14[[#This Row],[Column3]],Table14[[#This Row],[Column3]]="NEW",Table14[[#This Row],[Column3]]),"")</f>
        <v/>
      </c>
      <c r="H174" s="15" cm="1">
        <f t="array" ref="H174">_xlfn.IFS(Table14[[#This Row],[Column4]]="NEW",AVERAGEIFS(Table14[Column4],Table14[Year],Table14[[#This Row],[Year]]),ISNUMBER(Table14[[#This Row],[Column4]]),Table14[[#This Row],[Column4]],Table14[[#This Row],[Column4]]="",H173*(1+Table14[[#This Row],[Ávöxtun]]))</f>
        <v>194.9582700305215</v>
      </c>
      <c r="I174" cm="1">
        <f t="array" ref="I174">_xlfn.IFS(Table14[[#This Row],[Column4]]="NEW",_xlfn.XLOOKUP(Table14[[#This Row],[Year]],$M$2:$M$27,$O$2:$O$27),ISNUMBER(Table14[[#This Row],[Column4]]),Table14[[#This Row],[Column4]],Table14[[#This Row],[Column4]]="",I173*(1+Table14[[#This Row],[Ávöxtun]]))</f>
        <v>228.66245393212779</v>
      </c>
      <c r="L174" s="33">
        <v>228.66245393212779</v>
      </c>
    </row>
    <row r="175" spans="1:12">
      <c r="A175" t="s">
        <v>70</v>
      </c>
      <c r="B175">
        <v>2018</v>
      </c>
      <c r="C175" s="16">
        <v>2.7000000000000003E-2</v>
      </c>
      <c r="D175" s="1">
        <v>148517074</v>
      </c>
      <c r="E175" s="29">
        <f>Table14[[#This Row],[Ávöxtun]]*Table14[[#This Row],[Eignir]]/SUMIFS(Table14[Eignir],Table14[Year],Table14[[#This Row],[Year]])</f>
        <v>1.0501903108703814E-3</v>
      </c>
      <c r="F175" s="23" t="e">
        <f>IF(B175=1997, 100, IF(COUNTIF(A$1:A174,A175)=0, "NEW", F174*(1+Table14[[#This Row],[Ávöxtun]])))</f>
        <v>#VALUE!</v>
      </c>
      <c r="G175" s="18" t="str" cm="1">
        <f t="array" ref="G175">IFERROR(_xlfn.IFS(ISNUMBER(Table14[[#This Row],[Column3]]),Table14[[#This Row],[Column3]],Table14[[#This Row],[Column3]]="NEW",Table14[[#This Row],[Column3]]),"")</f>
        <v/>
      </c>
      <c r="H175" s="15" cm="1">
        <f t="array" ref="H175">_xlfn.IFS(Table14[[#This Row],[Column4]]="NEW",AVERAGEIFS(Table14[Column4],Table14[Year],Table14[[#This Row],[Year]]),ISNUMBER(Table14[[#This Row],[Column4]]),Table14[[#This Row],[Column4]],Table14[[#This Row],[Column4]]="",H174*(1+Table14[[#This Row],[Ávöxtun]]))</f>
        <v>200.22214332134556</v>
      </c>
      <c r="I175" cm="1">
        <f t="array" ref="I175">_xlfn.IFS(Table14[[#This Row],[Column4]]="NEW",_xlfn.XLOOKUP(Table14[[#This Row],[Year]],$M$2:$M$27,$O$2:$O$27),ISNUMBER(Table14[[#This Row],[Column4]]),Table14[[#This Row],[Column4]],Table14[[#This Row],[Column4]]="",I174*(1+Table14[[#This Row],[Ávöxtun]]))</f>
        <v>234.83634018829522</v>
      </c>
      <c r="L175" s="33">
        <v>234.83634018829522</v>
      </c>
    </row>
    <row r="176" spans="1:12">
      <c r="A176" t="s">
        <v>70</v>
      </c>
      <c r="B176">
        <v>2019</v>
      </c>
      <c r="C176" s="16">
        <v>0.1023</v>
      </c>
      <c r="D176" s="1">
        <v>176025022.56999999</v>
      </c>
      <c r="E176" s="29">
        <f>Table14[[#This Row],[Ávöxtun]]*Table14[[#This Row],[Eignir]]/SUMIFS(Table14[Eignir],Table14[Year],Table14[[#This Row],[Year]])</f>
        <v>4.0677324751516404E-3</v>
      </c>
      <c r="F176" s="23" t="e">
        <f>IF(B176=1997, 100, IF(COUNTIF(A$1:A175,A176)=0, "NEW", F175*(1+Table14[[#This Row],[Ávöxtun]])))</f>
        <v>#VALUE!</v>
      </c>
      <c r="G176" s="18" t="str" cm="1">
        <f t="array" ref="G176">IFERROR(_xlfn.IFS(ISNUMBER(Table14[[#This Row],[Column3]]),Table14[[#This Row],[Column3]],Table14[[#This Row],[Column3]]="NEW",Table14[[#This Row],[Column3]]),"")</f>
        <v/>
      </c>
      <c r="H176" s="15" cm="1">
        <f t="array" ref="H176">_xlfn.IFS(Table14[[#This Row],[Column4]]="NEW",AVERAGEIFS(Table14[Column4],Table14[Year],Table14[[#This Row],[Year]]),ISNUMBER(Table14[[#This Row],[Column4]]),Table14[[#This Row],[Column4]],Table14[[#This Row],[Column4]]="",H175*(1+Table14[[#This Row],[Ávöxtun]]))</f>
        <v>220.70486858311921</v>
      </c>
      <c r="I176" cm="1">
        <f t="array" ref="I176">_xlfn.IFS(Table14[[#This Row],[Column4]]="NEW",_xlfn.XLOOKUP(Table14[[#This Row],[Year]],$M$2:$M$27,$O$2:$O$27),ISNUMBER(Table14[[#This Row],[Column4]]),Table14[[#This Row],[Column4]],Table14[[#This Row],[Column4]]="",I175*(1+Table14[[#This Row],[Ávöxtun]]))</f>
        <v>258.86009778955781</v>
      </c>
      <c r="L176" s="33">
        <v>258.86009778955781</v>
      </c>
    </row>
    <row r="177" spans="1:12">
      <c r="A177" t="s">
        <v>70</v>
      </c>
      <c r="B177">
        <v>2020</v>
      </c>
      <c r="C177" s="16">
        <v>9.1199999999999989E-2</v>
      </c>
      <c r="D177" s="1">
        <v>205752769.16999999</v>
      </c>
      <c r="E177" s="29">
        <f>Table14[[#This Row],[Ávöxtun]]*Table14[[#This Row],[Eignir]]/SUMIFS(Table14[Eignir],Table14[Year],Table14[[#This Row],[Year]])</f>
        <v>3.6531173949966686E-3</v>
      </c>
      <c r="F177" s="23" t="e">
        <f>IF(B177=1997, 100, IF(COUNTIF(A$1:A176,A177)=0, "NEW", F176*(1+Table14[[#This Row],[Ávöxtun]])))</f>
        <v>#VALUE!</v>
      </c>
      <c r="G177" s="18" t="str" cm="1">
        <f t="array" ref="G177">IFERROR(_xlfn.IFS(ISNUMBER(Table14[[#This Row],[Column3]]),Table14[[#This Row],[Column3]],Table14[[#This Row],[Column3]]="NEW",Table14[[#This Row],[Column3]]),"")</f>
        <v/>
      </c>
      <c r="H177" s="15" cm="1">
        <f t="array" ref="H177">_xlfn.IFS(Table14[[#This Row],[Column4]]="NEW",AVERAGEIFS(Table14[Column4],Table14[Year],Table14[[#This Row],[Year]]),ISNUMBER(Table14[[#This Row],[Column4]]),Table14[[#This Row],[Column4]],Table14[[#This Row],[Column4]]="",H176*(1+Table14[[#This Row],[Ávöxtun]]))</f>
        <v>240.83315259789967</v>
      </c>
      <c r="I177" cm="1">
        <f t="array" ref="I177">_xlfn.IFS(Table14[[#This Row],[Column4]]="NEW",_xlfn.XLOOKUP(Table14[[#This Row],[Year]],$M$2:$M$27,$O$2:$O$27),ISNUMBER(Table14[[#This Row],[Column4]]),Table14[[#This Row],[Column4]],Table14[[#This Row],[Column4]]="",I176*(1+Table14[[#This Row],[Ávöxtun]]))</f>
        <v>282.46813870796547</v>
      </c>
      <c r="L177" s="33">
        <v>282.46813870796547</v>
      </c>
    </row>
    <row r="178" spans="1:12">
      <c r="A178" t="s">
        <v>70</v>
      </c>
      <c r="B178">
        <v>2021</v>
      </c>
      <c r="C178" s="16">
        <v>0.11</v>
      </c>
      <c r="D178" s="1">
        <v>246426482.16999999</v>
      </c>
      <c r="E178" s="29">
        <f>Table14[[#This Row],[Ávöxtun]]*Table14[[#This Row],[Eignir]]/SUMIFS(Table14[Eignir],Table14[Year],Table14[[#This Row],[Year]])</f>
        <v>4.4882723842463125E-3</v>
      </c>
      <c r="F178" s="23" t="e">
        <f>IF(B178=1997, 100, IF(COUNTIF(A$1:A177,A178)=0, "NEW", F177*(1+Table14[[#This Row],[Ávöxtun]])))</f>
        <v>#VALUE!</v>
      </c>
      <c r="G178" s="18" t="str" cm="1">
        <f t="array" ref="G178">IFERROR(_xlfn.IFS(ISNUMBER(Table14[[#This Row],[Column3]]),Table14[[#This Row],[Column3]],Table14[[#This Row],[Column3]]="NEW",Table14[[#This Row],[Column3]]),"")</f>
        <v/>
      </c>
      <c r="H178" s="15" cm="1">
        <f t="array" ref="H178">_xlfn.IFS(Table14[[#This Row],[Column4]]="NEW",AVERAGEIFS(Table14[Column4],Table14[Year],Table14[[#This Row],[Year]]),ISNUMBER(Table14[[#This Row],[Column4]]),Table14[[#This Row],[Column4]],Table14[[#This Row],[Column4]]="",H177*(1+Table14[[#This Row],[Ávöxtun]]))</f>
        <v>267.32479938366868</v>
      </c>
      <c r="I178" cm="1">
        <f t="array" ref="I178">_xlfn.IFS(Table14[[#This Row],[Column4]]="NEW",_xlfn.XLOOKUP(Table14[[#This Row],[Year]],$M$2:$M$27,$O$2:$O$27),ISNUMBER(Table14[[#This Row],[Column4]]),Table14[[#This Row],[Column4]],Table14[[#This Row],[Column4]]="",I177*(1+Table14[[#This Row],[Ávöxtun]]))</f>
        <v>313.53963396584169</v>
      </c>
      <c r="L178" s="33">
        <v>313.53963396584169</v>
      </c>
    </row>
    <row r="179" spans="1:12">
      <c r="A179" t="s">
        <v>71</v>
      </c>
      <c r="B179">
        <v>1999</v>
      </c>
      <c r="C179" s="16">
        <v>0.1</v>
      </c>
      <c r="D179" s="1">
        <v>7466280.2000000002</v>
      </c>
      <c r="E179" s="29">
        <f>Table14[[#This Row],[Ávöxtun]]*Table14[[#This Row],[Eignir]]/SUMIFS(Table14[Eignir],Table14[Year],Table14[[#This Row],[Year]])</f>
        <v>1.433846925951E-3</v>
      </c>
      <c r="F179" s="23" t="str">
        <f>IF(B179=1997, 100, IF(COUNTIF(A$1:A178,A179)=0, "NEW", F178*(1+Table14[[#This Row],[Ávöxtun]])))</f>
        <v>NEW</v>
      </c>
      <c r="G179" s="18" t="str" cm="1">
        <f t="array" ref="G179">IFERROR(_xlfn.IFS(ISNUMBER(Table14[[#This Row],[Column3]]),Table14[[#This Row],[Column3]],Table14[[#This Row],[Column3]]="NEW",Table14[[#This Row],[Column3]]),"")</f>
        <v>NEW</v>
      </c>
      <c r="H179" s="15" cm="1">
        <f t="array" ref="H179">_xlfn.IFS(Table14[[#This Row],[Column4]]="NEW",AVERAGEIFS(Table14[Column4],Table14[Year],Table14[[#This Row],[Year]]),ISNUMBER(Table14[[#This Row],[Column4]]),Table14[[#This Row],[Column4]],Table14[[#This Row],[Column4]]="",H178*(1+Table14[[#This Row],[Ávöxtun]]))</f>
        <v>117.05306122448981</v>
      </c>
      <c r="I179" cm="1">
        <f t="array" ref="I179">_xlfn.IFS(Table14[[#This Row],[Column4]]="NEW",_xlfn.XLOOKUP(Table14[[#This Row],[Year]],$M$2:$M$27,$O$2:$O$27),ISNUMBER(Table14[[#This Row],[Column4]]),Table14[[#This Row],[Column4]],Table14[[#This Row],[Column4]]="",I178*(1+Table14[[#This Row],[Ávöxtun]]))</f>
        <v>120.02032965757705</v>
      </c>
      <c r="L179" s="33">
        <v>120.02032965757705</v>
      </c>
    </row>
    <row r="180" spans="1:12">
      <c r="A180" t="s">
        <v>71</v>
      </c>
      <c r="B180">
        <v>2000</v>
      </c>
      <c r="C180" s="16">
        <v>-0.01</v>
      </c>
      <c r="D180" s="1">
        <v>8867305.8699999992</v>
      </c>
      <c r="E180" s="29">
        <f>Table14[[#This Row],[Ávöxtun]]*Table14[[#This Row],[Eignir]]/SUMIFS(Table14[Eignir],Table14[Year],Table14[[#This Row],[Year]])</f>
        <v>-1.247353244063344E-4</v>
      </c>
      <c r="F180" s="23" t="e">
        <f>IF(B180=1997, 100, IF(COUNTIF(A$1:A179,A180)=0, "NEW", F179*(1+Table14[[#This Row],[Ávöxtun]])))</f>
        <v>#VALUE!</v>
      </c>
      <c r="G180" s="18" t="str" cm="1">
        <f t="array" ref="G180">IFERROR(_xlfn.IFS(ISNUMBER(Table14[[#This Row],[Column3]]),Table14[[#This Row],[Column3]],Table14[[#This Row],[Column3]]="NEW",Table14[[#This Row],[Column3]]),"")</f>
        <v/>
      </c>
      <c r="H180" s="15" cm="1">
        <f t="array" ref="H180">_xlfn.IFS(Table14[[#This Row],[Column4]]="NEW",AVERAGEIFS(Table14[Column4],Table14[Year],Table14[[#This Row],[Year]]),ISNUMBER(Table14[[#This Row],[Column4]]),Table14[[#This Row],[Column4]],Table14[[#This Row],[Column4]]="",H179*(1+Table14[[#This Row],[Ávöxtun]]))</f>
        <v>115.88253061224491</v>
      </c>
      <c r="I180" cm="1">
        <f t="array" ref="I180">_xlfn.IFS(Table14[[#This Row],[Column4]]="NEW",_xlfn.XLOOKUP(Table14[[#This Row],[Year]],$M$2:$M$27,$O$2:$O$27),ISNUMBER(Table14[[#This Row],[Column4]]),Table14[[#This Row],[Column4]],Table14[[#This Row],[Column4]]="",I179*(1+Table14[[#This Row],[Ávöxtun]]))</f>
        <v>118.82012636100129</v>
      </c>
      <c r="L180" s="33">
        <v>118.82012636100129</v>
      </c>
    </row>
    <row r="181" spans="1:12">
      <c r="A181" t="s">
        <v>71</v>
      </c>
      <c r="B181">
        <v>2001</v>
      </c>
      <c r="C181" s="16">
        <v>-0.05</v>
      </c>
      <c r="D181" s="1">
        <v>11693253</v>
      </c>
      <c r="E181" s="29">
        <f>Table14[[#This Row],[Ávöxtun]]*Table14[[#This Row],[Eignir]]/SUMIFS(Table14[Eignir],Table14[Year],Table14[[#This Row],[Year]])</f>
        <v>-5.0492677323895707E-4</v>
      </c>
      <c r="F181" s="23" t="e">
        <f>IF(B181=1997, 100, IF(COUNTIF(A$1:A180,A181)=0, "NEW", F180*(1+Table14[[#This Row],[Ávöxtun]])))</f>
        <v>#VALUE!</v>
      </c>
      <c r="G181" s="18" t="str" cm="1">
        <f t="array" ref="G181">IFERROR(_xlfn.IFS(ISNUMBER(Table14[[#This Row],[Column3]]),Table14[[#This Row],[Column3]],Table14[[#This Row],[Column3]]="NEW",Table14[[#This Row],[Column3]]),"")</f>
        <v/>
      </c>
      <c r="H181" s="15" cm="1">
        <f t="array" ref="H181">_xlfn.IFS(Table14[[#This Row],[Column4]]="NEW",AVERAGEIFS(Table14[Column4],Table14[Year],Table14[[#This Row],[Year]]),ISNUMBER(Table14[[#This Row],[Column4]]),Table14[[#This Row],[Column4]],Table14[[#This Row],[Column4]]="",H180*(1+Table14[[#This Row],[Ávöxtun]]))</f>
        <v>110.08840408163266</v>
      </c>
      <c r="I181" cm="1">
        <f t="array" ref="I181">_xlfn.IFS(Table14[[#This Row],[Column4]]="NEW",_xlfn.XLOOKUP(Table14[[#This Row],[Year]],$M$2:$M$27,$O$2:$O$27),ISNUMBER(Table14[[#This Row],[Column4]]),Table14[[#This Row],[Column4]],Table14[[#This Row],[Column4]]="",I180*(1+Table14[[#This Row],[Ávöxtun]]))</f>
        <v>112.87912004295121</v>
      </c>
      <c r="L181" s="33">
        <v>112.87912004295121</v>
      </c>
    </row>
    <row r="182" spans="1:12">
      <c r="A182" t="s">
        <v>71</v>
      </c>
      <c r="B182">
        <v>2002</v>
      </c>
      <c r="C182" s="16">
        <v>-0.09</v>
      </c>
      <c r="D182" s="1">
        <v>1876502</v>
      </c>
      <c r="E182" s="29">
        <f>Table14[[#This Row],[Ávöxtun]]*Table14[[#This Row],[Eignir]]/SUMIFS(Table14[Eignir],Table14[Year],Table14[[#This Row],[Year]])</f>
        <v>-2.6589217697525237E-4</v>
      </c>
      <c r="F182" s="23" t="e">
        <f>IF(B182=1997, 100, IF(COUNTIF(A$1:A181,A182)=0, "NEW", F181*(1+Table14[[#This Row],[Ávöxtun]])))</f>
        <v>#VALUE!</v>
      </c>
      <c r="G182" s="18" t="str" cm="1">
        <f t="array" ref="G182">IFERROR(_xlfn.IFS(ISNUMBER(Table14[[#This Row],[Column3]]),Table14[[#This Row],[Column3]],Table14[[#This Row],[Column3]]="NEW",Table14[[#This Row],[Column3]]),"")</f>
        <v/>
      </c>
      <c r="H182" s="15" cm="1">
        <f t="array" ref="H182">_xlfn.IFS(Table14[[#This Row],[Column4]]="NEW",AVERAGEIFS(Table14[Column4],Table14[Year],Table14[[#This Row],[Year]]),ISNUMBER(Table14[[#This Row],[Column4]]),Table14[[#This Row],[Column4]],Table14[[#This Row],[Column4]]="",H181*(1+Table14[[#This Row],[Ávöxtun]]))</f>
        <v>100.18044771428572</v>
      </c>
      <c r="I182" cm="1">
        <f t="array" ref="I182">_xlfn.IFS(Table14[[#This Row],[Column4]]="NEW",_xlfn.XLOOKUP(Table14[[#This Row],[Year]],$M$2:$M$27,$O$2:$O$27),ISNUMBER(Table14[[#This Row],[Column4]]),Table14[[#This Row],[Column4]],Table14[[#This Row],[Column4]]="",I181*(1+Table14[[#This Row],[Ávöxtun]]))</f>
        <v>102.71999923908561</v>
      </c>
      <c r="L182" s="33">
        <v>102.71999923908561</v>
      </c>
    </row>
    <row r="183" spans="1:12">
      <c r="A183" t="s">
        <v>71</v>
      </c>
      <c r="B183">
        <v>2003</v>
      </c>
      <c r="C183" s="16">
        <v>0.16</v>
      </c>
      <c r="D183" s="1">
        <v>3112396</v>
      </c>
      <c r="E183" s="29">
        <f>Table14[[#This Row],[Ávöxtun]]*Table14[[#This Row],[Eignir]]/SUMIFS(Table14[Eignir],Table14[Year],Table14[[#This Row],[Year]])</f>
        <v>6.5533491149112632E-4</v>
      </c>
      <c r="F183" s="23" t="e">
        <f>IF(B183=1997, 100, IF(COUNTIF(A$1:A182,A183)=0, "NEW", F182*(1+Table14[[#This Row],[Ávöxtun]])))</f>
        <v>#VALUE!</v>
      </c>
      <c r="G183" s="18" t="str" cm="1">
        <f t="array" ref="G183">IFERROR(_xlfn.IFS(ISNUMBER(Table14[[#This Row],[Column3]]),Table14[[#This Row],[Column3]],Table14[[#This Row],[Column3]]="NEW",Table14[[#This Row],[Column3]]),"")</f>
        <v/>
      </c>
      <c r="H183" s="15" cm="1">
        <f t="array" ref="H183">_xlfn.IFS(Table14[[#This Row],[Column4]]="NEW",AVERAGEIFS(Table14[Column4],Table14[Year],Table14[[#This Row],[Year]]),ISNUMBER(Table14[[#This Row],[Column4]]),Table14[[#This Row],[Column4]],Table14[[#This Row],[Column4]]="",H182*(1+Table14[[#This Row],[Ávöxtun]]))</f>
        <v>116.20931934857143</v>
      </c>
      <c r="I183" cm="1">
        <f t="array" ref="I183">_xlfn.IFS(Table14[[#This Row],[Column4]]="NEW",_xlfn.XLOOKUP(Table14[[#This Row],[Year]],$M$2:$M$27,$O$2:$O$27),ISNUMBER(Table14[[#This Row],[Column4]]),Table14[[#This Row],[Column4]],Table14[[#This Row],[Column4]]="",I182*(1+Table14[[#This Row],[Ávöxtun]]))</f>
        <v>119.15519911733929</v>
      </c>
      <c r="L183" s="33">
        <v>119.15519911733929</v>
      </c>
    </row>
    <row r="184" spans="1:12">
      <c r="A184" t="s">
        <v>71</v>
      </c>
      <c r="B184">
        <v>2004</v>
      </c>
      <c r="C184" s="16">
        <v>0.09</v>
      </c>
      <c r="D184" s="1">
        <v>5182588.8</v>
      </c>
      <c r="E184" s="29">
        <f>Table14[[#This Row],[Ávöxtun]]*Table14[[#This Row],[Eignir]]/SUMIFS(Table14[Eignir],Table14[Year],Table14[[#This Row],[Year]])</f>
        <v>5.1387924418053882E-4</v>
      </c>
      <c r="F184" s="23" t="e">
        <f>IF(B184=1997, 100, IF(COUNTIF(A$1:A183,A184)=0, "NEW", F183*(1+Table14[[#This Row],[Ávöxtun]])))</f>
        <v>#VALUE!</v>
      </c>
      <c r="G184" s="18" t="str" cm="1">
        <f t="array" ref="G184">IFERROR(_xlfn.IFS(ISNUMBER(Table14[[#This Row],[Column3]]),Table14[[#This Row],[Column3]],Table14[[#This Row],[Column3]]="NEW",Table14[[#This Row],[Column3]]),"")</f>
        <v/>
      </c>
      <c r="H184" s="15" cm="1">
        <f t="array" ref="H184">_xlfn.IFS(Table14[[#This Row],[Column4]]="NEW",AVERAGEIFS(Table14[Column4],Table14[Year],Table14[[#This Row],[Year]]),ISNUMBER(Table14[[#This Row],[Column4]]),Table14[[#This Row],[Column4]],Table14[[#This Row],[Column4]]="",H183*(1+Table14[[#This Row],[Ávöxtun]]))</f>
        <v>126.66815808994286</v>
      </c>
      <c r="I184" cm="1">
        <f t="array" ref="I184">_xlfn.IFS(Table14[[#This Row],[Column4]]="NEW",_xlfn.XLOOKUP(Table14[[#This Row],[Year]],$M$2:$M$27,$O$2:$O$27),ISNUMBER(Table14[[#This Row],[Column4]]),Table14[[#This Row],[Column4]],Table14[[#This Row],[Column4]]="",I183*(1+Table14[[#This Row],[Ávöxtun]]))</f>
        <v>129.87916703789983</v>
      </c>
      <c r="L184" s="33">
        <v>129.87916703789983</v>
      </c>
    </row>
    <row r="185" spans="1:12">
      <c r="A185" t="s">
        <v>71</v>
      </c>
      <c r="B185">
        <v>2005</v>
      </c>
      <c r="C185" s="16">
        <v>0.12</v>
      </c>
      <c r="D185" s="1">
        <v>7064513</v>
      </c>
      <c r="E185" s="29">
        <f>Table14[[#This Row],[Ávöxtun]]*Table14[[#This Row],[Eignir]]/SUMIFS(Table14[Eignir],Table14[Year],Table14[[#This Row],[Year]])</f>
        <v>7.5600912107354093E-4</v>
      </c>
      <c r="F185" s="23" t="e">
        <f>IF(B185=1997, 100, IF(COUNTIF(A$1:A184,A185)=0, "NEW", F184*(1+Table14[[#This Row],[Ávöxtun]])))</f>
        <v>#VALUE!</v>
      </c>
      <c r="G185" s="18" t="str" cm="1">
        <f t="array" ref="G185">IFERROR(_xlfn.IFS(ISNUMBER(Table14[[#This Row],[Column3]]),Table14[[#This Row],[Column3]],Table14[[#This Row],[Column3]]="NEW",Table14[[#This Row],[Column3]]),"")</f>
        <v/>
      </c>
      <c r="H185" s="15" cm="1">
        <f t="array" ref="H185">_xlfn.IFS(Table14[[#This Row],[Column4]]="NEW",AVERAGEIFS(Table14[Column4],Table14[Year],Table14[[#This Row],[Year]]),ISNUMBER(Table14[[#This Row],[Column4]]),Table14[[#This Row],[Column4]],Table14[[#This Row],[Column4]]="",H184*(1+Table14[[#This Row],[Ávöxtun]]))</f>
        <v>141.86833706073602</v>
      </c>
      <c r="I185" cm="1">
        <f t="array" ref="I185">_xlfn.IFS(Table14[[#This Row],[Column4]]="NEW",_xlfn.XLOOKUP(Table14[[#This Row],[Year]],$M$2:$M$27,$O$2:$O$27),ISNUMBER(Table14[[#This Row],[Column4]]),Table14[[#This Row],[Column4]],Table14[[#This Row],[Column4]]="",I184*(1+Table14[[#This Row],[Ávöxtun]]))</f>
        <v>145.46466708244782</v>
      </c>
      <c r="L185" s="33">
        <v>145.46466708244782</v>
      </c>
    </row>
    <row r="186" spans="1:12">
      <c r="A186" t="s">
        <v>71</v>
      </c>
      <c r="B186">
        <v>2006</v>
      </c>
      <c r="C186" s="16">
        <v>0.11410000000000001</v>
      </c>
      <c r="D186" s="1">
        <v>11594418</v>
      </c>
      <c r="E186" s="29">
        <f>Table14[[#This Row],[Ávöxtun]]*Table14[[#This Row],[Eignir]]/SUMIFS(Table14[Eignir],Table14[Year],Table14[[#This Row],[Year]])</f>
        <v>9.6375506000820419E-4</v>
      </c>
      <c r="F186" s="23" t="e">
        <f>IF(B186=1997, 100, IF(COUNTIF(A$1:A185,A186)=0, "NEW", F185*(1+Table14[[#This Row],[Ávöxtun]])))</f>
        <v>#VALUE!</v>
      </c>
      <c r="G186" s="18" t="str" cm="1">
        <f t="array" ref="G186">IFERROR(_xlfn.IFS(ISNUMBER(Table14[[#This Row],[Column3]]),Table14[[#This Row],[Column3]],Table14[[#This Row],[Column3]]="NEW",Table14[[#This Row],[Column3]]),"")</f>
        <v/>
      </c>
      <c r="H186" s="15" cm="1">
        <f t="array" ref="H186">_xlfn.IFS(Table14[[#This Row],[Column4]]="NEW",AVERAGEIFS(Table14[Column4],Table14[Year],Table14[[#This Row],[Year]]),ISNUMBER(Table14[[#This Row],[Column4]]),Table14[[#This Row],[Column4]],Table14[[#This Row],[Column4]]="",H185*(1+Table14[[#This Row],[Ávöxtun]]))</f>
        <v>158.05551431936601</v>
      </c>
      <c r="I186" cm="1">
        <f t="array" ref="I186">_xlfn.IFS(Table14[[#This Row],[Column4]]="NEW",_xlfn.XLOOKUP(Table14[[#This Row],[Year]],$M$2:$M$27,$O$2:$O$27),ISNUMBER(Table14[[#This Row],[Column4]]),Table14[[#This Row],[Column4]],Table14[[#This Row],[Column4]]="",I185*(1+Table14[[#This Row],[Ávöxtun]]))</f>
        <v>162.06218559655514</v>
      </c>
      <c r="L186" s="33">
        <v>162.06218559655514</v>
      </c>
    </row>
    <row r="187" spans="1:12">
      <c r="A187" t="s">
        <v>71</v>
      </c>
      <c r="B187">
        <v>2007</v>
      </c>
      <c r="C187" s="16">
        <v>-2.35E-2</v>
      </c>
      <c r="D187" s="1">
        <v>12728071</v>
      </c>
      <c r="E187" s="29">
        <f>Table14[[#This Row],[Ávöxtun]]*Table14[[#This Row],[Eignir]]/SUMIFS(Table14[Eignir],Table14[Year],Table14[[#This Row],[Year]])</f>
        <v>-1.9342221969863928E-4</v>
      </c>
      <c r="F187" s="23" t="e">
        <f>IF(B187=1997, 100, IF(COUNTIF(A$1:A186,A187)=0, "NEW", F186*(1+Table14[[#This Row],[Ávöxtun]])))</f>
        <v>#VALUE!</v>
      </c>
      <c r="G187" s="18" t="str" cm="1">
        <f t="array" ref="G187">IFERROR(_xlfn.IFS(ISNUMBER(Table14[[#This Row],[Column3]]),Table14[[#This Row],[Column3]],Table14[[#This Row],[Column3]]="NEW",Table14[[#This Row],[Column3]]),"")</f>
        <v/>
      </c>
      <c r="H187" s="15" cm="1">
        <f t="array" ref="H187">_xlfn.IFS(Table14[[#This Row],[Column4]]="NEW",AVERAGEIFS(Table14[Column4],Table14[Year],Table14[[#This Row],[Year]]),ISNUMBER(Table14[[#This Row],[Column4]]),Table14[[#This Row],[Column4]],Table14[[#This Row],[Column4]]="",H186*(1+Table14[[#This Row],[Ávöxtun]]))</f>
        <v>154.3412097328609</v>
      </c>
      <c r="I187" cm="1">
        <f t="array" ref="I187">_xlfn.IFS(Table14[[#This Row],[Column4]]="NEW",_xlfn.XLOOKUP(Table14[[#This Row],[Year]],$M$2:$M$27,$O$2:$O$27),ISNUMBER(Table14[[#This Row],[Column4]]),Table14[[#This Row],[Column4]],Table14[[#This Row],[Column4]]="",I186*(1+Table14[[#This Row],[Ávöxtun]]))</f>
        <v>158.25372423503609</v>
      </c>
      <c r="L187" s="33">
        <v>158.25372423503609</v>
      </c>
    </row>
    <row r="188" spans="1:12">
      <c r="A188" t="s">
        <v>71</v>
      </c>
      <c r="B188">
        <v>2008</v>
      </c>
      <c r="C188" s="16">
        <v>-0.20620000000000002</v>
      </c>
      <c r="D188" s="1">
        <v>13755504</v>
      </c>
      <c r="E188" s="29">
        <f>Table14[[#This Row],[Ávöxtun]]*Table14[[#This Row],[Eignir]]/SUMIFS(Table14[Eignir],Table14[Year],Table14[[#This Row],[Year]])</f>
        <v>-1.8943104340176386E-3</v>
      </c>
      <c r="F188" s="23" t="e">
        <f>IF(B188=1997, 100, IF(COUNTIF(A$1:A187,A188)=0, "NEW", F187*(1+Table14[[#This Row],[Ávöxtun]])))</f>
        <v>#VALUE!</v>
      </c>
      <c r="G188" s="18" t="str" cm="1">
        <f t="array" ref="G188">IFERROR(_xlfn.IFS(ISNUMBER(Table14[[#This Row],[Column3]]),Table14[[#This Row],[Column3]],Table14[[#This Row],[Column3]]="NEW",Table14[[#This Row],[Column3]]),"")</f>
        <v/>
      </c>
      <c r="H188" s="15" cm="1">
        <f t="array" ref="H188">_xlfn.IFS(Table14[[#This Row],[Column4]]="NEW",AVERAGEIFS(Table14[Column4],Table14[Year],Table14[[#This Row],[Year]]),ISNUMBER(Table14[[#This Row],[Column4]]),Table14[[#This Row],[Column4]],Table14[[#This Row],[Column4]]="",H187*(1+Table14[[#This Row],[Ávöxtun]]))</f>
        <v>122.51605228594498</v>
      </c>
      <c r="I188" cm="1">
        <f t="array" ref="I188">_xlfn.IFS(Table14[[#This Row],[Column4]]="NEW",_xlfn.XLOOKUP(Table14[[#This Row],[Year]],$M$2:$M$27,$O$2:$O$27),ISNUMBER(Table14[[#This Row],[Column4]]),Table14[[#This Row],[Column4]],Table14[[#This Row],[Column4]]="",I187*(1+Table14[[#This Row],[Ávöxtun]]))</f>
        <v>125.62180629777164</v>
      </c>
      <c r="L188" s="33">
        <v>125.62180629777164</v>
      </c>
    </row>
    <row r="189" spans="1:12">
      <c r="A189" t="s">
        <v>71</v>
      </c>
      <c r="B189">
        <v>2009</v>
      </c>
      <c r="C189" s="16">
        <v>5.7999999999999996E-3</v>
      </c>
      <c r="D189" s="1">
        <v>16690404</v>
      </c>
      <c r="E189" s="29">
        <f>Table14[[#This Row],[Ávöxtun]]*Table14[[#This Row],[Eignir]]/SUMIFS(Table14[Eignir],Table14[Year],Table14[[#This Row],[Year]])</f>
        <v>5.8027189130394382E-5</v>
      </c>
      <c r="F189" s="23" t="e">
        <f>IF(B189=1997, 100, IF(COUNTIF(A$1:A188,A189)=0, "NEW", F188*(1+Table14[[#This Row],[Ávöxtun]])))</f>
        <v>#VALUE!</v>
      </c>
      <c r="G189" s="18" t="str" cm="1">
        <f t="array" ref="G189">IFERROR(_xlfn.IFS(ISNUMBER(Table14[[#This Row],[Column3]]),Table14[[#This Row],[Column3]],Table14[[#This Row],[Column3]]="NEW",Table14[[#This Row],[Column3]]),"")</f>
        <v/>
      </c>
      <c r="H189" s="15" cm="1">
        <f t="array" ref="H189">_xlfn.IFS(Table14[[#This Row],[Column4]]="NEW",AVERAGEIFS(Table14[Column4],Table14[Year],Table14[[#This Row],[Year]]),ISNUMBER(Table14[[#This Row],[Column4]]),Table14[[#This Row],[Column4]],Table14[[#This Row],[Column4]]="",H188*(1+Table14[[#This Row],[Ávöxtun]]))</f>
        <v>123.22664538920347</v>
      </c>
      <c r="I189" cm="1">
        <f t="array" ref="I189">_xlfn.IFS(Table14[[#This Row],[Column4]]="NEW",_xlfn.XLOOKUP(Table14[[#This Row],[Year]],$M$2:$M$27,$O$2:$O$27),ISNUMBER(Table14[[#This Row],[Column4]]),Table14[[#This Row],[Column4]],Table14[[#This Row],[Column4]]="",I188*(1+Table14[[#This Row],[Ávöxtun]]))</f>
        <v>126.35041277429872</v>
      </c>
      <c r="L189" s="33">
        <v>126.35041277429872</v>
      </c>
    </row>
    <row r="190" spans="1:12">
      <c r="A190" t="s">
        <v>71</v>
      </c>
      <c r="B190">
        <v>2010</v>
      </c>
      <c r="C190" s="16">
        <v>5.0199999999999995E-2</v>
      </c>
      <c r="D190" s="1">
        <v>19866077</v>
      </c>
      <c r="E190" s="29">
        <f>Table14[[#This Row],[Ávöxtun]]*Table14[[#This Row],[Eignir]]/SUMIFS(Table14[Eignir],Table14[Year],Table14[[#This Row],[Year]])</f>
        <v>5.5782781248664697E-4</v>
      </c>
      <c r="F190" s="23" t="e">
        <f>IF(B190=1997, 100, IF(COUNTIF(A$1:A189,A190)=0, "NEW", F189*(1+Table14[[#This Row],[Ávöxtun]])))</f>
        <v>#VALUE!</v>
      </c>
      <c r="G190" s="18" t="str" cm="1">
        <f t="array" ref="G190">IFERROR(_xlfn.IFS(ISNUMBER(Table14[[#This Row],[Column3]]),Table14[[#This Row],[Column3]],Table14[[#This Row],[Column3]]="NEW",Table14[[#This Row],[Column3]]),"")</f>
        <v/>
      </c>
      <c r="H190" s="15" cm="1">
        <f t="array" ref="H190">_xlfn.IFS(Table14[[#This Row],[Column4]]="NEW",AVERAGEIFS(Table14[Column4],Table14[Year],Table14[[#This Row],[Year]]),ISNUMBER(Table14[[#This Row],[Column4]]),Table14[[#This Row],[Column4]],Table14[[#This Row],[Column4]]="",H189*(1+Table14[[#This Row],[Ávöxtun]]))</f>
        <v>129.41262298774149</v>
      </c>
      <c r="I190" cm="1">
        <f t="array" ref="I190">_xlfn.IFS(Table14[[#This Row],[Column4]]="NEW",_xlfn.XLOOKUP(Table14[[#This Row],[Year]],$M$2:$M$27,$O$2:$O$27),ISNUMBER(Table14[[#This Row],[Column4]]),Table14[[#This Row],[Column4]],Table14[[#This Row],[Column4]]="",I189*(1+Table14[[#This Row],[Ávöxtun]]))</f>
        <v>132.69320349556853</v>
      </c>
      <c r="L190" s="33">
        <v>132.69320349556853</v>
      </c>
    </row>
    <row r="191" spans="1:12">
      <c r="A191" t="s">
        <v>71</v>
      </c>
      <c r="B191">
        <v>2011</v>
      </c>
      <c r="C191" s="16">
        <v>3.6000000000000004E-2</v>
      </c>
      <c r="D191" s="1">
        <v>23879708</v>
      </c>
      <c r="E191" s="29">
        <f>Table14[[#This Row],[Ávöxtun]]*Table14[[#This Row],[Eignir]]/SUMIFS(Table14[Eignir],Table14[Year],Table14[[#This Row],[Year]])</f>
        <v>4.4072984175215133E-4</v>
      </c>
      <c r="F191" s="23" t="e">
        <f>IF(B191=1997, 100, IF(COUNTIF(A$1:A190,A191)=0, "NEW", F190*(1+Table14[[#This Row],[Ávöxtun]])))</f>
        <v>#VALUE!</v>
      </c>
      <c r="G191" s="18" t="str" cm="1">
        <f t="array" ref="G191">IFERROR(_xlfn.IFS(ISNUMBER(Table14[[#This Row],[Column3]]),Table14[[#This Row],[Column3]],Table14[[#This Row],[Column3]]="NEW",Table14[[#This Row],[Column3]]),"")</f>
        <v/>
      </c>
      <c r="H191" s="15" cm="1">
        <f t="array" ref="H191">_xlfn.IFS(Table14[[#This Row],[Column4]]="NEW",AVERAGEIFS(Table14[Column4],Table14[Year],Table14[[#This Row],[Year]]),ISNUMBER(Table14[[#This Row],[Column4]]),Table14[[#This Row],[Column4]],Table14[[#This Row],[Column4]]="",H190*(1+Table14[[#This Row],[Ávöxtun]]))</f>
        <v>134.07147741530019</v>
      </c>
      <c r="I191" cm="1">
        <f t="array" ref="I191">_xlfn.IFS(Table14[[#This Row],[Column4]]="NEW",_xlfn.XLOOKUP(Table14[[#This Row],[Year]],$M$2:$M$27,$O$2:$O$27),ISNUMBER(Table14[[#This Row],[Column4]]),Table14[[#This Row],[Column4]],Table14[[#This Row],[Column4]]="",I190*(1+Table14[[#This Row],[Ávöxtun]]))</f>
        <v>137.470158821409</v>
      </c>
      <c r="L191" s="33">
        <v>137.470158821409</v>
      </c>
    </row>
    <row r="192" spans="1:12">
      <c r="A192" t="s">
        <v>71</v>
      </c>
      <c r="B192">
        <v>2012</v>
      </c>
      <c r="C192" s="16">
        <v>5.7000000000000002E-2</v>
      </c>
      <c r="D192" s="1">
        <v>29200973</v>
      </c>
      <c r="E192" s="29">
        <f>Table14[[#This Row],[Ávöxtun]]*Table14[[#This Row],[Eignir]]/SUMIFS(Table14[Eignir],Table14[Year],Table14[[#This Row],[Year]])</f>
        <v>7.5559422855919778E-4</v>
      </c>
      <c r="F192" s="23" t="e">
        <f>IF(B192=1997, 100, IF(COUNTIF(A$1:A191,A192)=0, "NEW", F191*(1+Table14[[#This Row],[Ávöxtun]])))</f>
        <v>#VALUE!</v>
      </c>
      <c r="G192" s="18" t="str" cm="1">
        <f t="array" ref="G192">IFERROR(_xlfn.IFS(ISNUMBER(Table14[[#This Row],[Column3]]),Table14[[#This Row],[Column3]],Table14[[#This Row],[Column3]]="NEW",Table14[[#This Row],[Column3]]),"")</f>
        <v/>
      </c>
      <c r="H192" s="15" cm="1">
        <f t="array" ref="H192">_xlfn.IFS(Table14[[#This Row],[Column4]]="NEW",AVERAGEIFS(Table14[Column4],Table14[Year],Table14[[#This Row],[Year]]),ISNUMBER(Table14[[#This Row],[Column4]]),Table14[[#This Row],[Column4]],Table14[[#This Row],[Column4]]="",H191*(1+Table14[[#This Row],[Ávöxtun]]))</f>
        <v>141.71355162797229</v>
      </c>
      <c r="I192" cm="1">
        <f t="array" ref="I192">_xlfn.IFS(Table14[[#This Row],[Column4]]="NEW",_xlfn.XLOOKUP(Table14[[#This Row],[Year]],$M$2:$M$27,$O$2:$O$27),ISNUMBER(Table14[[#This Row],[Column4]]),Table14[[#This Row],[Column4]],Table14[[#This Row],[Column4]]="",I191*(1+Table14[[#This Row],[Ávöxtun]]))</f>
        <v>145.30595787422931</v>
      </c>
      <c r="L192" s="33">
        <v>145.30595787422931</v>
      </c>
    </row>
    <row r="193" spans="1:12">
      <c r="A193" t="s">
        <v>71</v>
      </c>
      <c r="B193">
        <v>2013</v>
      </c>
      <c r="C193" s="16">
        <v>5.2999999999999999E-2</v>
      </c>
      <c r="D193" s="1">
        <v>35016806</v>
      </c>
      <c r="E193" s="29">
        <f>Table14[[#This Row],[Ávöxtun]]*Table14[[#This Row],[Eignir]]/SUMIFS(Table14[Eignir],Table14[Year],Table14[[#This Row],[Year]])</f>
        <v>7.6261765584244724E-4</v>
      </c>
      <c r="F193" s="23" t="e">
        <f>IF(B193=1997, 100, IF(COUNTIF(A$1:A192,A193)=0, "NEW", F192*(1+Table14[[#This Row],[Ávöxtun]])))</f>
        <v>#VALUE!</v>
      </c>
      <c r="G193" s="18" t="str" cm="1">
        <f t="array" ref="G193">IFERROR(_xlfn.IFS(ISNUMBER(Table14[[#This Row],[Column3]]),Table14[[#This Row],[Column3]],Table14[[#This Row],[Column3]]="NEW",Table14[[#This Row],[Column3]]),"")</f>
        <v/>
      </c>
      <c r="H193" s="15" cm="1">
        <f t="array" ref="H193">_xlfn.IFS(Table14[[#This Row],[Column4]]="NEW",AVERAGEIFS(Table14[Column4],Table14[Year],Table14[[#This Row],[Year]]),ISNUMBER(Table14[[#This Row],[Column4]]),Table14[[#This Row],[Column4]],Table14[[#This Row],[Column4]]="",H192*(1+Table14[[#This Row],[Ávöxtun]]))</f>
        <v>149.22436986425481</v>
      </c>
      <c r="I193" cm="1">
        <f t="array" ref="I193">_xlfn.IFS(Table14[[#This Row],[Column4]]="NEW",_xlfn.XLOOKUP(Table14[[#This Row],[Year]],$M$2:$M$27,$O$2:$O$27),ISNUMBER(Table14[[#This Row],[Column4]]),Table14[[#This Row],[Column4]],Table14[[#This Row],[Column4]]="",I192*(1+Table14[[#This Row],[Ávöxtun]]))</f>
        <v>153.00717364156344</v>
      </c>
      <c r="L193" s="33">
        <v>153.00717364156344</v>
      </c>
    </row>
    <row r="194" spans="1:12">
      <c r="A194" t="s">
        <v>71</v>
      </c>
      <c r="B194">
        <v>2014</v>
      </c>
      <c r="C194" s="16">
        <v>4.4999999999999998E-2</v>
      </c>
      <c r="D194" s="1">
        <v>40731963</v>
      </c>
      <c r="E194" s="29">
        <f>Table14[[#This Row],[Ávöxtun]]*Table14[[#This Row],[Eignir]]/SUMIFS(Table14[Eignir],Table14[Year],Table14[[#This Row],[Year]])</f>
        <v>6.9088789132394385E-4</v>
      </c>
      <c r="F194" s="23" t="e">
        <f>IF(B194=1997, 100, IF(COUNTIF(A$1:A193,A194)=0, "NEW", F193*(1+Table14[[#This Row],[Ávöxtun]])))</f>
        <v>#VALUE!</v>
      </c>
      <c r="G194" s="18" t="str" cm="1">
        <f t="array" ref="G194">IFERROR(_xlfn.IFS(ISNUMBER(Table14[[#This Row],[Column3]]),Table14[[#This Row],[Column3]],Table14[[#This Row],[Column3]]="NEW",Table14[[#This Row],[Column3]]),"")</f>
        <v/>
      </c>
      <c r="H194" s="15" cm="1">
        <f t="array" ref="H194">_xlfn.IFS(Table14[[#This Row],[Column4]]="NEW",AVERAGEIFS(Table14[Column4],Table14[Year],Table14[[#This Row],[Year]]),ISNUMBER(Table14[[#This Row],[Column4]]),Table14[[#This Row],[Column4]],Table14[[#This Row],[Column4]]="",H193*(1+Table14[[#This Row],[Ávöxtun]]))</f>
        <v>155.93946650814627</v>
      </c>
      <c r="I194" cm="1">
        <f t="array" ref="I194">_xlfn.IFS(Table14[[#This Row],[Column4]]="NEW",_xlfn.XLOOKUP(Table14[[#This Row],[Year]],$M$2:$M$27,$O$2:$O$27),ISNUMBER(Table14[[#This Row],[Column4]]),Table14[[#This Row],[Column4]],Table14[[#This Row],[Column4]]="",I193*(1+Table14[[#This Row],[Ávöxtun]]))</f>
        <v>159.89249645543379</v>
      </c>
      <c r="L194" s="33">
        <v>159.89249645543379</v>
      </c>
    </row>
    <row r="195" spans="1:12">
      <c r="A195" t="s">
        <v>71</v>
      </c>
      <c r="B195">
        <v>2015</v>
      </c>
      <c r="C195" s="16">
        <v>8.4000000000000005E-2</v>
      </c>
      <c r="D195" s="1">
        <v>49307622</v>
      </c>
      <c r="E195" s="29">
        <f>Table14[[#This Row],[Ávöxtun]]*Table14[[#This Row],[Eignir]]/SUMIFS(Table14[Eignir],Table14[Year],Table14[[#This Row],[Year]])</f>
        <v>1.398619131622224E-3</v>
      </c>
      <c r="F195" s="23" t="e">
        <f>IF(B195=1997, 100, IF(COUNTIF(A$1:A194,A195)=0, "NEW", F194*(1+Table14[[#This Row],[Ávöxtun]])))</f>
        <v>#VALUE!</v>
      </c>
      <c r="G195" s="18" t="str" cm="1">
        <f t="array" ref="G195">IFERROR(_xlfn.IFS(ISNUMBER(Table14[[#This Row],[Column3]]),Table14[[#This Row],[Column3]],Table14[[#This Row],[Column3]]="NEW",Table14[[#This Row],[Column3]]),"")</f>
        <v/>
      </c>
      <c r="H195" s="15" cm="1">
        <f t="array" ref="H195">_xlfn.IFS(Table14[[#This Row],[Column4]]="NEW",AVERAGEIFS(Table14[Column4],Table14[Year],Table14[[#This Row],[Year]]),ISNUMBER(Table14[[#This Row],[Column4]]),Table14[[#This Row],[Column4]],Table14[[#This Row],[Column4]]="",H194*(1+Table14[[#This Row],[Ávöxtun]]))</f>
        <v>169.03838169483058</v>
      </c>
      <c r="I195" cm="1">
        <f t="array" ref="I195">_xlfn.IFS(Table14[[#This Row],[Column4]]="NEW",_xlfn.XLOOKUP(Table14[[#This Row],[Year]],$M$2:$M$27,$O$2:$O$27),ISNUMBER(Table14[[#This Row],[Column4]]),Table14[[#This Row],[Column4]],Table14[[#This Row],[Column4]]="",I194*(1+Table14[[#This Row],[Ávöxtun]]))</f>
        <v>173.32346615769023</v>
      </c>
      <c r="L195" s="33">
        <v>173.32346615769023</v>
      </c>
    </row>
    <row r="196" spans="1:12">
      <c r="A196" t="s">
        <v>71</v>
      </c>
      <c r="B196">
        <v>2016</v>
      </c>
      <c r="C196" s="16">
        <v>-1E-3</v>
      </c>
      <c r="D196" s="1">
        <v>55602567</v>
      </c>
      <c r="E196" s="29">
        <f>Table14[[#This Row],[Ávöxtun]]*Table14[[#This Row],[Eignir]]/SUMIFS(Table14[Eignir],Table14[Year],Table14[[#This Row],[Year]])</f>
        <v>-1.7375548842278434E-5</v>
      </c>
      <c r="F196" s="23" t="e">
        <f>IF(B196=1997, 100, IF(COUNTIF(A$1:A195,A196)=0, "NEW", F195*(1+Table14[[#This Row],[Ávöxtun]])))</f>
        <v>#VALUE!</v>
      </c>
      <c r="G196" s="18" t="str" cm="1">
        <f t="array" ref="G196">IFERROR(_xlfn.IFS(ISNUMBER(Table14[[#This Row],[Column3]]),Table14[[#This Row],[Column3]],Table14[[#This Row],[Column3]]="NEW",Table14[[#This Row],[Column3]]),"")</f>
        <v/>
      </c>
      <c r="H196" s="15" cm="1">
        <f t="array" ref="H196">_xlfn.IFS(Table14[[#This Row],[Column4]]="NEW",AVERAGEIFS(Table14[Column4],Table14[Year],Table14[[#This Row],[Year]]),ISNUMBER(Table14[[#This Row],[Column4]]),Table14[[#This Row],[Column4]],Table14[[#This Row],[Column4]]="",H195*(1+Table14[[#This Row],[Ávöxtun]]))</f>
        <v>168.86934331313574</v>
      </c>
      <c r="I196" cm="1">
        <f t="array" ref="I196">_xlfn.IFS(Table14[[#This Row],[Column4]]="NEW",_xlfn.XLOOKUP(Table14[[#This Row],[Year]],$M$2:$M$27,$O$2:$O$27),ISNUMBER(Table14[[#This Row],[Column4]]),Table14[[#This Row],[Column4]],Table14[[#This Row],[Column4]]="",I195*(1+Table14[[#This Row],[Ávöxtun]]))</f>
        <v>173.15014269153255</v>
      </c>
      <c r="L196" s="33">
        <v>173.15014269153255</v>
      </c>
    </row>
    <row r="197" spans="1:12">
      <c r="A197" t="s">
        <v>71</v>
      </c>
      <c r="B197">
        <v>2017</v>
      </c>
      <c r="C197" s="16">
        <v>0.03</v>
      </c>
      <c r="D197" s="1">
        <v>63913344</v>
      </c>
      <c r="E197" s="29">
        <f>Table14[[#This Row],[Ávöxtun]]*Table14[[#This Row],[Eignir]]/SUMIFS(Table14[Eignir],Table14[Year],Table14[[#This Row],[Year]])</f>
        <v>5.3872402716236651E-4</v>
      </c>
      <c r="F197" s="23" t="e">
        <f>IF(B197=1997, 100, IF(COUNTIF(A$1:A196,A197)=0, "NEW", F196*(1+Table14[[#This Row],[Ávöxtun]])))</f>
        <v>#VALUE!</v>
      </c>
      <c r="G197" s="18" t="str" cm="1">
        <f t="array" ref="G197">IFERROR(_xlfn.IFS(ISNUMBER(Table14[[#This Row],[Column3]]),Table14[[#This Row],[Column3]],Table14[[#This Row],[Column3]]="NEW",Table14[[#This Row],[Column3]]),"")</f>
        <v/>
      </c>
      <c r="H197" s="15" cm="1">
        <f t="array" ref="H197">_xlfn.IFS(Table14[[#This Row],[Column4]]="NEW",AVERAGEIFS(Table14[Column4],Table14[Year],Table14[[#This Row],[Year]]),ISNUMBER(Table14[[#This Row],[Column4]]),Table14[[#This Row],[Column4]],Table14[[#This Row],[Column4]]="",H196*(1+Table14[[#This Row],[Ávöxtun]]))</f>
        <v>173.93542361252983</v>
      </c>
      <c r="I197" cm="1">
        <f t="array" ref="I197">_xlfn.IFS(Table14[[#This Row],[Column4]]="NEW",_xlfn.XLOOKUP(Table14[[#This Row],[Year]],$M$2:$M$27,$O$2:$O$27),ISNUMBER(Table14[[#This Row],[Column4]]),Table14[[#This Row],[Column4]],Table14[[#This Row],[Column4]]="",I196*(1+Table14[[#This Row],[Ávöxtun]]))</f>
        <v>178.34464697227853</v>
      </c>
      <c r="L197" s="33">
        <v>178.34464697227853</v>
      </c>
    </row>
    <row r="198" spans="1:12">
      <c r="A198" t="s">
        <v>71</v>
      </c>
      <c r="B198">
        <v>2018</v>
      </c>
      <c r="C198" s="16">
        <v>1.8000000000000002E-2</v>
      </c>
      <c r="D198" s="1">
        <v>73497172</v>
      </c>
      <c r="E198" s="29">
        <f>Table14[[#This Row],[Ávöxtun]]*Table14[[#This Row],[Eignir]]/SUMIFS(Table14[Eignir],Table14[Year],Table14[[#This Row],[Year]])</f>
        <v>3.4647427321285137E-4</v>
      </c>
      <c r="F198" s="23" t="e">
        <f>IF(B198=1997, 100, IF(COUNTIF(A$1:A197,A198)=0, "NEW", F197*(1+Table14[[#This Row],[Ávöxtun]])))</f>
        <v>#VALUE!</v>
      </c>
      <c r="G198" s="18" t="str" cm="1">
        <f t="array" ref="G198">IFERROR(_xlfn.IFS(ISNUMBER(Table14[[#This Row],[Column3]]),Table14[[#This Row],[Column3]],Table14[[#This Row],[Column3]]="NEW",Table14[[#This Row],[Column3]]),"")</f>
        <v/>
      </c>
      <c r="H198" s="15" cm="1">
        <f t="array" ref="H198">_xlfn.IFS(Table14[[#This Row],[Column4]]="NEW",AVERAGEIFS(Table14[Column4],Table14[Year],Table14[[#This Row],[Year]]),ISNUMBER(Table14[[#This Row],[Column4]]),Table14[[#This Row],[Column4]],Table14[[#This Row],[Column4]]="",H197*(1+Table14[[#This Row],[Ávöxtun]]))</f>
        <v>177.06626123755538</v>
      </c>
      <c r="I198" cm="1">
        <f t="array" ref="I198">_xlfn.IFS(Table14[[#This Row],[Column4]]="NEW",_xlfn.XLOOKUP(Table14[[#This Row],[Year]],$M$2:$M$27,$O$2:$O$27),ISNUMBER(Table14[[#This Row],[Column4]]),Table14[[#This Row],[Column4]],Table14[[#This Row],[Column4]]="",I197*(1+Table14[[#This Row],[Ávöxtun]]))</f>
        <v>181.55485061777955</v>
      </c>
      <c r="L198" s="33">
        <v>181.55485061777955</v>
      </c>
    </row>
    <row r="199" spans="1:12">
      <c r="A199" t="s">
        <v>71</v>
      </c>
      <c r="B199">
        <v>2019</v>
      </c>
      <c r="C199" s="16">
        <v>0.09</v>
      </c>
      <c r="D199" s="1">
        <v>88576442</v>
      </c>
      <c r="E199" s="29">
        <f>Table14[[#This Row],[Ávöxtun]]*Table14[[#This Row],[Eignir]]/SUMIFS(Table14[Eignir],Table14[Year],Table14[[#This Row],[Year]])</f>
        <v>1.8007900443608549E-3</v>
      </c>
      <c r="F199" s="23" t="e">
        <f>IF(B199=1997, 100, IF(COUNTIF(A$1:A198,A199)=0, "NEW", F198*(1+Table14[[#This Row],[Ávöxtun]])))</f>
        <v>#VALUE!</v>
      </c>
      <c r="G199" s="18" t="str" cm="1">
        <f t="array" ref="G199">IFERROR(_xlfn.IFS(ISNUMBER(Table14[[#This Row],[Column3]]),Table14[[#This Row],[Column3]],Table14[[#This Row],[Column3]]="NEW",Table14[[#This Row],[Column3]]),"")</f>
        <v/>
      </c>
      <c r="H199" s="15" cm="1">
        <f t="array" ref="H199">_xlfn.IFS(Table14[[#This Row],[Column4]]="NEW",AVERAGEIFS(Table14[Column4],Table14[Year],Table14[[#This Row],[Year]]),ISNUMBER(Table14[[#This Row],[Column4]]),Table14[[#This Row],[Column4]],Table14[[#This Row],[Column4]]="",H198*(1+Table14[[#This Row],[Ávöxtun]]))</f>
        <v>193.00222474893539</v>
      </c>
      <c r="I199" cm="1">
        <f t="array" ref="I199">_xlfn.IFS(Table14[[#This Row],[Column4]]="NEW",_xlfn.XLOOKUP(Table14[[#This Row],[Year]],$M$2:$M$27,$O$2:$O$27),ISNUMBER(Table14[[#This Row],[Column4]]),Table14[[#This Row],[Column4]],Table14[[#This Row],[Column4]]="",I198*(1+Table14[[#This Row],[Ávöxtun]]))</f>
        <v>197.89478717337971</v>
      </c>
      <c r="L199" s="33">
        <v>197.89478717337971</v>
      </c>
    </row>
    <row r="200" spans="1:12">
      <c r="A200" t="s">
        <v>71</v>
      </c>
      <c r="B200">
        <v>2020</v>
      </c>
      <c r="C200" s="16">
        <v>7.6999999999999999E-2</v>
      </c>
      <c r="D200" s="1">
        <v>105138169</v>
      </c>
      <c r="E200" s="29">
        <f>Table14[[#This Row],[Ávöxtun]]*Table14[[#This Row],[Eignir]]/SUMIFS(Table14[Eignir],Table14[Year],Table14[[#This Row],[Year]])</f>
        <v>1.576065404135446E-3</v>
      </c>
      <c r="F200" s="23" t="e">
        <f>IF(B200=1997, 100, IF(COUNTIF(A$1:A199,A200)=0, "NEW", F199*(1+Table14[[#This Row],[Ávöxtun]])))</f>
        <v>#VALUE!</v>
      </c>
      <c r="G200" s="18" t="str" cm="1">
        <f t="array" ref="G200">IFERROR(_xlfn.IFS(ISNUMBER(Table14[[#This Row],[Column3]]),Table14[[#This Row],[Column3]],Table14[[#This Row],[Column3]]="NEW",Table14[[#This Row],[Column3]]),"")</f>
        <v/>
      </c>
      <c r="H200" s="15" cm="1">
        <f t="array" ref="H200">_xlfn.IFS(Table14[[#This Row],[Column4]]="NEW",AVERAGEIFS(Table14[Column4],Table14[Year],Table14[[#This Row],[Year]]),ISNUMBER(Table14[[#This Row],[Column4]]),Table14[[#This Row],[Column4]],Table14[[#This Row],[Column4]]="",H199*(1+Table14[[#This Row],[Ávöxtun]]))</f>
        <v>207.86339605460341</v>
      </c>
      <c r="I200" cm="1">
        <f t="array" ref="I200">_xlfn.IFS(Table14[[#This Row],[Column4]]="NEW",_xlfn.XLOOKUP(Table14[[#This Row],[Year]],$M$2:$M$27,$O$2:$O$27),ISNUMBER(Table14[[#This Row],[Column4]]),Table14[[#This Row],[Column4]],Table14[[#This Row],[Column4]]="",I199*(1+Table14[[#This Row],[Ávöxtun]]))</f>
        <v>213.13268578572993</v>
      </c>
      <c r="L200" s="33">
        <v>213.13268578572993</v>
      </c>
    </row>
    <row r="201" spans="1:12">
      <c r="A201" t="s">
        <v>71</v>
      </c>
      <c r="B201">
        <v>2021</v>
      </c>
      <c r="C201" s="16">
        <v>8.8000000000000009E-2</v>
      </c>
      <c r="D201" s="1">
        <v>127195421</v>
      </c>
      <c r="E201" s="29">
        <f>Table14[[#This Row],[Ávöxtun]]*Table14[[#This Row],[Eignir]]/SUMIFS(Table14[Eignir],Table14[Year],Table14[[#This Row],[Year]])</f>
        <v>1.8533322894511001E-3</v>
      </c>
      <c r="F201" s="23" t="e">
        <f>IF(B201=1997, 100, IF(COUNTIF(A$1:A200,A201)=0, "NEW", F200*(1+Table14[[#This Row],[Ávöxtun]])))</f>
        <v>#VALUE!</v>
      </c>
      <c r="G201" s="18" t="str" cm="1">
        <f t="array" ref="G201">IFERROR(_xlfn.IFS(ISNUMBER(Table14[[#This Row],[Column3]]),Table14[[#This Row],[Column3]],Table14[[#This Row],[Column3]]="NEW",Table14[[#This Row],[Column3]]),"")</f>
        <v/>
      </c>
      <c r="H201" s="15" cm="1">
        <f t="array" ref="H201">_xlfn.IFS(Table14[[#This Row],[Column4]]="NEW",AVERAGEIFS(Table14[Column4],Table14[Year],Table14[[#This Row],[Year]]),ISNUMBER(Table14[[#This Row],[Column4]]),Table14[[#This Row],[Column4]],Table14[[#This Row],[Column4]]="",H200*(1+Table14[[#This Row],[Ávöxtun]]))</f>
        <v>226.15537490740854</v>
      </c>
      <c r="I201" cm="1">
        <f t="array" ref="I201">_xlfn.IFS(Table14[[#This Row],[Column4]]="NEW",_xlfn.XLOOKUP(Table14[[#This Row],[Year]],$M$2:$M$27,$O$2:$O$27),ISNUMBER(Table14[[#This Row],[Column4]]),Table14[[#This Row],[Column4]],Table14[[#This Row],[Column4]]="",I200*(1+Table14[[#This Row],[Ávöxtun]]))</f>
        <v>231.88836213487417</v>
      </c>
      <c r="L201" s="33">
        <v>231.88836213487417</v>
      </c>
    </row>
    <row r="202" spans="1:12">
      <c r="A202" t="s">
        <v>72</v>
      </c>
      <c r="B202">
        <v>2005</v>
      </c>
      <c r="C202" s="16">
        <v>0.18</v>
      </c>
      <c r="D202" s="1">
        <v>180049302</v>
      </c>
      <c r="E202" s="29">
        <f>Table14[[#This Row],[Ávöxtun]]*Table14[[#This Row],[Eignir]]/SUMIFS(Table14[Eignir],Table14[Year],Table14[[#This Row],[Year]])</f>
        <v>2.8901974110938266E-2</v>
      </c>
      <c r="F202" s="23" t="str">
        <f>IF(B202=1997, 100, IF(COUNTIF(A$1:A201,A202)=0, "NEW", F201*(1+Table14[[#This Row],[Ávöxtun]])))</f>
        <v>NEW</v>
      </c>
      <c r="G202" s="18" t="str" cm="1">
        <f t="array" ref="G202">IFERROR(_xlfn.IFS(ISNUMBER(Table14[[#This Row],[Column3]]),Table14[[#This Row],[Column3]],Table14[[#This Row],[Column3]]="NEW",Table14[[#This Row],[Column3]]),"")</f>
        <v>NEW</v>
      </c>
      <c r="H202" s="15" cm="1">
        <f t="array" ref="H202">_xlfn.IFS(Table14[[#This Row],[Column4]]="NEW",AVERAGEIFS(Table14[Column4],Table14[Year],Table14[[#This Row],[Year]]),ISNUMBER(Table14[[#This Row],[Column4]]),Table14[[#This Row],[Column4]],Table14[[#This Row],[Column4]]="",H201*(1+Table14[[#This Row],[Ávöxtun]]))</f>
        <v>159.65347376579254</v>
      </c>
      <c r="I202" cm="1">
        <f t="array" ref="I202">_xlfn.IFS(Table14[[#This Row],[Column4]]="NEW",_xlfn.XLOOKUP(Table14[[#This Row],[Year]],$M$2:$M$27,$O$2:$O$27),ISNUMBER(Table14[[#This Row],[Column4]]),Table14[[#This Row],[Column4]],Table14[[#This Row],[Column4]]="",I201*(1+Table14[[#This Row],[Ávöxtun]]))</f>
        <v>178.42564385767122</v>
      </c>
      <c r="L202" s="33">
        <v>178.42564385767122</v>
      </c>
    </row>
    <row r="203" spans="1:12">
      <c r="A203" t="s">
        <v>72</v>
      </c>
      <c r="B203">
        <v>2006</v>
      </c>
      <c r="C203" s="16">
        <v>9.3699999999999992E-2</v>
      </c>
      <c r="D203" s="1">
        <v>216080811</v>
      </c>
      <c r="E203" s="29">
        <f>Table14[[#This Row],[Ávöxtun]]*Table14[[#This Row],[Eignir]]/SUMIFS(Table14[Eignir],Table14[Year],Table14[[#This Row],[Year]])</f>
        <v>1.4749858889242035E-2</v>
      </c>
      <c r="F203" s="23" t="e">
        <f>IF(B203=1997, 100, IF(COUNTIF(A$1:A202,A203)=0, "NEW", F202*(1+Table14[[#This Row],[Ávöxtun]])))</f>
        <v>#VALUE!</v>
      </c>
      <c r="G203" s="18" t="str" cm="1">
        <f t="array" ref="G203">IFERROR(_xlfn.IFS(ISNUMBER(Table14[[#This Row],[Column3]]),Table14[[#This Row],[Column3]],Table14[[#This Row],[Column3]]="NEW",Table14[[#This Row],[Column3]]),"")</f>
        <v/>
      </c>
      <c r="H203" s="15" cm="1">
        <f t="array" ref="H203">_xlfn.IFS(Table14[[#This Row],[Column4]]="NEW",AVERAGEIFS(Table14[Column4],Table14[Year],Table14[[#This Row],[Year]]),ISNUMBER(Table14[[#This Row],[Column4]]),Table14[[#This Row],[Column4]],Table14[[#This Row],[Column4]]="",H202*(1+Table14[[#This Row],[Ávöxtun]]))</f>
        <v>174.61300425764728</v>
      </c>
      <c r="I203" cm="1">
        <f t="array" ref="I203">_xlfn.IFS(Table14[[#This Row],[Column4]]="NEW",_xlfn.XLOOKUP(Table14[[#This Row],[Year]],$M$2:$M$27,$O$2:$O$27),ISNUMBER(Table14[[#This Row],[Column4]]),Table14[[#This Row],[Column4]],Table14[[#This Row],[Column4]]="",I202*(1+Table14[[#This Row],[Ávöxtun]]))</f>
        <v>195.14412668713499</v>
      </c>
      <c r="L203" s="33">
        <v>195.14412668713499</v>
      </c>
    </row>
    <row r="204" spans="1:12">
      <c r="A204" t="s">
        <v>72</v>
      </c>
      <c r="B204">
        <v>2007</v>
      </c>
      <c r="C204" s="16">
        <v>2.3599999999999999E-2</v>
      </c>
      <c r="D204" s="1">
        <v>236837900</v>
      </c>
      <c r="E204" s="29">
        <f>Table14[[#This Row],[Ávöxtun]]*Table14[[#This Row],[Eignir]]/SUMIFS(Table14[Eignir],Table14[Year],Table14[[#This Row],[Year]])</f>
        <v>3.6144241553048915E-3</v>
      </c>
      <c r="F204" s="23" t="e">
        <f>IF(B204=1997, 100, IF(COUNTIF(A$1:A203,A204)=0, "NEW", F203*(1+Table14[[#This Row],[Ávöxtun]])))</f>
        <v>#VALUE!</v>
      </c>
      <c r="G204" s="18" t="str" cm="1">
        <f t="array" ref="G204">IFERROR(_xlfn.IFS(ISNUMBER(Table14[[#This Row],[Column3]]),Table14[[#This Row],[Column3]],Table14[[#This Row],[Column3]]="NEW",Table14[[#This Row],[Column3]]),"")</f>
        <v/>
      </c>
      <c r="H204" s="15" cm="1">
        <f t="array" ref="H204">_xlfn.IFS(Table14[[#This Row],[Column4]]="NEW",AVERAGEIFS(Table14[Column4],Table14[Year],Table14[[#This Row],[Year]]),ISNUMBER(Table14[[#This Row],[Column4]]),Table14[[#This Row],[Column4]],Table14[[#This Row],[Column4]]="",H203*(1+Table14[[#This Row],[Ávöxtun]]))</f>
        <v>178.73387115812776</v>
      </c>
      <c r="I204" cm="1">
        <f t="array" ref="I204">_xlfn.IFS(Table14[[#This Row],[Column4]]="NEW",_xlfn.XLOOKUP(Table14[[#This Row],[Year]],$M$2:$M$27,$O$2:$O$27),ISNUMBER(Table14[[#This Row],[Column4]]),Table14[[#This Row],[Column4]],Table14[[#This Row],[Column4]]="",I203*(1+Table14[[#This Row],[Ávöxtun]]))</f>
        <v>199.74952807695138</v>
      </c>
      <c r="L204" s="33">
        <v>199.74952807695138</v>
      </c>
    </row>
    <row r="205" spans="1:12">
      <c r="A205" t="s">
        <v>72</v>
      </c>
      <c r="B205">
        <v>2008</v>
      </c>
      <c r="C205" s="16">
        <v>-0.26700000000000002</v>
      </c>
      <c r="D205" s="1">
        <v>211603847</v>
      </c>
      <c r="E205" s="29">
        <f>Table14[[#This Row],[Ávöxtun]]*Table14[[#This Row],[Eignir]]/SUMIFS(Table14[Eignir],Table14[Year],Table14[[#This Row],[Year]])</f>
        <v>-3.7732953752529171E-2</v>
      </c>
      <c r="F205" s="23" t="e">
        <f>IF(B205=1997, 100, IF(COUNTIF(A$1:A204,A205)=0, "NEW", F204*(1+Table14[[#This Row],[Ávöxtun]])))</f>
        <v>#VALUE!</v>
      </c>
      <c r="G205" s="18" t="str" cm="1">
        <f t="array" ref="G205">IFERROR(_xlfn.IFS(ISNUMBER(Table14[[#This Row],[Column3]]),Table14[[#This Row],[Column3]],Table14[[#This Row],[Column3]]="NEW",Table14[[#This Row],[Column3]]),"")</f>
        <v/>
      </c>
      <c r="H205" s="15" cm="1">
        <f t="array" ref="H205">_xlfn.IFS(Table14[[#This Row],[Column4]]="NEW",AVERAGEIFS(Table14[Column4],Table14[Year],Table14[[#This Row],[Year]]),ISNUMBER(Table14[[#This Row],[Column4]]),Table14[[#This Row],[Column4]],Table14[[#This Row],[Column4]]="",H204*(1+Table14[[#This Row],[Ávöxtun]]))</f>
        <v>131.01192755890764</v>
      </c>
      <c r="I205" cm="1">
        <f t="array" ref="I205">_xlfn.IFS(Table14[[#This Row],[Column4]]="NEW",_xlfn.XLOOKUP(Table14[[#This Row],[Year]],$M$2:$M$27,$O$2:$O$27),ISNUMBER(Table14[[#This Row],[Column4]]),Table14[[#This Row],[Column4]],Table14[[#This Row],[Column4]]="",I204*(1+Table14[[#This Row],[Ávöxtun]]))</f>
        <v>146.41640408040536</v>
      </c>
      <c r="L205" s="33">
        <v>146.41640408040536</v>
      </c>
    </row>
    <row r="206" spans="1:12">
      <c r="A206" t="s">
        <v>72</v>
      </c>
      <c r="B206">
        <v>2009</v>
      </c>
      <c r="C206" s="16">
        <v>-1.7000000000000001E-2</v>
      </c>
      <c r="D206" s="1">
        <v>232092994</v>
      </c>
      <c r="E206" s="29">
        <f>Table14[[#This Row],[Ávöxtun]]*Table14[[#This Row],[Eignir]]/SUMIFS(Table14[Eignir],Table14[Year],Table14[[#This Row],[Year]])</f>
        <v>-2.3650898444143088E-3</v>
      </c>
      <c r="F206" s="23" t="e">
        <f>IF(B206=1997, 100, IF(COUNTIF(A$1:A205,A206)=0, "NEW", F205*(1+Table14[[#This Row],[Ávöxtun]])))</f>
        <v>#VALUE!</v>
      </c>
      <c r="G206" s="18" t="str" cm="1">
        <f t="array" ref="G206">IFERROR(_xlfn.IFS(ISNUMBER(Table14[[#This Row],[Column3]]),Table14[[#This Row],[Column3]],Table14[[#This Row],[Column3]]="NEW",Table14[[#This Row],[Column3]]),"")</f>
        <v/>
      </c>
      <c r="H206" s="15" cm="1">
        <f t="array" ref="H206">_xlfn.IFS(Table14[[#This Row],[Column4]]="NEW",AVERAGEIFS(Table14[Column4],Table14[Year],Table14[[#This Row],[Year]]),ISNUMBER(Table14[[#This Row],[Column4]]),Table14[[#This Row],[Column4]],Table14[[#This Row],[Column4]]="",H205*(1+Table14[[#This Row],[Ávöxtun]]))</f>
        <v>128.78472479040622</v>
      </c>
      <c r="I206" cm="1">
        <f t="array" ref="I206">_xlfn.IFS(Table14[[#This Row],[Column4]]="NEW",_xlfn.XLOOKUP(Table14[[#This Row],[Year]],$M$2:$M$27,$O$2:$O$27),ISNUMBER(Table14[[#This Row],[Column4]]),Table14[[#This Row],[Column4]],Table14[[#This Row],[Column4]]="",I205*(1+Table14[[#This Row],[Ávöxtun]]))</f>
        <v>143.92732521103846</v>
      </c>
      <c r="L206" s="33">
        <v>143.92732521103846</v>
      </c>
    </row>
    <row r="207" spans="1:12">
      <c r="A207" t="s">
        <v>72</v>
      </c>
      <c r="B207">
        <v>2010</v>
      </c>
      <c r="C207" s="16">
        <v>1.3700000000000002E-2</v>
      </c>
      <c r="D207" s="1">
        <v>244292253</v>
      </c>
      <c r="E207" s="29">
        <f>Table14[[#This Row],[Ávöxtun]]*Table14[[#This Row],[Eignir]]/SUMIFS(Table14[Eignir],Table14[Year],Table14[[#This Row],[Year]])</f>
        <v>1.8720377157170475E-3</v>
      </c>
      <c r="F207" s="23" t="e">
        <f>IF(B207=1997, 100, IF(COUNTIF(A$1:A206,A207)=0, "NEW", F206*(1+Table14[[#This Row],[Ávöxtun]])))</f>
        <v>#VALUE!</v>
      </c>
      <c r="G207" s="18" t="str" cm="1">
        <f t="array" ref="G207">IFERROR(_xlfn.IFS(ISNUMBER(Table14[[#This Row],[Column3]]),Table14[[#This Row],[Column3]],Table14[[#This Row],[Column3]]="NEW",Table14[[#This Row],[Column3]]),"")</f>
        <v/>
      </c>
      <c r="H207" s="15" cm="1">
        <f t="array" ref="H207">_xlfn.IFS(Table14[[#This Row],[Column4]]="NEW",AVERAGEIFS(Table14[Column4],Table14[Year],Table14[[#This Row],[Year]]),ISNUMBER(Table14[[#This Row],[Column4]]),Table14[[#This Row],[Column4]],Table14[[#This Row],[Column4]]="",H206*(1+Table14[[#This Row],[Ávöxtun]]))</f>
        <v>130.54907552003479</v>
      </c>
      <c r="I207" cm="1">
        <f t="array" ref="I207">_xlfn.IFS(Table14[[#This Row],[Column4]]="NEW",_xlfn.XLOOKUP(Table14[[#This Row],[Year]],$M$2:$M$27,$O$2:$O$27),ISNUMBER(Table14[[#This Row],[Column4]]),Table14[[#This Row],[Column4]],Table14[[#This Row],[Column4]]="",I206*(1+Table14[[#This Row],[Ávöxtun]]))</f>
        <v>145.89912956642971</v>
      </c>
      <c r="L207" s="33">
        <v>145.89912956642971</v>
      </c>
    </row>
    <row r="208" spans="1:12">
      <c r="A208" t="s">
        <v>72</v>
      </c>
      <c r="B208">
        <v>2011</v>
      </c>
      <c r="C208" s="16">
        <v>2.7000000000000003E-2</v>
      </c>
      <c r="D208" s="1">
        <v>266064707</v>
      </c>
      <c r="E208" s="29">
        <f>Table14[[#This Row],[Ávöxtun]]*Table14[[#This Row],[Eignir]]/SUMIFS(Table14[Eignir],Table14[Year],Table14[[#This Row],[Year]])</f>
        <v>3.6829174024639194E-3</v>
      </c>
      <c r="F208" s="23" t="e">
        <f>IF(B208=1997, 100, IF(COUNTIF(A$1:A207,A208)=0, "NEW", F207*(1+Table14[[#This Row],[Ávöxtun]])))</f>
        <v>#VALUE!</v>
      </c>
      <c r="G208" s="18" t="str" cm="1">
        <f t="array" ref="G208">IFERROR(_xlfn.IFS(ISNUMBER(Table14[[#This Row],[Column3]]),Table14[[#This Row],[Column3]],Table14[[#This Row],[Column3]]="NEW",Table14[[#This Row],[Column3]]),"")</f>
        <v/>
      </c>
      <c r="H208" s="15" cm="1">
        <f t="array" ref="H208">_xlfn.IFS(Table14[[#This Row],[Column4]]="NEW",AVERAGEIFS(Table14[Column4],Table14[Year],Table14[[#This Row],[Year]]),ISNUMBER(Table14[[#This Row],[Column4]]),Table14[[#This Row],[Column4]],Table14[[#This Row],[Column4]]="",H207*(1+Table14[[#This Row],[Ávöxtun]]))</f>
        <v>134.07390055907572</v>
      </c>
      <c r="I208" cm="1">
        <f t="array" ref="I208">_xlfn.IFS(Table14[[#This Row],[Column4]]="NEW",_xlfn.XLOOKUP(Table14[[#This Row],[Year]],$M$2:$M$27,$O$2:$O$27),ISNUMBER(Table14[[#This Row],[Column4]]),Table14[[#This Row],[Column4]],Table14[[#This Row],[Column4]]="",I207*(1+Table14[[#This Row],[Ávöxtun]]))</f>
        <v>149.8384060647233</v>
      </c>
      <c r="L208" s="33">
        <v>149.8384060647233</v>
      </c>
    </row>
    <row r="209" spans="1:12">
      <c r="A209" t="s">
        <v>72</v>
      </c>
      <c r="B209">
        <v>2012</v>
      </c>
      <c r="C209" s="16">
        <v>7.2999999999999995E-2</v>
      </c>
      <c r="D209" s="1">
        <v>300817878</v>
      </c>
      <c r="E209" s="29">
        <f>Table14[[#This Row],[Ávöxtun]]*Table14[[#This Row],[Eignir]]/SUMIFS(Table14[Eignir],Table14[Year],Table14[[#This Row],[Year]])</f>
        <v>9.9688017004189531E-3</v>
      </c>
      <c r="F209" s="23" t="e">
        <f>IF(B209=1997, 100, IF(COUNTIF(A$1:A208,A209)=0, "NEW", F208*(1+Table14[[#This Row],[Ávöxtun]])))</f>
        <v>#VALUE!</v>
      </c>
      <c r="G209" s="18" t="str" cm="1">
        <f t="array" ref="G209">IFERROR(_xlfn.IFS(ISNUMBER(Table14[[#This Row],[Column3]]),Table14[[#This Row],[Column3]],Table14[[#This Row],[Column3]]="NEW",Table14[[#This Row],[Column3]]),"")</f>
        <v/>
      </c>
      <c r="H209" s="15" cm="1">
        <f t="array" ref="H209">_xlfn.IFS(Table14[[#This Row],[Column4]]="NEW",AVERAGEIFS(Table14[Column4],Table14[Year],Table14[[#This Row],[Year]]),ISNUMBER(Table14[[#This Row],[Column4]]),Table14[[#This Row],[Column4]],Table14[[#This Row],[Column4]]="",H208*(1+Table14[[#This Row],[Ávöxtun]]))</f>
        <v>143.86129529988824</v>
      </c>
      <c r="I209" cm="1">
        <f t="array" ref="I209">_xlfn.IFS(Table14[[#This Row],[Column4]]="NEW",_xlfn.XLOOKUP(Table14[[#This Row],[Year]],$M$2:$M$27,$O$2:$O$27),ISNUMBER(Table14[[#This Row],[Column4]]),Table14[[#This Row],[Column4]],Table14[[#This Row],[Column4]]="",I208*(1+Table14[[#This Row],[Ávöxtun]]))</f>
        <v>160.7766097074481</v>
      </c>
      <c r="L209" s="33">
        <v>160.7766097074481</v>
      </c>
    </row>
    <row r="210" spans="1:12">
      <c r="A210" t="s">
        <v>72</v>
      </c>
      <c r="B210">
        <v>2013</v>
      </c>
      <c r="C210" s="16">
        <v>5.2999999999999999E-2</v>
      </c>
      <c r="D210" s="1">
        <v>332759686</v>
      </c>
      <c r="E210" s="29">
        <f>Table14[[#This Row],[Ávöxtun]]*Table14[[#This Row],[Eignir]]/SUMIFS(Table14[Eignir],Table14[Year],Table14[[#This Row],[Year]])</f>
        <v>7.2470462239242724E-3</v>
      </c>
      <c r="F210" s="23" t="e">
        <f>IF(B210=1997, 100, IF(COUNTIF(A$1:A209,A210)=0, "NEW", F209*(1+Table14[[#This Row],[Ávöxtun]])))</f>
        <v>#VALUE!</v>
      </c>
      <c r="G210" s="18" t="str" cm="1">
        <f t="array" ref="G210">IFERROR(_xlfn.IFS(ISNUMBER(Table14[[#This Row],[Column3]]),Table14[[#This Row],[Column3]],Table14[[#This Row],[Column3]]="NEW",Table14[[#This Row],[Column3]]),"")</f>
        <v/>
      </c>
      <c r="H210" s="15" cm="1">
        <f t="array" ref="H210">_xlfn.IFS(Table14[[#This Row],[Column4]]="NEW",AVERAGEIFS(Table14[Column4],Table14[Year],Table14[[#This Row],[Year]]),ISNUMBER(Table14[[#This Row],[Column4]]),Table14[[#This Row],[Column4]],Table14[[#This Row],[Column4]]="",H209*(1+Table14[[#This Row],[Ávöxtun]]))</f>
        <v>151.48594395078231</v>
      </c>
      <c r="I210" cm="1">
        <f t="array" ref="I210">_xlfn.IFS(Table14[[#This Row],[Column4]]="NEW",_xlfn.XLOOKUP(Table14[[#This Row],[Year]],$M$2:$M$27,$O$2:$O$27),ISNUMBER(Table14[[#This Row],[Column4]]),Table14[[#This Row],[Column4]],Table14[[#This Row],[Column4]]="",I209*(1+Table14[[#This Row],[Ávöxtun]]))</f>
        <v>169.29777002194285</v>
      </c>
      <c r="L210" s="33">
        <v>169.29777002194285</v>
      </c>
    </row>
    <row r="211" spans="1:12">
      <c r="A211" t="s">
        <v>72</v>
      </c>
      <c r="B211">
        <v>2014</v>
      </c>
      <c r="C211" s="16">
        <v>8.8000000000000009E-2</v>
      </c>
      <c r="D211" s="1">
        <v>368499662</v>
      </c>
      <c r="E211" s="29">
        <f>Table14[[#This Row],[Ávöxtun]]*Table14[[#This Row],[Eignir]]/SUMIFS(Table14[Eignir],Table14[Year],Table14[[#This Row],[Year]])</f>
        <v>1.2223047312763751E-2</v>
      </c>
      <c r="F211" s="23" t="e">
        <f>IF(B211=1997, 100, IF(COUNTIF(A$1:A210,A211)=0, "NEW", F210*(1+Table14[[#This Row],[Ávöxtun]])))</f>
        <v>#VALUE!</v>
      </c>
      <c r="G211" s="18" t="str" cm="1">
        <f t="array" ref="G211">IFERROR(_xlfn.IFS(ISNUMBER(Table14[[#This Row],[Column3]]),Table14[[#This Row],[Column3]],Table14[[#This Row],[Column3]]="NEW",Table14[[#This Row],[Column3]]),"")</f>
        <v/>
      </c>
      <c r="H211" s="15" cm="1">
        <f t="array" ref="H211">_xlfn.IFS(Table14[[#This Row],[Column4]]="NEW",AVERAGEIFS(Table14[Column4],Table14[Year],Table14[[#This Row],[Year]]),ISNUMBER(Table14[[#This Row],[Column4]]),Table14[[#This Row],[Column4]],Table14[[#This Row],[Column4]]="",H210*(1+Table14[[#This Row],[Ávöxtun]]))</f>
        <v>164.81670701845118</v>
      </c>
      <c r="I211" cm="1">
        <f t="array" ref="I211">_xlfn.IFS(Table14[[#This Row],[Column4]]="NEW",_xlfn.XLOOKUP(Table14[[#This Row],[Year]],$M$2:$M$27,$O$2:$O$27),ISNUMBER(Table14[[#This Row],[Column4]]),Table14[[#This Row],[Column4]],Table14[[#This Row],[Column4]]="",I210*(1+Table14[[#This Row],[Ávöxtun]]))</f>
        <v>184.19597378387382</v>
      </c>
      <c r="L211" s="33">
        <v>184.19597378387382</v>
      </c>
    </row>
    <row r="212" spans="1:12">
      <c r="A212" t="s">
        <v>72</v>
      </c>
      <c r="B212">
        <v>2015</v>
      </c>
      <c r="C212" s="16">
        <v>7.6999999999999999E-2</v>
      </c>
      <c r="D212" s="1">
        <v>451441236</v>
      </c>
      <c r="E212" s="29">
        <f>Table14[[#This Row],[Ávöxtun]]*Table14[[#This Row],[Eignir]]/SUMIFS(Table14[Eignir],Table14[Year],Table14[[#This Row],[Year]])</f>
        <v>1.1738107217650545E-2</v>
      </c>
      <c r="F212" s="23" t="e">
        <f>IF(B212=1997, 100, IF(COUNTIF(A$1:A211,A212)=0, "NEW", F211*(1+Table14[[#This Row],[Ávöxtun]])))</f>
        <v>#VALUE!</v>
      </c>
      <c r="G212" s="18" t="str" cm="1">
        <f t="array" ref="G212">IFERROR(_xlfn.IFS(ISNUMBER(Table14[[#This Row],[Column3]]),Table14[[#This Row],[Column3]],Table14[[#This Row],[Column3]]="NEW",Table14[[#This Row],[Column3]]),"")</f>
        <v/>
      </c>
      <c r="H212" s="15" cm="1">
        <f t="array" ref="H212">_xlfn.IFS(Table14[[#This Row],[Column4]]="NEW",AVERAGEIFS(Table14[Column4],Table14[Year],Table14[[#This Row],[Year]]),ISNUMBER(Table14[[#This Row],[Column4]]),Table14[[#This Row],[Column4]],Table14[[#This Row],[Column4]]="",H211*(1+Table14[[#This Row],[Ávöxtun]]))</f>
        <v>177.50759345887192</v>
      </c>
      <c r="I212" cm="1">
        <f t="array" ref="I212">_xlfn.IFS(Table14[[#This Row],[Column4]]="NEW",_xlfn.XLOOKUP(Table14[[#This Row],[Year]],$M$2:$M$27,$O$2:$O$27),ISNUMBER(Table14[[#This Row],[Column4]]),Table14[[#This Row],[Column4]],Table14[[#This Row],[Column4]]="",I211*(1+Table14[[#This Row],[Ávöxtun]]))</f>
        <v>198.3790637652321</v>
      </c>
      <c r="L212" s="33">
        <v>198.3790637652321</v>
      </c>
    </row>
    <row r="213" spans="1:12">
      <c r="A213" t="s">
        <v>72</v>
      </c>
      <c r="B213">
        <v>2016</v>
      </c>
      <c r="C213" s="16">
        <v>-9.0000000000000011E-3</v>
      </c>
      <c r="D213" s="1">
        <v>467906976.25</v>
      </c>
      <c r="E213" s="29">
        <f>Table14[[#This Row],[Ávöxtun]]*Table14[[#This Row],[Eignir]]/SUMIFS(Table14[Eignir],Table14[Year],Table14[[#This Row],[Year]])</f>
        <v>-1.3159691831363151E-3</v>
      </c>
      <c r="F213" s="23" t="e">
        <f>IF(B213=1997, 100, IF(COUNTIF(A$1:A212,A213)=0, "NEW", F212*(1+Table14[[#This Row],[Ávöxtun]])))</f>
        <v>#VALUE!</v>
      </c>
      <c r="G213" s="18" t="str" cm="1">
        <f t="array" ref="G213">IFERROR(_xlfn.IFS(ISNUMBER(Table14[[#This Row],[Column3]]),Table14[[#This Row],[Column3]],Table14[[#This Row],[Column3]]="NEW",Table14[[#This Row],[Column3]]),"")</f>
        <v/>
      </c>
      <c r="H213" s="15" cm="1">
        <f t="array" ref="H213">_xlfn.IFS(Table14[[#This Row],[Column4]]="NEW",AVERAGEIFS(Table14[Column4],Table14[Year],Table14[[#This Row],[Year]]),ISNUMBER(Table14[[#This Row],[Column4]]),Table14[[#This Row],[Column4]],Table14[[#This Row],[Column4]]="",H212*(1+Table14[[#This Row],[Ávöxtun]]))</f>
        <v>175.91002511774207</v>
      </c>
      <c r="I213" cm="1">
        <f t="array" ref="I213">_xlfn.IFS(Table14[[#This Row],[Column4]]="NEW",_xlfn.XLOOKUP(Table14[[#This Row],[Year]],$M$2:$M$27,$O$2:$O$27),ISNUMBER(Table14[[#This Row],[Column4]]),Table14[[#This Row],[Column4]],Table14[[#This Row],[Column4]]="",I212*(1+Table14[[#This Row],[Ávöxtun]]))</f>
        <v>196.593652191345</v>
      </c>
      <c r="L213" s="33">
        <v>196.593652191345</v>
      </c>
    </row>
    <row r="214" spans="1:12">
      <c r="A214" t="s">
        <v>72</v>
      </c>
      <c r="B214">
        <v>2017</v>
      </c>
      <c r="C214" s="16">
        <v>5.7999999999999996E-2</v>
      </c>
      <c r="D214" s="1">
        <v>513247400</v>
      </c>
      <c r="E214" s="29">
        <f>Table14[[#This Row],[Ávöxtun]]*Table14[[#This Row],[Eignir]]/SUMIFS(Table14[Eignir],Table14[Year],Table14[[#This Row],[Year]])</f>
        <v>8.3638897916735559E-3</v>
      </c>
      <c r="F214" s="23" t="e">
        <f>IF(B214=1997, 100, IF(COUNTIF(A$1:A213,A214)=0, "NEW", F213*(1+Table14[[#This Row],[Ávöxtun]])))</f>
        <v>#VALUE!</v>
      </c>
      <c r="G214" s="18" t="str" cm="1">
        <f t="array" ref="G214">IFERROR(_xlfn.IFS(ISNUMBER(Table14[[#This Row],[Column3]]),Table14[[#This Row],[Column3]],Table14[[#This Row],[Column3]]="NEW",Table14[[#This Row],[Column3]]),"")</f>
        <v/>
      </c>
      <c r="H214" s="15" cm="1">
        <f t="array" ref="H214">_xlfn.IFS(Table14[[#This Row],[Column4]]="NEW",AVERAGEIFS(Table14[Column4],Table14[Year],Table14[[#This Row],[Year]]),ISNUMBER(Table14[[#This Row],[Column4]]),Table14[[#This Row],[Column4]],Table14[[#This Row],[Column4]]="",H213*(1+Table14[[#This Row],[Ávöxtun]]))</f>
        <v>186.11280657457112</v>
      </c>
      <c r="I214" cm="1">
        <f t="array" ref="I214">_xlfn.IFS(Table14[[#This Row],[Column4]]="NEW",_xlfn.XLOOKUP(Table14[[#This Row],[Year]],$M$2:$M$27,$O$2:$O$27),ISNUMBER(Table14[[#This Row],[Column4]]),Table14[[#This Row],[Column4]],Table14[[#This Row],[Column4]]="",I213*(1+Table14[[#This Row],[Ávöxtun]]))</f>
        <v>207.99608401844301</v>
      </c>
      <c r="L214" s="33">
        <v>207.99608401844301</v>
      </c>
    </row>
    <row r="215" spans="1:12">
      <c r="A215" t="s">
        <v>72</v>
      </c>
      <c r="B215">
        <v>2018</v>
      </c>
      <c r="C215" s="16">
        <v>2.4E-2</v>
      </c>
      <c r="D215" s="1">
        <v>556757276</v>
      </c>
      <c r="E215" s="29">
        <f>Table14[[#This Row],[Ávöxtun]]*Table14[[#This Row],[Eignir]]/SUMIFS(Table14[Eignir],Table14[Year],Table14[[#This Row],[Year]])</f>
        <v>3.4994919724361069E-3</v>
      </c>
      <c r="F215" s="23" t="e">
        <f>IF(B215=1997, 100, IF(COUNTIF(A$1:A214,A215)=0, "NEW", F214*(1+Table14[[#This Row],[Ávöxtun]])))</f>
        <v>#VALUE!</v>
      </c>
      <c r="G215" s="18" t="str" cm="1">
        <f t="array" ref="G215">IFERROR(_xlfn.IFS(ISNUMBER(Table14[[#This Row],[Column3]]),Table14[[#This Row],[Column3]],Table14[[#This Row],[Column3]]="NEW",Table14[[#This Row],[Column3]]),"")</f>
        <v/>
      </c>
      <c r="H215" s="15" cm="1">
        <f t="array" ref="H215">_xlfn.IFS(Table14[[#This Row],[Column4]]="NEW",AVERAGEIFS(Table14[Column4],Table14[Year],Table14[[#This Row],[Year]]),ISNUMBER(Table14[[#This Row],[Column4]]),Table14[[#This Row],[Column4]],Table14[[#This Row],[Column4]]="",H214*(1+Table14[[#This Row],[Ávöxtun]]))</f>
        <v>190.57951393236084</v>
      </c>
      <c r="I215" cm="1">
        <f t="array" ref="I215">_xlfn.IFS(Table14[[#This Row],[Column4]]="NEW",_xlfn.XLOOKUP(Table14[[#This Row],[Year]],$M$2:$M$27,$O$2:$O$27),ISNUMBER(Table14[[#This Row],[Column4]]),Table14[[#This Row],[Column4]],Table14[[#This Row],[Column4]]="",I214*(1+Table14[[#This Row],[Ávöxtun]]))</f>
        <v>212.98799003488566</v>
      </c>
      <c r="L215" s="33">
        <v>212.98799003488566</v>
      </c>
    </row>
    <row r="216" spans="1:12">
      <c r="A216" t="s">
        <v>72</v>
      </c>
      <c r="B216">
        <v>2019</v>
      </c>
      <c r="C216" s="16">
        <v>0.121</v>
      </c>
      <c r="D216" s="1">
        <v>655831224.77999997</v>
      </c>
      <c r="E216" s="29">
        <f>Table14[[#This Row],[Ávöxtun]]*Table14[[#This Row],[Eignir]]/SUMIFS(Table14[Eignir],Table14[Year],Table14[[#This Row],[Year]])</f>
        <v>1.7925851759914773E-2</v>
      </c>
      <c r="F216" s="23" t="e">
        <f>IF(B216=1997, 100, IF(COUNTIF(A$1:A215,A216)=0, "NEW", F215*(1+Table14[[#This Row],[Ávöxtun]])))</f>
        <v>#VALUE!</v>
      </c>
      <c r="G216" s="18" t="str" cm="1">
        <f t="array" ref="G216">IFERROR(_xlfn.IFS(ISNUMBER(Table14[[#This Row],[Column3]]),Table14[[#This Row],[Column3]],Table14[[#This Row],[Column3]]="NEW",Table14[[#This Row],[Column3]]),"")</f>
        <v/>
      </c>
      <c r="H216" s="15" cm="1">
        <f t="array" ref="H216">_xlfn.IFS(Table14[[#This Row],[Column4]]="NEW",AVERAGEIFS(Table14[Column4],Table14[Year],Table14[[#This Row],[Year]]),ISNUMBER(Table14[[#This Row],[Column4]]),Table14[[#This Row],[Column4]],Table14[[#This Row],[Column4]]="",H215*(1+Table14[[#This Row],[Ávöxtun]]))</f>
        <v>213.6396351181765</v>
      </c>
      <c r="I216" cm="1">
        <f t="array" ref="I216">_xlfn.IFS(Table14[[#This Row],[Column4]]="NEW",_xlfn.XLOOKUP(Table14[[#This Row],[Year]],$M$2:$M$27,$O$2:$O$27),ISNUMBER(Table14[[#This Row],[Column4]]),Table14[[#This Row],[Column4]],Table14[[#This Row],[Column4]]="",I215*(1+Table14[[#This Row],[Ávöxtun]]))</f>
        <v>238.75953682910682</v>
      </c>
      <c r="L216" s="33">
        <v>238.75953682910682</v>
      </c>
    </row>
    <row r="217" spans="1:12">
      <c r="A217" t="s">
        <v>72</v>
      </c>
      <c r="B217">
        <v>2020</v>
      </c>
      <c r="C217" s="16">
        <v>9.6999999999999989E-2</v>
      </c>
      <c r="D217" s="1">
        <v>758131827.01999998</v>
      </c>
      <c r="E217" s="29">
        <f>Table14[[#This Row],[Ávöxtun]]*Table14[[#This Row],[Eignir]]/SUMIFS(Table14[Eignir],Table14[Year],Table14[[#This Row],[Year]])</f>
        <v>1.4316589242045711E-2</v>
      </c>
      <c r="F217" s="23" t="e">
        <f>IF(B217=1997, 100, IF(COUNTIF(A$1:A216,A217)=0, "NEW", F216*(1+Table14[[#This Row],[Ávöxtun]])))</f>
        <v>#VALUE!</v>
      </c>
      <c r="G217" s="18" t="str" cm="1">
        <f t="array" ref="G217">IFERROR(_xlfn.IFS(ISNUMBER(Table14[[#This Row],[Column3]]),Table14[[#This Row],[Column3]],Table14[[#This Row],[Column3]]="NEW",Table14[[#This Row],[Column3]]),"")</f>
        <v/>
      </c>
      <c r="H217" s="15" cm="1">
        <f t="array" ref="H217">_xlfn.IFS(Table14[[#This Row],[Column4]]="NEW",AVERAGEIFS(Table14[Column4],Table14[Year],Table14[[#This Row],[Year]]),ISNUMBER(Table14[[#This Row],[Column4]]),Table14[[#This Row],[Column4]],Table14[[#This Row],[Column4]]="",H216*(1+Table14[[#This Row],[Ávöxtun]]))</f>
        <v>234.36267972463961</v>
      </c>
      <c r="I217" cm="1">
        <f t="array" ref="I217">_xlfn.IFS(Table14[[#This Row],[Column4]]="NEW",_xlfn.XLOOKUP(Table14[[#This Row],[Year]],$M$2:$M$27,$O$2:$O$27),ISNUMBER(Table14[[#This Row],[Column4]]),Table14[[#This Row],[Column4]],Table14[[#This Row],[Column4]]="",I216*(1+Table14[[#This Row],[Ávöxtun]]))</f>
        <v>261.91921190153016</v>
      </c>
      <c r="L217" s="33">
        <v>261.91921190153016</v>
      </c>
    </row>
    <row r="218" spans="1:12">
      <c r="A218" t="s">
        <v>72</v>
      </c>
      <c r="B218">
        <v>2021</v>
      </c>
      <c r="C218" s="16">
        <v>0.12400000000000001</v>
      </c>
      <c r="D218" s="1">
        <v>908990102.27999997</v>
      </c>
      <c r="E218" s="29">
        <f>Table14[[#This Row],[Ávöxtun]]*Table14[[#This Row],[Eignir]]/SUMIFS(Table14[Eignir],Table14[Year],Table14[[#This Row],[Year]])</f>
        <v>1.8662936676197589E-2</v>
      </c>
      <c r="F218" s="23" t="e">
        <f>IF(B218=1997, 100, IF(COUNTIF(A$1:A217,A218)=0, "NEW", F217*(1+Table14[[#This Row],[Ávöxtun]])))</f>
        <v>#VALUE!</v>
      </c>
      <c r="G218" s="18" t="str" cm="1">
        <f t="array" ref="G218">IFERROR(_xlfn.IFS(ISNUMBER(Table14[[#This Row],[Column3]]),Table14[[#This Row],[Column3]],Table14[[#This Row],[Column3]]="NEW",Table14[[#This Row],[Column3]]),"")</f>
        <v/>
      </c>
      <c r="H218" s="15" cm="1">
        <f t="array" ref="H218">_xlfn.IFS(Table14[[#This Row],[Column4]]="NEW",AVERAGEIFS(Table14[Column4],Table14[Year],Table14[[#This Row],[Year]]),ISNUMBER(Table14[[#This Row],[Column4]]),Table14[[#This Row],[Column4]],Table14[[#This Row],[Column4]]="",H217*(1+Table14[[#This Row],[Ávöxtun]]))</f>
        <v>263.42365201049495</v>
      </c>
      <c r="I218" cm="1">
        <f t="array" ref="I218">_xlfn.IFS(Table14[[#This Row],[Column4]]="NEW",_xlfn.XLOOKUP(Table14[[#This Row],[Year]],$M$2:$M$27,$O$2:$O$27),ISNUMBER(Table14[[#This Row],[Column4]]),Table14[[#This Row],[Column4]],Table14[[#This Row],[Column4]]="",I217*(1+Table14[[#This Row],[Ávöxtun]]))</f>
        <v>294.39719417731993</v>
      </c>
      <c r="L218" s="33">
        <v>294.39719417731993</v>
      </c>
    </row>
    <row r="219" spans="1:12">
      <c r="A219" t="s">
        <v>136</v>
      </c>
      <c r="B219">
        <v>1999</v>
      </c>
      <c r="C219" s="16">
        <v>0.1</v>
      </c>
      <c r="D219" s="1">
        <v>3482771.87</v>
      </c>
      <c r="E219" s="29">
        <f>Table14[[#This Row],[Ávöxtun]]*Table14[[#This Row],[Eignir]]/SUMIFS(Table14[Eignir],Table14[Year],Table14[[#This Row],[Year]])</f>
        <v>6.6884199438270702E-4</v>
      </c>
      <c r="F219" s="23" t="str">
        <f>IF(B219=1997, 100, IF(COUNTIF(A$1:A218,A219)=0, "NEW", F218*(1+Table14[[#This Row],[Ávöxtun]])))</f>
        <v>NEW</v>
      </c>
      <c r="G219" s="18" t="str" cm="1">
        <f t="array" ref="G219">IFERROR(_xlfn.IFS(ISNUMBER(Table14[[#This Row],[Column3]]),Table14[[#This Row],[Column3]],Table14[[#This Row],[Column3]]="NEW",Table14[[#This Row],[Column3]]),"")</f>
        <v>NEW</v>
      </c>
      <c r="H219" s="15" cm="1">
        <f t="array" ref="H219">_xlfn.IFS(Table14[[#This Row],[Column4]]="NEW",AVERAGEIFS(Table14[Column4],Table14[Year],Table14[[#This Row],[Year]]),ISNUMBER(Table14[[#This Row],[Column4]]),Table14[[#This Row],[Column4]],Table14[[#This Row],[Column4]]="",H218*(1+Table14[[#This Row],[Ávöxtun]]))</f>
        <v>117.05306122448981</v>
      </c>
      <c r="I219" cm="1">
        <f t="array" ref="I219">_xlfn.IFS(Table14[[#This Row],[Column4]]="NEW",_xlfn.XLOOKUP(Table14[[#This Row],[Year]],$M$2:$M$27,$O$2:$O$27),ISNUMBER(Table14[[#This Row],[Column4]]),Table14[[#This Row],[Column4]],Table14[[#This Row],[Column4]]="",I218*(1+Table14[[#This Row],[Ávöxtun]]))</f>
        <v>120.02032965757705</v>
      </c>
      <c r="L219" s="33">
        <v>120.02032965757705</v>
      </c>
    </row>
    <row r="220" spans="1:12">
      <c r="A220" t="s">
        <v>136</v>
      </c>
      <c r="B220">
        <v>2000</v>
      </c>
      <c r="C220" s="16">
        <v>-0.05</v>
      </c>
      <c r="D220" s="1">
        <v>4052011.51</v>
      </c>
      <c r="E220" s="29">
        <f>Table14[[#This Row],[Ávöxtun]]*Table14[[#This Row],[Eignir]]/SUMIFS(Table14[Eignir],Table14[Year],Table14[[#This Row],[Year]])</f>
        <v>-2.8499579105984471E-4</v>
      </c>
      <c r="F220" s="23" t="e">
        <f>IF(B220=1997, 100, IF(COUNTIF(A$1:A219,A220)=0, "NEW", F219*(1+Table14[[#This Row],[Ávöxtun]])))</f>
        <v>#VALUE!</v>
      </c>
      <c r="G220" s="18" t="str" cm="1">
        <f t="array" ref="G220">IFERROR(_xlfn.IFS(ISNUMBER(Table14[[#This Row],[Column3]]),Table14[[#This Row],[Column3]],Table14[[#This Row],[Column3]]="NEW",Table14[[#This Row],[Column3]]),"")</f>
        <v/>
      </c>
      <c r="H220" s="15" cm="1">
        <f t="array" ref="H220">_xlfn.IFS(Table14[[#This Row],[Column4]]="NEW",AVERAGEIFS(Table14[Column4],Table14[Year],Table14[[#This Row],[Year]]),ISNUMBER(Table14[[#This Row],[Column4]]),Table14[[#This Row],[Column4]],Table14[[#This Row],[Column4]]="",H219*(1+Table14[[#This Row],[Ávöxtun]]))</f>
        <v>111.20040816326531</v>
      </c>
      <c r="I220" cm="1">
        <f t="array" ref="I220">_xlfn.IFS(Table14[[#This Row],[Column4]]="NEW",_xlfn.XLOOKUP(Table14[[#This Row],[Year]],$M$2:$M$27,$O$2:$O$27),ISNUMBER(Table14[[#This Row],[Column4]]),Table14[[#This Row],[Column4]],Table14[[#This Row],[Column4]]="",I219*(1+Table14[[#This Row],[Ávöxtun]]))</f>
        <v>114.0193131746982</v>
      </c>
      <c r="L220" s="33">
        <v>114.0193131746982</v>
      </c>
    </row>
    <row r="221" spans="1:12">
      <c r="A221" t="s">
        <v>136</v>
      </c>
      <c r="B221">
        <v>2001</v>
      </c>
      <c r="C221" s="16">
        <v>-0.05</v>
      </c>
      <c r="D221" s="1">
        <v>5197072.95</v>
      </c>
      <c r="E221" s="29">
        <f>Table14[[#This Row],[Ávöxtun]]*Table14[[#This Row],[Eignir]]/SUMIFS(Table14[Eignir],Table14[Year],Table14[[#This Row],[Year]])</f>
        <v>-2.2441499169914203E-4</v>
      </c>
      <c r="F221" s="23" t="e">
        <f>IF(B221=1997, 100, IF(COUNTIF(A$1:A220,A221)=0, "NEW", F220*(1+Table14[[#This Row],[Ávöxtun]])))</f>
        <v>#VALUE!</v>
      </c>
      <c r="G221" s="18" t="str" cm="1">
        <f t="array" ref="G221">IFERROR(_xlfn.IFS(ISNUMBER(Table14[[#This Row],[Column3]]),Table14[[#This Row],[Column3]],Table14[[#This Row],[Column3]]="NEW",Table14[[#This Row],[Column3]]),"")</f>
        <v/>
      </c>
      <c r="H221" s="15" cm="1">
        <f t="array" ref="H221">_xlfn.IFS(Table14[[#This Row],[Column4]]="NEW",AVERAGEIFS(Table14[Column4],Table14[Year],Table14[[#This Row],[Year]]),ISNUMBER(Table14[[#This Row],[Column4]]),Table14[[#This Row],[Column4]],Table14[[#This Row],[Column4]]="",H220*(1+Table14[[#This Row],[Ávöxtun]]))</f>
        <v>105.64038775510204</v>
      </c>
      <c r="I221" cm="1">
        <f t="array" ref="I221">_xlfn.IFS(Table14[[#This Row],[Column4]]="NEW",_xlfn.XLOOKUP(Table14[[#This Row],[Year]],$M$2:$M$27,$O$2:$O$27),ISNUMBER(Table14[[#This Row],[Column4]]),Table14[[#This Row],[Column4]],Table14[[#This Row],[Column4]]="",I220*(1+Table14[[#This Row],[Ávöxtun]]))</f>
        <v>108.31834751596328</v>
      </c>
      <c r="L221" s="33">
        <v>108.31834751596328</v>
      </c>
    </row>
    <row r="222" spans="1:12">
      <c r="A222" t="s">
        <v>136</v>
      </c>
      <c r="B222">
        <v>2002</v>
      </c>
      <c r="C222" s="16">
        <v>-0.02</v>
      </c>
      <c r="D222" s="1">
        <v>445857.1</v>
      </c>
      <c r="E222" s="29">
        <f>Table14[[#This Row],[Ávöxtun]]*Table14[[#This Row],[Eignir]]/SUMIFS(Table14[Eignir],Table14[Year],Table14[[#This Row],[Year]])</f>
        <v>-1.4039114022778412E-5</v>
      </c>
      <c r="F222" s="23" t="e">
        <f>IF(B222=1997, 100, IF(COUNTIF(A$1:A221,A222)=0, "NEW", F221*(1+Table14[[#This Row],[Ávöxtun]])))</f>
        <v>#VALUE!</v>
      </c>
      <c r="G222" s="18" t="str" cm="1">
        <f t="array" ref="G222">IFERROR(_xlfn.IFS(ISNUMBER(Table14[[#This Row],[Column3]]),Table14[[#This Row],[Column3]],Table14[[#This Row],[Column3]]="NEW",Table14[[#This Row],[Column3]]),"")</f>
        <v/>
      </c>
      <c r="H222" s="15" cm="1">
        <f t="array" ref="H222">_xlfn.IFS(Table14[[#This Row],[Column4]]="NEW",AVERAGEIFS(Table14[Column4],Table14[Year],Table14[[#This Row],[Year]]),ISNUMBER(Table14[[#This Row],[Column4]]),Table14[[#This Row],[Column4]],Table14[[#This Row],[Column4]]="",H221*(1+Table14[[#This Row],[Ávöxtun]]))</f>
        <v>103.52758</v>
      </c>
      <c r="I222" cm="1">
        <f t="array" ref="I222">_xlfn.IFS(Table14[[#This Row],[Column4]]="NEW",_xlfn.XLOOKUP(Table14[[#This Row],[Year]],$M$2:$M$27,$O$2:$O$27),ISNUMBER(Table14[[#This Row],[Column4]]),Table14[[#This Row],[Column4]],Table14[[#This Row],[Column4]]="",I221*(1+Table14[[#This Row],[Ávöxtun]]))</f>
        <v>106.15198056564401</v>
      </c>
      <c r="L222" s="33">
        <v>106.15198056564401</v>
      </c>
    </row>
    <row r="223" spans="1:12">
      <c r="A223" t="s">
        <v>136</v>
      </c>
      <c r="B223">
        <v>2003</v>
      </c>
      <c r="C223" s="16">
        <v>0.1</v>
      </c>
      <c r="D223" s="1">
        <v>727539.4</v>
      </c>
      <c r="E223" s="29">
        <f>Table14[[#This Row],[Ávöxtun]]*Table14[[#This Row],[Eignir]]/SUMIFS(Table14[Eignir],Table14[Year],Table14[[#This Row],[Year]])</f>
        <v>9.5742550173826533E-5</v>
      </c>
      <c r="F223" s="23" t="e">
        <f>IF(B223=1997, 100, IF(COUNTIF(A$1:A222,A223)=0, "NEW", F222*(1+Table14[[#This Row],[Ávöxtun]])))</f>
        <v>#VALUE!</v>
      </c>
      <c r="G223" s="18" t="str" cm="1">
        <f t="array" ref="G223">IFERROR(_xlfn.IFS(ISNUMBER(Table14[[#This Row],[Column3]]),Table14[[#This Row],[Column3]],Table14[[#This Row],[Column3]]="NEW",Table14[[#This Row],[Column3]]),"")</f>
        <v/>
      </c>
      <c r="H223" s="15" cm="1">
        <f t="array" ref="H223">_xlfn.IFS(Table14[[#This Row],[Column4]]="NEW",AVERAGEIFS(Table14[Column4],Table14[Year],Table14[[#This Row],[Year]]),ISNUMBER(Table14[[#This Row],[Column4]]),Table14[[#This Row],[Column4]],Table14[[#This Row],[Column4]]="",H222*(1+Table14[[#This Row],[Ávöxtun]]))</f>
        <v>113.88033800000001</v>
      </c>
      <c r="I223" cm="1">
        <f t="array" ref="I223">_xlfn.IFS(Table14[[#This Row],[Column4]]="NEW",_xlfn.XLOOKUP(Table14[[#This Row],[Year]],$M$2:$M$27,$O$2:$O$27),ISNUMBER(Table14[[#This Row],[Column4]]),Table14[[#This Row],[Column4]],Table14[[#This Row],[Column4]]="",I222*(1+Table14[[#This Row],[Ávöxtun]]))</f>
        <v>116.76717862220842</v>
      </c>
      <c r="L223" s="33">
        <v>116.76717862220842</v>
      </c>
    </row>
    <row r="224" spans="1:12">
      <c r="A224" t="s">
        <v>136</v>
      </c>
      <c r="B224">
        <v>2004</v>
      </c>
      <c r="C224" s="16">
        <v>0.06</v>
      </c>
      <c r="D224" s="1">
        <v>1055515.8400000001</v>
      </c>
      <c r="E224" s="29">
        <f>Table14[[#This Row],[Ávöxtun]]*Table14[[#This Row],[Eignir]]/SUMIFS(Table14[Eignir],Table14[Year],Table14[[#This Row],[Year]])</f>
        <v>6.977306812119156E-5</v>
      </c>
      <c r="F224" s="23" t="e">
        <f>IF(B224=1997, 100, IF(COUNTIF(A$1:A223,A224)=0, "NEW", F223*(1+Table14[[#This Row],[Ávöxtun]])))</f>
        <v>#VALUE!</v>
      </c>
      <c r="G224" s="18" t="str" cm="1">
        <f t="array" ref="G224">IFERROR(_xlfn.IFS(ISNUMBER(Table14[[#This Row],[Column3]]),Table14[[#This Row],[Column3]],Table14[[#This Row],[Column3]]="NEW",Table14[[#This Row],[Column3]]),"")</f>
        <v/>
      </c>
      <c r="H224" s="15" cm="1">
        <f t="array" ref="H224">_xlfn.IFS(Table14[[#This Row],[Column4]]="NEW",AVERAGEIFS(Table14[Column4],Table14[Year],Table14[[#This Row],[Year]]),ISNUMBER(Table14[[#This Row],[Column4]]),Table14[[#This Row],[Column4]],Table14[[#This Row],[Column4]]="",H223*(1+Table14[[#This Row],[Ávöxtun]]))</f>
        <v>120.71315828000002</v>
      </c>
      <c r="I224" cm="1">
        <f t="array" ref="I224">_xlfn.IFS(Table14[[#This Row],[Column4]]="NEW",_xlfn.XLOOKUP(Table14[[#This Row],[Year]],$M$2:$M$27,$O$2:$O$27),ISNUMBER(Table14[[#This Row],[Column4]]),Table14[[#This Row],[Column4]],Table14[[#This Row],[Column4]]="",I223*(1+Table14[[#This Row],[Ávöxtun]]))</f>
        <v>123.77320933954093</v>
      </c>
      <c r="L224" s="33">
        <v>123.77320933954093</v>
      </c>
    </row>
    <row r="225" spans="1:12">
      <c r="A225" t="s">
        <v>136</v>
      </c>
      <c r="B225">
        <v>2005</v>
      </c>
      <c r="C225" s="16">
        <v>0.1</v>
      </c>
      <c r="D225" s="1">
        <v>1588580</v>
      </c>
      <c r="E225" s="29">
        <f>Table14[[#This Row],[Ávöxtun]]*Table14[[#This Row],[Eignir]]/SUMIFS(Table14[Eignir],Table14[Year],Table14[[#This Row],[Year]])</f>
        <v>1.4166828975035811E-4</v>
      </c>
      <c r="F225" s="23" t="e">
        <f>IF(B225=1997, 100, IF(COUNTIF(A$1:A224,A225)=0, "NEW", F224*(1+Table14[[#This Row],[Ávöxtun]])))</f>
        <v>#VALUE!</v>
      </c>
      <c r="G225" s="18" t="str" cm="1">
        <f t="array" ref="G225">IFERROR(_xlfn.IFS(ISNUMBER(Table14[[#This Row],[Column3]]),Table14[[#This Row],[Column3]],Table14[[#This Row],[Column3]]="NEW",Table14[[#This Row],[Column3]]),"")</f>
        <v/>
      </c>
      <c r="H225" s="15" cm="1">
        <f t="array" ref="H225">_xlfn.IFS(Table14[[#This Row],[Column4]]="NEW",AVERAGEIFS(Table14[Column4],Table14[Year],Table14[[#This Row],[Year]]),ISNUMBER(Table14[[#This Row],[Column4]]),Table14[[#This Row],[Column4]],Table14[[#This Row],[Column4]]="",H224*(1+Table14[[#This Row],[Ávöxtun]]))</f>
        <v>132.78447410800004</v>
      </c>
      <c r="I225" cm="1">
        <f t="array" ref="I225">_xlfn.IFS(Table14[[#This Row],[Column4]]="NEW",_xlfn.XLOOKUP(Table14[[#This Row],[Year]],$M$2:$M$27,$O$2:$O$27),ISNUMBER(Table14[[#This Row],[Column4]]),Table14[[#This Row],[Column4]],Table14[[#This Row],[Column4]]="",I224*(1+Table14[[#This Row],[Ávöxtun]]))</f>
        <v>136.15053027349504</v>
      </c>
      <c r="L225" s="33">
        <v>136.15053027349504</v>
      </c>
    </row>
    <row r="226" spans="1:12">
      <c r="A226" t="s">
        <v>136</v>
      </c>
      <c r="B226">
        <v>2006</v>
      </c>
      <c r="C226" s="16">
        <v>0.11900000000000001</v>
      </c>
      <c r="D226" s="1">
        <v>2384071</v>
      </c>
      <c r="E226" s="29">
        <f>Table14[[#This Row],[Ávöxtun]]*Table14[[#This Row],[Eignir]]/SUMIFS(Table14[Eignir],Table14[Year],Table14[[#This Row],[Year]])</f>
        <v>2.0667988906687381E-4</v>
      </c>
      <c r="F226" s="23" t="e">
        <f>IF(B226=1997, 100, IF(COUNTIF(A$1:A225,A226)=0, "NEW", F225*(1+Table14[[#This Row],[Ávöxtun]])))</f>
        <v>#VALUE!</v>
      </c>
      <c r="G226" s="18" t="str" cm="1">
        <f t="array" ref="G226">IFERROR(_xlfn.IFS(ISNUMBER(Table14[[#This Row],[Column3]]),Table14[[#This Row],[Column3]],Table14[[#This Row],[Column3]]="NEW",Table14[[#This Row],[Column3]]),"")</f>
        <v/>
      </c>
      <c r="H226" s="15" cm="1">
        <f t="array" ref="H226">_xlfn.IFS(Table14[[#This Row],[Column4]]="NEW",AVERAGEIFS(Table14[Column4],Table14[Year],Table14[[#This Row],[Year]]),ISNUMBER(Table14[[#This Row],[Column4]]),Table14[[#This Row],[Column4]],Table14[[#This Row],[Column4]]="",H225*(1+Table14[[#This Row],[Ávöxtun]]))</f>
        <v>148.58582652685203</v>
      </c>
      <c r="I226" cm="1">
        <f t="array" ref="I226">_xlfn.IFS(Table14[[#This Row],[Column4]]="NEW",_xlfn.XLOOKUP(Table14[[#This Row],[Year]],$M$2:$M$27,$O$2:$O$27),ISNUMBER(Table14[[#This Row],[Column4]]),Table14[[#This Row],[Column4]],Table14[[#This Row],[Column4]]="",I225*(1+Table14[[#This Row],[Ávöxtun]]))</f>
        <v>152.35244337604095</v>
      </c>
      <c r="L226" s="33">
        <v>152.35244337604095</v>
      </c>
    </row>
    <row r="227" spans="1:12">
      <c r="A227" t="s">
        <v>136</v>
      </c>
      <c r="B227">
        <v>2007</v>
      </c>
      <c r="C227" s="16">
        <v>1.8000000000000002E-2</v>
      </c>
      <c r="D227" s="1">
        <v>2449600</v>
      </c>
      <c r="E227" s="29">
        <f>Table14[[#This Row],[Ávöxtun]]*Table14[[#This Row],[Eignir]]/SUMIFS(Table14[Eignir],Table14[Year],Table14[[#This Row],[Year]])</f>
        <v>2.8513044367631872E-5</v>
      </c>
      <c r="F227" s="23" t="e">
        <f>IF(B227=1997, 100, IF(COUNTIF(A$1:A226,A227)=0, "NEW", F226*(1+Table14[[#This Row],[Ávöxtun]])))</f>
        <v>#VALUE!</v>
      </c>
      <c r="G227" s="18" t="str" cm="1">
        <f t="array" ref="G227">IFERROR(_xlfn.IFS(ISNUMBER(Table14[[#This Row],[Column3]]),Table14[[#This Row],[Column3]],Table14[[#This Row],[Column3]]="NEW",Table14[[#This Row],[Column3]]),"")</f>
        <v/>
      </c>
      <c r="H227" s="15" cm="1">
        <f t="array" ref="H227">_xlfn.IFS(Table14[[#This Row],[Column4]]="NEW",AVERAGEIFS(Table14[Column4],Table14[Year],Table14[[#This Row],[Year]]),ISNUMBER(Table14[[#This Row],[Column4]]),Table14[[#This Row],[Column4]],Table14[[#This Row],[Column4]]="",H226*(1+Table14[[#This Row],[Ávöxtun]]))</f>
        <v>151.26037140433536</v>
      </c>
      <c r="I227" cm="1">
        <f t="array" ref="I227">_xlfn.IFS(Table14[[#This Row],[Column4]]="NEW",_xlfn.XLOOKUP(Table14[[#This Row],[Year]],$M$2:$M$27,$O$2:$O$27),ISNUMBER(Table14[[#This Row],[Column4]]),Table14[[#This Row],[Column4]],Table14[[#This Row],[Column4]]="",I226*(1+Table14[[#This Row],[Ávöxtun]]))</f>
        <v>155.09478735680969</v>
      </c>
      <c r="L227" s="33">
        <v>155.09478735680969</v>
      </c>
    </row>
    <row r="228" spans="1:12">
      <c r="A228" t="s">
        <v>136</v>
      </c>
      <c r="B228">
        <v>2008</v>
      </c>
      <c r="C228" s="16">
        <v>-0.31209999999999999</v>
      </c>
      <c r="D228" s="1">
        <v>2487181</v>
      </c>
      <c r="E228" s="29">
        <f>Table14[[#This Row],[Ávöxtun]]*Table14[[#This Row],[Eignir]]/SUMIFS(Table14[Eignir],Table14[Year],Table14[[#This Row],[Year]])</f>
        <v>-5.1842644041265199E-4</v>
      </c>
      <c r="F228" s="23" t="e">
        <f>IF(B228=1997, 100, IF(COUNTIF(A$1:A227,A228)=0, "NEW", F227*(1+Table14[[#This Row],[Ávöxtun]])))</f>
        <v>#VALUE!</v>
      </c>
      <c r="G228" s="18" t="str" cm="1">
        <f t="array" ref="G228">IFERROR(_xlfn.IFS(ISNUMBER(Table14[[#This Row],[Column3]]),Table14[[#This Row],[Column3]],Table14[[#This Row],[Column3]]="NEW",Table14[[#This Row],[Column3]]),"")</f>
        <v/>
      </c>
      <c r="H228" s="15" cm="1">
        <f t="array" ref="H228">_xlfn.IFS(Table14[[#This Row],[Column4]]="NEW",AVERAGEIFS(Table14[Column4],Table14[Year],Table14[[#This Row],[Year]]),ISNUMBER(Table14[[#This Row],[Column4]]),Table14[[#This Row],[Column4]],Table14[[#This Row],[Column4]]="",H227*(1+Table14[[#This Row],[Ávöxtun]]))</f>
        <v>104.05200948904229</v>
      </c>
      <c r="I228" cm="1">
        <f t="array" ref="I228">_xlfn.IFS(Table14[[#This Row],[Column4]]="NEW",_xlfn.XLOOKUP(Table14[[#This Row],[Year]],$M$2:$M$27,$O$2:$O$27),ISNUMBER(Table14[[#This Row],[Column4]]),Table14[[#This Row],[Column4]],Table14[[#This Row],[Column4]]="",I227*(1+Table14[[#This Row],[Ávöxtun]]))</f>
        <v>106.68970422274938</v>
      </c>
      <c r="L228" s="33">
        <v>106.68970422274938</v>
      </c>
    </row>
    <row r="229" spans="1:12">
      <c r="A229" t="s">
        <v>136</v>
      </c>
      <c r="B229">
        <v>2009</v>
      </c>
      <c r="C229" s="16">
        <v>3.1800000000000002E-2</v>
      </c>
      <c r="D229" s="1">
        <v>3454109</v>
      </c>
      <c r="E229" s="29">
        <f>Table14[[#This Row],[Ávöxtun]]*Table14[[#This Row],[Eignir]]/SUMIFS(Table14[Eignir],Table14[Year],Table14[[#This Row],[Year]])</f>
        <v>6.5841520133323099E-5</v>
      </c>
      <c r="F229" s="23" t="e">
        <f>IF(B229=1997, 100, IF(COUNTIF(A$1:A228,A229)=0, "NEW", F228*(1+Table14[[#This Row],[Ávöxtun]])))</f>
        <v>#VALUE!</v>
      </c>
      <c r="G229" s="18" t="str" cm="1">
        <f t="array" ref="G229">IFERROR(_xlfn.IFS(ISNUMBER(Table14[[#This Row],[Column3]]),Table14[[#This Row],[Column3]],Table14[[#This Row],[Column3]]="NEW",Table14[[#This Row],[Column3]]),"")</f>
        <v/>
      </c>
      <c r="H229" s="15" cm="1">
        <f t="array" ref="H229">_xlfn.IFS(Table14[[#This Row],[Column4]]="NEW",AVERAGEIFS(Table14[Column4],Table14[Year],Table14[[#This Row],[Year]]),ISNUMBER(Table14[[#This Row],[Column4]]),Table14[[#This Row],[Column4]],Table14[[#This Row],[Column4]]="",H228*(1+Table14[[#This Row],[Ávöxtun]]))</f>
        <v>107.36086339079384</v>
      </c>
      <c r="I229" cm="1">
        <f t="array" ref="I229">_xlfn.IFS(Table14[[#This Row],[Column4]]="NEW",_xlfn.XLOOKUP(Table14[[#This Row],[Year]],$M$2:$M$27,$O$2:$O$27),ISNUMBER(Table14[[#This Row],[Column4]]),Table14[[#This Row],[Column4]],Table14[[#This Row],[Column4]]="",I228*(1+Table14[[#This Row],[Ávöxtun]]))</f>
        <v>110.08243681703281</v>
      </c>
      <c r="L229" s="33">
        <v>110.08243681703281</v>
      </c>
    </row>
    <row r="230" spans="1:12">
      <c r="A230" t="s">
        <v>136</v>
      </c>
      <c r="B230">
        <v>2010</v>
      </c>
      <c r="C230" s="16">
        <v>4.5999999999999999E-2</v>
      </c>
      <c r="D230" s="1">
        <v>4278252</v>
      </c>
      <c r="E230" s="29">
        <f>Table14[[#This Row],[Ávöxtun]]*Table14[[#This Row],[Eignir]]/SUMIFS(Table14[Eignir],Table14[Year],Table14[[#This Row],[Year]])</f>
        <v>1.1008002661686864E-4</v>
      </c>
      <c r="F230" s="23" t="e">
        <f>IF(B230=1997, 100, IF(COUNTIF(A$1:A229,A230)=0, "NEW", F229*(1+Table14[[#This Row],[Ávöxtun]])))</f>
        <v>#VALUE!</v>
      </c>
      <c r="G230" s="18" t="str" cm="1">
        <f t="array" ref="G230">IFERROR(_xlfn.IFS(ISNUMBER(Table14[[#This Row],[Column3]]),Table14[[#This Row],[Column3]],Table14[[#This Row],[Column3]]="NEW",Table14[[#This Row],[Column3]]),"")</f>
        <v/>
      </c>
      <c r="H230" s="15" cm="1">
        <f t="array" ref="H230">_xlfn.IFS(Table14[[#This Row],[Column4]]="NEW",AVERAGEIFS(Table14[Column4],Table14[Year],Table14[[#This Row],[Year]]),ISNUMBER(Table14[[#This Row],[Column4]]),Table14[[#This Row],[Column4]],Table14[[#This Row],[Column4]]="",H229*(1+Table14[[#This Row],[Ávöxtun]]))</f>
        <v>112.29946310677036</v>
      </c>
      <c r="I230" cm="1">
        <f t="array" ref="I230">_xlfn.IFS(Table14[[#This Row],[Column4]]="NEW",_xlfn.XLOOKUP(Table14[[#This Row],[Year]],$M$2:$M$27,$O$2:$O$27),ISNUMBER(Table14[[#This Row],[Column4]]),Table14[[#This Row],[Column4]],Table14[[#This Row],[Column4]]="",I229*(1+Table14[[#This Row],[Ávöxtun]]))</f>
        <v>115.14622891061633</v>
      </c>
      <c r="L230" s="33">
        <v>115.14622891061633</v>
      </c>
    </row>
    <row r="231" spans="1:12">
      <c r="A231" t="s">
        <v>136</v>
      </c>
      <c r="B231">
        <v>2011</v>
      </c>
      <c r="C231" s="16">
        <v>0.02</v>
      </c>
      <c r="D231" s="1">
        <v>5226456</v>
      </c>
      <c r="E231" s="29">
        <f>Table14[[#This Row],[Ávöxtun]]*Table14[[#This Row],[Eignir]]/SUMIFS(Table14[Eignir],Table14[Year],Table14[[#This Row],[Year]])</f>
        <v>5.3589319103636288E-5</v>
      </c>
      <c r="F231" s="23" t="e">
        <f>IF(B231=1997, 100, IF(COUNTIF(A$1:A230,A231)=0, "NEW", F230*(1+Table14[[#This Row],[Ávöxtun]])))</f>
        <v>#VALUE!</v>
      </c>
      <c r="G231" s="18" t="str" cm="1">
        <f t="array" ref="G231">IFERROR(_xlfn.IFS(ISNUMBER(Table14[[#This Row],[Column3]]),Table14[[#This Row],[Column3]],Table14[[#This Row],[Column3]]="NEW",Table14[[#This Row],[Column3]]),"")</f>
        <v/>
      </c>
      <c r="H231" s="15" cm="1">
        <f t="array" ref="H231">_xlfn.IFS(Table14[[#This Row],[Column4]]="NEW",AVERAGEIFS(Table14[Column4],Table14[Year],Table14[[#This Row],[Year]]),ISNUMBER(Table14[[#This Row],[Column4]]),Table14[[#This Row],[Column4]],Table14[[#This Row],[Column4]]="",H230*(1+Table14[[#This Row],[Ávöxtun]]))</f>
        <v>114.54545236890577</v>
      </c>
      <c r="I231" cm="1">
        <f t="array" ref="I231">_xlfn.IFS(Table14[[#This Row],[Column4]]="NEW",_xlfn.XLOOKUP(Table14[[#This Row],[Year]],$M$2:$M$27,$O$2:$O$27),ISNUMBER(Table14[[#This Row],[Column4]]),Table14[[#This Row],[Column4]],Table14[[#This Row],[Column4]]="",I230*(1+Table14[[#This Row],[Ávöxtun]]))</f>
        <v>117.44915348882866</v>
      </c>
      <c r="L231" s="33">
        <v>117.44915348882866</v>
      </c>
    </row>
    <row r="232" spans="1:12">
      <c r="A232" t="s">
        <v>136</v>
      </c>
      <c r="B232">
        <v>2012</v>
      </c>
      <c r="C232" s="16">
        <v>3.2000000000000001E-2</v>
      </c>
      <c r="D232" s="1">
        <v>6254807</v>
      </c>
      <c r="E232" s="29">
        <f>Table14[[#This Row],[Ávöxtun]]*Table14[[#This Row],[Eignir]]/SUMIFS(Table14[Eignir],Table14[Year],Table14[[#This Row],[Year]])</f>
        <v>9.0861592744327237E-5</v>
      </c>
      <c r="F232" s="23" t="e">
        <f>IF(B232=1997, 100, IF(COUNTIF(A$1:A231,A232)=0, "NEW", F231*(1+Table14[[#This Row],[Ávöxtun]])))</f>
        <v>#VALUE!</v>
      </c>
      <c r="G232" s="18" t="str" cm="1">
        <f t="array" ref="G232">IFERROR(_xlfn.IFS(ISNUMBER(Table14[[#This Row],[Column3]]),Table14[[#This Row],[Column3]],Table14[[#This Row],[Column3]]="NEW",Table14[[#This Row],[Column3]]),"")</f>
        <v/>
      </c>
      <c r="H232" s="15" cm="1">
        <f t="array" ref="H232">_xlfn.IFS(Table14[[#This Row],[Column4]]="NEW",AVERAGEIFS(Table14[Column4],Table14[Year],Table14[[#This Row],[Year]]),ISNUMBER(Table14[[#This Row],[Column4]]),Table14[[#This Row],[Column4]],Table14[[#This Row],[Column4]]="",H231*(1+Table14[[#This Row],[Ávöxtun]]))</f>
        <v>118.21090684471076</v>
      </c>
      <c r="I232" cm="1">
        <f t="array" ref="I232">_xlfn.IFS(Table14[[#This Row],[Column4]]="NEW",_xlfn.XLOOKUP(Table14[[#This Row],[Year]],$M$2:$M$27,$O$2:$O$27),ISNUMBER(Table14[[#This Row],[Column4]]),Table14[[#This Row],[Column4]],Table14[[#This Row],[Column4]]="",I231*(1+Table14[[#This Row],[Ávöxtun]]))</f>
        <v>121.20752640047118</v>
      </c>
      <c r="L232" s="33">
        <v>121.20752640047118</v>
      </c>
    </row>
    <row r="233" spans="1:12">
      <c r="A233" t="s">
        <v>136</v>
      </c>
      <c r="B233">
        <v>2013</v>
      </c>
      <c r="C233" s="16">
        <v>5.7000000000000002E-2</v>
      </c>
      <c r="D233" s="1">
        <v>7505895</v>
      </c>
      <c r="E233" s="29">
        <f>Table14[[#This Row],[Ávöxtun]]*Table14[[#This Row],[Eignir]]/SUMIFS(Table14[Eignir],Table14[Year],Table14[[#This Row],[Year]])</f>
        <v>1.758052323230996E-4</v>
      </c>
      <c r="F233" s="23" t="e">
        <f>IF(B233=1997, 100, IF(COUNTIF(A$1:A232,A233)=0, "NEW", F232*(1+Table14[[#This Row],[Ávöxtun]])))</f>
        <v>#VALUE!</v>
      </c>
      <c r="G233" s="18" t="str" cm="1">
        <f t="array" ref="G233">IFERROR(_xlfn.IFS(ISNUMBER(Table14[[#This Row],[Column3]]),Table14[[#This Row],[Column3]],Table14[[#This Row],[Column3]]="NEW",Table14[[#This Row],[Column3]]),"")</f>
        <v/>
      </c>
      <c r="H233" s="15" cm="1">
        <f t="array" ref="H233">_xlfn.IFS(Table14[[#This Row],[Column4]]="NEW",AVERAGEIFS(Table14[Column4],Table14[Year],Table14[[#This Row],[Year]]),ISNUMBER(Table14[[#This Row],[Column4]]),Table14[[#This Row],[Column4]],Table14[[#This Row],[Column4]]="",H232*(1+Table14[[#This Row],[Ávöxtun]]))</f>
        <v>124.94892853485926</v>
      </c>
      <c r="I233" cm="1">
        <f t="array" ref="I233">_xlfn.IFS(Table14[[#This Row],[Column4]]="NEW",_xlfn.XLOOKUP(Table14[[#This Row],[Year]],$M$2:$M$27,$O$2:$O$27),ISNUMBER(Table14[[#This Row],[Column4]]),Table14[[#This Row],[Column4]],Table14[[#This Row],[Column4]]="",I232*(1+Table14[[#This Row],[Ávöxtun]]))</f>
        <v>128.11635540529804</v>
      </c>
      <c r="L233" s="33">
        <v>128.11635540529804</v>
      </c>
    </row>
    <row r="234" spans="1:12">
      <c r="A234" t="s">
        <v>136</v>
      </c>
      <c r="B234">
        <v>2014</v>
      </c>
      <c r="C234" s="16">
        <v>4.9000000000000002E-2</v>
      </c>
      <c r="D234" s="1">
        <v>8566556</v>
      </c>
      <c r="E234" s="29">
        <f>Table14[[#This Row],[Ávöxtun]]*Table14[[#This Row],[Eignir]]/SUMIFS(Table14[Eignir],Table14[Year],Table14[[#This Row],[Year]])</f>
        <v>1.5822024952447485E-4</v>
      </c>
      <c r="F234" s="23" t="e">
        <f>IF(B234=1997, 100, IF(COUNTIF(A$1:A233,A234)=0, "NEW", F233*(1+Table14[[#This Row],[Ávöxtun]])))</f>
        <v>#VALUE!</v>
      </c>
      <c r="G234" s="18" t="str" cm="1">
        <f t="array" ref="G234">IFERROR(_xlfn.IFS(ISNUMBER(Table14[[#This Row],[Column3]]),Table14[[#This Row],[Column3]],Table14[[#This Row],[Column3]]="NEW",Table14[[#This Row],[Column3]]),"")</f>
        <v/>
      </c>
      <c r="H234" s="15" cm="1">
        <f t="array" ref="H234">_xlfn.IFS(Table14[[#This Row],[Column4]]="NEW",AVERAGEIFS(Table14[Column4],Table14[Year],Table14[[#This Row],[Year]]),ISNUMBER(Table14[[#This Row],[Column4]]),Table14[[#This Row],[Column4]],Table14[[#This Row],[Column4]]="",H233*(1+Table14[[#This Row],[Ávöxtun]]))</f>
        <v>131.07142603306735</v>
      </c>
      <c r="I234" cm="1">
        <f t="array" ref="I234">_xlfn.IFS(Table14[[#This Row],[Column4]]="NEW",_xlfn.XLOOKUP(Table14[[#This Row],[Year]],$M$2:$M$27,$O$2:$O$27),ISNUMBER(Table14[[#This Row],[Column4]]),Table14[[#This Row],[Column4]],Table14[[#This Row],[Column4]]="",I233*(1+Table14[[#This Row],[Ávöxtun]]))</f>
        <v>134.39405682015763</v>
      </c>
      <c r="L234" s="33">
        <v>134.39405682015763</v>
      </c>
    </row>
    <row r="235" spans="1:12">
      <c r="A235" t="s">
        <v>136</v>
      </c>
      <c r="B235">
        <v>2015</v>
      </c>
      <c r="C235" s="16">
        <v>0.11599999999999999</v>
      </c>
      <c r="D235" s="1">
        <v>10638652</v>
      </c>
      <c r="E235" s="29">
        <f>Table14[[#This Row],[Ávöxtun]]*Table14[[#This Row],[Eignir]]/SUMIFS(Table14[Eignir],Table14[Year],Table14[[#This Row],[Year]])</f>
        <v>4.167261107114144E-4</v>
      </c>
      <c r="F235" s="23" t="e">
        <f>IF(B235=1997, 100, IF(COUNTIF(A$1:A234,A235)=0, "NEW", F234*(1+Table14[[#This Row],[Ávöxtun]])))</f>
        <v>#VALUE!</v>
      </c>
      <c r="G235" s="18" t="str" cm="1">
        <f t="array" ref="G235">IFERROR(_xlfn.IFS(ISNUMBER(Table14[[#This Row],[Column3]]),Table14[[#This Row],[Column3]],Table14[[#This Row],[Column3]]="NEW",Table14[[#This Row],[Column3]]),"")</f>
        <v/>
      </c>
      <c r="H235" s="15" cm="1">
        <f t="array" ref="H235">_xlfn.IFS(Table14[[#This Row],[Column4]]="NEW",AVERAGEIFS(Table14[Column4],Table14[Year],Table14[[#This Row],[Year]]),ISNUMBER(Table14[[#This Row],[Column4]]),Table14[[#This Row],[Column4]],Table14[[#This Row],[Column4]]="",H234*(1+Table14[[#This Row],[Ávöxtun]]))</f>
        <v>146.27571145290318</v>
      </c>
      <c r="I235" cm="1">
        <f t="array" ref="I235">_xlfn.IFS(Table14[[#This Row],[Column4]]="NEW",_xlfn.XLOOKUP(Table14[[#This Row],[Year]],$M$2:$M$27,$O$2:$O$27),ISNUMBER(Table14[[#This Row],[Column4]]),Table14[[#This Row],[Column4]],Table14[[#This Row],[Column4]]="",I234*(1+Table14[[#This Row],[Ávöxtun]]))</f>
        <v>149.98376741129593</v>
      </c>
      <c r="L235" s="33">
        <v>149.98376741129593</v>
      </c>
    </row>
    <row r="236" spans="1:12">
      <c r="A236" t="s">
        <v>136</v>
      </c>
      <c r="B236">
        <v>2016</v>
      </c>
      <c r="C236" s="16">
        <v>1.26E-2</v>
      </c>
      <c r="D236" s="1">
        <v>12326313.23</v>
      </c>
      <c r="E236" s="29">
        <f>Table14[[#This Row],[Ávöxtun]]*Table14[[#This Row],[Eignir]]/SUMIFS(Table14[Eignir],Table14[Year],Table14[[#This Row],[Year]])</f>
        <v>4.8534150688059192E-5</v>
      </c>
      <c r="F236" s="23" t="e">
        <f>IF(B236=1997, 100, IF(COUNTIF(A$1:A235,A236)=0, "NEW", F235*(1+Table14[[#This Row],[Ávöxtun]])))</f>
        <v>#VALUE!</v>
      </c>
      <c r="G236" s="18" t="str" cm="1">
        <f t="array" ref="G236">IFERROR(_xlfn.IFS(ISNUMBER(Table14[[#This Row],[Column3]]),Table14[[#This Row],[Column3]],Table14[[#This Row],[Column3]]="NEW",Table14[[#This Row],[Column3]]),"")</f>
        <v/>
      </c>
      <c r="H236" s="15" cm="1">
        <f t="array" ref="H236">_xlfn.IFS(Table14[[#This Row],[Column4]]="NEW",AVERAGEIFS(Table14[Column4],Table14[Year],Table14[[#This Row],[Year]]),ISNUMBER(Table14[[#This Row],[Column4]]),Table14[[#This Row],[Column4]],Table14[[#This Row],[Column4]]="",H235*(1+Table14[[#This Row],[Ávöxtun]]))</f>
        <v>148.11878541720975</v>
      </c>
      <c r="I236" cm="1">
        <f t="array" ref="I236">_xlfn.IFS(Table14[[#This Row],[Column4]]="NEW",_xlfn.XLOOKUP(Table14[[#This Row],[Year]],$M$2:$M$27,$O$2:$O$27),ISNUMBER(Table14[[#This Row],[Column4]]),Table14[[#This Row],[Column4]],Table14[[#This Row],[Column4]]="",I235*(1+Table14[[#This Row],[Ávöxtun]]))</f>
        <v>151.87356288067824</v>
      </c>
      <c r="L236" s="33">
        <v>151.87356288067824</v>
      </c>
    </row>
    <row r="237" spans="1:12">
      <c r="A237" t="s">
        <v>136</v>
      </c>
      <c r="B237">
        <v>2017</v>
      </c>
      <c r="C237" s="16">
        <v>4.8000000000000001E-2</v>
      </c>
      <c r="D237" s="1">
        <v>14738104</v>
      </c>
      <c r="E237" s="29">
        <f>Table14[[#This Row],[Ávöxtun]]*Table14[[#This Row],[Eignir]]/SUMIFS(Table14[Eignir],Table14[Year],Table14[[#This Row],[Year]])</f>
        <v>1.987633941260913E-4</v>
      </c>
      <c r="F237" s="23" t="e">
        <f>IF(B237=1997, 100, IF(COUNTIF(A$1:A236,A237)=0, "NEW", F236*(1+Table14[[#This Row],[Ávöxtun]])))</f>
        <v>#VALUE!</v>
      </c>
      <c r="G237" s="18" t="str" cm="1">
        <f t="array" ref="G237">IFERROR(_xlfn.IFS(ISNUMBER(Table14[[#This Row],[Column3]]),Table14[[#This Row],[Column3]],Table14[[#This Row],[Column3]]="NEW",Table14[[#This Row],[Column3]]),"")</f>
        <v/>
      </c>
      <c r="H237" s="15" cm="1">
        <f t="array" ref="H237">_xlfn.IFS(Table14[[#This Row],[Column4]]="NEW",AVERAGEIFS(Table14[Column4],Table14[Year],Table14[[#This Row],[Year]]),ISNUMBER(Table14[[#This Row],[Column4]]),Table14[[#This Row],[Column4]],Table14[[#This Row],[Column4]]="",H236*(1+Table14[[#This Row],[Ávöxtun]]))</f>
        <v>155.22848711723583</v>
      </c>
      <c r="I237" cm="1">
        <f t="array" ref="I237">_xlfn.IFS(Table14[[#This Row],[Column4]]="NEW",_xlfn.XLOOKUP(Table14[[#This Row],[Year]],$M$2:$M$27,$O$2:$O$27),ISNUMBER(Table14[[#This Row],[Column4]]),Table14[[#This Row],[Column4]],Table14[[#This Row],[Column4]]="",I236*(1+Table14[[#This Row],[Ávöxtun]]))</f>
        <v>159.1634938989508</v>
      </c>
      <c r="L237" s="33">
        <v>159.1634938989508</v>
      </c>
    </row>
    <row r="238" spans="1:12">
      <c r="A238" t="s">
        <v>136</v>
      </c>
      <c r="B238">
        <v>2018</v>
      </c>
      <c r="C238" s="16">
        <v>1.1000000000000001E-2</v>
      </c>
      <c r="D238" s="1">
        <v>17195780</v>
      </c>
      <c r="E238" s="29">
        <f>Table14[[#This Row],[Ávöxtun]]*Table14[[#This Row],[Eignir]]/SUMIFS(Table14[Eignir],Table14[Year],Table14[[#This Row],[Year]])</f>
        <v>4.9538451142423196E-5</v>
      </c>
      <c r="F238" s="23" t="e">
        <f>IF(B238=1997, 100, IF(COUNTIF(A$1:A237,A238)=0, "NEW", F237*(1+Table14[[#This Row],[Ávöxtun]])))</f>
        <v>#VALUE!</v>
      </c>
      <c r="G238" s="18" t="str" cm="1">
        <f t="array" ref="G238">IFERROR(_xlfn.IFS(ISNUMBER(Table14[[#This Row],[Column3]]),Table14[[#This Row],[Column3]],Table14[[#This Row],[Column3]]="NEW",Table14[[#This Row],[Column3]]),"")</f>
        <v/>
      </c>
      <c r="H238" s="15" cm="1">
        <f t="array" ref="H238">_xlfn.IFS(Table14[[#This Row],[Column4]]="NEW",AVERAGEIFS(Table14[Column4],Table14[Year],Table14[[#This Row],[Year]]),ISNUMBER(Table14[[#This Row],[Column4]]),Table14[[#This Row],[Column4]],Table14[[#This Row],[Column4]]="",H237*(1+Table14[[#This Row],[Ávöxtun]]))</f>
        <v>156.93600047552542</v>
      </c>
      <c r="I238" cm="1">
        <f t="array" ref="I238">_xlfn.IFS(Table14[[#This Row],[Column4]]="NEW",_xlfn.XLOOKUP(Table14[[#This Row],[Year]],$M$2:$M$27,$O$2:$O$27),ISNUMBER(Table14[[#This Row],[Column4]]),Table14[[#This Row],[Column4]],Table14[[#This Row],[Column4]]="",I237*(1+Table14[[#This Row],[Ávöxtun]]))</f>
        <v>160.91429233183925</v>
      </c>
      <c r="L238" s="33">
        <v>160.91429233183925</v>
      </c>
    </row>
    <row r="239" spans="1:12">
      <c r="A239" t="s">
        <v>136</v>
      </c>
      <c r="B239">
        <v>2019</v>
      </c>
      <c r="C239" s="16">
        <v>0.10189999999999999</v>
      </c>
      <c r="D239" s="1">
        <v>21479748.140000001</v>
      </c>
      <c r="E239" s="29">
        <f>Table14[[#This Row],[Ávöxtun]]*Table14[[#This Row],[Eignir]]/SUMIFS(Table14[Eignir],Table14[Year],Table14[[#This Row],[Year]])</f>
        <v>4.9443101889580315E-4</v>
      </c>
      <c r="F239" s="23" t="e">
        <f>IF(B239=1997, 100, IF(COUNTIF(A$1:A238,A239)=0, "NEW", F238*(1+Table14[[#This Row],[Ávöxtun]])))</f>
        <v>#VALUE!</v>
      </c>
      <c r="G239" s="18" t="str" cm="1">
        <f t="array" ref="G239">IFERROR(_xlfn.IFS(ISNUMBER(Table14[[#This Row],[Column3]]),Table14[[#This Row],[Column3]],Table14[[#This Row],[Column3]]="NEW",Table14[[#This Row],[Column3]]),"")</f>
        <v/>
      </c>
      <c r="H239" s="15" cm="1">
        <f t="array" ref="H239">_xlfn.IFS(Table14[[#This Row],[Column4]]="NEW",AVERAGEIFS(Table14[Column4],Table14[Year],Table14[[#This Row],[Year]]),ISNUMBER(Table14[[#This Row],[Column4]]),Table14[[#This Row],[Column4]],Table14[[#This Row],[Column4]]="",H238*(1+Table14[[#This Row],[Ávöxtun]]))</f>
        <v>172.92777892398146</v>
      </c>
      <c r="I239" cm="1">
        <f t="array" ref="I239">_xlfn.IFS(Table14[[#This Row],[Column4]]="NEW",_xlfn.XLOOKUP(Table14[[#This Row],[Year]],$M$2:$M$27,$O$2:$O$27),ISNUMBER(Table14[[#This Row],[Column4]]),Table14[[#This Row],[Column4]],Table14[[#This Row],[Column4]]="",I238*(1+Table14[[#This Row],[Ávöxtun]]))</f>
        <v>177.31145872045369</v>
      </c>
      <c r="L239" s="33">
        <v>177.31145872045369</v>
      </c>
    </row>
    <row r="240" spans="1:12">
      <c r="A240" t="s">
        <v>136</v>
      </c>
      <c r="B240">
        <v>2020</v>
      </c>
      <c r="C240" s="16">
        <v>8.5900000000000004E-2</v>
      </c>
      <c r="D240" s="1">
        <v>26365091.859999999</v>
      </c>
      <c r="E240" s="29">
        <f>Table14[[#This Row],[Ávöxtun]]*Table14[[#This Row],[Eignir]]/SUMIFS(Table14[Eignir],Table14[Year],Table14[[#This Row],[Year]])</f>
        <v>4.4090553826434294E-4</v>
      </c>
      <c r="F240" s="23" t="e">
        <f>IF(B240=1997, 100, IF(COUNTIF(A$1:A239,A240)=0, "NEW", F239*(1+Table14[[#This Row],[Ávöxtun]])))</f>
        <v>#VALUE!</v>
      </c>
      <c r="G240" s="18" t="str" cm="1">
        <f t="array" ref="G240">IFERROR(_xlfn.IFS(ISNUMBER(Table14[[#This Row],[Column3]]),Table14[[#This Row],[Column3]],Table14[[#This Row],[Column3]]="NEW",Table14[[#This Row],[Column3]]),"")</f>
        <v/>
      </c>
      <c r="H240" s="15" cm="1">
        <f t="array" ref="H240">_xlfn.IFS(Table14[[#This Row],[Column4]]="NEW",AVERAGEIFS(Table14[Column4],Table14[Year],Table14[[#This Row],[Year]]),ISNUMBER(Table14[[#This Row],[Column4]]),Table14[[#This Row],[Column4]],Table14[[#This Row],[Column4]]="",H239*(1+Table14[[#This Row],[Ávöxtun]]))</f>
        <v>187.78227513355148</v>
      </c>
      <c r="I240" cm="1">
        <f t="array" ref="I240">_xlfn.IFS(Table14[[#This Row],[Column4]]="NEW",_xlfn.XLOOKUP(Table14[[#This Row],[Year]],$M$2:$M$27,$O$2:$O$27),ISNUMBER(Table14[[#This Row],[Column4]]),Table14[[#This Row],[Column4]],Table14[[#This Row],[Column4]]="",I239*(1+Table14[[#This Row],[Ávöxtun]]))</f>
        <v>192.54251302454068</v>
      </c>
      <c r="L240" s="33">
        <v>192.54251302454068</v>
      </c>
    </row>
    <row r="241" spans="1:12">
      <c r="A241" t="s">
        <v>136</v>
      </c>
      <c r="B241">
        <v>2021</v>
      </c>
      <c r="C241" s="16">
        <v>7.6999999999999999E-2</v>
      </c>
      <c r="D241" s="1">
        <v>32258649.73</v>
      </c>
      <c r="E241" s="29">
        <f>Table14[[#This Row],[Ávöxtun]]*Table14[[#This Row],[Eignir]]/SUMIFS(Table14[Eignir],Table14[Year],Table14[[#This Row],[Year]])</f>
        <v>4.1127854369745165E-4</v>
      </c>
      <c r="F241" s="23" t="e">
        <f>IF(B241=1997, 100, IF(COUNTIF(A$1:A240,A241)=0, "NEW", F240*(1+Table14[[#This Row],[Ávöxtun]])))</f>
        <v>#VALUE!</v>
      </c>
      <c r="G241" s="18" t="str" cm="1">
        <f t="array" ref="G241">IFERROR(_xlfn.IFS(ISNUMBER(Table14[[#This Row],[Column3]]),Table14[[#This Row],[Column3]],Table14[[#This Row],[Column3]]="NEW",Table14[[#This Row],[Column3]]),"")</f>
        <v/>
      </c>
      <c r="H241" s="15" cm="1">
        <f t="array" ref="H241">_xlfn.IFS(Table14[[#This Row],[Column4]]="NEW",AVERAGEIFS(Table14[Column4],Table14[Year],Table14[[#This Row],[Year]]),ISNUMBER(Table14[[#This Row],[Column4]]),Table14[[#This Row],[Column4]],Table14[[#This Row],[Column4]]="",H240*(1+Table14[[#This Row],[Ávöxtun]]))</f>
        <v>202.24151031883494</v>
      </c>
      <c r="I241" cm="1">
        <f t="array" ref="I241">_xlfn.IFS(Table14[[#This Row],[Column4]]="NEW",_xlfn.XLOOKUP(Table14[[#This Row],[Year]],$M$2:$M$27,$O$2:$O$27),ISNUMBER(Table14[[#This Row],[Column4]]),Table14[[#This Row],[Column4]],Table14[[#This Row],[Column4]]="",I240*(1+Table14[[#This Row],[Ávöxtun]]))</f>
        <v>207.36828652743031</v>
      </c>
      <c r="L241" s="33">
        <v>207.36828652743031</v>
      </c>
    </row>
    <row r="242" spans="1:12">
      <c r="A242" t="s">
        <v>73</v>
      </c>
      <c r="B242">
        <v>2007</v>
      </c>
      <c r="C242" s="16">
        <v>3.1000000000000003E-2</v>
      </c>
      <c r="D242" s="1">
        <v>10148626</v>
      </c>
      <c r="E242" s="29">
        <f>Table14[[#This Row],[Ávöxtun]]*Table14[[#This Row],[Eignir]]/SUMIFS(Table14[Eignir],Table14[Year],Table14[[#This Row],[Year]])</f>
        <v>2.0344398463385347E-4</v>
      </c>
      <c r="F242" s="23" t="str">
        <f>IF(B242=1997, 100, IF(COUNTIF(A$1:A241,A242)=0, "NEW", F241*(1+Table14[[#This Row],[Ávöxtun]])))</f>
        <v>NEW</v>
      </c>
      <c r="G242" s="18" t="str" cm="1">
        <f t="array" ref="G242">IFERROR(_xlfn.IFS(ISNUMBER(Table14[[#This Row],[Column3]]),Table14[[#This Row],[Column3]],Table14[[#This Row],[Column3]]="NEW",Table14[[#This Row],[Column3]]),"")</f>
        <v>NEW</v>
      </c>
      <c r="H242" s="15" cm="1">
        <f t="array" ref="H242">_xlfn.IFS(Table14[[#This Row],[Column4]]="NEW",AVERAGEIFS(Table14[Column4],Table14[Year],Table14[[#This Row],[Year]]),ISNUMBER(Table14[[#This Row],[Column4]]),Table14[[#This Row],[Column4]],Table14[[#This Row],[Column4]]="",H241*(1+Table14[[#This Row],[Ávöxtun]]))</f>
        <v>178.53851178563048</v>
      </c>
      <c r="I242" cm="1">
        <f t="array" ref="I242">_xlfn.IFS(Table14[[#This Row],[Column4]]="NEW",_xlfn.XLOOKUP(Table14[[#This Row],[Year]],$M$2:$M$27,$O$2:$O$27),ISNUMBER(Table14[[#This Row],[Column4]]),Table14[[#This Row],[Column4]],Table14[[#This Row],[Column4]]="",I241*(1+Table14[[#This Row],[Ávöxtun]]))</f>
        <v>205.00759198272704</v>
      </c>
      <c r="L242" s="33">
        <v>205.00759198272704</v>
      </c>
    </row>
    <row r="243" spans="1:12">
      <c r="A243" t="s">
        <v>73</v>
      </c>
      <c r="B243">
        <v>2008</v>
      </c>
      <c r="C243" s="16">
        <v>-0.2772</v>
      </c>
      <c r="D243" s="1">
        <v>8077065</v>
      </c>
      <c r="E243" s="29">
        <f>Table14[[#This Row],[Ávöxtun]]*Table14[[#This Row],[Eignir]]/SUMIFS(Table14[Eignir],Table14[Year],Table14[[#This Row],[Year]])</f>
        <v>-1.4953153335102514E-3</v>
      </c>
      <c r="F243" s="23" t="e">
        <f>IF(B243=1997, 100, IF(COUNTIF(A$1:A242,A243)=0, "NEW", F242*(1+Table14[[#This Row],[Ávöxtun]])))</f>
        <v>#VALUE!</v>
      </c>
      <c r="G243" s="18" t="str" cm="1">
        <f t="array" ref="G243">IFERROR(_xlfn.IFS(ISNUMBER(Table14[[#This Row],[Column3]]),Table14[[#This Row],[Column3]],Table14[[#This Row],[Column3]]="NEW",Table14[[#This Row],[Column3]]),"")</f>
        <v/>
      </c>
      <c r="H243" s="15" cm="1">
        <f t="array" ref="H243">_xlfn.IFS(Table14[[#This Row],[Column4]]="NEW",AVERAGEIFS(Table14[Column4],Table14[Year],Table14[[#This Row],[Year]]),ISNUMBER(Table14[[#This Row],[Column4]]),Table14[[#This Row],[Column4]],Table14[[#This Row],[Column4]]="",H242*(1+Table14[[#This Row],[Ávöxtun]]))</f>
        <v>129.0476363186537</v>
      </c>
      <c r="I243" cm="1">
        <f t="array" ref="I243">_xlfn.IFS(Table14[[#This Row],[Column4]]="NEW",_xlfn.XLOOKUP(Table14[[#This Row],[Year]],$M$2:$M$27,$O$2:$O$27),ISNUMBER(Table14[[#This Row],[Column4]]),Table14[[#This Row],[Column4]],Table14[[#This Row],[Column4]]="",I242*(1+Table14[[#This Row],[Ávöxtun]]))</f>
        <v>148.17948748511509</v>
      </c>
      <c r="L243" s="33">
        <v>148.17948748511509</v>
      </c>
    </row>
    <row r="244" spans="1:12">
      <c r="A244" t="s">
        <v>73</v>
      </c>
      <c r="B244">
        <v>2009</v>
      </c>
      <c r="C244" s="16">
        <v>-8.1000000000000013E-3</v>
      </c>
      <c r="D244" s="1">
        <v>8053248</v>
      </c>
      <c r="E244" s="29">
        <f>Table14[[#This Row],[Ávöxtun]]*Table14[[#This Row],[Eignir]]/SUMIFS(Table14[Eignir],Table14[Year],Table14[[#This Row],[Year]])</f>
        <v>-3.9101442846840786E-5</v>
      </c>
      <c r="F244" s="23" t="e">
        <f>IF(B244=1997, 100, IF(COUNTIF(A$1:A243,A244)=0, "NEW", F243*(1+Table14[[#This Row],[Ávöxtun]])))</f>
        <v>#VALUE!</v>
      </c>
      <c r="G244" s="18" t="str" cm="1">
        <f t="array" ref="G244">IFERROR(_xlfn.IFS(ISNUMBER(Table14[[#This Row],[Column3]]),Table14[[#This Row],[Column3]],Table14[[#This Row],[Column3]]="NEW",Table14[[#This Row],[Column3]]),"")</f>
        <v/>
      </c>
      <c r="H244" s="15" cm="1">
        <f t="array" ref="H244">_xlfn.IFS(Table14[[#This Row],[Column4]]="NEW",AVERAGEIFS(Table14[Column4],Table14[Year],Table14[[#This Row],[Year]]),ISNUMBER(Table14[[#This Row],[Column4]]),Table14[[#This Row],[Column4]],Table14[[#This Row],[Column4]]="",H243*(1+Table14[[#This Row],[Ávöxtun]]))</f>
        <v>128.00235046447261</v>
      </c>
      <c r="I244" cm="1">
        <f t="array" ref="I244">_xlfn.IFS(Table14[[#This Row],[Column4]]="NEW",_xlfn.XLOOKUP(Table14[[#This Row],[Year]],$M$2:$M$27,$O$2:$O$27),ISNUMBER(Table14[[#This Row],[Column4]]),Table14[[#This Row],[Column4]],Table14[[#This Row],[Column4]]="",I243*(1+Table14[[#This Row],[Ávöxtun]]))</f>
        <v>146.97923363648565</v>
      </c>
      <c r="L244" s="33">
        <v>146.97923363648565</v>
      </c>
    </row>
    <row r="245" spans="1:12">
      <c r="A245" t="s">
        <v>73</v>
      </c>
      <c r="B245">
        <v>2010</v>
      </c>
      <c r="C245" s="16">
        <v>0.04</v>
      </c>
      <c r="D245" s="1">
        <v>8089047</v>
      </c>
      <c r="E245" s="29">
        <f>Table14[[#This Row],[Ávöxtun]]*Table14[[#This Row],[Eignir]]/SUMIFS(Table14[Eignir],Table14[Year],Table14[[#This Row],[Year]])</f>
        <v>1.8098462502200746E-4</v>
      </c>
      <c r="F245" s="23" t="e">
        <f>IF(B245=1997, 100, IF(COUNTIF(A$1:A244,A245)=0, "NEW", F244*(1+Table14[[#This Row],[Ávöxtun]])))</f>
        <v>#VALUE!</v>
      </c>
      <c r="G245" s="18" t="str" cm="1">
        <f t="array" ref="G245">IFERROR(_xlfn.IFS(ISNUMBER(Table14[[#This Row],[Column3]]),Table14[[#This Row],[Column3]],Table14[[#This Row],[Column3]]="NEW",Table14[[#This Row],[Column3]]),"")</f>
        <v/>
      </c>
      <c r="H245" s="15" cm="1">
        <f t="array" ref="H245">_xlfn.IFS(Table14[[#This Row],[Column4]]="NEW",AVERAGEIFS(Table14[Column4],Table14[Year],Table14[[#This Row],[Year]]),ISNUMBER(Table14[[#This Row],[Column4]]),Table14[[#This Row],[Column4]],Table14[[#This Row],[Column4]]="",H244*(1+Table14[[#This Row],[Ávöxtun]]))</f>
        <v>133.12244448305151</v>
      </c>
      <c r="I245" cm="1">
        <f t="array" ref="I245">_xlfn.IFS(Table14[[#This Row],[Column4]]="NEW",_xlfn.XLOOKUP(Table14[[#This Row],[Year]],$M$2:$M$27,$O$2:$O$27),ISNUMBER(Table14[[#This Row],[Column4]]),Table14[[#This Row],[Column4]],Table14[[#This Row],[Column4]]="",I244*(1+Table14[[#This Row],[Ávöxtun]]))</f>
        <v>152.85840298194509</v>
      </c>
      <c r="L245" s="33">
        <v>152.85840298194509</v>
      </c>
    </row>
    <row r="246" spans="1:12">
      <c r="A246" t="s">
        <v>73</v>
      </c>
      <c r="B246">
        <v>2011</v>
      </c>
      <c r="C246" s="16">
        <v>0.04</v>
      </c>
      <c r="D246" s="1">
        <v>8352348</v>
      </c>
      <c r="E246" s="29">
        <f>Table14[[#This Row],[Ávöxtun]]*Table14[[#This Row],[Eignir]]/SUMIFS(Table14[Eignir],Table14[Year],Table14[[#This Row],[Year]])</f>
        <v>1.7128112902380441E-4</v>
      </c>
      <c r="F246" s="23" t="e">
        <f>IF(B246=1997, 100, IF(COUNTIF(A$1:A245,A246)=0, "NEW", F245*(1+Table14[[#This Row],[Ávöxtun]])))</f>
        <v>#VALUE!</v>
      </c>
      <c r="G246" s="18" t="str" cm="1">
        <f t="array" ref="G246">IFERROR(_xlfn.IFS(ISNUMBER(Table14[[#This Row],[Column3]]),Table14[[#This Row],[Column3]],Table14[[#This Row],[Column3]]="NEW",Table14[[#This Row],[Column3]]),"")</f>
        <v/>
      </c>
      <c r="H246" s="15" cm="1">
        <f t="array" ref="H246">_xlfn.IFS(Table14[[#This Row],[Column4]]="NEW",AVERAGEIFS(Table14[Column4],Table14[Year],Table14[[#This Row],[Year]]),ISNUMBER(Table14[[#This Row],[Column4]]),Table14[[#This Row],[Column4]],Table14[[#This Row],[Column4]]="",H245*(1+Table14[[#This Row],[Ávöxtun]]))</f>
        <v>138.44734226237358</v>
      </c>
      <c r="I246" cm="1">
        <f t="array" ref="I246">_xlfn.IFS(Table14[[#This Row],[Column4]]="NEW",_xlfn.XLOOKUP(Table14[[#This Row],[Year]],$M$2:$M$27,$O$2:$O$27),ISNUMBER(Table14[[#This Row],[Column4]]),Table14[[#This Row],[Column4]],Table14[[#This Row],[Column4]]="",I245*(1+Table14[[#This Row],[Ávöxtun]]))</f>
        <v>158.97273910122291</v>
      </c>
      <c r="L246" s="33">
        <v>158.97273910122291</v>
      </c>
    </row>
    <row r="247" spans="1:12">
      <c r="A247" t="s">
        <v>77</v>
      </c>
      <c r="B247">
        <v>1997</v>
      </c>
      <c r="C247" s="16">
        <v>0.08</v>
      </c>
      <c r="D247" s="1">
        <v>7673160.8099999996</v>
      </c>
      <c r="E247" s="29">
        <f>Table14[[#This Row],[Ávöxtun]]*Table14[[#This Row],[Eignir]]/SUMIFS(Table14[Eignir],Table14[Year],Table14[[#This Row],[Year]])</f>
        <v>1.8106400598343938E-3</v>
      </c>
      <c r="F247" s="23">
        <f>IF(B247=1997, 100, IF(COUNTIF(A$1:A246,A247)=0, "NEW", F246*(1+Table14[[#This Row],[Ávöxtun]])))</f>
        <v>100</v>
      </c>
      <c r="G247" s="18" cm="1">
        <f t="array" ref="G247">IFERROR(_xlfn.IFS(ISNUMBER(Table14[[#This Row],[Column3]]),Table14[[#This Row],[Column3]],Table14[[#This Row],[Column3]]="NEW",Table14[[#This Row],[Column3]]),"")</f>
        <v>100</v>
      </c>
      <c r="H247" s="15" cm="1">
        <f t="array" ref="H247">_xlfn.IFS(Table14[[#This Row],[Column4]]="NEW",AVERAGEIFS(Table14[Column4],Table14[Year],Table14[[#This Row],[Year]]),ISNUMBER(Table14[[#This Row],[Column4]]),Table14[[#This Row],[Column4]],Table14[[#This Row],[Column4]]="",H246*(1+Table14[[#This Row],[Ávöxtun]]))</f>
        <v>100</v>
      </c>
      <c r="I247" cm="1">
        <f t="array" ref="I247">_xlfn.IFS(Table14[[#This Row],[Column4]]="NEW",_xlfn.XLOOKUP(Table14[[#This Row],[Year]],$M$2:$M$27,$O$2:$O$27),ISNUMBER(Table14[[#This Row],[Column4]]),Table14[[#This Row],[Column4]],Table14[[#This Row],[Column4]]="",I246*(1+Table14[[#This Row],[Ávöxtun]]))</f>
        <v>100</v>
      </c>
      <c r="L247" s="33">
        <v>100</v>
      </c>
    </row>
    <row r="248" spans="1:12">
      <c r="A248" t="s">
        <v>77</v>
      </c>
      <c r="B248">
        <v>1998</v>
      </c>
      <c r="C248" s="16">
        <v>0.08</v>
      </c>
      <c r="D248" s="1">
        <v>8942160.8100000005</v>
      </c>
      <c r="E248" s="29">
        <f>Table14[[#This Row],[Ávöxtun]]*Table14[[#This Row],[Eignir]]/SUMIFS(Table14[Eignir],Table14[Year],Table14[[#This Row],[Year]])</f>
        <v>1.8266320111814387E-3</v>
      </c>
      <c r="F248" s="23">
        <f>IF(B248=1997, 100, IF(COUNTIF(A$1:A247,A248)=0, "NEW", F247*(1+Table14[[#This Row],[Ávöxtun]])))</f>
        <v>108</v>
      </c>
      <c r="G248" s="18" cm="1">
        <f t="array" ref="G248">IFERROR(_xlfn.IFS(ISNUMBER(Table14[[#This Row],[Column3]]),Table14[[#This Row],[Column3]],Table14[[#This Row],[Column3]]="NEW",Table14[[#This Row],[Column3]]),"")</f>
        <v>108</v>
      </c>
      <c r="H248" s="15" cm="1">
        <f t="array" ref="H248">_xlfn.IFS(Table14[[#This Row],[Column4]]="NEW",AVERAGEIFS(Table14[Column4],Table14[Year],Table14[[#This Row],[Year]]),ISNUMBER(Table14[[#This Row],[Column4]]),Table14[[#This Row],[Column4]],Table14[[#This Row],[Column4]]="",H247*(1+Table14[[#This Row],[Ávöxtun]]))</f>
        <v>108</v>
      </c>
      <c r="I248" cm="1">
        <f t="array" ref="I248">_xlfn.IFS(Table14[[#This Row],[Column4]]="NEW",_xlfn.XLOOKUP(Table14[[#This Row],[Year]],$M$2:$M$27,$O$2:$O$27),ISNUMBER(Table14[[#This Row],[Column4]]),Table14[[#This Row],[Column4]],Table14[[#This Row],[Column4]]="",I247*(1+Table14[[#This Row],[Ávöxtun]]))</f>
        <v>108</v>
      </c>
      <c r="L248" s="33">
        <v>108</v>
      </c>
    </row>
    <row r="249" spans="1:12">
      <c r="A249" t="s">
        <v>77</v>
      </c>
      <c r="B249">
        <v>1999</v>
      </c>
      <c r="C249" s="16">
        <v>0.16</v>
      </c>
      <c r="D249" s="1">
        <v>11388315.029999999</v>
      </c>
      <c r="E249" s="29">
        <f>Table14[[#This Row],[Ávöxtun]]*Table14[[#This Row],[Eignir]]/SUMIFS(Table14[Eignir],Table14[Year],Table14[[#This Row],[Year]])</f>
        <v>3.4992740824330852E-3</v>
      </c>
      <c r="F249" s="23">
        <f>IF(B249=1997, 100, IF(COUNTIF(A$1:A248,A249)=0, "NEW", F248*(1+Table14[[#This Row],[Ávöxtun]])))</f>
        <v>125.27999999999999</v>
      </c>
      <c r="G249" s="18" cm="1">
        <f t="array" ref="G249">IFERROR(_xlfn.IFS(ISNUMBER(Table14[[#This Row],[Column3]]),Table14[[#This Row],[Column3]],Table14[[#This Row],[Column3]]="NEW",Table14[[#This Row],[Column3]]),"")</f>
        <v>125.27999999999999</v>
      </c>
      <c r="H249" s="15" cm="1">
        <f t="array" ref="H249">_xlfn.IFS(Table14[[#This Row],[Column4]]="NEW",AVERAGEIFS(Table14[Column4],Table14[Year],Table14[[#This Row],[Year]]),ISNUMBER(Table14[[#This Row],[Column4]]),Table14[[#This Row],[Column4]],Table14[[#This Row],[Column4]]="",H248*(1+Table14[[#This Row],[Ávöxtun]]))</f>
        <v>125.27999999999999</v>
      </c>
      <c r="I249" cm="1">
        <f t="array" ref="I249">_xlfn.IFS(Table14[[#This Row],[Column4]]="NEW",_xlfn.XLOOKUP(Table14[[#This Row],[Year]],$M$2:$M$27,$O$2:$O$27),ISNUMBER(Table14[[#This Row],[Column4]]),Table14[[#This Row],[Column4]],Table14[[#This Row],[Column4]]="",I248*(1+Table14[[#This Row],[Ávöxtun]]))</f>
        <v>125.27999999999999</v>
      </c>
      <c r="L249" s="33">
        <v>125.27999999999999</v>
      </c>
    </row>
    <row r="250" spans="1:12">
      <c r="A250" t="s">
        <v>77</v>
      </c>
      <c r="B250">
        <v>2000</v>
      </c>
      <c r="C250" s="16">
        <v>-0.04</v>
      </c>
      <c r="D250" s="1">
        <v>11743787</v>
      </c>
      <c r="E250" s="29">
        <f>Table14[[#This Row],[Ávöxtun]]*Table14[[#This Row],[Eignir]]/SUMIFS(Table14[Eignir],Table14[Year],Table14[[#This Row],[Year]])</f>
        <v>-6.6079375299767009E-4</v>
      </c>
      <c r="F250" s="23">
        <f>IF(B250=1997, 100, IF(COUNTIF(A$1:A249,A250)=0, "NEW", F249*(1+Table14[[#This Row],[Ávöxtun]])))</f>
        <v>120.26879999999998</v>
      </c>
      <c r="G250" s="18" cm="1">
        <f t="array" ref="G250">IFERROR(_xlfn.IFS(ISNUMBER(Table14[[#This Row],[Column3]]),Table14[[#This Row],[Column3]],Table14[[#This Row],[Column3]]="NEW",Table14[[#This Row],[Column3]]),"")</f>
        <v>120.26879999999998</v>
      </c>
      <c r="H250" s="15" cm="1">
        <f t="array" ref="H250">_xlfn.IFS(Table14[[#This Row],[Column4]]="NEW",AVERAGEIFS(Table14[Column4],Table14[Year],Table14[[#This Row],[Year]]),ISNUMBER(Table14[[#This Row],[Column4]]),Table14[[#This Row],[Column4]],Table14[[#This Row],[Column4]]="",H249*(1+Table14[[#This Row],[Ávöxtun]]))</f>
        <v>120.26879999999998</v>
      </c>
      <c r="I250" cm="1">
        <f t="array" ref="I250">_xlfn.IFS(Table14[[#This Row],[Column4]]="NEW",_xlfn.XLOOKUP(Table14[[#This Row],[Year]],$M$2:$M$27,$O$2:$O$27),ISNUMBER(Table14[[#This Row],[Column4]]),Table14[[#This Row],[Column4]],Table14[[#This Row],[Column4]]="",I249*(1+Table14[[#This Row],[Ávöxtun]]))</f>
        <v>120.26879999999998</v>
      </c>
      <c r="L250" s="33">
        <v>120.26879999999998</v>
      </c>
    </row>
    <row r="251" spans="1:12">
      <c r="A251" t="s">
        <v>77</v>
      </c>
      <c r="B251">
        <v>2001</v>
      </c>
      <c r="C251" s="16">
        <v>-0.03</v>
      </c>
      <c r="D251" s="1">
        <v>12836744</v>
      </c>
      <c r="E251" s="29">
        <f>Table14[[#This Row],[Ávöxtun]]*Table14[[#This Row],[Eignir]]/SUMIFS(Table14[Eignir],Table14[Year],Table14[[#This Row],[Year]])</f>
        <v>-3.3258233924201636E-4</v>
      </c>
      <c r="F251" s="23">
        <f>IF(B251=1997, 100, IF(COUNTIF(A$1:A250,A251)=0, "NEW", F250*(1+Table14[[#This Row],[Ávöxtun]])))</f>
        <v>116.66073599999999</v>
      </c>
      <c r="G251" s="18" cm="1">
        <f t="array" ref="G251">IFERROR(_xlfn.IFS(ISNUMBER(Table14[[#This Row],[Column3]]),Table14[[#This Row],[Column3]],Table14[[#This Row],[Column3]]="NEW",Table14[[#This Row],[Column3]]),"")</f>
        <v>116.66073599999999</v>
      </c>
      <c r="H251" s="15" cm="1">
        <f t="array" ref="H251">_xlfn.IFS(Table14[[#This Row],[Column4]]="NEW",AVERAGEIFS(Table14[Column4],Table14[Year],Table14[[#This Row],[Year]]),ISNUMBER(Table14[[#This Row],[Column4]]),Table14[[#This Row],[Column4]],Table14[[#This Row],[Column4]]="",H250*(1+Table14[[#This Row],[Ávöxtun]]))</f>
        <v>116.66073599999999</v>
      </c>
      <c r="I251" cm="1">
        <f t="array" ref="I251">_xlfn.IFS(Table14[[#This Row],[Column4]]="NEW",_xlfn.XLOOKUP(Table14[[#This Row],[Year]],$M$2:$M$27,$O$2:$O$27),ISNUMBER(Table14[[#This Row],[Column4]]),Table14[[#This Row],[Column4]],Table14[[#This Row],[Column4]]="",I250*(1+Table14[[#This Row],[Ávöxtun]]))</f>
        <v>116.66073599999999</v>
      </c>
      <c r="L251" s="33">
        <v>116.66073599999999</v>
      </c>
    </row>
    <row r="252" spans="1:12">
      <c r="A252" t="s">
        <v>77</v>
      </c>
      <c r="B252">
        <v>2002</v>
      </c>
      <c r="C252" s="16">
        <v>-0.04</v>
      </c>
      <c r="D252" s="1">
        <v>13029503.6</v>
      </c>
      <c r="E252" s="29">
        <f>Table14[[#This Row],[Ávöxtun]]*Table14[[#This Row],[Eignir]]/SUMIFS(Table14[Eignir],Table14[Year],Table14[[#This Row],[Year]])</f>
        <v>-8.2054401152567395E-4</v>
      </c>
      <c r="F252" s="23">
        <f>IF(B252=1997, 100, IF(COUNTIF(A$1:A251,A252)=0, "NEW", F251*(1+Table14[[#This Row],[Ávöxtun]])))</f>
        <v>111.99430655999998</v>
      </c>
      <c r="G252" s="18" cm="1">
        <f t="array" ref="G252">IFERROR(_xlfn.IFS(ISNUMBER(Table14[[#This Row],[Column3]]),Table14[[#This Row],[Column3]],Table14[[#This Row],[Column3]]="NEW",Table14[[#This Row],[Column3]]),"")</f>
        <v>111.99430655999998</v>
      </c>
      <c r="H252" s="15" cm="1">
        <f t="array" ref="H252">_xlfn.IFS(Table14[[#This Row],[Column4]]="NEW",AVERAGEIFS(Table14[Column4],Table14[Year],Table14[[#This Row],[Year]]),ISNUMBER(Table14[[#This Row],[Column4]]),Table14[[#This Row],[Column4]],Table14[[#This Row],[Column4]]="",H251*(1+Table14[[#This Row],[Ávöxtun]]))</f>
        <v>111.99430655999998</v>
      </c>
      <c r="I252" cm="1">
        <f t="array" ref="I252">_xlfn.IFS(Table14[[#This Row],[Column4]]="NEW",_xlfn.XLOOKUP(Table14[[#This Row],[Year]],$M$2:$M$27,$O$2:$O$27),ISNUMBER(Table14[[#This Row],[Column4]]),Table14[[#This Row],[Column4]],Table14[[#This Row],[Column4]]="",I251*(1+Table14[[#This Row],[Ávöxtun]]))</f>
        <v>111.99430655999998</v>
      </c>
      <c r="L252" s="33">
        <v>111.99430655999998</v>
      </c>
    </row>
    <row r="253" spans="1:12">
      <c r="A253" t="s">
        <v>77</v>
      </c>
      <c r="B253">
        <v>2003</v>
      </c>
      <c r="C253" s="16">
        <v>0.13</v>
      </c>
      <c r="D253" s="1">
        <v>15566304</v>
      </c>
      <c r="E253" s="29">
        <f>Table14[[#This Row],[Ávöxtun]]*Table14[[#This Row],[Eignir]]/SUMIFS(Table14[Eignir],Table14[Year],Table14[[#This Row],[Year]])</f>
        <v>2.6630378152212066E-3</v>
      </c>
      <c r="F253" s="23">
        <f>IF(B253=1997, 100, IF(COUNTIF(A$1:A252,A253)=0, "NEW", F252*(1+Table14[[#This Row],[Ávöxtun]])))</f>
        <v>126.55356641279997</v>
      </c>
      <c r="G253" s="18" cm="1">
        <f t="array" ref="G253">IFERROR(_xlfn.IFS(ISNUMBER(Table14[[#This Row],[Column3]]),Table14[[#This Row],[Column3]],Table14[[#This Row],[Column3]]="NEW",Table14[[#This Row],[Column3]]),"")</f>
        <v>126.55356641279997</v>
      </c>
      <c r="H253" s="15" cm="1">
        <f t="array" ref="H253">_xlfn.IFS(Table14[[#This Row],[Column4]]="NEW",AVERAGEIFS(Table14[Column4],Table14[Year],Table14[[#This Row],[Year]]),ISNUMBER(Table14[[#This Row],[Column4]]),Table14[[#This Row],[Column4]],Table14[[#This Row],[Column4]]="",H252*(1+Table14[[#This Row],[Ávöxtun]]))</f>
        <v>126.55356641279997</v>
      </c>
      <c r="I253" cm="1">
        <f t="array" ref="I253">_xlfn.IFS(Table14[[#This Row],[Column4]]="NEW",_xlfn.XLOOKUP(Table14[[#This Row],[Year]],$M$2:$M$27,$O$2:$O$27),ISNUMBER(Table14[[#This Row],[Column4]]),Table14[[#This Row],[Column4]],Table14[[#This Row],[Column4]]="",I252*(1+Table14[[#This Row],[Ávöxtun]]))</f>
        <v>126.55356641279997</v>
      </c>
      <c r="L253" s="33">
        <v>126.55356641279997</v>
      </c>
    </row>
    <row r="254" spans="1:12">
      <c r="A254" t="s">
        <v>77</v>
      </c>
      <c r="B254">
        <v>2004</v>
      </c>
      <c r="C254" s="16">
        <v>0.12</v>
      </c>
      <c r="D254" s="1">
        <v>18636197</v>
      </c>
      <c r="E254" s="29">
        <f>Table14[[#This Row],[Ávöxtun]]*Table14[[#This Row],[Eignir]]/SUMIFS(Table14[Eignir],Table14[Year],Table14[[#This Row],[Year]])</f>
        <v>2.4638278148453856E-3</v>
      </c>
      <c r="F254" s="23">
        <f>IF(B254=1997, 100, IF(COUNTIF(A$1:A253,A254)=0, "NEW", F253*(1+Table14[[#This Row],[Ávöxtun]])))</f>
        <v>141.73999438233596</v>
      </c>
      <c r="G254" s="18" cm="1">
        <f t="array" ref="G254">IFERROR(_xlfn.IFS(ISNUMBER(Table14[[#This Row],[Column3]]),Table14[[#This Row],[Column3]],Table14[[#This Row],[Column3]]="NEW",Table14[[#This Row],[Column3]]),"")</f>
        <v>141.73999438233596</v>
      </c>
      <c r="H254" s="15" cm="1">
        <f t="array" ref="H254">_xlfn.IFS(Table14[[#This Row],[Column4]]="NEW",AVERAGEIFS(Table14[Column4],Table14[Year],Table14[[#This Row],[Year]]),ISNUMBER(Table14[[#This Row],[Column4]]),Table14[[#This Row],[Column4]],Table14[[#This Row],[Column4]]="",H253*(1+Table14[[#This Row],[Ávöxtun]]))</f>
        <v>141.73999438233596</v>
      </c>
      <c r="I254" cm="1">
        <f t="array" ref="I254">_xlfn.IFS(Table14[[#This Row],[Column4]]="NEW",_xlfn.XLOOKUP(Table14[[#This Row],[Year]],$M$2:$M$27,$O$2:$O$27),ISNUMBER(Table14[[#This Row],[Column4]]),Table14[[#This Row],[Column4]],Table14[[#This Row],[Column4]]="",I253*(1+Table14[[#This Row],[Ávöxtun]]))</f>
        <v>141.73999438233596</v>
      </c>
      <c r="L254" s="33">
        <v>141.73999438233596</v>
      </c>
    </row>
    <row r="255" spans="1:12">
      <c r="A255" t="s">
        <v>77</v>
      </c>
      <c r="B255">
        <v>2005</v>
      </c>
      <c r="C255" s="16">
        <v>0.12</v>
      </c>
      <c r="D255" s="1">
        <v>22145651</v>
      </c>
      <c r="E255" s="29">
        <f>Table14[[#This Row],[Ávöxtun]]*Table14[[#This Row],[Eignir]]/SUMIFS(Table14[Eignir],Table14[Year],Table14[[#This Row],[Year]])</f>
        <v>2.3699176642624038E-3</v>
      </c>
      <c r="F255" s="23">
        <f>IF(B255=1997, 100, IF(COUNTIF(A$1:A254,A255)=0, "NEW", F254*(1+Table14[[#This Row],[Ávöxtun]])))</f>
        <v>158.74879370821628</v>
      </c>
      <c r="G255" s="18" cm="1">
        <f t="array" ref="G255">IFERROR(_xlfn.IFS(ISNUMBER(Table14[[#This Row],[Column3]]),Table14[[#This Row],[Column3]],Table14[[#This Row],[Column3]]="NEW",Table14[[#This Row],[Column3]]),"")</f>
        <v>158.74879370821628</v>
      </c>
      <c r="H255" s="15" cm="1">
        <f t="array" ref="H255">_xlfn.IFS(Table14[[#This Row],[Column4]]="NEW",AVERAGEIFS(Table14[Column4],Table14[Year],Table14[[#This Row],[Year]]),ISNUMBER(Table14[[#This Row],[Column4]]),Table14[[#This Row],[Column4]],Table14[[#This Row],[Column4]]="",H254*(1+Table14[[#This Row],[Ávöxtun]]))</f>
        <v>158.74879370821628</v>
      </c>
      <c r="I255" cm="1">
        <f t="array" ref="I255">_xlfn.IFS(Table14[[#This Row],[Column4]]="NEW",_xlfn.XLOOKUP(Table14[[#This Row],[Year]],$M$2:$M$27,$O$2:$O$27),ISNUMBER(Table14[[#This Row],[Column4]]),Table14[[#This Row],[Column4]],Table14[[#This Row],[Column4]]="",I254*(1+Table14[[#This Row],[Ávöxtun]]))</f>
        <v>158.74879370821628</v>
      </c>
      <c r="L255" s="33">
        <v>158.74879370821628</v>
      </c>
    </row>
    <row r="256" spans="1:12">
      <c r="A256" t="s">
        <v>76</v>
      </c>
      <c r="B256">
        <v>1998</v>
      </c>
      <c r="C256" s="16">
        <v>7.0000000000000007E-2</v>
      </c>
      <c r="D256" s="1">
        <v>3921718.43</v>
      </c>
      <c r="E256" s="29">
        <f>Table14[[#This Row],[Ávöxtun]]*Table14[[#This Row],[Eignir]]/SUMIFS(Table14[Eignir],Table14[Year],Table14[[#This Row],[Year]])</f>
        <v>7.0095970128202574E-4</v>
      </c>
      <c r="F256" s="23" t="str">
        <f>IF(B256=1997, 100, IF(COUNTIF(A$1:A255,A256)=0, "NEW", F255*(1+Table14[[#This Row],[Ávöxtun]])))</f>
        <v>NEW</v>
      </c>
      <c r="G256" s="18" t="str" cm="1">
        <f t="array" ref="G256">IFERROR(_xlfn.IFS(ISNUMBER(Table14[[#This Row],[Column3]]),Table14[[#This Row],[Column3]],Table14[[#This Row],[Column3]]="NEW",Table14[[#This Row],[Column3]]),"")</f>
        <v>NEW</v>
      </c>
      <c r="H256" s="15" cm="1">
        <f t="array" ref="H256">_xlfn.IFS(Table14[[#This Row],[Column4]]="NEW",AVERAGEIFS(Table14[Column4],Table14[Year],Table14[[#This Row],[Year]]),ISNUMBER(Table14[[#This Row],[Column4]]),Table14[[#This Row],[Column4]],Table14[[#This Row],[Column4]]="",H255*(1+Table14[[#This Row],[Ávöxtun]]))</f>
        <v>106.70588235294117</v>
      </c>
      <c r="I256" cm="1">
        <f t="array" ref="I256">_xlfn.IFS(Table14[[#This Row],[Column4]]="NEW",_xlfn.XLOOKUP(Table14[[#This Row],[Year]],$M$2:$M$27,$O$2:$O$27),ISNUMBER(Table14[[#This Row],[Column4]]),Table14[[#This Row],[Column4]],Table14[[#This Row],[Column4]]="",I255*(1+Table14[[#This Row],[Ávöxtun]]))</f>
        <v>107.11186565673697</v>
      </c>
      <c r="L256" s="33">
        <v>107.11186565673697</v>
      </c>
    </row>
    <row r="257" spans="1:12">
      <c r="A257" t="s">
        <v>76</v>
      </c>
      <c r="B257">
        <v>1999</v>
      </c>
      <c r="C257" s="16">
        <v>0.14000000000000001</v>
      </c>
      <c r="D257" s="1">
        <v>4937143.1900000004</v>
      </c>
      <c r="E257" s="29">
        <f>Table14[[#This Row],[Ávöxtun]]*Table14[[#This Row],[Eignir]]/SUMIFS(Table14[Eignir],Table14[Year],Table14[[#This Row],[Year]])</f>
        <v>1.3274013772408355E-3</v>
      </c>
      <c r="F257" s="23" t="e">
        <f>IF(B257=1997, 100, IF(COUNTIF(A$1:A256,A257)=0, "NEW", F256*(1+Table14[[#This Row],[Ávöxtun]])))</f>
        <v>#VALUE!</v>
      </c>
      <c r="G257" s="18" t="str" cm="1">
        <f t="array" ref="G257">IFERROR(_xlfn.IFS(ISNUMBER(Table14[[#This Row],[Column3]]),Table14[[#This Row],[Column3]],Table14[[#This Row],[Column3]]="NEW",Table14[[#This Row],[Column3]]),"")</f>
        <v/>
      </c>
      <c r="H257" s="15" cm="1">
        <f t="array" ref="H257">_xlfn.IFS(Table14[[#This Row],[Column4]]="NEW",AVERAGEIFS(Table14[Column4],Table14[Year],Table14[[#This Row],[Year]]),ISNUMBER(Table14[[#This Row],[Column4]]),Table14[[#This Row],[Column4]],Table14[[#This Row],[Column4]]="",H256*(1+Table14[[#This Row],[Ávöxtun]]))</f>
        <v>121.64470588235295</v>
      </c>
      <c r="I257" cm="1">
        <f t="array" ref="I257">_xlfn.IFS(Table14[[#This Row],[Column4]]="NEW",_xlfn.XLOOKUP(Table14[[#This Row],[Year]],$M$2:$M$27,$O$2:$O$27),ISNUMBER(Table14[[#This Row],[Column4]]),Table14[[#This Row],[Column4]],Table14[[#This Row],[Column4]]="",I256*(1+Table14[[#This Row],[Ávöxtun]]))</f>
        <v>122.10752684868015</v>
      </c>
      <c r="L257" s="33">
        <v>122.10752684868015</v>
      </c>
    </row>
    <row r="258" spans="1:12">
      <c r="A258" t="s">
        <v>76</v>
      </c>
      <c r="B258">
        <v>2000</v>
      </c>
      <c r="C258" s="16">
        <v>-0.02</v>
      </c>
      <c r="D258" s="1">
        <v>5213181.3099999996</v>
      </c>
      <c r="E258" s="29">
        <f>Table14[[#This Row],[Ávöxtun]]*Table14[[#This Row],[Eignir]]/SUMIFS(Table14[Eignir],Table14[Year],Table14[[#This Row],[Year]])</f>
        <v>-1.466663880608619E-4</v>
      </c>
      <c r="F258" s="23" t="e">
        <f>IF(B258=1997, 100, IF(COUNTIF(A$1:A257,A258)=0, "NEW", F257*(1+Table14[[#This Row],[Ávöxtun]])))</f>
        <v>#VALUE!</v>
      </c>
      <c r="G258" s="18" t="str" cm="1">
        <f t="array" ref="G258">IFERROR(_xlfn.IFS(ISNUMBER(Table14[[#This Row],[Column3]]),Table14[[#This Row],[Column3]],Table14[[#This Row],[Column3]]="NEW",Table14[[#This Row],[Column3]]),"")</f>
        <v/>
      </c>
      <c r="H258" s="15" cm="1">
        <f t="array" ref="H258">_xlfn.IFS(Table14[[#This Row],[Column4]]="NEW",AVERAGEIFS(Table14[Column4],Table14[Year],Table14[[#This Row],[Year]]),ISNUMBER(Table14[[#This Row],[Column4]]),Table14[[#This Row],[Column4]],Table14[[#This Row],[Column4]]="",H257*(1+Table14[[#This Row],[Ávöxtun]]))</f>
        <v>119.21181176470589</v>
      </c>
      <c r="I258" cm="1">
        <f t="array" ref="I258">_xlfn.IFS(Table14[[#This Row],[Column4]]="NEW",_xlfn.XLOOKUP(Table14[[#This Row],[Year]],$M$2:$M$27,$O$2:$O$27),ISNUMBER(Table14[[#This Row],[Column4]]),Table14[[#This Row],[Column4]],Table14[[#This Row],[Column4]]="",I257*(1+Table14[[#This Row],[Ávöxtun]]))</f>
        <v>119.66537631170655</v>
      </c>
      <c r="L258" s="33">
        <v>119.66537631170655</v>
      </c>
    </row>
    <row r="259" spans="1:12">
      <c r="A259" t="s">
        <v>76</v>
      </c>
      <c r="B259">
        <v>2001</v>
      </c>
      <c r="C259" s="16">
        <v>-0.06</v>
      </c>
      <c r="D259" s="1">
        <v>5542788</v>
      </c>
      <c r="E259" s="29">
        <f>Table14[[#This Row],[Ávöxtun]]*Table14[[#This Row],[Eignir]]/SUMIFS(Table14[Eignir],Table14[Year],Table14[[#This Row],[Year]])</f>
        <v>-2.8721199066719368E-4</v>
      </c>
      <c r="F259" s="23" t="e">
        <f>IF(B259=1997, 100, IF(COUNTIF(A$1:A258,A259)=0, "NEW", F258*(1+Table14[[#This Row],[Ávöxtun]])))</f>
        <v>#VALUE!</v>
      </c>
      <c r="G259" s="18" t="str" cm="1">
        <f t="array" ref="G259">IFERROR(_xlfn.IFS(ISNUMBER(Table14[[#This Row],[Column3]]),Table14[[#This Row],[Column3]],Table14[[#This Row],[Column3]]="NEW",Table14[[#This Row],[Column3]]),"")</f>
        <v/>
      </c>
      <c r="H259" s="15" cm="1">
        <f t="array" ref="H259">_xlfn.IFS(Table14[[#This Row],[Column4]]="NEW",AVERAGEIFS(Table14[Column4],Table14[Year],Table14[[#This Row],[Year]]),ISNUMBER(Table14[[#This Row],[Column4]]),Table14[[#This Row],[Column4]],Table14[[#This Row],[Column4]]="",H258*(1+Table14[[#This Row],[Ávöxtun]]))</f>
        <v>112.05910305882352</v>
      </c>
      <c r="I259" cm="1">
        <f t="array" ref="I259">_xlfn.IFS(Table14[[#This Row],[Column4]]="NEW",_xlfn.XLOOKUP(Table14[[#This Row],[Year]],$M$2:$M$27,$O$2:$O$27),ISNUMBER(Table14[[#This Row],[Column4]]),Table14[[#This Row],[Column4]],Table14[[#This Row],[Column4]]="",I258*(1+Table14[[#This Row],[Ávöxtun]]))</f>
        <v>112.48545373300415</v>
      </c>
      <c r="L259" s="33">
        <v>112.48545373300415</v>
      </c>
    </row>
    <row r="260" spans="1:12">
      <c r="A260" t="s">
        <v>76</v>
      </c>
      <c r="B260">
        <v>2002</v>
      </c>
      <c r="C260" s="16">
        <v>-0.05</v>
      </c>
      <c r="D260" s="1">
        <v>5461028.79</v>
      </c>
      <c r="E260" s="29">
        <f>Table14[[#This Row],[Ávöxtun]]*Table14[[#This Row],[Eignir]]/SUMIFS(Table14[Eignir],Table14[Year],Table14[[#This Row],[Year]])</f>
        <v>-4.2989113476316532E-4</v>
      </c>
      <c r="F260" s="23" t="e">
        <f>IF(B260=1997, 100, IF(COUNTIF(A$1:A259,A260)=0, "NEW", F259*(1+Table14[[#This Row],[Ávöxtun]])))</f>
        <v>#VALUE!</v>
      </c>
      <c r="G260" s="18" t="str" cm="1">
        <f t="array" ref="G260">IFERROR(_xlfn.IFS(ISNUMBER(Table14[[#This Row],[Column3]]),Table14[[#This Row],[Column3]],Table14[[#This Row],[Column3]]="NEW",Table14[[#This Row],[Column3]]),"")</f>
        <v/>
      </c>
      <c r="H260" s="15" cm="1">
        <f t="array" ref="H260">_xlfn.IFS(Table14[[#This Row],[Column4]]="NEW",AVERAGEIFS(Table14[Column4],Table14[Year],Table14[[#This Row],[Year]]),ISNUMBER(Table14[[#This Row],[Column4]]),Table14[[#This Row],[Column4]],Table14[[#This Row],[Column4]]="",H259*(1+Table14[[#This Row],[Ávöxtun]]))</f>
        <v>106.45614790588235</v>
      </c>
      <c r="I260" cm="1">
        <f t="array" ref="I260">_xlfn.IFS(Table14[[#This Row],[Column4]]="NEW",_xlfn.XLOOKUP(Table14[[#This Row],[Year]],$M$2:$M$27,$O$2:$O$27),ISNUMBER(Table14[[#This Row],[Column4]]),Table14[[#This Row],[Column4]],Table14[[#This Row],[Column4]]="",I259*(1+Table14[[#This Row],[Ávöxtun]]))</f>
        <v>106.86118104635393</v>
      </c>
      <c r="L260" s="33">
        <v>106.86118104635393</v>
      </c>
    </row>
    <row r="261" spans="1:12">
      <c r="A261" t="s">
        <v>76</v>
      </c>
      <c r="B261">
        <v>2003</v>
      </c>
      <c r="C261" s="16">
        <v>0.11</v>
      </c>
      <c r="D261" s="1">
        <v>6409499</v>
      </c>
      <c r="E261" s="29">
        <f>Table14[[#This Row],[Ávöxtun]]*Table14[[#This Row],[Eignir]]/SUMIFS(Table14[Eignir],Table14[Year],Table14[[#This Row],[Year]])</f>
        <v>9.2782323205622963E-4</v>
      </c>
      <c r="F261" s="23" t="e">
        <f>IF(B261=1997, 100, IF(COUNTIF(A$1:A260,A261)=0, "NEW", F260*(1+Table14[[#This Row],[Ávöxtun]])))</f>
        <v>#VALUE!</v>
      </c>
      <c r="G261" s="18" t="str" cm="1">
        <f t="array" ref="G261">IFERROR(_xlfn.IFS(ISNUMBER(Table14[[#This Row],[Column3]]),Table14[[#This Row],[Column3]],Table14[[#This Row],[Column3]]="NEW",Table14[[#This Row],[Column3]]),"")</f>
        <v/>
      </c>
      <c r="H261" s="15" cm="1">
        <f t="array" ref="H261">_xlfn.IFS(Table14[[#This Row],[Column4]]="NEW",AVERAGEIFS(Table14[Column4],Table14[Year],Table14[[#This Row],[Year]]),ISNUMBER(Table14[[#This Row],[Column4]]),Table14[[#This Row],[Column4]],Table14[[#This Row],[Column4]]="",H260*(1+Table14[[#This Row],[Ávöxtun]]))</f>
        <v>118.16632417552941</v>
      </c>
      <c r="I261" cm="1">
        <f t="array" ref="I261">_xlfn.IFS(Table14[[#This Row],[Column4]]="NEW",_xlfn.XLOOKUP(Table14[[#This Row],[Year]],$M$2:$M$27,$O$2:$O$27),ISNUMBER(Table14[[#This Row],[Column4]]),Table14[[#This Row],[Column4]],Table14[[#This Row],[Column4]]="",I260*(1+Table14[[#This Row],[Ávöxtun]]))</f>
        <v>118.61591096145288</v>
      </c>
      <c r="L261" s="33">
        <v>118.61591096145288</v>
      </c>
    </row>
    <row r="262" spans="1:12">
      <c r="A262" t="s">
        <v>76</v>
      </c>
      <c r="B262">
        <v>2004</v>
      </c>
      <c r="C262" s="16">
        <v>7.0000000000000007E-2</v>
      </c>
      <c r="D262" s="1">
        <v>7326024</v>
      </c>
      <c r="E262" s="29">
        <f>Table14[[#This Row],[Ávöxtun]]*Table14[[#This Row],[Eignir]]/SUMIFS(Table14[Eignir],Table14[Year],Table14[[#This Row],[Year]])</f>
        <v>5.6498665797164317E-4</v>
      </c>
      <c r="F262" s="23" t="e">
        <f>IF(B262=1997, 100, IF(COUNTIF(A$1:A261,A262)=0, "NEW", F261*(1+Table14[[#This Row],[Ávöxtun]])))</f>
        <v>#VALUE!</v>
      </c>
      <c r="G262" s="18" t="str" cm="1">
        <f t="array" ref="G262">IFERROR(_xlfn.IFS(ISNUMBER(Table14[[#This Row],[Column3]]),Table14[[#This Row],[Column3]],Table14[[#This Row],[Column3]]="NEW",Table14[[#This Row],[Column3]]),"")</f>
        <v/>
      </c>
      <c r="H262" s="15" cm="1">
        <f t="array" ref="H262">_xlfn.IFS(Table14[[#This Row],[Column4]]="NEW",AVERAGEIFS(Table14[Column4],Table14[Year],Table14[[#This Row],[Year]]),ISNUMBER(Table14[[#This Row],[Column4]]),Table14[[#This Row],[Column4]],Table14[[#This Row],[Column4]]="",H261*(1+Table14[[#This Row],[Ávöxtun]]))</f>
        <v>126.43796686781647</v>
      </c>
      <c r="I262" cm="1">
        <f t="array" ref="I262">_xlfn.IFS(Table14[[#This Row],[Column4]]="NEW",_xlfn.XLOOKUP(Table14[[#This Row],[Year]],$M$2:$M$27,$O$2:$O$27),ISNUMBER(Table14[[#This Row],[Column4]]),Table14[[#This Row],[Column4]],Table14[[#This Row],[Column4]]="",I261*(1+Table14[[#This Row],[Ávöxtun]]))</f>
        <v>126.91902472875459</v>
      </c>
      <c r="L262" s="33">
        <v>126.91902472875459</v>
      </c>
    </row>
    <row r="263" spans="1:12">
      <c r="A263" t="s">
        <v>76</v>
      </c>
      <c r="B263">
        <v>2005</v>
      </c>
      <c r="C263" s="16">
        <v>0.06</v>
      </c>
      <c r="D263" s="1">
        <v>26227815</v>
      </c>
      <c r="E263" s="29">
        <f>Table14[[#This Row],[Ávöxtun]]*Table14[[#This Row],[Eignir]]/SUMIFS(Table14[Eignir],Table14[Year],Table14[[#This Row],[Year]])</f>
        <v>1.4033852981677176E-3</v>
      </c>
      <c r="F263" s="23" t="e">
        <f>IF(B263=1997, 100, IF(COUNTIF(A$1:A262,A263)=0, "NEW", F262*(1+Table14[[#This Row],[Ávöxtun]])))</f>
        <v>#VALUE!</v>
      </c>
      <c r="G263" s="18" t="str" cm="1">
        <f t="array" ref="G263">IFERROR(_xlfn.IFS(ISNUMBER(Table14[[#This Row],[Column3]]),Table14[[#This Row],[Column3]],Table14[[#This Row],[Column3]]="NEW",Table14[[#This Row],[Column3]]),"")</f>
        <v/>
      </c>
      <c r="H263" s="15" cm="1">
        <f t="array" ref="H263">_xlfn.IFS(Table14[[#This Row],[Column4]]="NEW",AVERAGEIFS(Table14[Column4],Table14[Year],Table14[[#This Row],[Year]]),ISNUMBER(Table14[[#This Row],[Column4]]),Table14[[#This Row],[Column4]],Table14[[#This Row],[Column4]]="",H262*(1+Table14[[#This Row],[Ávöxtun]]))</f>
        <v>134.02424487988546</v>
      </c>
      <c r="I263" cm="1">
        <f t="array" ref="I263">_xlfn.IFS(Table14[[#This Row],[Column4]]="NEW",_xlfn.XLOOKUP(Table14[[#This Row],[Year]],$M$2:$M$27,$O$2:$O$27),ISNUMBER(Table14[[#This Row],[Column4]]),Table14[[#This Row],[Column4]],Table14[[#This Row],[Column4]]="",I262*(1+Table14[[#This Row],[Ávöxtun]]))</f>
        <v>134.53416621247987</v>
      </c>
      <c r="L263" s="33">
        <v>134.53416621247987</v>
      </c>
    </row>
    <row r="264" spans="1:12">
      <c r="A264" t="s">
        <v>78</v>
      </c>
      <c r="B264">
        <v>1997</v>
      </c>
      <c r="C264" s="16">
        <v>7.0000000000000007E-2</v>
      </c>
      <c r="D264" s="1">
        <v>391064.47</v>
      </c>
      <c r="E264" s="29">
        <f>Table14[[#This Row],[Ávöxtun]]*Table14[[#This Row],[Eignir]]/SUMIFS(Table14[Eignir],Table14[Year],Table14[[#This Row],[Year]])</f>
        <v>8.0744739525394804E-5</v>
      </c>
      <c r="F264" s="23">
        <f>IF(B264=1997, 100, IF(COUNTIF(A$1:A263,A264)=0, "NEW", F263*(1+Table14[[#This Row],[Ávöxtun]])))</f>
        <v>100</v>
      </c>
      <c r="G264" s="18" cm="1">
        <f t="array" ref="G264">IFERROR(_xlfn.IFS(ISNUMBER(Table14[[#This Row],[Column3]]),Table14[[#This Row],[Column3]],Table14[[#This Row],[Column3]]="NEW",Table14[[#This Row],[Column3]]),"")</f>
        <v>100</v>
      </c>
      <c r="H264" s="15" cm="1">
        <f t="array" ref="H264">_xlfn.IFS(Table14[[#This Row],[Column4]]="NEW",AVERAGEIFS(Table14[Column4],Table14[Year],Table14[[#This Row],[Year]]),ISNUMBER(Table14[[#This Row],[Column4]]),Table14[[#This Row],[Column4]],Table14[[#This Row],[Column4]]="",H263*(1+Table14[[#This Row],[Ávöxtun]]))</f>
        <v>100</v>
      </c>
      <c r="I264" cm="1">
        <f t="array" ref="I264">_xlfn.IFS(Table14[[#This Row],[Column4]]="NEW",_xlfn.XLOOKUP(Table14[[#This Row],[Year]],$M$2:$M$27,$O$2:$O$27),ISNUMBER(Table14[[#This Row],[Column4]]),Table14[[#This Row],[Column4]],Table14[[#This Row],[Column4]]="",I263*(1+Table14[[#This Row],[Ávöxtun]]))</f>
        <v>100</v>
      </c>
      <c r="L264" s="33">
        <v>100</v>
      </c>
    </row>
    <row r="265" spans="1:12">
      <c r="A265" t="s">
        <v>78</v>
      </c>
      <c r="B265">
        <v>1998</v>
      </c>
      <c r="C265" s="16">
        <v>0.08</v>
      </c>
      <c r="D265" s="1">
        <v>391511.84</v>
      </c>
      <c r="E265" s="29">
        <f>Table14[[#This Row],[Ávöxtun]]*Table14[[#This Row],[Eignir]]/SUMIFS(Table14[Eignir],Table14[Year],Table14[[#This Row],[Year]])</f>
        <v>7.9974860092070472E-5</v>
      </c>
      <c r="F265" s="23">
        <f>IF(B265=1997, 100, IF(COUNTIF(A$1:A264,A265)=0, "NEW", F264*(1+Table14[[#This Row],[Ávöxtun]])))</f>
        <v>108</v>
      </c>
      <c r="G265" s="18" cm="1">
        <f t="array" ref="G265">IFERROR(_xlfn.IFS(ISNUMBER(Table14[[#This Row],[Column3]]),Table14[[#This Row],[Column3]],Table14[[#This Row],[Column3]]="NEW",Table14[[#This Row],[Column3]]),"")</f>
        <v>108</v>
      </c>
      <c r="H265" s="15" cm="1">
        <f t="array" ref="H265">_xlfn.IFS(Table14[[#This Row],[Column4]]="NEW",AVERAGEIFS(Table14[Column4],Table14[Year],Table14[[#This Row],[Year]]),ISNUMBER(Table14[[#This Row],[Column4]]),Table14[[#This Row],[Column4]],Table14[[#This Row],[Column4]]="",H264*(1+Table14[[#This Row],[Ávöxtun]]))</f>
        <v>108</v>
      </c>
      <c r="I265" cm="1">
        <f t="array" ref="I265">_xlfn.IFS(Table14[[#This Row],[Column4]]="NEW",_xlfn.XLOOKUP(Table14[[#This Row],[Year]],$M$2:$M$27,$O$2:$O$27),ISNUMBER(Table14[[#This Row],[Column4]]),Table14[[#This Row],[Column4]],Table14[[#This Row],[Column4]]="",I264*(1+Table14[[#This Row],[Ávöxtun]]))</f>
        <v>108</v>
      </c>
      <c r="L265" s="33">
        <v>108</v>
      </c>
    </row>
    <row r="266" spans="1:12">
      <c r="A266" t="s">
        <v>78</v>
      </c>
      <c r="B266">
        <v>1999</v>
      </c>
      <c r="C266" s="16">
        <v>7.0000000000000007E-2</v>
      </c>
      <c r="D266" s="1">
        <v>404826.63</v>
      </c>
      <c r="E266" s="29">
        <f>Table14[[#This Row],[Ávöxtun]]*Table14[[#This Row],[Eignir]]/SUMIFS(Table14[Eignir],Table14[Year],Table14[[#This Row],[Year]])</f>
        <v>5.4420887295124829E-5</v>
      </c>
      <c r="F266" s="23">
        <f>IF(B266=1997, 100, IF(COUNTIF(A$1:A265,A266)=0, "NEW", F265*(1+Table14[[#This Row],[Ávöxtun]])))</f>
        <v>115.56</v>
      </c>
      <c r="G266" s="18" cm="1">
        <f t="array" ref="G266">IFERROR(_xlfn.IFS(ISNUMBER(Table14[[#This Row],[Column3]]),Table14[[#This Row],[Column3]],Table14[[#This Row],[Column3]]="NEW",Table14[[#This Row],[Column3]]),"")</f>
        <v>115.56</v>
      </c>
      <c r="H266" s="15" cm="1">
        <f t="array" ref="H266">_xlfn.IFS(Table14[[#This Row],[Column4]]="NEW",AVERAGEIFS(Table14[Column4],Table14[Year],Table14[[#This Row],[Year]]),ISNUMBER(Table14[[#This Row],[Column4]]),Table14[[#This Row],[Column4]],Table14[[#This Row],[Column4]]="",H265*(1+Table14[[#This Row],[Ávöxtun]]))</f>
        <v>115.56</v>
      </c>
      <c r="I266" cm="1">
        <f t="array" ref="I266">_xlfn.IFS(Table14[[#This Row],[Column4]]="NEW",_xlfn.XLOOKUP(Table14[[#This Row],[Year]],$M$2:$M$27,$O$2:$O$27),ISNUMBER(Table14[[#This Row],[Column4]]),Table14[[#This Row],[Column4]],Table14[[#This Row],[Column4]]="",I265*(1+Table14[[#This Row],[Ávöxtun]]))</f>
        <v>115.56</v>
      </c>
      <c r="L266" s="33">
        <v>115.56</v>
      </c>
    </row>
    <row r="267" spans="1:12">
      <c r="A267" t="s">
        <v>78</v>
      </c>
      <c r="B267">
        <v>2000</v>
      </c>
      <c r="C267" s="16">
        <v>7.0000000000000007E-2</v>
      </c>
      <c r="D267" s="1">
        <v>417759.47</v>
      </c>
      <c r="E267" s="29">
        <f>Table14[[#This Row],[Ávöxtun]]*Table14[[#This Row],[Eignir]]/SUMIFS(Table14[Eignir],Table14[Year],Table14[[#This Row],[Year]])</f>
        <v>4.1136005281373951E-5</v>
      </c>
      <c r="F267" s="23">
        <f>IF(B267=1997, 100, IF(COUNTIF(A$1:A266,A267)=0, "NEW", F266*(1+Table14[[#This Row],[Ávöxtun]])))</f>
        <v>123.64920000000001</v>
      </c>
      <c r="G267" s="18" cm="1">
        <f t="array" ref="G267">IFERROR(_xlfn.IFS(ISNUMBER(Table14[[#This Row],[Column3]]),Table14[[#This Row],[Column3]],Table14[[#This Row],[Column3]]="NEW",Table14[[#This Row],[Column3]]),"")</f>
        <v>123.64920000000001</v>
      </c>
      <c r="H267" s="15" cm="1">
        <f t="array" ref="H267">_xlfn.IFS(Table14[[#This Row],[Column4]]="NEW",AVERAGEIFS(Table14[Column4],Table14[Year],Table14[[#This Row],[Year]]),ISNUMBER(Table14[[#This Row],[Column4]]),Table14[[#This Row],[Column4]],Table14[[#This Row],[Column4]]="",H266*(1+Table14[[#This Row],[Ávöxtun]]))</f>
        <v>123.64920000000001</v>
      </c>
      <c r="I267" cm="1">
        <f t="array" ref="I267">_xlfn.IFS(Table14[[#This Row],[Column4]]="NEW",_xlfn.XLOOKUP(Table14[[#This Row],[Year]],$M$2:$M$27,$O$2:$O$27),ISNUMBER(Table14[[#This Row],[Column4]]),Table14[[#This Row],[Column4]],Table14[[#This Row],[Column4]]="",I266*(1+Table14[[#This Row],[Ávöxtun]]))</f>
        <v>123.64920000000001</v>
      </c>
      <c r="L267" s="33">
        <v>123.64920000000001</v>
      </c>
    </row>
    <row r="268" spans="1:12">
      <c r="A268" t="s">
        <v>78</v>
      </c>
      <c r="B268">
        <v>2001</v>
      </c>
      <c r="C268" s="16">
        <v>0.06</v>
      </c>
      <c r="D268" s="1">
        <v>445780.39</v>
      </c>
      <c r="E268" s="29">
        <f>Table14[[#This Row],[Ávöxtun]]*Table14[[#This Row],[Eignir]]/SUMIFS(Table14[Eignir],Table14[Year],Table14[[#This Row],[Year]])</f>
        <v>2.3099110630299765E-5</v>
      </c>
      <c r="F268" s="23">
        <f>IF(B268=1997, 100, IF(COUNTIF(A$1:A267,A268)=0, "NEW", F267*(1+Table14[[#This Row],[Ávöxtun]])))</f>
        <v>131.06815200000003</v>
      </c>
      <c r="G268" s="18" cm="1">
        <f t="array" ref="G268">IFERROR(_xlfn.IFS(ISNUMBER(Table14[[#This Row],[Column3]]),Table14[[#This Row],[Column3]],Table14[[#This Row],[Column3]]="NEW",Table14[[#This Row],[Column3]]),"")</f>
        <v>131.06815200000003</v>
      </c>
      <c r="H268" s="15" cm="1">
        <f t="array" ref="H268">_xlfn.IFS(Table14[[#This Row],[Column4]]="NEW",AVERAGEIFS(Table14[Column4],Table14[Year],Table14[[#This Row],[Year]]),ISNUMBER(Table14[[#This Row],[Column4]]),Table14[[#This Row],[Column4]],Table14[[#This Row],[Column4]]="",H267*(1+Table14[[#This Row],[Ávöxtun]]))</f>
        <v>131.06815200000003</v>
      </c>
      <c r="I268" cm="1">
        <f t="array" ref="I268">_xlfn.IFS(Table14[[#This Row],[Column4]]="NEW",_xlfn.XLOOKUP(Table14[[#This Row],[Year]],$M$2:$M$27,$O$2:$O$27),ISNUMBER(Table14[[#This Row],[Column4]]),Table14[[#This Row],[Column4]],Table14[[#This Row],[Column4]]="",I267*(1+Table14[[#This Row],[Ávöxtun]]))</f>
        <v>131.06815200000003</v>
      </c>
      <c r="L268" s="33">
        <v>131.06815200000003</v>
      </c>
    </row>
    <row r="269" spans="1:12">
      <c r="A269" t="s">
        <v>78</v>
      </c>
      <c r="B269">
        <v>2002</v>
      </c>
      <c r="C269" s="16">
        <v>7.0000000000000007E-2</v>
      </c>
      <c r="D269" s="1">
        <v>446348.6</v>
      </c>
      <c r="E269" s="29">
        <f>Table14[[#This Row],[Ávöxtun]]*Table14[[#This Row],[Eignir]]/SUMIFS(Table14[Eignir],Table14[Year],Table14[[#This Row],[Year]])</f>
        <v>4.9191066179222655E-5</v>
      </c>
      <c r="F269" s="23">
        <f>IF(B269=1997, 100, IF(COUNTIF(A$1:A268,A269)=0, "NEW", F268*(1+Table14[[#This Row],[Ávöxtun]])))</f>
        <v>140.24292264000005</v>
      </c>
      <c r="G269" s="18" cm="1">
        <f t="array" ref="G269">IFERROR(_xlfn.IFS(ISNUMBER(Table14[[#This Row],[Column3]]),Table14[[#This Row],[Column3]],Table14[[#This Row],[Column3]]="NEW",Table14[[#This Row],[Column3]]),"")</f>
        <v>140.24292264000005</v>
      </c>
      <c r="H269" s="15" cm="1">
        <f t="array" ref="H269">_xlfn.IFS(Table14[[#This Row],[Column4]]="NEW",AVERAGEIFS(Table14[Column4],Table14[Year],Table14[[#This Row],[Year]]),ISNUMBER(Table14[[#This Row],[Column4]]),Table14[[#This Row],[Column4]],Table14[[#This Row],[Column4]]="",H268*(1+Table14[[#This Row],[Ávöxtun]]))</f>
        <v>140.24292264000005</v>
      </c>
      <c r="I269" cm="1">
        <f t="array" ref="I269">_xlfn.IFS(Table14[[#This Row],[Column4]]="NEW",_xlfn.XLOOKUP(Table14[[#This Row],[Year]],$M$2:$M$27,$O$2:$O$27),ISNUMBER(Table14[[#This Row],[Column4]]),Table14[[#This Row],[Column4]],Table14[[#This Row],[Column4]]="",I268*(1+Table14[[#This Row],[Ávöxtun]]))</f>
        <v>140.24292264000005</v>
      </c>
      <c r="L269" s="33">
        <v>140.24292264000005</v>
      </c>
    </row>
    <row r="270" spans="1:12">
      <c r="A270" t="s">
        <v>78</v>
      </c>
      <c r="B270">
        <v>2003</v>
      </c>
      <c r="C270" s="16">
        <v>0.08</v>
      </c>
      <c r="D270" s="1">
        <v>452728.27</v>
      </c>
      <c r="E270" s="29">
        <f>Table14[[#This Row],[Ávöxtun]]*Table14[[#This Row],[Eignir]]/SUMIFS(Table14[Eignir],Table14[Year],Table14[[#This Row],[Year]])</f>
        <v>4.7662418398876748E-5</v>
      </c>
      <c r="F270" s="23">
        <f>IF(B270=1997, 100, IF(COUNTIF(A$1:A269,A270)=0, "NEW", F269*(1+Table14[[#This Row],[Ávöxtun]])))</f>
        <v>151.46235645120007</v>
      </c>
      <c r="G270" s="18" cm="1">
        <f t="array" ref="G270">IFERROR(_xlfn.IFS(ISNUMBER(Table14[[#This Row],[Column3]]),Table14[[#This Row],[Column3]],Table14[[#This Row],[Column3]]="NEW",Table14[[#This Row],[Column3]]),"")</f>
        <v>151.46235645120007</v>
      </c>
      <c r="H270" s="15" cm="1">
        <f t="array" ref="H270">_xlfn.IFS(Table14[[#This Row],[Column4]]="NEW",AVERAGEIFS(Table14[Column4],Table14[Year],Table14[[#This Row],[Year]]),ISNUMBER(Table14[[#This Row],[Column4]]),Table14[[#This Row],[Column4]],Table14[[#This Row],[Column4]]="",H269*(1+Table14[[#This Row],[Ávöxtun]]))</f>
        <v>151.46235645120007</v>
      </c>
      <c r="I270" cm="1">
        <f t="array" ref="I270">_xlfn.IFS(Table14[[#This Row],[Column4]]="NEW",_xlfn.XLOOKUP(Table14[[#This Row],[Year]],$M$2:$M$27,$O$2:$O$27),ISNUMBER(Table14[[#This Row],[Column4]]),Table14[[#This Row],[Column4]],Table14[[#This Row],[Column4]]="",I269*(1+Table14[[#This Row],[Ávöxtun]]))</f>
        <v>151.46235645120007</v>
      </c>
      <c r="L270" s="33">
        <v>151.46235645120007</v>
      </c>
    </row>
    <row r="271" spans="1:12">
      <c r="A271" t="s">
        <v>78</v>
      </c>
      <c r="B271">
        <v>2004</v>
      </c>
      <c r="C271" s="16">
        <v>0.06</v>
      </c>
      <c r="D271" s="1">
        <v>458796</v>
      </c>
      <c r="E271" s="29">
        <f>Table14[[#This Row],[Ávöxtun]]*Table14[[#This Row],[Eignir]]/SUMIFS(Table14[Eignir],Table14[Year],Table14[[#This Row],[Year]])</f>
        <v>3.0327924365142829E-5</v>
      </c>
      <c r="F271" s="23">
        <f>IF(B271=1997, 100, IF(COUNTIF(A$1:A270,A271)=0, "NEW", F270*(1+Table14[[#This Row],[Ávöxtun]])))</f>
        <v>160.55009783827208</v>
      </c>
      <c r="G271" s="18" cm="1">
        <f t="array" ref="G271">IFERROR(_xlfn.IFS(ISNUMBER(Table14[[#This Row],[Column3]]),Table14[[#This Row],[Column3]],Table14[[#This Row],[Column3]]="NEW",Table14[[#This Row],[Column3]]),"")</f>
        <v>160.55009783827208</v>
      </c>
      <c r="H271" s="15" cm="1">
        <f t="array" ref="H271">_xlfn.IFS(Table14[[#This Row],[Column4]]="NEW",AVERAGEIFS(Table14[Column4],Table14[Year],Table14[[#This Row],[Year]]),ISNUMBER(Table14[[#This Row],[Column4]]),Table14[[#This Row],[Column4]],Table14[[#This Row],[Column4]]="",H270*(1+Table14[[#This Row],[Ávöxtun]]))</f>
        <v>160.55009783827208</v>
      </c>
      <c r="I271" cm="1">
        <f t="array" ref="I271">_xlfn.IFS(Table14[[#This Row],[Column4]]="NEW",_xlfn.XLOOKUP(Table14[[#This Row],[Year]],$M$2:$M$27,$O$2:$O$27),ISNUMBER(Table14[[#This Row],[Column4]]),Table14[[#This Row],[Column4]],Table14[[#This Row],[Column4]]="",I270*(1+Table14[[#This Row],[Ávöxtun]]))</f>
        <v>160.55009783827208</v>
      </c>
      <c r="L271" s="33">
        <v>160.55009783827208</v>
      </c>
    </row>
    <row r="272" spans="1:12">
      <c r="A272" t="s">
        <v>78</v>
      </c>
      <c r="B272">
        <v>2005</v>
      </c>
      <c r="C272" s="16">
        <v>0.05</v>
      </c>
      <c r="D272" s="1">
        <v>457851</v>
      </c>
      <c r="E272" s="29">
        <f>Table14[[#This Row],[Ávöxtun]]*Table14[[#This Row],[Eignir]]/SUMIFS(Table14[Eignir],Table14[Year],Table14[[#This Row],[Year]])</f>
        <v>2.0415392404062501E-5</v>
      </c>
      <c r="F272" s="23">
        <f>IF(B272=1997, 100, IF(COUNTIF(A$1:A271,A272)=0, "NEW", F271*(1+Table14[[#This Row],[Ávöxtun]])))</f>
        <v>168.5776027301857</v>
      </c>
      <c r="G272" s="18" cm="1">
        <f t="array" ref="G272">IFERROR(_xlfn.IFS(ISNUMBER(Table14[[#This Row],[Column3]]),Table14[[#This Row],[Column3]],Table14[[#This Row],[Column3]]="NEW",Table14[[#This Row],[Column3]]),"")</f>
        <v>168.5776027301857</v>
      </c>
      <c r="H272" s="15" cm="1">
        <f t="array" ref="H272">_xlfn.IFS(Table14[[#This Row],[Column4]]="NEW",AVERAGEIFS(Table14[Column4],Table14[Year],Table14[[#This Row],[Year]]),ISNUMBER(Table14[[#This Row],[Column4]]),Table14[[#This Row],[Column4]],Table14[[#This Row],[Column4]]="",H271*(1+Table14[[#This Row],[Ávöxtun]]))</f>
        <v>168.5776027301857</v>
      </c>
      <c r="I272" cm="1">
        <f t="array" ref="I272">_xlfn.IFS(Table14[[#This Row],[Column4]]="NEW",_xlfn.XLOOKUP(Table14[[#This Row],[Year]],$M$2:$M$27,$O$2:$O$27),ISNUMBER(Table14[[#This Row],[Column4]]),Table14[[#This Row],[Column4]],Table14[[#This Row],[Column4]]="",I271*(1+Table14[[#This Row],[Ávöxtun]]))</f>
        <v>168.5776027301857</v>
      </c>
      <c r="L272" s="33">
        <v>168.5776027301857</v>
      </c>
    </row>
    <row r="273" spans="1:12">
      <c r="A273" t="s">
        <v>78</v>
      </c>
      <c r="B273">
        <v>2006</v>
      </c>
      <c r="C273" s="16">
        <v>5.1100000000000007E-2</v>
      </c>
      <c r="D273" s="1">
        <v>470205</v>
      </c>
      <c r="E273" s="29">
        <f>Table14[[#This Row],[Ávöxtun]]*Table14[[#This Row],[Eignir]]/SUMIFS(Table14[Eignir],Table14[Year],Table14[[#This Row],[Year]])</f>
        <v>1.7504117360165294E-5</v>
      </c>
      <c r="F273" s="23">
        <f>IF(B273=1997, 100, IF(COUNTIF(A$1:A272,A273)=0, "NEW", F272*(1+Table14[[#This Row],[Ávöxtun]])))</f>
        <v>177.19191822969819</v>
      </c>
      <c r="G273" s="18" cm="1">
        <f t="array" ref="G273">IFERROR(_xlfn.IFS(ISNUMBER(Table14[[#This Row],[Column3]]),Table14[[#This Row],[Column3]],Table14[[#This Row],[Column3]]="NEW",Table14[[#This Row],[Column3]]),"")</f>
        <v>177.19191822969819</v>
      </c>
      <c r="H273" s="15" cm="1">
        <f t="array" ref="H273">_xlfn.IFS(Table14[[#This Row],[Column4]]="NEW",AVERAGEIFS(Table14[Column4],Table14[Year],Table14[[#This Row],[Year]]),ISNUMBER(Table14[[#This Row],[Column4]]),Table14[[#This Row],[Column4]],Table14[[#This Row],[Column4]]="",H272*(1+Table14[[#This Row],[Ávöxtun]]))</f>
        <v>177.19191822969819</v>
      </c>
      <c r="I273" cm="1">
        <f t="array" ref="I273">_xlfn.IFS(Table14[[#This Row],[Column4]]="NEW",_xlfn.XLOOKUP(Table14[[#This Row],[Year]],$M$2:$M$27,$O$2:$O$27),ISNUMBER(Table14[[#This Row],[Column4]]),Table14[[#This Row],[Column4]],Table14[[#This Row],[Column4]]="",I272*(1+Table14[[#This Row],[Ávöxtun]]))</f>
        <v>177.19191822969819</v>
      </c>
      <c r="L273" s="33">
        <v>177.19191822969819</v>
      </c>
    </row>
    <row r="274" spans="1:12">
      <c r="A274" t="s">
        <v>78</v>
      </c>
      <c r="B274">
        <v>2007</v>
      </c>
      <c r="C274" s="16">
        <v>3.9700000000000006E-2</v>
      </c>
      <c r="D274" s="1">
        <v>472544</v>
      </c>
      <c r="E274" s="29">
        <f>Table14[[#This Row],[Ávöxtun]]*Table14[[#This Row],[Eignir]]/SUMIFS(Table14[Eignir],Table14[Year],Table14[[#This Row],[Year]])</f>
        <v>1.2131337113883266E-5</v>
      </c>
      <c r="F274" s="23">
        <f>IF(B274=1997, 100, IF(COUNTIF(A$1:A273,A274)=0, "NEW", F273*(1+Table14[[#This Row],[Ávöxtun]])))</f>
        <v>184.22643738341722</v>
      </c>
      <c r="G274" s="18" cm="1">
        <f t="array" ref="G274">IFERROR(_xlfn.IFS(ISNUMBER(Table14[[#This Row],[Column3]]),Table14[[#This Row],[Column3]],Table14[[#This Row],[Column3]]="NEW",Table14[[#This Row],[Column3]]),"")</f>
        <v>184.22643738341722</v>
      </c>
      <c r="H274" s="15" cm="1">
        <f t="array" ref="H274">_xlfn.IFS(Table14[[#This Row],[Column4]]="NEW",AVERAGEIFS(Table14[Column4],Table14[Year],Table14[[#This Row],[Year]]),ISNUMBER(Table14[[#This Row],[Column4]]),Table14[[#This Row],[Column4]],Table14[[#This Row],[Column4]]="",H273*(1+Table14[[#This Row],[Ávöxtun]]))</f>
        <v>184.22643738341722</v>
      </c>
      <c r="I274" cm="1">
        <f t="array" ref="I274">_xlfn.IFS(Table14[[#This Row],[Column4]]="NEW",_xlfn.XLOOKUP(Table14[[#This Row],[Year]],$M$2:$M$27,$O$2:$O$27),ISNUMBER(Table14[[#This Row],[Column4]]),Table14[[#This Row],[Column4]],Table14[[#This Row],[Column4]]="",I273*(1+Table14[[#This Row],[Ávöxtun]]))</f>
        <v>184.22643738341722</v>
      </c>
      <c r="L274" s="33">
        <v>184.22643738341722</v>
      </c>
    </row>
    <row r="275" spans="1:12">
      <c r="A275" t="s">
        <v>78</v>
      </c>
      <c r="B275">
        <v>2008</v>
      </c>
      <c r="C275" s="16">
        <v>-0.21199999999999999</v>
      </c>
      <c r="D275" s="1">
        <v>390067</v>
      </c>
      <c r="E275" s="29">
        <f>Table14[[#This Row],[Ávöxtun]]*Table14[[#This Row],[Eignir]]/SUMIFS(Table14[Eignir],Table14[Year],Table14[[#This Row],[Year]])</f>
        <v>-5.52282210007264E-5</v>
      </c>
      <c r="F275" s="23">
        <f>IF(B275=1997, 100, IF(COUNTIF(A$1:A274,A275)=0, "NEW", F274*(1+Table14[[#This Row],[Ávöxtun]])))</f>
        <v>145.17043265813277</v>
      </c>
      <c r="G275" s="18" cm="1">
        <f t="array" ref="G275">IFERROR(_xlfn.IFS(ISNUMBER(Table14[[#This Row],[Column3]]),Table14[[#This Row],[Column3]],Table14[[#This Row],[Column3]]="NEW",Table14[[#This Row],[Column3]]),"")</f>
        <v>145.17043265813277</v>
      </c>
      <c r="H275" s="15" cm="1">
        <f t="array" ref="H275">_xlfn.IFS(Table14[[#This Row],[Column4]]="NEW",AVERAGEIFS(Table14[Column4],Table14[Year],Table14[[#This Row],[Year]]),ISNUMBER(Table14[[#This Row],[Column4]]),Table14[[#This Row],[Column4]],Table14[[#This Row],[Column4]]="",H274*(1+Table14[[#This Row],[Ávöxtun]]))</f>
        <v>145.17043265813277</v>
      </c>
      <c r="I275" cm="1">
        <f t="array" ref="I275">_xlfn.IFS(Table14[[#This Row],[Column4]]="NEW",_xlfn.XLOOKUP(Table14[[#This Row],[Year]],$M$2:$M$27,$O$2:$O$27),ISNUMBER(Table14[[#This Row],[Column4]]),Table14[[#This Row],[Column4]],Table14[[#This Row],[Column4]]="",I274*(1+Table14[[#This Row],[Ávöxtun]]))</f>
        <v>145.17043265813277</v>
      </c>
      <c r="L275" s="33">
        <v>145.17043265813277</v>
      </c>
    </row>
    <row r="276" spans="1:12">
      <c r="A276" t="s">
        <v>78</v>
      </c>
      <c r="B276">
        <v>2009</v>
      </c>
      <c r="C276" s="16">
        <v>-0.12810000000000002</v>
      </c>
      <c r="D276" s="1">
        <v>327142</v>
      </c>
      <c r="E276" s="29">
        <f>Table14[[#This Row],[Ávöxtun]]*Table14[[#This Row],[Eignir]]/SUMIFS(Table14[Eignir],Table14[Year],Table14[[#This Row],[Year]])</f>
        <v>-2.5120144025749369E-5</v>
      </c>
      <c r="F276" s="23">
        <f>IF(B276=1997, 100, IF(COUNTIF(A$1:A275,A276)=0, "NEW", F275*(1+Table14[[#This Row],[Ávöxtun]])))</f>
        <v>126.57410023462596</v>
      </c>
      <c r="G276" s="18" cm="1">
        <f t="array" ref="G276">IFERROR(_xlfn.IFS(ISNUMBER(Table14[[#This Row],[Column3]]),Table14[[#This Row],[Column3]],Table14[[#This Row],[Column3]]="NEW",Table14[[#This Row],[Column3]]),"")</f>
        <v>126.57410023462596</v>
      </c>
      <c r="H276" s="15" cm="1">
        <f t="array" ref="H276">_xlfn.IFS(Table14[[#This Row],[Column4]]="NEW",AVERAGEIFS(Table14[Column4],Table14[Year],Table14[[#This Row],[Year]]),ISNUMBER(Table14[[#This Row],[Column4]]),Table14[[#This Row],[Column4]],Table14[[#This Row],[Column4]]="",H275*(1+Table14[[#This Row],[Ávöxtun]]))</f>
        <v>126.57410023462596</v>
      </c>
      <c r="I276" cm="1">
        <f t="array" ref="I276">_xlfn.IFS(Table14[[#This Row],[Column4]]="NEW",_xlfn.XLOOKUP(Table14[[#This Row],[Year]],$M$2:$M$27,$O$2:$O$27),ISNUMBER(Table14[[#This Row],[Column4]]),Table14[[#This Row],[Column4]],Table14[[#This Row],[Column4]]="",I275*(1+Table14[[#This Row],[Ávöxtun]]))</f>
        <v>126.57410023462596</v>
      </c>
      <c r="L276" s="33">
        <v>126.57410023462596</v>
      </c>
    </row>
    <row r="277" spans="1:12">
      <c r="A277" t="s">
        <v>79</v>
      </c>
      <c r="B277">
        <v>1999</v>
      </c>
      <c r="C277" s="16">
        <v>0.1</v>
      </c>
      <c r="D277" s="1">
        <v>5470253</v>
      </c>
      <c r="E277" s="29">
        <f>Table14[[#This Row],[Ávöxtun]]*Table14[[#This Row],[Eignir]]/SUMIFS(Table14[Eignir],Table14[Year],Table14[[#This Row],[Year]])</f>
        <v>1.0505238536619931E-3</v>
      </c>
      <c r="F277" s="23" t="str">
        <f>IF(B277=1997, 100, IF(COUNTIF(A$1:A276,A277)=0, "NEW", F276*(1+Table14[[#This Row],[Ávöxtun]])))</f>
        <v>NEW</v>
      </c>
      <c r="G277" s="18" t="str" cm="1">
        <f t="array" ref="G277">IFERROR(_xlfn.IFS(ISNUMBER(Table14[[#This Row],[Column3]]),Table14[[#This Row],[Column3]],Table14[[#This Row],[Column3]]="NEW",Table14[[#This Row],[Column3]]),"")</f>
        <v>NEW</v>
      </c>
      <c r="H277" s="15" cm="1">
        <f t="array" ref="H277">_xlfn.IFS(Table14[[#This Row],[Column4]]="NEW",AVERAGEIFS(Table14[Column4],Table14[Year],Table14[[#This Row],[Year]]),ISNUMBER(Table14[[#This Row],[Column4]]),Table14[[#This Row],[Column4]],Table14[[#This Row],[Column4]]="",H276*(1+Table14[[#This Row],[Ávöxtun]]))</f>
        <v>117.05306122448981</v>
      </c>
      <c r="I277" cm="1">
        <f t="array" ref="I277">_xlfn.IFS(Table14[[#This Row],[Column4]]="NEW",_xlfn.XLOOKUP(Table14[[#This Row],[Year]],$M$2:$M$27,$O$2:$O$27),ISNUMBER(Table14[[#This Row],[Column4]]),Table14[[#This Row],[Column4]],Table14[[#This Row],[Column4]]="",I276*(1+Table14[[#This Row],[Ávöxtun]]))</f>
        <v>120.02032965757705</v>
      </c>
      <c r="L277" s="33">
        <v>120.02032965757705</v>
      </c>
    </row>
    <row r="278" spans="1:12">
      <c r="A278" t="s">
        <v>79</v>
      </c>
      <c r="B278">
        <v>2000</v>
      </c>
      <c r="C278" s="16">
        <v>-7.0000000000000007E-2</v>
      </c>
      <c r="D278" s="1">
        <v>6470029</v>
      </c>
      <c r="E278" s="29">
        <f>Table14[[#This Row],[Ávöxtun]]*Table14[[#This Row],[Eignir]]/SUMIFS(Table14[Eignir],Table14[Year],Table14[[#This Row],[Year]])</f>
        <v>-6.3709183448227441E-4</v>
      </c>
      <c r="F278" s="23" t="e">
        <f>IF(B278=1997, 100, IF(COUNTIF(A$1:A277,A278)=0, "NEW", F277*(1+Table14[[#This Row],[Ávöxtun]])))</f>
        <v>#VALUE!</v>
      </c>
      <c r="G278" s="18" t="str" cm="1">
        <f t="array" ref="G278">IFERROR(_xlfn.IFS(ISNUMBER(Table14[[#This Row],[Column3]]),Table14[[#This Row],[Column3]],Table14[[#This Row],[Column3]]="NEW",Table14[[#This Row],[Column3]]),"")</f>
        <v/>
      </c>
      <c r="H278" s="15" cm="1">
        <f t="array" ref="H278">_xlfn.IFS(Table14[[#This Row],[Column4]]="NEW",AVERAGEIFS(Table14[Column4],Table14[Year],Table14[[#This Row],[Year]]),ISNUMBER(Table14[[#This Row],[Column4]]),Table14[[#This Row],[Column4]],Table14[[#This Row],[Column4]]="",H277*(1+Table14[[#This Row],[Ávöxtun]]))</f>
        <v>108.85934693877552</v>
      </c>
      <c r="I278" cm="1">
        <f t="array" ref="I278">_xlfn.IFS(Table14[[#This Row],[Column4]]="NEW",_xlfn.XLOOKUP(Table14[[#This Row],[Year]],$M$2:$M$27,$O$2:$O$27),ISNUMBER(Table14[[#This Row],[Column4]]),Table14[[#This Row],[Column4]],Table14[[#This Row],[Column4]]="",I277*(1+Table14[[#This Row],[Ávöxtun]]))</f>
        <v>111.61890658154665</v>
      </c>
      <c r="L278" s="33">
        <v>111.61890658154665</v>
      </c>
    </row>
    <row r="279" spans="1:12">
      <c r="A279" t="s">
        <v>79</v>
      </c>
      <c r="B279">
        <v>2001</v>
      </c>
      <c r="C279" s="16">
        <v>-0.08</v>
      </c>
      <c r="D279" s="1">
        <v>8373891</v>
      </c>
      <c r="E279" s="29">
        <f>Table14[[#This Row],[Ávöxtun]]*Table14[[#This Row],[Eignir]]/SUMIFS(Table14[Eignir],Table14[Year],Table14[[#This Row],[Year]])</f>
        <v>-5.7854925565499948E-4</v>
      </c>
      <c r="F279" s="23" t="e">
        <f>IF(B279=1997, 100, IF(COUNTIF(A$1:A278,A279)=0, "NEW", F278*(1+Table14[[#This Row],[Ávöxtun]])))</f>
        <v>#VALUE!</v>
      </c>
      <c r="G279" s="18" t="str" cm="1">
        <f t="array" ref="G279">IFERROR(_xlfn.IFS(ISNUMBER(Table14[[#This Row],[Column3]]),Table14[[#This Row],[Column3]],Table14[[#This Row],[Column3]]="NEW",Table14[[#This Row],[Column3]]),"")</f>
        <v/>
      </c>
      <c r="H279" s="15" cm="1">
        <f t="array" ref="H279">_xlfn.IFS(Table14[[#This Row],[Column4]]="NEW",AVERAGEIFS(Table14[Column4],Table14[Year],Table14[[#This Row],[Year]]),ISNUMBER(Table14[[#This Row],[Column4]]),Table14[[#This Row],[Column4]],Table14[[#This Row],[Column4]]="",H278*(1+Table14[[#This Row],[Ávöxtun]]))</f>
        <v>100.15059918367348</v>
      </c>
      <c r="I279" cm="1">
        <f t="array" ref="I279">_xlfn.IFS(Table14[[#This Row],[Column4]]="NEW",_xlfn.XLOOKUP(Table14[[#This Row],[Year]],$M$2:$M$27,$O$2:$O$27),ISNUMBER(Table14[[#This Row],[Column4]]),Table14[[#This Row],[Column4]],Table14[[#This Row],[Column4]]="",I278*(1+Table14[[#This Row],[Ávöxtun]]))</f>
        <v>102.68939405502293</v>
      </c>
      <c r="L279" s="33">
        <v>102.68939405502293</v>
      </c>
    </row>
    <row r="280" spans="1:12">
      <c r="A280" t="s">
        <v>80</v>
      </c>
      <c r="B280">
        <v>1997</v>
      </c>
      <c r="C280" s="16">
        <v>0.13</v>
      </c>
      <c r="D280" s="1">
        <v>2027792.29</v>
      </c>
      <c r="E280" s="29">
        <f>Table14[[#This Row],[Ávöxtun]]*Table14[[#This Row],[Eignir]]/SUMIFS(Table14[Eignir],Table14[Year],Table14[[#This Row],[Year]])</f>
        <v>7.7756133643550594E-4</v>
      </c>
      <c r="F280" s="23">
        <f>IF(B280=1997, 100, IF(COUNTIF(A$1:A279,A280)=0, "NEW", F279*(1+Table14[[#This Row],[Ávöxtun]])))</f>
        <v>100</v>
      </c>
      <c r="G280" s="18" cm="1">
        <f t="array" ref="G280">IFERROR(_xlfn.IFS(ISNUMBER(Table14[[#This Row],[Column3]]),Table14[[#This Row],[Column3]],Table14[[#This Row],[Column3]]="NEW",Table14[[#This Row],[Column3]]),"")</f>
        <v>100</v>
      </c>
      <c r="H280" s="15" cm="1">
        <f t="array" ref="H280">_xlfn.IFS(Table14[[#This Row],[Column4]]="NEW",AVERAGEIFS(Table14[Column4],Table14[Year],Table14[[#This Row],[Year]]),ISNUMBER(Table14[[#This Row],[Column4]]),Table14[[#This Row],[Column4]],Table14[[#This Row],[Column4]]="",H279*(1+Table14[[#This Row],[Ávöxtun]]))</f>
        <v>100</v>
      </c>
      <c r="I280" cm="1">
        <f t="array" ref="I280">_xlfn.IFS(Table14[[#This Row],[Column4]]="NEW",_xlfn.XLOOKUP(Table14[[#This Row],[Year]],$M$2:$M$27,$O$2:$O$27),ISNUMBER(Table14[[#This Row],[Column4]]),Table14[[#This Row],[Column4]],Table14[[#This Row],[Column4]]="",I279*(1+Table14[[#This Row],[Ávöxtun]]))</f>
        <v>100</v>
      </c>
      <c r="L280" s="33">
        <v>100</v>
      </c>
    </row>
    <row r="281" spans="1:12">
      <c r="A281" t="s">
        <v>80</v>
      </c>
      <c r="B281">
        <v>1998</v>
      </c>
      <c r="C281" s="16">
        <v>0.02</v>
      </c>
      <c r="D281" s="1">
        <v>2161732.56</v>
      </c>
      <c r="E281" s="29">
        <f>Table14[[#This Row],[Ávöxtun]]*Table14[[#This Row],[Eignir]]/SUMIFS(Table14[Eignir],Table14[Year],Table14[[#This Row],[Year]])</f>
        <v>1.1039529420264361E-4</v>
      </c>
      <c r="F281" s="23">
        <f>IF(B281=1997, 100, IF(COUNTIF(A$1:A280,A281)=0, "NEW", F280*(1+Table14[[#This Row],[Ávöxtun]])))</f>
        <v>102</v>
      </c>
      <c r="G281" s="18" cm="1">
        <f t="array" ref="G281">IFERROR(_xlfn.IFS(ISNUMBER(Table14[[#This Row],[Column3]]),Table14[[#This Row],[Column3]],Table14[[#This Row],[Column3]]="NEW",Table14[[#This Row],[Column3]]),"")</f>
        <v>102</v>
      </c>
      <c r="H281" s="15" cm="1">
        <f t="array" ref="H281">_xlfn.IFS(Table14[[#This Row],[Column4]]="NEW",AVERAGEIFS(Table14[Column4],Table14[Year],Table14[[#This Row],[Year]]),ISNUMBER(Table14[[#This Row],[Column4]]),Table14[[#This Row],[Column4]],Table14[[#This Row],[Column4]]="",H280*(1+Table14[[#This Row],[Ávöxtun]]))</f>
        <v>102</v>
      </c>
      <c r="I281" cm="1">
        <f t="array" ref="I281">_xlfn.IFS(Table14[[#This Row],[Column4]]="NEW",_xlfn.XLOOKUP(Table14[[#This Row],[Year]],$M$2:$M$27,$O$2:$O$27),ISNUMBER(Table14[[#This Row],[Column4]]),Table14[[#This Row],[Column4]],Table14[[#This Row],[Column4]]="",I280*(1+Table14[[#This Row],[Ávöxtun]]))</f>
        <v>102</v>
      </c>
      <c r="L281" s="33">
        <v>102</v>
      </c>
    </row>
    <row r="282" spans="1:12">
      <c r="A282" t="s">
        <v>80</v>
      </c>
      <c r="B282">
        <v>1999</v>
      </c>
      <c r="C282" s="16">
        <v>0.22</v>
      </c>
      <c r="D282" s="1">
        <v>2890350.92</v>
      </c>
      <c r="E282" s="29">
        <f>Table14[[#This Row],[Ávöxtun]]*Table14[[#This Row],[Eignir]]/SUMIFS(Table14[Eignir],Table14[Year],Table14[[#This Row],[Year]])</f>
        <v>1.2211577218111393E-3</v>
      </c>
      <c r="F282" s="23">
        <f>IF(B282=1997, 100, IF(COUNTIF(A$1:A281,A282)=0, "NEW", F281*(1+Table14[[#This Row],[Ávöxtun]])))</f>
        <v>124.44</v>
      </c>
      <c r="G282" s="18" cm="1">
        <f t="array" ref="G282">IFERROR(_xlfn.IFS(ISNUMBER(Table14[[#This Row],[Column3]]),Table14[[#This Row],[Column3]],Table14[[#This Row],[Column3]]="NEW",Table14[[#This Row],[Column3]]),"")</f>
        <v>124.44</v>
      </c>
      <c r="H282" s="15" cm="1">
        <f t="array" ref="H282">_xlfn.IFS(Table14[[#This Row],[Column4]]="NEW",AVERAGEIFS(Table14[Column4],Table14[Year],Table14[[#This Row],[Year]]),ISNUMBER(Table14[[#This Row],[Column4]]),Table14[[#This Row],[Column4]],Table14[[#This Row],[Column4]]="",H281*(1+Table14[[#This Row],[Ávöxtun]]))</f>
        <v>124.44</v>
      </c>
      <c r="I282" cm="1">
        <f t="array" ref="I282">_xlfn.IFS(Table14[[#This Row],[Column4]]="NEW",_xlfn.XLOOKUP(Table14[[#This Row],[Year]],$M$2:$M$27,$O$2:$O$27),ISNUMBER(Table14[[#This Row],[Column4]]),Table14[[#This Row],[Column4]],Table14[[#This Row],[Column4]]="",I281*(1+Table14[[#This Row],[Ávöxtun]]))</f>
        <v>124.44</v>
      </c>
      <c r="L282" s="33">
        <v>124.44</v>
      </c>
    </row>
    <row r="283" spans="1:12">
      <c r="A283" t="s">
        <v>80</v>
      </c>
      <c r="B283">
        <v>2000</v>
      </c>
      <c r="C283" s="16">
        <v>0.04</v>
      </c>
      <c r="D283" s="1">
        <v>3403773.29</v>
      </c>
      <c r="E283" s="29">
        <f>Table14[[#This Row],[Ávöxtun]]*Table14[[#This Row],[Eignir]]/SUMIFS(Table14[Eignir],Table14[Year],Table14[[#This Row],[Year]])</f>
        <v>1.9152187677214577E-4</v>
      </c>
      <c r="F283" s="23">
        <f>IF(B283=1997, 100, IF(COUNTIF(A$1:A282,A283)=0, "NEW", F282*(1+Table14[[#This Row],[Ávöxtun]])))</f>
        <v>129.41759999999999</v>
      </c>
      <c r="G283" s="18" cm="1">
        <f t="array" ref="G283">IFERROR(_xlfn.IFS(ISNUMBER(Table14[[#This Row],[Column3]]),Table14[[#This Row],[Column3]],Table14[[#This Row],[Column3]]="NEW",Table14[[#This Row],[Column3]]),"")</f>
        <v>129.41759999999999</v>
      </c>
      <c r="H283" s="15" cm="1">
        <f t="array" ref="H283">_xlfn.IFS(Table14[[#This Row],[Column4]]="NEW",AVERAGEIFS(Table14[Column4],Table14[Year],Table14[[#This Row],[Year]]),ISNUMBER(Table14[[#This Row],[Column4]]),Table14[[#This Row],[Column4]],Table14[[#This Row],[Column4]]="",H282*(1+Table14[[#This Row],[Ávöxtun]]))</f>
        <v>129.41759999999999</v>
      </c>
      <c r="I283" cm="1">
        <f t="array" ref="I283">_xlfn.IFS(Table14[[#This Row],[Column4]]="NEW",_xlfn.XLOOKUP(Table14[[#This Row],[Year]],$M$2:$M$27,$O$2:$O$27),ISNUMBER(Table14[[#This Row],[Column4]]),Table14[[#This Row],[Column4]],Table14[[#This Row],[Column4]]="",I282*(1+Table14[[#This Row],[Ávöxtun]]))</f>
        <v>129.41759999999999</v>
      </c>
      <c r="L283" s="33">
        <v>129.41759999999999</v>
      </c>
    </row>
    <row r="284" spans="1:12">
      <c r="A284" t="s">
        <v>80</v>
      </c>
      <c r="B284">
        <v>2001</v>
      </c>
      <c r="C284" s="16">
        <v>-0.23</v>
      </c>
      <c r="D284" s="1">
        <v>3087068</v>
      </c>
      <c r="E284" s="29">
        <f>Table14[[#This Row],[Ávöxtun]]*Table14[[#This Row],[Eignir]]/SUMIFS(Table14[Eignir],Table14[Year],Table14[[#This Row],[Year]])</f>
        <v>-6.1319284774241244E-4</v>
      </c>
      <c r="F284" s="23">
        <f>IF(B284=1997, 100, IF(COUNTIF(A$1:A283,A284)=0, "NEW", F283*(1+Table14[[#This Row],[Ávöxtun]])))</f>
        <v>99.651551999999995</v>
      </c>
      <c r="G284" s="18" cm="1">
        <f t="array" ref="G284">IFERROR(_xlfn.IFS(ISNUMBER(Table14[[#This Row],[Column3]]),Table14[[#This Row],[Column3]],Table14[[#This Row],[Column3]]="NEW",Table14[[#This Row],[Column3]]),"")</f>
        <v>99.651551999999995</v>
      </c>
      <c r="H284" s="15" cm="1">
        <f t="array" ref="H284">_xlfn.IFS(Table14[[#This Row],[Column4]]="NEW",AVERAGEIFS(Table14[Column4],Table14[Year],Table14[[#This Row],[Year]]),ISNUMBER(Table14[[#This Row],[Column4]]),Table14[[#This Row],[Column4]],Table14[[#This Row],[Column4]]="",H283*(1+Table14[[#This Row],[Ávöxtun]]))</f>
        <v>99.651551999999995</v>
      </c>
      <c r="I284" cm="1">
        <f t="array" ref="I284">_xlfn.IFS(Table14[[#This Row],[Column4]]="NEW",_xlfn.XLOOKUP(Table14[[#This Row],[Year]],$M$2:$M$27,$O$2:$O$27),ISNUMBER(Table14[[#This Row],[Column4]]),Table14[[#This Row],[Column4]],Table14[[#This Row],[Column4]]="",I283*(1+Table14[[#This Row],[Ávöxtun]]))</f>
        <v>99.651551999999995</v>
      </c>
      <c r="L284" s="33">
        <v>99.651551999999995</v>
      </c>
    </row>
    <row r="285" spans="1:12">
      <c r="A285" t="s">
        <v>81</v>
      </c>
      <c r="B285">
        <v>1997</v>
      </c>
      <c r="C285" s="16">
        <v>0.06</v>
      </c>
      <c r="D285" s="1">
        <v>607931.47</v>
      </c>
      <c r="E285" s="29">
        <f>Table14[[#This Row],[Ávöxtun]]*Table14[[#This Row],[Eignir]]/SUMIFS(Table14[Eignir],Table14[Year],Table14[[#This Row],[Year]])</f>
        <v>1.0759044745108217E-4</v>
      </c>
      <c r="F285" s="23">
        <f>IF(B285=1997, 100, IF(COUNTIF(A$1:A284,A285)=0, "NEW", F284*(1+Table14[[#This Row],[Ávöxtun]])))</f>
        <v>100</v>
      </c>
      <c r="G285" s="18" cm="1">
        <f t="array" ref="G285">IFERROR(_xlfn.IFS(ISNUMBER(Table14[[#This Row],[Column3]]),Table14[[#This Row],[Column3]],Table14[[#This Row],[Column3]]="NEW",Table14[[#This Row],[Column3]]),"")</f>
        <v>100</v>
      </c>
      <c r="H285" s="15" cm="1">
        <f t="array" ref="H285">_xlfn.IFS(Table14[[#This Row],[Column4]]="NEW",AVERAGEIFS(Table14[Column4],Table14[Year],Table14[[#This Row],[Year]]),ISNUMBER(Table14[[#This Row],[Column4]]),Table14[[#This Row],[Column4]],Table14[[#This Row],[Column4]]="",H284*(1+Table14[[#This Row],[Ávöxtun]]))</f>
        <v>100</v>
      </c>
      <c r="I285" cm="1">
        <f t="array" ref="I285">_xlfn.IFS(Table14[[#This Row],[Column4]]="NEW",_xlfn.XLOOKUP(Table14[[#This Row],[Year]],$M$2:$M$27,$O$2:$O$27),ISNUMBER(Table14[[#This Row],[Column4]]),Table14[[#This Row],[Column4]],Table14[[#This Row],[Column4]]="",I284*(1+Table14[[#This Row],[Ávöxtun]]))</f>
        <v>100</v>
      </c>
      <c r="L285" s="33">
        <v>100</v>
      </c>
    </row>
    <row r="286" spans="1:12">
      <c r="A286" t="s">
        <v>81</v>
      </c>
      <c r="B286">
        <v>1998</v>
      </c>
      <c r="C286" s="16">
        <v>0.06</v>
      </c>
      <c r="D286" s="1">
        <v>653462.76</v>
      </c>
      <c r="E286" s="29">
        <f>Table14[[#This Row],[Ávöxtun]]*Table14[[#This Row],[Eignir]]/SUMIFS(Table14[Eignir],Table14[Year],Table14[[#This Row],[Year]])</f>
        <v>1.0011305048854631E-4</v>
      </c>
      <c r="F286" s="23">
        <f>IF(B286=1997, 100, IF(COUNTIF(A$1:A285,A286)=0, "NEW", F285*(1+Table14[[#This Row],[Ávöxtun]])))</f>
        <v>106</v>
      </c>
      <c r="G286" s="18" cm="1">
        <f t="array" ref="G286">IFERROR(_xlfn.IFS(ISNUMBER(Table14[[#This Row],[Column3]]),Table14[[#This Row],[Column3]],Table14[[#This Row],[Column3]]="NEW",Table14[[#This Row],[Column3]]),"")</f>
        <v>106</v>
      </c>
      <c r="H286" s="15" cm="1">
        <f t="array" ref="H286">_xlfn.IFS(Table14[[#This Row],[Column4]]="NEW",AVERAGEIFS(Table14[Column4],Table14[Year],Table14[[#This Row],[Year]]),ISNUMBER(Table14[[#This Row],[Column4]]),Table14[[#This Row],[Column4]],Table14[[#This Row],[Column4]]="",H285*(1+Table14[[#This Row],[Ávöxtun]]))</f>
        <v>106</v>
      </c>
      <c r="I286" cm="1">
        <f t="array" ref="I286">_xlfn.IFS(Table14[[#This Row],[Column4]]="NEW",_xlfn.XLOOKUP(Table14[[#This Row],[Year]],$M$2:$M$27,$O$2:$O$27),ISNUMBER(Table14[[#This Row],[Column4]]),Table14[[#This Row],[Column4]],Table14[[#This Row],[Column4]]="",I285*(1+Table14[[#This Row],[Ávöxtun]]))</f>
        <v>106</v>
      </c>
      <c r="L286" s="33">
        <v>106</v>
      </c>
    </row>
    <row r="287" spans="1:12">
      <c r="A287" t="s">
        <v>81</v>
      </c>
      <c r="B287">
        <v>1999</v>
      </c>
      <c r="C287" s="16">
        <v>0.05</v>
      </c>
      <c r="D287" s="1">
        <v>715019</v>
      </c>
      <c r="E287" s="29">
        <f>Table14[[#This Row],[Ávöxtun]]*Table14[[#This Row],[Eignir]]/SUMIFS(Table14[Eignir],Table14[Year],Table14[[#This Row],[Year]])</f>
        <v>6.8657200619564096E-5</v>
      </c>
      <c r="F287" s="23">
        <f>IF(B287=1997, 100, IF(COUNTIF(A$1:A286,A287)=0, "NEW", F286*(1+Table14[[#This Row],[Ávöxtun]])))</f>
        <v>111.30000000000001</v>
      </c>
      <c r="G287" s="18" cm="1">
        <f t="array" ref="G287">IFERROR(_xlfn.IFS(ISNUMBER(Table14[[#This Row],[Column3]]),Table14[[#This Row],[Column3]],Table14[[#This Row],[Column3]]="NEW",Table14[[#This Row],[Column3]]),"")</f>
        <v>111.30000000000001</v>
      </c>
      <c r="H287" s="15" cm="1">
        <f t="array" ref="H287">_xlfn.IFS(Table14[[#This Row],[Column4]]="NEW",AVERAGEIFS(Table14[Column4],Table14[Year],Table14[[#This Row],[Year]]),ISNUMBER(Table14[[#This Row],[Column4]]),Table14[[#This Row],[Column4]],Table14[[#This Row],[Column4]]="",H286*(1+Table14[[#This Row],[Ávöxtun]]))</f>
        <v>111.30000000000001</v>
      </c>
      <c r="I287" cm="1">
        <f t="array" ref="I287">_xlfn.IFS(Table14[[#This Row],[Column4]]="NEW",_xlfn.XLOOKUP(Table14[[#This Row],[Year]],$M$2:$M$27,$O$2:$O$27),ISNUMBER(Table14[[#This Row],[Column4]]),Table14[[#This Row],[Column4]],Table14[[#This Row],[Column4]]="",I286*(1+Table14[[#This Row],[Ávöxtun]]))</f>
        <v>111.30000000000001</v>
      </c>
      <c r="L287" s="33">
        <v>111.30000000000001</v>
      </c>
    </row>
    <row r="288" spans="1:12">
      <c r="A288" t="s">
        <v>81</v>
      </c>
      <c r="B288">
        <v>2000</v>
      </c>
      <c r="C288" s="16">
        <v>0.06</v>
      </c>
      <c r="D288" s="1">
        <v>767206.91</v>
      </c>
      <c r="E288" s="29">
        <f>Table14[[#This Row],[Ávöxtun]]*Table14[[#This Row],[Eignir]]/SUMIFS(Table14[Eignir],Table14[Year],Table14[[#This Row],[Year]])</f>
        <v>6.4753243572705186E-5</v>
      </c>
      <c r="F288" s="23">
        <f>IF(B288=1997, 100, IF(COUNTIF(A$1:A287,A288)=0, "NEW", F287*(1+Table14[[#This Row],[Ávöxtun]])))</f>
        <v>117.97800000000002</v>
      </c>
      <c r="G288" s="18" cm="1">
        <f t="array" ref="G288">IFERROR(_xlfn.IFS(ISNUMBER(Table14[[#This Row],[Column3]]),Table14[[#This Row],[Column3]],Table14[[#This Row],[Column3]]="NEW",Table14[[#This Row],[Column3]]),"")</f>
        <v>117.97800000000002</v>
      </c>
      <c r="H288" s="15" cm="1">
        <f t="array" ref="H288">_xlfn.IFS(Table14[[#This Row],[Column4]]="NEW",AVERAGEIFS(Table14[Column4],Table14[Year],Table14[[#This Row],[Year]]),ISNUMBER(Table14[[#This Row],[Column4]]),Table14[[#This Row],[Column4]],Table14[[#This Row],[Column4]]="",H287*(1+Table14[[#This Row],[Ávöxtun]]))</f>
        <v>117.97800000000002</v>
      </c>
      <c r="I288" cm="1">
        <f t="array" ref="I288">_xlfn.IFS(Table14[[#This Row],[Column4]]="NEW",_xlfn.XLOOKUP(Table14[[#This Row],[Year]],$M$2:$M$27,$O$2:$O$27),ISNUMBER(Table14[[#This Row],[Column4]]),Table14[[#This Row],[Column4]],Table14[[#This Row],[Column4]]="",I287*(1+Table14[[#This Row],[Ávöxtun]]))</f>
        <v>117.97800000000002</v>
      </c>
      <c r="L288" s="33">
        <v>117.97800000000002</v>
      </c>
    </row>
    <row r="289" spans="1:12">
      <c r="A289" t="s">
        <v>81</v>
      </c>
      <c r="B289">
        <v>2001</v>
      </c>
      <c r="C289" s="16">
        <v>0.04</v>
      </c>
      <c r="D289" s="1">
        <v>856495</v>
      </c>
      <c r="E289" s="29">
        <f>Table14[[#This Row],[Ávöxtun]]*Table14[[#This Row],[Eignir]]/SUMIFS(Table14[Eignir],Table14[Year],Table14[[#This Row],[Year]])</f>
        <v>2.9587472820116047E-5</v>
      </c>
      <c r="F289" s="23">
        <f>IF(B289=1997, 100, IF(COUNTIF(A$1:A288,A289)=0, "NEW", F288*(1+Table14[[#This Row],[Ávöxtun]])))</f>
        <v>122.69712000000003</v>
      </c>
      <c r="G289" s="18" cm="1">
        <f t="array" ref="G289">IFERROR(_xlfn.IFS(ISNUMBER(Table14[[#This Row],[Column3]]),Table14[[#This Row],[Column3]],Table14[[#This Row],[Column3]]="NEW",Table14[[#This Row],[Column3]]),"")</f>
        <v>122.69712000000003</v>
      </c>
      <c r="H289" s="15" cm="1">
        <f t="array" ref="H289">_xlfn.IFS(Table14[[#This Row],[Column4]]="NEW",AVERAGEIFS(Table14[Column4],Table14[Year],Table14[[#This Row],[Year]]),ISNUMBER(Table14[[#This Row],[Column4]]),Table14[[#This Row],[Column4]],Table14[[#This Row],[Column4]]="",H288*(1+Table14[[#This Row],[Ávöxtun]]))</f>
        <v>122.69712000000003</v>
      </c>
      <c r="I289" cm="1">
        <f t="array" ref="I289">_xlfn.IFS(Table14[[#This Row],[Column4]]="NEW",_xlfn.XLOOKUP(Table14[[#This Row],[Year]],$M$2:$M$27,$O$2:$O$27),ISNUMBER(Table14[[#This Row],[Column4]]),Table14[[#This Row],[Column4]],Table14[[#This Row],[Column4]]="",I288*(1+Table14[[#This Row],[Ávöxtun]]))</f>
        <v>122.69712000000003</v>
      </c>
      <c r="L289" s="33">
        <v>122.69712000000003</v>
      </c>
    </row>
    <row r="290" spans="1:12">
      <c r="A290" t="s">
        <v>81</v>
      </c>
      <c r="B290">
        <v>2002</v>
      </c>
      <c r="C290" s="16">
        <v>-0.04</v>
      </c>
      <c r="D290" s="1">
        <v>795606</v>
      </c>
      <c r="E290" s="29">
        <f>Table14[[#This Row],[Ávöxtun]]*Table14[[#This Row],[Eignir]]/SUMIFS(Table14[Eignir],Table14[Year],Table14[[#This Row],[Year]])</f>
        <v>-5.0103960893329461E-5</v>
      </c>
      <c r="F290" s="23">
        <f>IF(B290=1997, 100, IF(COUNTIF(A$1:A289,A290)=0, "NEW", F289*(1+Table14[[#This Row],[Ávöxtun]])))</f>
        <v>117.78923520000002</v>
      </c>
      <c r="G290" s="18" cm="1">
        <f t="array" ref="G290">IFERROR(_xlfn.IFS(ISNUMBER(Table14[[#This Row],[Column3]]),Table14[[#This Row],[Column3]],Table14[[#This Row],[Column3]]="NEW",Table14[[#This Row],[Column3]]),"")</f>
        <v>117.78923520000002</v>
      </c>
      <c r="H290" s="15" cm="1">
        <f t="array" ref="H290">_xlfn.IFS(Table14[[#This Row],[Column4]]="NEW",AVERAGEIFS(Table14[Column4],Table14[Year],Table14[[#This Row],[Year]]),ISNUMBER(Table14[[#This Row],[Column4]]),Table14[[#This Row],[Column4]],Table14[[#This Row],[Column4]]="",H289*(1+Table14[[#This Row],[Ávöxtun]]))</f>
        <v>117.78923520000002</v>
      </c>
      <c r="I290" cm="1">
        <f t="array" ref="I290">_xlfn.IFS(Table14[[#This Row],[Column4]]="NEW",_xlfn.XLOOKUP(Table14[[#This Row],[Year]],$M$2:$M$27,$O$2:$O$27),ISNUMBER(Table14[[#This Row],[Column4]]),Table14[[#This Row],[Column4]],Table14[[#This Row],[Column4]]="",I289*(1+Table14[[#This Row],[Ávöxtun]]))</f>
        <v>117.78923520000002</v>
      </c>
      <c r="L290" s="33">
        <v>117.78923520000002</v>
      </c>
    </row>
    <row r="291" spans="1:12">
      <c r="A291" t="s">
        <v>81</v>
      </c>
      <c r="B291">
        <v>2003</v>
      </c>
      <c r="C291" s="16">
        <v>0.13</v>
      </c>
      <c r="D291" s="1">
        <v>886250</v>
      </c>
      <c r="E291" s="29">
        <f>Table14[[#This Row],[Ávöxtun]]*Table14[[#This Row],[Eignir]]/SUMIFS(Table14[Eignir],Table14[Year],Table14[[#This Row],[Year]])</f>
        <v>1.516170610402954E-4</v>
      </c>
      <c r="F291" s="23">
        <f>IF(B291=1997, 100, IF(COUNTIF(A$1:A290,A291)=0, "NEW", F290*(1+Table14[[#This Row],[Ávöxtun]])))</f>
        <v>133.101835776</v>
      </c>
      <c r="G291" s="18" cm="1">
        <f t="array" ref="G291">IFERROR(_xlfn.IFS(ISNUMBER(Table14[[#This Row],[Column3]]),Table14[[#This Row],[Column3]],Table14[[#This Row],[Column3]]="NEW",Table14[[#This Row],[Column3]]),"")</f>
        <v>133.101835776</v>
      </c>
      <c r="H291" s="15" cm="1">
        <f t="array" ref="H291">_xlfn.IFS(Table14[[#This Row],[Column4]]="NEW",AVERAGEIFS(Table14[Column4],Table14[Year],Table14[[#This Row],[Year]]),ISNUMBER(Table14[[#This Row],[Column4]]),Table14[[#This Row],[Column4]],Table14[[#This Row],[Column4]]="",H290*(1+Table14[[#This Row],[Ávöxtun]]))</f>
        <v>133.101835776</v>
      </c>
      <c r="I291" cm="1">
        <f t="array" ref="I291">_xlfn.IFS(Table14[[#This Row],[Column4]]="NEW",_xlfn.XLOOKUP(Table14[[#This Row],[Year]],$M$2:$M$27,$O$2:$O$27),ISNUMBER(Table14[[#This Row],[Column4]]),Table14[[#This Row],[Column4]],Table14[[#This Row],[Column4]]="",I290*(1+Table14[[#This Row],[Ávöxtun]]))</f>
        <v>133.101835776</v>
      </c>
      <c r="L291" s="33">
        <v>133.101835776</v>
      </c>
    </row>
    <row r="292" spans="1:12">
      <c r="A292" t="s">
        <v>81</v>
      </c>
      <c r="B292">
        <v>2004</v>
      </c>
      <c r="C292" s="16">
        <v>0.09</v>
      </c>
      <c r="D292" s="1">
        <v>948503</v>
      </c>
      <c r="E292" s="29">
        <f>Table14[[#This Row],[Ávöxtun]]*Table14[[#This Row],[Eignir]]/SUMIFS(Table14[Eignir],Table14[Year],Table14[[#This Row],[Year]])</f>
        <v>9.4048751223128806E-5</v>
      </c>
      <c r="F292" s="23">
        <f>IF(B292=1997, 100, IF(COUNTIF(A$1:A291,A292)=0, "NEW", F291*(1+Table14[[#This Row],[Ávöxtun]])))</f>
        <v>145.08100099584001</v>
      </c>
      <c r="G292" s="18" cm="1">
        <f t="array" ref="G292">IFERROR(_xlfn.IFS(ISNUMBER(Table14[[#This Row],[Column3]]),Table14[[#This Row],[Column3]],Table14[[#This Row],[Column3]]="NEW",Table14[[#This Row],[Column3]]),"")</f>
        <v>145.08100099584001</v>
      </c>
      <c r="H292" s="15" cm="1">
        <f t="array" ref="H292">_xlfn.IFS(Table14[[#This Row],[Column4]]="NEW",AVERAGEIFS(Table14[Column4],Table14[Year],Table14[[#This Row],[Year]]),ISNUMBER(Table14[[#This Row],[Column4]]),Table14[[#This Row],[Column4]],Table14[[#This Row],[Column4]]="",H291*(1+Table14[[#This Row],[Ávöxtun]]))</f>
        <v>145.08100099584001</v>
      </c>
      <c r="I292" cm="1">
        <f t="array" ref="I292">_xlfn.IFS(Table14[[#This Row],[Column4]]="NEW",_xlfn.XLOOKUP(Table14[[#This Row],[Year]],$M$2:$M$27,$O$2:$O$27),ISNUMBER(Table14[[#This Row],[Column4]]),Table14[[#This Row],[Column4]],Table14[[#This Row],[Column4]]="",I291*(1+Table14[[#This Row],[Ávöxtun]]))</f>
        <v>145.08100099584001</v>
      </c>
      <c r="L292" s="33">
        <v>145.08100099584001</v>
      </c>
    </row>
    <row r="293" spans="1:12">
      <c r="A293" t="s">
        <v>81</v>
      </c>
      <c r="B293">
        <v>2005</v>
      </c>
      <c r="C293" s="16">
        <v>0.1</v>
      </c>
      <c r="D293" s="1">
        <v>1044473</v>
      </c>
      <c r="E293" s="29">
        <f>Table14[[#This Row],[Ávöxtun]]*Table14[[#This Row],[Eignir]]/SUMIFS(Table14[Eignir],Table14[Year],Table14[[#This Row],[Year]])</f>
        <v>9.3145264072584183E-5</v>
      </c>
      <c r="F293" s="23">
        <f>IF(B293=1997, 100, IF(COUNTIF(A$1:A292,A293)=0, "NEW", F292*(1+Table14[[#This Row],[Ávöxtun]])))</f>
        <v>159.58910109542404</v>
      </c>
      <c r="G293" s="18" cm="1">
        <f t="array" ref="G293">IFERROR(_xlfn.IFS(ISNUMBER(Table14[[#This Row],[Column3]]),Table14[[#This Row],[Column3]],Table14[[#This Row],[Column3]]="NEW",Table14[[#This Row],[Column3]]),"")</f>
        <v>159.58910109542404</v>
      </c>
      <c r="H293" s="15" cm="1">
        <f t="array" ref="H293">_xlfn.IFS(Table14[[#This Row],[Column4]]="NEW",AVERAGEIFS(Table14[Column4],Table14[Year],Table14[[#This Row],[Year]]),ISNUMBER(Table14[[#This Row],[Column4]]),Table14[[#This Row],[Column4]],Table14[[#This Row],[Column4]]="",H292*(1+Table14[[#This Row],[Ávöxtun]]))</f>
        <v>159.58910109542404</v>
      </c>
      <c r="I293" cm="1">
        <f t="array" ref="I293">_xlfn.IFS(Table14[[#This Row],[Column4]]="NEW",_xlfn.XLOOKUP(Table14[[#This Row],[Year]],$M$2:$M$27,$O$2:$O$27),ISNUMBER(Table14[[#This Row],[Column4]]),Table14[[#This Row],[Column4]],Table14[[#This Row],[Column4]]="",I292*(1+Table14[[#This Row],[Ávöxtun]]))</f>
        <v>159.58910109542404</v>
      </c>
      <c r="L293" s="33">
        <v>159.58910109542404</v>
      </c>
    </row>
    <row r="294" spans="1:12">
      <c r="A294" t="s">
        <v>81</v>
      </c>
      <c r="B294">
        <v>2006</v>
      </c>
      <c r="C294" s="16">
        <v>8.0700000000000008E-2</v>
      </c>
      <c r="D294" s="1">
        <v>1210212</v>
      </c>
      <c r="E294" s="29">
        <f>Table14[[#This Row],[Ávöxtun]]*Table14[[#This Row],[Eignir]]/SUMIFS(Table14[Eignir],Table14[Year],Table14[[#This Row],[Year]])</f>
        <v>7.114871536585293E-5</v>
      </c>
      <c r="F294" s="23">
        <f>IF(B294=1997, 100, IF(COUNTIF(A$1:A293,A294)=0, "NEW", F293*(1+Table14[[#This Row],[Ávöxtun]])))</f>
        <v>172.46794155382477</v>
      </c>
      <c r="G294" s="18" cm="1">
        <f t="array" ref="G294">IFERROR(_xlfn.IFS(ISNUMBER(Table14[[#This Row],[Column3]]),Table14[[#This Row],[Column3]],Table14[[#This Row],[Column3]]="NEW",Table14[[#This Row],[Column3]]),"")</f>
        <v>172.46794155382477</v>
      </c>
      <c r="H294" s="15" cm="1">
        <f t="array" ref="H294">_xlfn.IFS(Table14[[#This Row],[Column4]]="NEW",AVERAGEIFS(Table14[Column4],Table14[Year],Table14[[#This Row],[Year]]),ISNUMBER(Table14[[#This Row],[Column4]]),Table14[[#This Row],[Column4]],Table14[[#This Row],[Column4]]="",H293*(1+Table14[[#This Row],[Ávöxtun]]))</f>
        <v>172.46794155382477</v>
      </c>
      <c r="I294" cm="1">
        <f t="array" ref="I294">_xlfn.IFS(Table14[[#This Row],[Column4]]="NEW",_xlfn.XLOOKUP(Table14[[#This Row],[Year]],$M$2:$M$27,$O$2:$O$27),ISNUMBER(Table14[[#This Row],[Column4]]),Table14[[#This Row],[Column4]],Table14[[#This Row],[Column4]]="",I293*(1+Table14[[#This Row],[Ávöxtun]]))</f>
        <v>172.46794155382477</v>
      </c>
      <c r="L294" s="33">
        <v>172.46794155382477</v>
      </c>
    </row>
    <row r="295" spans="1:12">
      <c r="A295" t="s">
        <v>81</v>
      </c>
      <c r="B295">
        <v>2007</v>
      </c>
      <c r="C295" s="16">
        <v>1.43E-2</v>
      </c>
      <c r="D295" s="1">
        <v>1166026</v>
      </c>
      <c r="E295" s="29">
        <f>Table14[[#This Row],[Ávöxtun]]*Table14[[#This Row],[Eignir]]/SUMIFS(Table14[Eignir],Table14[Year],Table14[[#This Row],[Year]])</f>
        <v>1.0782517788095021E-5</v>
      </c>
      <c r="F295" s="23">
        <f>IF(B295=1997, 100, IF(COUNTIF(A$1:A294,A295)=0, "NEW", F294*(1+Table14[[#This Row],[Ávöxtun]])))</f>
        <v>174.93423311804446</v>
      </c>
      <c r="G295" s="18" cm="1">
        <f t="array" ref="G295">IFERROR(_xlfn.IFS(ISNUMBER(Table14[[#This Row],[Column3]]),Table14[[#This Row],[Column3]],Table14[[#This Row],[Column3]]="NEW",Table14[[#This Row],[Column3]]),"")</f>
        <v>174.93423311804446</v>
      </c>
      <c r="H295" s="15" cm="1">
        <f t="array" ref="H295">_xlfn.IFS(Table14[[#This Row],[Column4]]="NEW",AVERAGEIFS(Table14[Column4],Table14[Year],Table14[[#This Row],[Year]]),ISNUMBER(Table14[[#This Row],[Column4]]),Table14[[#This Row],[Column4]],Table14[[#This Row],[Column4]]="",H294*(1+Table14[[#This Row],[Ávöxtun]]))</f>
        <v>174.93423311804446</v>
      </c>
      <c r="I295" cm="1">
        <f t="array" ref="I295">_xlfn.IFS(Table14[[#This Row],[Column4]]="NEW",_xlfn.XLOOKUP(Table14[[#This Row],[Year]],$M$2:$M$27,$O$2:$O$27),ISNUMBER(Table14[[#This Row],[Column4]]),Table14[[#This Row],[Column4]],Table14[[#This Row],[Column4]]="",I294*(1+Table14[[#This Row],[Ávöxtun]]))</f>
        <v>174.93423311804446</v>
      </c>
      <c r="L295" s="33">
        <v>174.93423311804446</v>
      </c>
    </row>
    <row r="296" spans="1:12">
      <c r="A296" t="s">
        <v>81</v>
      </c>
      <c r="B296">
        <v>2008</v>
      </c>
      <c r="C296" s="16">
        <v>-0.28350000000000003</v>
      </c>
      <c r="D296" s="1">
        <v>894663</v>
      </c>
      <c r="E296" s="29">
        <f>Table14[[#This Row],[Ávöxtun]]*Table14[[#This Row],[Eignir]]/SUMIFS(Table14[Eignir],Table14[Year],Table14[[#This Row],[Year]])</f>
        <v>-1.6939419488754635E-4</v>
      </c>
      <c r="F296" s="23">
        <f>IF(B296=1997, 100, IF(COUNTIF(A$1:A295,A296)=0, "NEW", F295*(1+Table14[[#This Row],[Ávöxtun]])))</f>
        <v>125.34037802907883</v>
      </c>
      <c r="G296" s="18" cm="1">
        <f t="array" ref="G296">IFERROR(_xlfn.IFS(ISNUMBER(Table14[[#This Row],[Column3]]),Table14[[#This Row],[Column3]],Table14[[#This Row],[Column3]]="NEW",Table14[[#This Row],[Column3]]),"")</f>
        <v>125.34037802907883</v>
      </c>
      <c r="H296" s="15" cm="1">
        <f t="array" ref="H296">_xlfn.IFS(Table14[[#This Row],[Column4]]="NEW",AVERAGEIFS(Table14[Column4],Table14[Year],Table14[[#This Row],[Year]]),ISNUMBER(Table14[[#This Row],[Column4]]),Table14[[#This Row],[Column4]],Table14[[#This Row],[Column4]]="",H295*(1+Table14[[#This Row],[Ávöxtun]]))</f>
        <v>125.34037802907883</v>
      </c>
      <c r="I296" cm="1">
        <f t="array" ref="I296">_xlfn.IFS(Table14[[#This Row],[Column4]]="NEW",_xlfn.XLOOKUP(Table14[[#This Row],[Year]],$M$2:$M$27,$O$2:$O$27),ISNUMBER(Table14[[#This Row],[Column4]]),Table14[[#This Row],[Column4]],Table14[[#This Row],[Column4]]="",I295*(1+Table14[[#This Row],[Ávöxtun]]))</f>
        <v>125.34037802907883</v>
      </c>
      <c r="L296" s="33">
        <v>125.34037802907883</v>
      </c>
    </row>
    <row r="297" spans="1:12">
      <c r="A297" t="s">
        <v>81</v>
      </c>
      <c r="B297">
        <v>2009</v>
      </c>
      <c r="C297" s="16">
        <v>4.1100000000000005E-2</v>
      </c>
      <c r="D297" s="1">
        <v>926331</v>
      </c>
      <c r="E297" s="29">
        <f>Table14[[#This Row],[Ávöxtun]]*Table14[[#This Row],[Eignir]]/SUMIFS(Table14[Eignir],Table14[Year],Table14[[#This Row],[Year]])</f>
        <v>2.2821527577098182E-5</v>
      </c>
      <c r="F297" s="23">
        <f>IF(B297=1997, 100, IF(COUNTIF(A$1:A296,A297)=0, "NEW", F296*(1+Table14[[#This Row],[Ávöxtun]])))</f>
        <v>130.49186756607398</v>
      </c>
      <c r="G297" s="18" cm="1">
        <f t="array" ref="G297">IFERROR(_xlfn.IFS(ISNUMBER(Table14[[#This Row],[Column3]]),Table14[[#This Row],[Column3]],Table14[[#This Row],[Column3]]="NEW",Table14[[#This Row],[Column3]]),"")</f>
        <v>130.49186756607398</v>
      </c>
      <c r="H297" s="15" cm="1">
        <f t="array" ref="H297">_xlfn.IFS(Table14[[#This Row],[Column4]]="NEW",AVERAGEIFS(Table14[Column4],Table14[Year],Table14[[#This Row],[Year]]),ISNUMBER(Table14[[#This Row],[Column4]]),Table14[[#This Row],[Column4]],Table14[[#This Row],[Column4]]="",H296*(1+Table14[[#This Row],[Ávöxtun]]))</f>
        <v>130.49186756607398</v>
      </c>
      <c r="I297" cm="1">
        <f t="array" ref="I297">_xlfn.IFS(Table14[[#This Row],[Column4]]="NEW",_xlfn.XLOOKUP(Table14[[#This Row],[Year]],$M$2:$M$27,$O$2:$O$27),ISNUMBER(Table14[[#This Row],[Column4]]),Table14[[#This Row],[Column4]],Table14[[#This Row],[Column4]]="",I296*(1+Table14[[#This Row],[Ávöxtun]]))</f>
        <v>130.49186756607398</v>
      </c>
      <c r="L297" s="33">
        <v>130.49186756607398</v>
      </c>
    </row>
    <row r="298" spans="1:12">
      <c r="A298" t="s">
        <v>81</v>
      </c>
      <c r="B298">
        <v>2010</v>
      </c>
      <c r="C298" s="16">
        <v>4.9200000000000001E-2</v>
      </c>
      <c r="D298" s="1">
        <v>919510</v>
      </c>
      <c r="E298" s="29">
        <f>Table14[[#This Row],[Ávöxtun]]*Table14[[#This Row],[Eignir]]/SUMIFS(Table14[Eignir],Table14[Year],Table14[[#This Row],[Year]])</f>
        <v>2.5304973780150228E-5</v>
      </c>
      <c r="F298" s="23">
        <f>IF(B298=1997, 100, IF(COUNTIF(A$1:A297,A298)=0, "NEW", F297*(1+Table14[[#This Row],[Ávöxtun]])))</f>
        <v>136.9120674503248</v>
      </c>
      <c r="G298" s="18" cm="1">
        <f t="array" ref="G298">IFERROR(_xlfn.IFS(ISNUMBER(Table14[[#This Row],[Column3]]),Table14[[#This Row],[Column3]],Table14[[#This Row],[Column3]]="NEW",Table14[[#This Row],[Column3]]),"")</f>
        <v>136.9120674503248</v>
      </c>
      <c r="H298" s="15" cm="1">
        <f t="array" ref="H298">_xlfn.IFS(Table14[[#This Row],[Column4]]="NEW",AVERAGEIFS(Table14[Column4],Table14[Year],Table14[[#This Row],[Year]]),ISNUMBER(Table14[[#This Row],[Column4]]),Table14[[#This Row],[Column4]],Table14[[#This Row],[Column4]]="",H297*(1+Table14[[#This Row],[Ávöxtun]]))</f>
        <v>136.9120674503248</v>
      </c>
      <c r="I298" cm="1">
        <f t="array" ref="I298">_xlfn.IFS(Table14[[#This Row],[Column4]]="NEW",_xlfn.XLOOKUP(Table14[[#This Row],[Year]],$M$2:$M$27,$O$2:$O$27),ISNUMBER(Table14[[#This Row],[Column4]]),Table14[[#This Row],[Column4]],Table14[[#This Row],[Column4]]="",I297*(1+Table14[[#This Row],[Ávöxtun]]))</f>
        <v>136.9120674503248</v>
      </c>
      <c r="L298" s="33">
        <v>136.9120674503248</v>
      </c>
    </row>
    <row r="299" spans="1:12">
      <c r="A299" t="s">
        <v>81</v>
      </c>
      <c r="B299">
        <v>2011</v>
      </c>
      <c r="C299" s="16">
        <v>2.3E-2</v>
      </c>
      <c r="D299" s="1">
        <v>908140</v>
      </c>
      <c r="E299" s="29">
        <f>Table14[[#This Row],[Ávöxtun]]*Table14[[#This Row],[Eignir]]/SUMIFS(Table14[Eignir],Table14[Year],Table14[[#This Row],[Year]])</f>
        <v>1.0708326041277818E-5</v>
      </c>
      <c r="F299" s="23">
        <f>IF(B299=1997, 100, IF(COUNTIF(A$1:A298,A299)=0, "NEW", F298*(1+Table14[[#This Row],[Ávöxtun]])))</f>
        <v>140.06104500168226</v>
      </c>
      <c r="G299" s="18" cm="1">
        <f t="array" ref="G299">IFERROR(_xlfn.IFS(ISNUMBER(Table14[[#This Row],[Column3]]),Table14[[#This Row],[Column3]],Table14[[#This Row],[Column3]]="NEW",Table14[[#This Row],[Column3]]),"")</f>
        <v>140.06104500168226</v>
      </c>
      <c r="H299" s="15" cm="1">
        <f t="array" ref="H299">_xlfn.IFS(Table14[[#This Row],[Column4]]="NEW",AVERAGEIFS(Table14[Column4],Table14[Year],Table14[[#This Row],[Year]]),ISNUMBER(Table14[[#This Row],[Column4]]),Table14[[#This Row],[Column4]],Table14[[#This Row],[Column4]]="",H298*(1+Table14[[#This Row],[Ávöxtun]]))</f>
        <v>140.06104500168226</v>
      </c>
      <c r="I299" cm="1">
        <f t="array" ref="I299">_xlfn.IFS(Table14[[#This Row],[Column4]]="NEW",_xlfn.XLOOKUP(Table14[[#This Row],[Year]],$M$2:$M$27,$O$2:$O$27),ISNUMBER(Table14[[#This Row],[Column4]]),Table14[[#This Row],[Column4]],Table14[[#This Row],[Column4]]="",I298*(1+Table14[[#This Row],[Ávöxtun]]))</f>
        <v>140.06104500168226</v>
      </c>
      <c r="L299" s="33">
        <v>140.06104500168226</v>
      </c>
    </row>
    <row r="300" spans="1:12">
      <c r="A300" t="s">
        <v>81</v>
      </c>
      <c r="B300">
        <v>2012</v>
      </c>
      <c r="C300" s="16">
        <v>3.1000000000000003E-2</v>
      </c>
      <c r="D300" s="1">
        <v>1028772</v>
      </c>
      <c r="E300" s="29">
        <f>Table14[[#This Row],[Ávöxtun]]*Table14[[#This Row],[Eignir]]/SUMIFS(Table14[Eignir],Table14[Year],Table14[[#This Row],[Year]])</f>
        <v>1.4477623656162461E-5</v>
      </c>
      <c r="F300" s="23">
        <f>IF(B300=1997, 100, IF(COUNTIF(A$1:A299,A300)=0, "NEW", F299*(1+Table14[[#This Row],[Ávöxtun]])))</f>
        <v>144.40293739673439</v>
      </c>
      <c r="G300" s="18" cm="1">
        <f t="array" ref="G300">IFERROR(_xlfn.IFS(ISNUMBER(Table14[[#This Row],[Column3]]),Table14[[#This Row],[Column3]],Table14[[#This Row],[Column3]]="NEW",Table14[[#This Row],[Column3]]),"")</f>
        <v>144.40293739673439</v>
      </c>
      <c r="H300" s="15" cm="1">
        <f t="array" ref="H300">_xlfn.IFS(Table14[[#This Row],[Column4]]="NEW",AVERAGEIFS(Table14[Column4],Table14[Year],Table14[[#This Row],[Year]]),ISNUMBER(Table14[[#This Row],[Column4]]),Table14[[#This Row],[Column4]],Table14[[#This Row],[Column4]]="",H299*(1+Table14[[#This Row],[Ávöxtun]]))</f>
        <v>144.40293739673439</v>
      </c>
      <c r="I300" cm="1">
        <f t="array" ref="I300">_xlfn.IFS(Table14[[#This Row],[Column4]]="NEW",_xlfn.XLOOKUP(Table14[[#This Row],[Year]],$M$2:$M$27,$O$2:$O$27),ISNUMBER(Table14[[#This Row],[Column4]]),Table14[[#This Row],[Column4]],Table14[[#This Row],[Column4]]="",I299*(1+Table14[[#This Row],[Ávöxtun]]))</f>
        <v>144.40293739673439</v>
      </c>
      <c r="L300" s="33">
        <v>144.40293739673439</v>
      </c>
    </row>
    <row r="301" spans="1:12">
      <c r="A301" t="s">
        <v>82</v>
      </c>
      <c r="B301">
        <v>1997</v>
      </c>
      <c r="C301" s="16">
        <v>7.0000000000000007E-2</v>
      </c>
      <c r="D301" s="1">
        <v>1522875.97</v>
      </c>
      <c r="E301" s="29">
        <f>Table14[[#This Row],[Ávöxtun]]*Table14[[#This Row],[Eignir]]/SUMIFS(Table14[Eignir],Table14[Year],Table14[[#This Row],[Year]])</f>
        <v>3.1443465965377257E-4</v>
      </c>
      <c r="F301" s="23">
        <f>IF(B301=1997, 100, IF(COUNTIF(A$1:A300,A301)=0, "NEW", F300*(1+Table14[[#This Row],[Ávöxtun]])))</f>
        <v>100</v>
      </c>
      <c r="G301" s="18" cm="1">
        <f t="array" ref="G301">IFERROR(_xlfn.IFS(ISNUMBER(Table14[[#This Row],[Column3]]),Table14[[#This Row],[Column3]],Table14[[#This Row],[Column3]]="NEW",Table14[[#This Row],[Column3]]),"")</f>
        <v>100</v>
      </c>
      <c r="H301" s="15" cm="1">
        <f t="array" ref="H301">_xlfn.IFS(Table14[[#This Row],[Column4]]="NEW",AVERAGEIFS(Table14[Column4],Table14[Year],Table14[[#This Row],[Year]]),ISNUMBER(Table14[[#This Row],[Column4]]),Table14[[#This Row],[Column4]],Table14[[#This Row],[Column4]]="",H300*(1+Table14[[#This Row],[Ávöxtun]]))</f>
        <v>100</v>
      </c>
      <c r="I301" cm="1">
        <f t="array" ref="I301">_xlfn.IFS(Table14[[#This Row],[Column4]]="NEW",_xlfn.XLOOKUP(Table14[[#This Row],[Year]],$M$2:$M$27,$O$2:$O$27),ISNUMBER(Table14[[#This Row],[Column4]]),Table14[[#This Row],[Column4]],Table14[[#This Row],[Column4]]="",I300*(1+Table14[[#This Row],[Ávöxtun]]))</f>
        <v>100</v>
      </c>
      <c r="L301" s="33">
        <v>100</v>
      </c>
    </row>
    <row r="302" spans="1:12">
      <c r="A302" t="s">
        <v>82</v>
      </c>
      <c r="B302">
        <v>1998</v>
      </c>
      <c r="C302" s="16">
        <v>7.0000000000000007E-2</v>
      </c>
      <c r="D302" s="1">
        <v>1683730.15</v>
      </c>
      <c r="E302" s="29">
        <f>Table14[[#This Row],[Ávöxtun]]*Table14[[#This Row],[Eignir]]/SUMIFS(Table14[Eignir],Table14[Year],Table14[[#This Row],[Year]])</f>
        <v>3.0094638461424178E-4</v>
      </c>
      <c r="F302" s="23">
        <f>IF(B302=1997, 100, IF(COUNTIF(A$1:A301,A302)=0, "NEW", F301*(1+Table14[[#This Row],[Ávöxtun]])))</f>
        <v>107</v>
      </c>
      <c r="G302" s="18" cm="1">
        <f t="array" ref="G302">IFERROR(_xlfn.IFS(ISNUMBER(Table14[[#This Row],[Column3]]),Table14[[#This Row],[Column3]],Table14[[#This Row],[Column3]]="NEW",Table14[[#This Row],[Column3]]),"")</f>
        <v>107</v>
      </c>
      <c r="H302" s="15" cm="1">
        <f t="array" ref="H302">_xlfn.IFS(Table14[[#This Row],[Column4]]="NEW",AVERAGEIFS(Table14[Column4],Table14[Year],Table14[[#This Row],[Year]]),ISNUMBER(Table14[[#This Row],[Column4]]),Table14[[#This Row],[Column4]],Table14[[#This Row],[Column4]]="",H301*(1+Table14[[#This Row],[Ávöxtun]]))</f>
        <v>107</v>
      </c>
      <c r="I302" cm="1">
        <f t="array" ref="I302">_xlfn.IFS(Table14[[#This Row],[Column4]]="NEW",_xlfn.XLOOKUP(Table14[[#This Row],[Year]],$M$2:$M$27,$O$2:$O$27),ISNUMBER(Table14[[#This Row],[Column4]]),Table14[[#This Row],[Column4]],Table14[[#This Row],[Column4]]="",I301*(1+Table14[[#This Row],[Ávöxtun]]))</f>
        <v>107</v>
      </c>
      <c r="L302" s="33">
        <v>107</v>
      </c>
    </row>
    <row r="303" spans="1:12">
      <c r="A303" t="s">
        <v>82</v>
      </c>
      <c r="B303">
        <v>1999</v>
      </c>
      <c r="C303" s="16">
        <v>0.08</v>
      </c>
      <c r="D303" s="1">
        <v>1969065.52</v>
      </c>
      <c r="E303" s="29">
        <f>Table14[[#This Row],[Ávöxtun]]*Table14[[#This Row],[Eignir]]/SUMIFS(Table14[Eignir],Table14[Year],Table14[[#This Row],[Year]])</f>
        <v>3.025162160775169E-4</v>
      </c>
      <c r="F303" s="23">
        <f>IF(B303=1997, 100, IF(COUNTIF(A$1:A302,A303)=0, "NEW", F302*(1+Table14[[#This Row],[Ávöxtun]])))</f>
        <v>115.56</v>
      </c>
      <c r="G303" s="18" cm="1">
        <f t="array" ref="G303">IFERROR(_xlfn.IFS(ISNUMBER(Table14[[#This Row],[Column3]]),Table14[[#This Row],[Column3]],Table14[[#This Row],[Column3]]="NEW",Table14[[#This Row],[Column3]]),"")</f>
        <v>115.56</v>
      </c>
      <c r="H303" s="15" cm="1">
        <f t="array" ref="H303">_xlfn.IFS(Table14[[#This Row],[Column4]]="NEW",AVERAGEIFS(Table14[Column4],Table14[Year],Table14[[#This Row],[Year]]),ISNUMBER(Table14[[#This Row],[Column4]]),Table14[[#This Row],[Column4]],Table14[[#This Row],[Column4]]="",H302*(1+Table14[[#This Row],[Ávöxtun]]))</f>
        <v>115.56</v>
      </c>
      <c r="I303" cm="1">
        <f t="array" ref="I303">_xlfn.IFS(Table14[[#This Row],[Column4]]="NEW",_xlfn.XLOOKUP(Table14[[#This Row],[Year]],$M$2:$M$27,$O$2:$O$27),ISNUMBER(Table14[[#This Row],[Column4]]),Table14[[#This Row],[Column4]],Table14[[#This Row],[Column4]]="",I302*(1+Table14[[#This Row],[Ávöxtun]]))</f>
        <v>115.56</v>
      </c>
      <c r="L303" s="33">
        <v>115.56</v>
      </c>
    </row>
    <row r="304" spans="1:12">
      <c r="A304" t="s">
        <v>82</v>
      </c>
      <c r="B304">
        <v>2000</v>
      </c>
      <c r="C304" s="16">
        <v>-0.06</v>
      </c>
      <c r="D304" s="1">
        <v>1977470.53</v>
      </c>
      <c r="E304" s="29">
        <f>Table14[[#This Row],[Ávöxtun]]*Table14[[#This Row],[Eignir]]/SUMIFS(Table14[Eignir],Table14[Year],Table14[[#This Row],[Year]])</f>
        <v>-1.6690103962558993E-4</v>
      </c>
      <c r="F304" s="23">
        <f>IF(B304=1997, 100, IF(COUNTIF(A$1:A303,A304)=0, "NEW", F303*(1+Table14[[#This Row],[Ávöxtun]])))</f>
        <v>108.62639999999999</v>
      </c>
      <c r="G304" s="18" cm="1">
        <f t="array" ref="G304">IFERROR(_xlfn.IFS(ISNUMBER(Table14[[#This Row],[Column3]]),Table14[[#This Row],[Column3]],Table14[[#This Row],[Column3]]="NEW",Table14[[#This Row],[Column3]]),"")</f>
        <v>108.62639999999999</v>
      </c>
      <c r="H304" s="15" cm="1">
        <f t="array" ref="H304">_xlfn.IFS(Table14[[#This Row],[Column4]]="NEW",AVERAGEIFS(Table14[Column4],Table14[Year],Table14[[#This Row],[Year]]),ISNUMBER(Table14[[#This Row],[Column4]]),Table14[[#This Row],[Column4]],Table14[[#This Row],[Column4]]="",H303*(1+Table14[[#This Row],[Ávöxtun]]))</f>
        <v>108.62639999999999</v>
      </c>
      <c r="I304" cm="1">
        <f t="array" ref="I304">_xlfn.IFS(Table14[[#This Row],[Column4]]="NEW",_xlfn.XLOOKUP(Table14[[#This Row],[Year]],$M$2:$M$27,$O$2:$O$27),ISNUMBER(Table14[[#This Row],[Column4]]),Table14[[#This Row],[Column4]],Table14[[#This Row],[Column4]]="",I303*(1+Table14[[#This Row],[Ávöxtun]]))</f>
        <v>108.62639999999999</v>
      </c>
      <c r="L304" s="33">
        <v>108.62639999999999</v>
      </c>
    </row>
    <row r="305" spans="1:12">
      <c r="A305" t="s">
        <v>82</v>
      </c>
      <c r="B305">
        <v>2001</v>
      </c>
      <c r="C305" s="16">
        <v>-0.04</v>
      </c>
      <c r="D305" s="1">
        <v>2090302</v>
      </c>
      <c r="E305" s="29">
        <f>Table14[[#This Row],[Ávöxtun]]*Table14[[#This Row],[Eignir]]/SUMIFS(Table14[Eignir],Table14[Year],Table14[[#This Row],[Year]])</f>
        <v>-7.2209123942152859E-5</v>
      </c>
      <c r="F305" s="23">
        <f>IF(B305=1997, 100, IF(COUNTIF(A$1:A304,A305)=0, "NEW", F304*(1+Table14[[#This Row],[Ávöxtun]])))</f>
        <v>104.28134399999999</v>
      </c>
      <c r="G305" s="18" cm="1">
        <f t="array" ref="G305">IFERROR(_xlfn.IFS(ISNUMBER(Table14[[#This Row],[Column3]]),Table14[[#This Row],[Column3]],Table14[[#This Row],[Column3]]="NEW",Table14[[#This Row],[Column3]]),"")</f>
        <v>104.28134399999999</v>
      </c>
      <c r="H305" s="15" cm="1">
        <f t="array" ref="H305">_xlfn.IFS(Table14[[#This Row],[Column4]]="NEW",AVERAGEIFS(Table14[Column4],Table14[Year],Table14[[#This Row],[Year]]),ISNUMBER(Table14[[#This Row],[Column4]]),Table14[[#This Row],[Column4]],Table14[[#This Row],[Column4]]="",H304*(1+Table14[[#This Row],[Ávöxtun]]))</f>
        <v>104.28134399999999</v>
      </c>
      <c r="I305" cm="1">
        <f t="array" ref="I305">_xlfn.IFS(Table14[[#This Row],[Column4]]="NEW",_xlfn.XLOOKUP(Table14[[#This Row],[Year]],$M$2:$M$27,$O$2:$O$27),ISNUMBER(Table14[[#This Row],[Column4]]),Table14[[#This Row],[Column4]],Table14[[#This Row],[Column4]]="",I304*(1+Table14[[#This Row],[Ávöxtun]]))</f>
        <v>104.28134399999999</v>
      </c>
      <c r="L305" s="33">
        <v>104.28134399999999</v>
      </c>
    </row>
    <row r="306" spans="1:12">
      <c r="A306" t="s">
        <v>82</v>
      </c>
      <c r="B306">
        <v>2002</v>
      </c>
      <c r="C306" s="16">
        <v>-0.08</v>
      </c>
      <c r="D306" s="1">
        <v>2003247</v>
      </c>
      <c r="E306" s="29">
        <f>Table14[[#This Row],[Ávöxtun]]*Table14[[#This Row],[Eignir]]/SUMIFS(Table14[Eignir],Table14[Year],Table14[[#This Row],[Year]])</f>
        <v>-2.5231234894578365E-4</v>
      </c>
      <c r="F306" s="23">
        <f>IF(B306=1997, 100, IF(COUNTIF(A$1:A305,A306)=0, "NEW", F305*(1+Table14[[#This Row],[Ávöxtun]])))</f>
        <v>95.938836479999992</v>
      </c>
      <c r="G306" s="18" cm="1">
        <f t="array" ref="G306">IFERROR(_xlfn.IFS(ISNUMBER(Table14[[#This Row],[Column3]]),Table14[[#This Row],[Column3]],Table14[[#This Row],[Column3]]="NEW",Table14[[#This Row],[Column3]]),"")</f>
        <v>95.938836479999992</v>
      </c>
      <c r="H306" s="15" cm="1">
        <f t="array" ref="H306">_xlfn.IFS(Table14[[#This Row],[Column4]]="NEW",AVERAGEIFS(Table14[Column4],Table14[Year],Table14[[#This Row],[Year]]),ISNUMBER(Table14[[#This Row],[Column4]]),Table14[[#This Row],[Column4]],Table14[[#This Row],[Column4]]="",H305*(1+Table14[[#This Row],[Ávöxtun]]))</f>
        <v>95.938836479999992</v>
      </c>
      <c r="I306" cm="1">
        <f t="array" ref="I306">_xlfn.IFS(Table14[[#This Row],[Column4]]="NEW",_xlfn.XLOOKUP(Table14[[#This Row],[Year]],$M$2:$M$27,$O$2:$O$27),ISNUMBER(Table14[[#This Row],[Column4]]),Table14[[#This Row],[Column4]],Table14[[#This Row],[Column4]]="",I305*(1+Table14[[#This Row],[Ávöxtun]]))</f>
        <v>95.938836479999992</v>
      </c>
      <c r="L306" s="33">
        <v>95.938836479999992</v>
      </c>
    </row>
    <row r="307" spans="1:12">
      <c r="A307" t="s">
        <v>82</v>
      </c>
      <c r="B307">
        <v>2003</v>
      </c>
      <c r="C307" s="16">
        <v>0.09</v>
      </c>
      <c r="D307" s="1">
        <v>2279171</v>
      </c>
      <c r="E307" s="29">
        <f>Table14[[#This Row],[Ávöxtun]]*Table14[[#This Row],[Eignir]]/SUMIFS(Table14[Eignir],Table14[Year],Table14[[#This Row],[Year]])</f>
        <v>2.6994040383243481E-4</v>
      </c>
      <c r="F307" s="23">
        <f>IF(B307=1997, 100, IF(COUNTIF(A$1:A306,A307)=0, "NEW", F306*(1+Table14[[#This Row],[Ávöxtun]])))</f>
        <v>104.5733317632</v>
      </c>
      <c r="G307" s="18" cm="1">
        <f t="array" ref="G307">IFERROR(_xlfn.IFS(ISNUMBER(Table14[[#This Row],[Column3]]),Table14[[#This Row],[Column3]],Table14[[#This Row],[Column3]]="NEW",Table14[[#This Row],[Column3]]),"")</f>
        <v>104.5733317632</v>
      </c>
      <c r="H307" s="15" cm="1">
        <f t="array" ref="H307">_xlfn.IFS(Table14[[#This Row],[Column4]]="NEW",AVERAGEIFS(Table14[Column4],Table14[Year],Table14[[#This Row],[Year]]),ISNUMBER(Table14[[#This Row],[Column4]]),Table14[[#This Row],[Column4]],Table14[[#This Row],[Column4]]="",H306*(1+Table14[[#This Row],[Ávöxtun]]))</f>
        <v>104.5733317632</v>
      </c>
      <c r="I307" cm="1">
        <f t="array" ref="I307">_xlfn.IFS(Table14[[#This Row],[Column4]]="NEW",_xlfn.XLOOKUP(Table14[[#This Row],[Year]],$M$2:$M$27,$O$2:$O$27),ISNUMBER(Table14[[#This Row],[Column4]]),Table14[[#This Row],[Column4]],Table14[[#This Row],[Column4]]="",I306*(1+Table14[[#This Row],[Ávöxtun]]))</f>
        <v>104.5733317632</v>
      </c>
      <c r="L307" s="33">
        <v>104.5733317632</v>
      </c>
    </row>
    <row r="308" spans="1:12">
      <c r="A308" t="s">
        <v>82</v>
      </c>
      <c r="B308">
        <v>2004</v>
      </c>
      <c r="C308" s="16">
        <v>0.06</v>
      </c>
      <c r="D308" s="1">
        <v>2542380</v>
      </c>
      <c r="E308" s="29">
        <f>Table14[[#This Row],[Ávöxtun]]*Table14[[#This Row],[Eignir]]/SUMIFS(Table14[Eignir],Table14[Year],Table14[[#This Row],[Year]])</f>
        <v>1.6805967869696297E-4</v>
      </c>
      <c r="F308" s="23">
        <f>IF(B308=1997, 100, IF(COUNTIF(A$1:A307,A308)=0, "NEW", F307*(1+Table14[[#This Row],[Ávöxtun]])))</f>
        <v>110.84773166899201</v>
      </c>
      <c r="G308" s="18" cm="1">
        <f t="array" ref="G308">IFERROR(_xlfn.IFS(ISNUMBER(Table14[[#This Row],[Column3]]),Table14[[#This Row],[Column3]],Table14[[#This Row],[Column3]]="NEW",Table14[[#This Row],[Column3]]),"")</f>
        <v>110.84773166899201</v>
      </c>
      <c r="H308" s="15" cm="1">
        <f t="array" ref="H308">_xlfn.IFS(Table14[[#This Row],[Column4]]="NEW",AVERAGEIFS(Table14[Column4],Table14[Year],Table14[[#This Row],[Year]]),ISNUMBER(Table14[[#This Row],[Column4]]),Table14[[#This Row],[Column4]],Table14[[#This Row],[Column4]]="",H307*(1+Table14[[#This Row],[Ávöxtun]]))</f>
        <v>110.84773166899201</v>
      </c>
      <c r="I308" cm="1">
        <f t="array" ref="I308">_xlfn.IFS(Table14[[#This Row],[Column4]]="NEW",_xlfn.XLOOKUP(Table14[[#This Row],[Year]],$M$2:$M$27,$O$2:$O$27),ISNUMBER(Table14[[#This Row],[Column4]]),Table14[[#This Row],[Column4]],Table14[[#This Row],[Column4]]="",I307*(1+Table14[[#This Row],[Ávöxtun]]))</f>
        <v>110.84773166899201</v>
      </c>
      <c r="L308" s="33">
        <v>110.84773166899201</v>
      </c>
    </row>
    <row r="309" spans="1:12">
      <c r="A309" t="s">
        <v>82</v>
      </c>
      <c r="B309">
        <v>2005</v>
      </c>
      <c r="C309" s="16">
        <v>0.08</v>
      </c>
      <c r="D309" s="1">
        <v>2910238</v>
      </c>
      <c r="E309" s="29">
        <f>Table14[[#This Row],[Ávöxtun]]*Table14[[#This Row],[Eignir]]/SUMIFS(Table14[Eignir],Table14[Year],Table14[[#This Row],[Year]])</f>
        <v>2.0762615177152054E-4</v>
      </c>
      <c r="F309" s="23">
        <f>IF(B309=1997, 100, IF(COUNTIF(A$1:A308,A309)=0, "NEW", F308*(1+Table14[[#This Row],[Ávöxtun]])))</f>
        <v>119.71555020251138</v>
      </c>
      <c r="G309" s="18" cm="1">
        <f t="array" ref="G309">IFERROR(_xlfn.IFS(ISNUMBER(Table14[[#This Row],[Column3]]),Table14[[#This Row],[Column3]],Table14[[#This Row],[Column3]]="NEW",Table14[[#This Row],[Column3]]),"")</f>
        <v>119.71555020251138</v>
      </c>
      <c r="H309" s="15" cm="1">
        <f t="array" ref="H309">_xlfn.IFS(Table14[[#This Row],[Column4]]="NEW",AVERAGEIFS(Table14[Column4],Table14[Year],Table14[[#This Row],[Year]]),ISNUMBER(Table14[[#This Row],[Column4]]),Table14[[#This Row],[Column4]],Table14[[#This Row],[Column4]]="",H308*(1+Table14[[#This Row],[Ávöxtun]]))</f>
        <v>119.71555020251138</v>
      </c>
      <c r="I309" cm="1">
        <f t="array" ref="I309">_xlfn.IFS(Table14[[#This Row],[Column4]]="NEW",_xlfn.XLOOKUP(Table14[[#This Row],[Year]],$M$2:$M$27,$O$2:$O$27),ISNUMBER(Table14[[#This Row],[Column4]]),Table14[[#This Row],[Column4]],Table14[[#This Row],[Column4]]="",I308*(1+Table14[[#This Row],[Ávöxtun]]))</f>
        <v>119.71555020251138</v>
      </c>
      <c r="L309" s="33">
        <v>119.71555020251138</v>
      </c>
    </row>
    <row r="310" spans="1:12">
      <c r="A310" t="s">
        <v>83</v>
      </c>
      <c r="B310">
        <v>1997</v>
      </c>
      <c r="C310" s="16">
        <v>0.08</v>
      </c>
      <c r="D310" s="1">
        <v>2151349.7400000002</v>
      </c>
      <c r="E310" s="29">
        <f>Table14[[#This Row],[Ávöxtun]]*Table14[[#This Row],[Eignir]]/SUMIFS(Table14[Eignir],Table14[Year],Table14[[#This Row],[Year]])</f>
        <v>5.0765520473411115E-4</v>
      </c>
      <c r="F310" s="23">
        <f>IF(B310=1997, 100, IF(COUNTIF(A$1:A309,A310)=0, "NEW", F309*(1+Table14[[#This Row],[Ávöxtun]])))</f>
        <v>100</v>
      </c>
      <c r="G310" s="18" cm="1">
        <f t="array" ref="G310">IFERROR(_xlfn.IFS(ISNUMBER(Table14[[#This Row],[Column3]]),Table14[[#This Row],[Column3]],Table14[[#This Row],[Column3]]="NEW",Table14[[#This Row],[Column3]]),"")</f>
        <v>100</v>
      </c>
      <c r="H310" s="15" cm="1">
        <f t="array" ref="H310">_xlfn.IFS(Table14[[#This Row],[Column4]]="NEW",AVERAGEIFS(Table14[Column4],Table14[Year],Table14[[#This Row],[Year]]),ISNUMBER(Table14[[#This Row],[Column4]]),Table14[[#This Row],[Column4]],Table14[[#This Row],[Column4]]="",H309*(1+Table14[[#This Row],[Ávöxtun]]))</f>
        <v>100</v>
      </c>
      <c r="I310" cm="1">
        <f t="array" ref="I310">_xlfn.IFS(Table14[[#This Row],[Column4]]="NEW",_xlfn.XLOOKUP(Table14[[#This Row],[Year]],$M$2:$M$27,$O$2:$O$27),ISNUMBER(Table14[[#This Row],[Column4]]),Table14[[#This Row],[Column4]],Table14[[#This Row],[Column4]]="",I309*(1+Table14[[#This Row],[Ávöxtun]]))</f>
        <v>100</v>
      </c>
      <c r="L310" s="33">
        <v>100</v>
      </c>
    </row>
    <row r="311" spans="1:12">
      <c r="A311" t="s">
        <v>83</v>
      </c>
      <c r="B311">
        <v>1998</v>
      </c>
      <c r="C311" s="16">
        <v>0.11</v>
      </c>
      <c r="D311" s="1">
        <v>2336810.54</v>
      </c>
      <c r="E311" s="29">
        <f>Table14[[#This Row],[Ávöxtun]]*Table14[[#This Row],[Eignir]]/SUMIFS(Table14[Eignir],Table14[Year],Table14[[#This Row],[Year]])</f>
        <v>6.563489420843352E-4</v>
      </c>
      <c r="F311" s="23">
        <f>IF(B311=1997, 100, IF(COUNTIF(A$1:A310,A311)=0, "NEW", F310*(1+Table14[[#This Row],[Ávöxtun]])))</f>
        <v>111.00000000000001</v>
      </c>
      <c r="G311" s="18" cm="1">
        <f t="array" ref="G311">IFERROR(_xlfn.IFS(ISNUMBER(Table14[[#This Row],[Column3]]),Table14[[#This Row],[Column3]],Table14[[#This Row],[Column3]]="NEW",Table14[[#This Row],[Column3]]),"")</f>
        <v>111.00000000000001</v>
      </c>
      <c r="H311" s="15" cm="1">
        <f t="array" ref="H311">_xlfn.IFS(Table14[[#This Row],[Column4]]="NEW",AVERAGEIFS(Table14[Column4],Table14[Year],Table14[[#This Row],[Year]]),ISNUMBER(Table14[[#This Row],[Column4]]),Table14[[#This Row],[Column4]],Table14[[#This Row],[Column4]]="",H310*(1+Table14[[#This Row],[Ávöxtun]]))</f>
        <v>111.00000000000001</v>
      </c>
      <c r="I311" cm="1">
        <f t="array" ref="I311">_xlfn.IFS(Table14[[#This Row],[Column4]]="NEW",_xlfn.XLOOKUP(Table14[[#This Row],[Year]],$M$2:$M$27,$O$2:$O$27),ISNUMBER(Table14[[#This Row],[Column4]]),Table14[[#This Row],[Column4]],Table14[[#This Row],[Column4]]="",I310*(1+Table14[[#This Row],[Ávöxtun]]))</f>
        <v>111.00000000000001</v>
      </c>
      <c r="L311" s="33">
        <v>111.00000000000001</v>
      </c>
    </row>
    <row r="312" spans="1:12">
      <c r="A312" t="s">
        <v>83</v>
      </c>
      <c r="B312">
        <v>1999</v>
      </c>
      <c r="C312" s="16">
        <v>0.16</v>
      </c>
      <c r="D312" s="1">
        <v>2736516.12</v>
      </c>
      <c r="E312" s="29">
        <f>Table14[[#This Row],[Ávöxtun]]*Table14[[#This Row],[Eignir]]/SUMIFS(Table14[Eignir],Table14[Year],Table14[[#This Row],[Year]])</f>
        <v>8.4084606982253005E-4</v>
      </c>
      <c r="F312" s="23">
        <f>IF(B312=1997, 100, IF(COUNTIF(A$1:A311,A312)=0, "NEW", F311*(1+Table14[[#This Row],[Ávöxtun]])))</f>
        <v>128.76000000000002</v>
      </c>
      <c r="G312" s="18" cm="1">
        <f t="array" ref="G312">IFERROR(_xlfn.IFS(ISNUMBER(Table14[[#This Row],[Column3]]),Table14[[#This Row],[Column3]],Table14[[#This Row],[Column3]]="NEW",Table14[[#This Row],[Column3]]),"")</f>
        <v>128.76000000000002</v>
      </c>
      <c r="H312" s="15" cm="1">
        <f t="array" ref="H312">_xlfn.IFS(Table14[[#This Row],[Column4]]="NEW",AVERAGEIFS(Table14[Column4],Table14[Year],Table14[[#This Row],[Year]]),ISNUMBER(Table14[[#This Row],[Column4]]),Table14[[#This Row],[Column4]],Table14[[#This Row],[Column4]]="",H311*(1+Table14[[#This Row],[Ávöxtun]]))</f>
        <v>128.76000000000002</v>
      </c>
      <c r="I312" cm="1">
        <f t="array" ref="I312">_xlfn.IFS(Table14[[#This Row],[Column4]]="NEW",_xlfn.XLOOKUP(Table14[[#This Row],[Year]],$M$2:$M$27,$O$2:$O$27),ISNUMBER(Table14[[#This Row],[Column4]]),Table14[[#This Row],[Column4]],Table14[[#This Row],[Column4]]="",I311*(1+Table14[[#This Row],[Ávöxtun]]))</f>
        <v>128.76000000000002</v>
      </c>
      <c r="L312" s="33">
        <v>128.76000000000002</v>
      </c>
    </row>
    <row r="313" spans="1:12">
      <c r="A313" t="s">
        <v>83</v>
      </c>
      <c r="B313">
        <v>2000</v>
      </c>
      <c r="C313" s="16">
        <v>-0.16</v>
      </c>
      <c r="D313" s="1">
        <v>5047478.04</v>
      </c>
      <c r="E313" s="29">
        <f>Table14[[#This Row],[Ávöxtun]]*Table14[[#This Row],[Eignir]]/SUMIFS(Table14[Eignir],Table14[Year],Table14[[#This Row],[Year]])</f>
        <v>-1.136036257205593E-3</v>
      </c>
      <c r="F313" s="23">
        <f>IF(B313=1997, 100, IF(COUNTIF(A$1:A312,A313)=0, "NEW", F312*(1+Table14[[#This Row],[Ávöxtun]])))</f>
        <v>108.15840000000001</v>
      </c>
      <c r="G313" s="18" cm="1">
        <f t="array" ref="G313">IFERROR(_xlfn.IFS(ISNUMBER(Table14[[#This Row],[Column3]]),Table14[[#This Row],[Column3]],Table14[[#This Row],[Column3]]="NEW",Table14[[#This Row],[Column3]]),"")</f>
        <v>108.15840000000001</v>
      </c>
      <c r="H313" s="15" cm="1">
        <f t="array" ref="H313">_xlfn.IFS(Table14[[#This Row],[Column4]]="NEW",AVERAGEIFS(Table14[Column4],Table14[Year],Table14[[#This Row],[Year]]),ISNUMBER(Table14[[#This Row],[Column4]]),Table14[[#This Row],[Column4]],Table14[[#This Row],[Column4]]="",H312*(1+Table14[[#This Row],[Ávöxtun]]))</f>
        <v>108.15840000000001</v>
      </c>
      <c r="I313" cm="1">
        <f t="array" ref="I313">_xlfn.IFS(Table14[[#This Row],[Column4]]="NEW",_xlfn.XLOOKUP(Table14[[#This Row],[Year]],$M$2:$M$27,$O$2:$O$27),ISNUMBER(Table14[[#This Row],[Column4]]),Table14[[#This Row],[Column4]],Table14[[#This Row],[Column4]]="",I312*(1+Table14[[#This Row],[Ávöxtun]]))</f>
        <v>108.15840000000001</v>
      </c>
      <c r="L313" s="33">
        <v>108.15840000000001</v>
      </c>
    </row>
    <row r="314" spans="1:12">
      <c r="A314" t="s">
        <v>83</v>
      </c>
      <c r="B314">
        <v>2001</v>
      </c>
      <c r="C314" s="16">
        <v>-0.03</v>
      </c>
      <c r="D314" s="1">
        <v>5126129</v>
      </c>
      <c r="E314" s="29">
        <f>Table14[[#This Row],[Ávöxtun]]*Table14[[#This Row],[Eignir]]/SUMIFS(Table14[Eignir],Table14[Year],Table14[[#This Row],[Year]])</f>
        <v>-1.3281093508418787E-4</v>
      </c>
      <c r="F314" s="23">
        <f>IF(B314=1997, 100, IF(COUNTIF(A$1:A313,A314)=0, "NEW", F313*(1+Table14[[#This Row],[Ávöxtun]])))</f>
        <v>104.91364800000001</v>
      </c>
      <c r="G314" s="18" cm="1">
        <f t="array" ref="G314">IFERROR(_xlfn.IFS(ISNUMBER(Table14[[#This Row],[Column3]]),Table14[[#This Row],[Column3]],Table14[[#This Row],[Column3]]="NEW",Table14[[#This Row],[Column3]]),"")</f>
        <v>104.91364800000001</v>
      </c>
      <c r="H314" s="15" cm="1">
        <f t="array" ref="H314">_xlfn.IFS(Table14[[#This Row],[Column4]]="NEW",AVERAGEIFS(Table14[Column4],Table14[Year],Table14[[#This Row],[Year]]),ISNUMBER(Table14[[#This Row],[Column4]]),Table14[[#This Row],[Column4]],Table14[[#This Row],[Column4]]="",H313*(1+Table14[[#This Row],[Ávöxtun]]))</f>
        <v>104.91364800000001</v>
      </c>
      <c r="I314" cm="1">
        <f t="array" ref="I314">_xlfn.IFS(Table14[[#This Row],[Column4]]="NEW",_xlfn.XLOOKUP(Table14[[#This Row],[Year]],$M$2:$M$27,$O$2:$O$27),ISNUMBER(Table14[[#This Row],[Column4]]),Table14[[#This Row],[Column4]],Table14[[#This Row],[Column4]]="",I313*(1+Table14[[#This Row],[Ávöxtun]]))</f>
        <v>104.91364800000001</v>
      </c>
      <c r="L314" s="33">
        <v>104.91364800000001</v>
      </c>
    </row>
    <row r="315" spans="1:12">
      <c r="A315" t="s">
        <v>83</v>
      </c>
      <c r="B315">
        <v>2002</v>
      </c>
      <c r="C315" s="16">
        <v>0.08</v>
      </c>
      <c r="D315" s="1">
        <v>2646654</v>
      </c>
      <c r="E315" s="29">
        <f>Table14[[#This Row],[Ávöxtun]]*Table14[[#This Row],[Eignir]]/SUMIFS(Table14[Eignir],Table14[Year],Table14[[#This Row],[Year]])</f>
        <v>3.3335054917678852E-4</v>
      </c>
      <c r="F315" s="23">
        <f>IF(B315=1997, 100, IF(COUNTIF(A$1:A314,A315)=0, "NEW", F314*(1+Table14[[#This Row],[Ávöxtun]])))</f>
        <v>113.30673984000002</v>
      </c>
      <c r="G315" s="18" cm="1">
        <f t="array" ref="G315">IFERROR(_xlfn.IFS(ISNUMBER(Table14[[#This Row],[Column3]]),Table14[[#This Row],[Column3]],Table14[[#This Row],[Column3]]="NEW",Table14[[#This Row],[Column3]]),"")</f>
        <v>113.30673984000002</v>
      </c>
      <c r="H315" s="15" cm="1">
        <f t="array" ref="H315">_xlfn.IFS(Table14[[#This Row],[Column4]]="NEW",AVERAGEIFS(Table14[Column4],Table14[Year],Table14[[#This Row],[Year]]),ISNUMBER(Table14[[#This Row],[Column4]]),Table14[[#This Row],[Column4]],Table14[[#This Row],[Column4]]="",H314*(1+Table14[[#This Row],[Ávöxtun]]))</f>
        <v>113.30673984000002</v>
      </c>
      <c r="I315" cm="1">
        <f t="array" ref="I315">_xlfn.IFS(Table14[[#This Row],[Column4]]="NEW",_xlfn.XLOOKUP(Table14[[#This Row],[Year]],$M$2:$M$27,$O$2:$O$27),ISNUMBER(Table14[[#This Row],[Column4]]),Table14[[#This Row],[Column4]],Table14[[#This Row],[Column4]]="",I314*(1+Table14[[#This Row],[Ávöxtun]]))</f>
        <v>113.30673984000002</v>
      </c>
      <c r="L315" s="33">
        <v>113.30673984000002</v>
      </c>
    </row>
    <row r="316" spans="1:12">
      <c r="A316" t="s">
        <v>83</v>
      </c>
      <c r="B316">
        <v>2003</v>
      </c>
      <c r="C316" s="16">
        <v>0.1</v>
      </c>
      <c r="D316" s="1">
        <v>2730488</v>
      </c>
      <c r="E316" s="29">
        <f>Table14[[#This Row],[Ávöxtun]]*Table14[[#This Row],[Eignir]]/SUMIFS(Table14[Eignir],Table14[Year],Table14[[#This Row],[Year]])</f>
        <v>3.5932608507392347E-4</v>
      </c>
      <c r="F316" s="23">
        <f>IF(B316=1997, 100, IF(COUNTIF(A$1:A315,A316)=0, "NEW", F315*(1+Table14[[#This Row],[Ávöxtun]])))</f>
        <v>124.63741382400003</v>
      </c>
      <c r="G316" s="18" cm="1">
        <f t="array" ref="G316">IFERROR(_xlfn.IFS(ISNUMBER(Table14[[#This Row],[Column3]]),Table14[[#This Row],[Column3]],Table14[[#This Row],[Column3]]="NEW",Table14[[#This Row],[Column3]]),"")</f>
        <v>124.63741382400003</v>
      </c>
      <c r="H316" s="15" cm="1">
        <f t="array" ref="H316">_xlfn.IFS(Table14[[#This Row],[Column4]]="NEW",AVERAGEIFS(Table14[Column4],Table14[Year],Table14[[#This Row],[Year]]),ISNUMBER(Table14[[#This Row],[Column4]]),Table14[[#This Row],[Column4]],Table14[[#This Row],[Column4]]="",H315*(1+Table14[[#This Row],[Ávöxtun]]))</f>
        <v>124.63741382400003</v>
      </c>
      <c r="I316" cm="1">
        <f t="array" ref="I316">_xlfn.IFS(Table14[[#This Row],[Column4]]="NEW",_xlfn.XLOOKUP(Table14[[#This Row],[Year]],$M$2:$M$27,$O$2:$O$27),ISNUMBER(Table14[[#This Row],[Column4]]),Table14[[#This Row],[Column4]],Table14[[#This Row],[Column4]]="",I315*(1+Table14[[#This Row],[Ávöxtun]]))</f>
        <v>124.63741382400003</v>
      </c>
      <c r="L316" s="33">
        <v>124.63741382400003</v>
      </c>
    </row>
    <row r="317" spans="1:12">
      <c r="A317" t="s">
        <v>83</v>
      </c>
      <c r="B317">
        <v>2004</v>
      </c>
      <c r="C317" s="16">
        <v>0.25</v>
      </c>
      <c r="D317" s="1">
        <v>3121926</v>
      </c>
      <c r="E317" s="29">
        <f>Table14[[#This Row],[Ávöxtun]]*Table14[[#This Row],[Eignir]]/SUMIFS(Table14[Eignir],Table14[Year],Table14[[#This Row],[Year]])</f>
        <v>8.5987322980123418E-4</v>
      </c>
      <c r="F317" s="23">
        <f>IF(B317=1997, 100, IF(COUNTIF(A$1:A316,A317)=0, "NEW", F316*(1+Table14[[#This Row],[Ávöxtun]])))</f>
        <v>155.79676728000004</v>
      </c>
      <c r="G317" s="18" cm="1">
        <f t="array" ref="G317">IFERROR(_xlfn.IFS(ISNUMBER(Table14[[#This Row],[Column3]]),Table14[[#This Row],[Column3]],Table14[[#This Row],[Column3]]="NEW",Table14[[#This Row],[Column3]]),"")</f>
        <v>155.79676728000004</v>
      </c>
      <c r="H317" s="15" cm="1">
        <f t="array" ref="H317">_xlfn.IFS(Table14[[#This Row],[Column4]]="NEW",AVERAGEIFS(Table14[Column4],Table14[Year],Table14[[#This Row],[Year]]),ISNUMBER(Table14[[#This Row],[Column4]]),Table14[[#This Row],[Column4]],Table14[[#This Row],[Column4]]="",H316*(1+Table14[[#This Row],[Ávöxtun]]))</f>
        <v>155.79676728000004</v>
      </c>
      <c r="I317" cm="1">
        <f t="array" ref="I317">_xlfn.IFS(Table14[[#This Row],[Column4]]="NEW",_xlfn.XLOOKUP(Table14[[#This Row],[Year]],$M$2:$M$27,$O$2:$O$27),ISNUMBER(Table14[[#This Row],[Column4]]),Table14[[#This Row],[Column4]],Table14[[#This Row],[Column4]]="",I316*(1+Table14[[#This Row],[Ávöxtun]]))</f>
        <v>155.79676728000004</v>
      </c>
      <c r="L317" s="33">
        <v>155.79676728000004</v>
      </c>
    </row>
    <row r="318" spans="1:12">
      <c r="A318" t="s">
        <v>83</v>
      </c>
      <c r="B318">
        <v>2005</v>
      </c>
      <c r="C318" s="16">
        <v>0.18</v>
      </c>
      <c r="D318" s="1">
        <v>3529049</v>
      </c>
      <c r="E318" s="29">
        <f>Table14[[#This Row],[Ávöxtun]]*Table14[[#This Row],[Eignir]]/SUMIFS(Table14[Eignir],Table14[Year],Table14[[#This Row],[Year]])</f>
        <v>5.6649196470771423E-4</v>
      </c>
      <c r="F318" s="23">
        <f>IF(B318=1997, 100, IF(COUNTIF(A$1:A317,A318)=0, "NEW", F317*(1+Table14[[#This Row],[Ávöxtun]])))</f>
        <v>183.84018539040002</v>
      </c>
      <c r="G318" s="18" cm="1">
        <f t="array" ref="G318">IFERROR(_xlfn.IFS(ISNUMBER(Table14[[#This Row],[Column3]]),Table14[[#This Row],[Column3]],Table14[[#This Row],[Column3]]="NEW",Table14[[#This Row],[Column3]]),"")</f>
        <v>183.84018539040002</v>
      </c>
      <c r="H318" s="15" cm="1">
        <f t="array" ref="H318">_xlfn.IFS(Table14[[#This Row],[Column4]]="NEW",AVERAGEIFS(Table14[Column4],Table14[Year],Table14[[#This Row],[Year]]),ISNUMBER(Table14[[#This Row],[Column4]]),Table14[[#This Row],[Column4]],Table14[[#This Row],[Column4]]="",H317*(1+Table14[[#This Row],[Ávöxtun]]))</f>
        <v>183.84018539040002</v>
      </c>
      <c r="I318" cm="1">
        <f t="array" ref="I318">_xlfn.IFS(Table14[[#This Row],[Column4]]="NEW",_xlfn.XLOOKUP(Table14[[#This Row],[Year]],$M$2:$M$27,$O$2:$O$27),ISNUMBER(Table14[[#This Row],[Column4]]),Table14[[#This Row],[Column4]],Table14[[#This Row],[Column4]]="",I317*(1+Table14[[#This Row],[Ávöxtun]]))</f>
        <v>183.84018539040002</v>
      </c>
      <c r="L318" s="33">
        <v>183.84018539040002</v>
      </c>
    </row>
    <row r="319" spans="1:12">
      <c r="A319" t="s">
        <v>83</v>
      </c>
      <c r="B319">
        <v>2006</v>
      </c>
      <c r="C319" s="16">
        <v>8.2699999999999996E-2</v>
      </c>
      <c r="D319" s="1">
        <v>3828542</v>
      </c>
      <c r="E319" s="29">
        <f>Table14[[#This Row],[Ávöxtun]]*Table14[[#This Row],[Eignir]]/SUMIFS(Table14[Eignir],Table14[Year],Table14[[#This Row],[Year]])</f>
        <v>2.306593154082635E-4</v>
      </c>
      <c r="F319" s="23">
        <f>IF(B319=1997, 100, IF(COUNTIF(A$1:A318,A319)=0, "NEW", F318*(1+Table14[[#This Row],[Ávöxtun]])))</f>
        <v>199.04376872218612</v>
      </c>
      <c r="G319" s="18" cm="1">
        <f t="array" ref="G319">IFERROR(_xlfn.IFS(ISNUMBER(Table14[[#This Row],[Column3]]),Table14[[#This Row],[Column3]],Table14[[#This Row],[Column3]]="NEW",Table14[[#This Row],[Column3]]),"")</f>
        <v>199.04376872218612</v>
      </c>
      <c r="H319" s="15" cm="1">
        <f t="array" ref="H319">_xlfn.IFS(Table14[[#This Row],[Column4]]="NEW",AVERAGEIFS(Table14[Column4],Table14[Year],Table14[[#This Row],[Year]]),ISNUMBER(Table14[[#This Row],[Column4]]),Table14[[#This Row],[Column4]],Table14[[#This Row],[Column4]]="",H318*(1+Table14[[#This Row],[Ávöxtun]]))</f>
        <v>199.04376872218612</v>
      </c>
      <c r="I319" cm="1">
        <f t="array" ref="I319">_xlfn.IFS(Table14[[#This Row],[Column4]]="NEW",_xlfn.XLOOKUP(Table14[[#This Row],[Year]],$M$2:$M$27,$O$2:$O$27),ISNUMBER(Table14[[#This Row],[Column4]]),Table14[[#This Row],[Column4]],Table14[[#This Row],[Column4]]="",I318*(1+Table14[[#This Row],[Ávöxtun]]))</f>
        <v>199.04376872218612</v>
      </c>
      <c r="L319" s="33">
        <v>199.04376872218612</v>
      </c>
    </row>
    <row r="320" spans="1:12">
      <c r="A320" t="s">
        <v>83</v>
      </c>
      <c r="B320">
        <v>2007</v>
      </c>
      <c r="C320" s="16">
        <v>4.6600000000000003E-2</v>
      </c>
      <c r="D320" s="1">
        <v>173802</v>
      </c>
      <c r="E320" s="29">
        <f>Table14[[#This Row],[Ávöxtun]]*Table14[[#This Row],[Eignir]]/SUMIFS(Table14[Eignir],Table14[Year],Table14[[#This Row],[Year]])</f>
        <v>5.2374102981152252E-6</v>
      </c>
      <c r="F320" s="23">
        <f>IF(B320=1997, 100, IF(COUNTIF(A$1:A319,A320)=0, "NEW", F319*(1+Table14[[#This Row],[Ávöxtun]])))</f>
        <v>208.31920834463997</v>
      </c>
      <c r="G320" s="18" cm="1">
        <f t="array" ref="G320">IFERROR(_xlfn.IFS(ISNUMBER(Table14[[#This Row],[Column3]]),Table14[[#This Row],[Column3]],Table14[[#This Row],[Column3]]="NEW",Table14[[#This Row],[Column3]]),"")</f>
        <v>208.31920834463997</v>
      </c>
      <c r="H320" s="15" cm="1">
        <f t="array" ref="H320">_xlfn.IFS(Table14[[#This Row],[Column4]]="NEW",AVERAGEIFS(Table14[Column4],Table14[Year],Table14[[#This Row],[Year]]),ISNUMBER(Table14[[#This Row],[Column4]]),Table14[[#This Row],[Column4]],Table14[[#This Row],[Column4]]="",H319*(1+Table14[[#This Row],[Ávöxtun]]))</f>
        <v>208.31920834463997</v>
      </c>
      <c r="I320" cm="1">
        <f t="array" ref="I320">_xlfn.IFS(Table14[[#This Row],[Column4]]="NEW",_xlfn.XLOOKUP(Table14[[#This Row],[Year]],$M$2:$M$27,$O$2:$O$27),ISNUMBER(Table14[[#This Row],[Column4]]),Table14[[#This Row],[Column4]],Table14[[#This Row],[Column4]]="",I319*(1+Table14[[#This Row],[Ávöxtun]]))</f>
        <v>208.31920834463997</v>
      </c>
      <c r="L320" s="33">
        <v>208.31920834463997</v>
      </c>
    </row>
    <row r="321" spans="1:12">
      <c r="A321" t="s">
        <v>83</v>
      </c>
      <c r="B321">
        <v>2008</v>
      </c>
      <c r="C321" s="16">
        <v>-0.255</v>
      </c>
      <c r="D321" s="1">
        <v>117107</v>
      </c>
      <c r="E321" s="29">
        <f>Table14[[#This Row],[Ávöxtun]]*Table14[[#This Row],[Eignir]]/SUMIFS(Table14[Eignir],Table14[Year],Table14[[#This Row],[Year]])</f>
        <v>-1.9943850908422518E-5</v>
      </c>
      <c r="F321" s="23">
        <f>IF(B321=1997, 100, IF(COUNTIF(A$1:A320,A321)=0, "NEW", F320*(1+Table14[[#This Row],[Ávöxtun]])))</f>
        <v>155.19781021675678</v>
      </c>
      <c r="G321" s="18" cm="1">
        <f t="array" ref="G321">IFERROR(_xlfn.IFS(ISNUMBER(Table14[[#This Row],[Column3]]),Table14[[#This Row],[Column3]],Table14[[#This Row],[Column3]]="NEW",Table14[[#This Row],[Column3]]),"")</f>
        <v>155.19781021675678</v>
      </c>
      <c r="H321" s="15" cm="1">
        <f t="array" ref="H321">_xlfn.IFS(Table14[[#This Row],[Column4]]="NEW",AVERAGEIFS(Table14[Column4],Table14[Year],Table14[[#This Row],[Year]]),ISNUMBER(Table14[[#This Row],[Column4]]),Table14[[#This Row],[Column4]],Table14[[#This Row],[Column4]]="",H320*(1+Table14[[#This Row],[Ávöxtun]]))</f>
        <v>155.19781021675678</v>
      </c>
      <c r="I321" cm="1">
        <f t="array" ref="I321">_xlfn.IFS(Table14[[#This Row],[Column4]]="NEW",_xlfn.XLOOKUP(Table14[[#This Row],[Year]],$M$2:$M$27,$O$2:$O$27),ISNUMBER(Table14[[#This Row],[Column4]]),Table14[[#This Row],[Column4]],Table14[[#This Row],[Column4]]="",I320*(1+Table14[[#This Row],[Ávöxtun]]))</f>
        <v>155.19781021675678</v>
      </c>
      <c r="L321" s="33">
        <v>155.19781021675678</v>
      </c>
    </row>
    <row r="322" spans="1:12">
      <c r="A322" t="s">
        <v>83</v>
      </c>
      <c r="B322">
        <v>2009</v>
      </c>
      <c r="C322" s="16">
        <v>-5.0000000000000001E-3</v>
      </c>
      <c r="D322" s="1">
        <v>88352</v>
      </c>
      <c r="E322" s="29">
        <f>Table14[[#This Row],[Ávöxtun]]*Table14[[#This Row],[Eignir]]/SUMIFS(Table14[Eignir],Table14[Year],Table14[[#This Row],[Year]])</f>
        <v>-2.6480310927044258E-7</v>
      </c>
      <c r="F322" s="23">
        <f>IF(B322=1997, 100, IF(COUNTIF(A$1:A321,A322)=0, "NEW", F321*(1+Table14[[#This Row],[Ávöxtun]])))</f>
        <v>154.42182116567298</v>
      </c>
      <c r="G322" s="18" cm="1">
        <f t="array" ref="G322">IFERROR(_xlfn.IFS(ISNUMBER(Table14[[#This Row],[Column3]]),Table14[[#This Row],[Column3]],Table14[[#This Row],[Column3]]="NEW",Table14[[#This Row],[Column3]]),"")</f>
        <v>154.42182116567298</v>
      </c>
      <c r="H322" s="15" cm="1">
        <f t="array" ref="H322">_xlfn.IFS(Table14[[#This Row],[Column4]]="NEW",AVERAGEIFS(Table14[Column4],Table14[Year],Table14[[#This Row],[Year]]),ISNUMBER(Table14[[#This Row],[Column4]]),Table14[[#This Row],[Column4]],Table14[[#This Row],[Column4]]="",H321*(1+Table14[[#This Row],[Ávöxtun]]))</f>
        <v>154.42182116567298</v>
      </c>
      <c r="I322" cm="1">
        <f t="array" ref="I322">_xlfn.IFS(Table14[[#This Row],[Column4]]="NEW",_xlfn.XLOOKUP(Table14[[#This Row],[Year]],$M$2:$M$27,$O$2:$O$27),ISNUMBER(Table14[[#This Row],[Column4]]),Table14[[#This Row],[Column4]],Table14[[#This Row],[Column4]]="",I321*(1+Table14[[#This Row],[Ávöxtun]]))</f>
        <v>154.42182116567298</v>
      </c>
      <c r="L322" s="33">
        <v>154.42182116567298</v>
      </c>
    </row>
    <row r="323" spans="1:12">
      <c r="A323" t="s">
        <v>85</v>
      </c>
      <c r="B323">
        <v>1997</v>
      </c>
      <c r="C323" s="16">
        <v>0.05</v>
      </c>
      <c r="D323" s="1">
        <v>149601.20000000001</v>
      </c>
      <c r="E323" s="29">
        <f>Table14[[#This Row],[Ávöxtun]]*Table14[[#This Row],[Eignir]]/SUMIFS(Table14[Eignir],Table14[Year],Table14[[#This Row],[Year]])</f>
        <v>2.2063424417474281E-5</v>
      </c>
      <c r="F323" s="23">
        <f>IF(B323=1997, 100, IF(COUNTIF(A$1:A322,A323)=0, "NEW", F322*(1+Table14[[#This Row],[Ávöxtun]])))</f>
        <v>100</v>
      </c>
      <c r="G323" s="18" cm="1">
        <f t="array" ref="G323">IFERROR(_xlfn.IFS(ISNUMBER(Table14[[#This Row],[Column3]]),Table14[[#This Row],[Column3]],Table14[[#This Row],[Column3]]="NEW",Table14[[#This Row],[Column3]]),"")</f>
        <v>100</v>
      </c>
      <c r="H323" s="15" cm="1">
        <f t="array" ref="H323">_xlfn.IFS(Table14[[#This Row],[Column4]]="NEW",AVERAGEIFS(Table14[Column4],Table14[Year],Table14[[#This Row],[Year]]),ISNUMBER(Table14[[#This Row],[Column4]]),Table14[[#This Row],[Column4]],Table14[[#This Row],[Column4]]="",H322*(1+Table14[[#This Row],[Ávöxtun]]))</f>
        <v>100</v>
      </c>
      <c r="I323" cm="1">
        <f t="array" ref="I323">_xlfn.IFS(Table14[[#This Row],[Column4]]="NEW",_xlfn.XLOOKUP(Table14[[#This Row],[Year]],$M$2:$M$27,$O$2:$O$27),ISNUMBER(Table14[[#This Row],[Column4]]),Table14[[#This Row],[Column4]],Table14[[#This Row],[Column4]]="",I322*(1+Table14[[#This Row],[Ávöxtun]]))</f>
        <v>100</v>
      </c>
      <c r="L323" s="33">
        <v>100</v>
      </c>
    </row>
    <row r="324" spans="1:12">
      <c r="A324" t="s">
        <v>85</v>
      </c>
      <c r="B324">
        <v>1998</v>
      </c>
      <c r="C324" s="16">
        <v>0.03</v>
      </c>
      <c r="D324" s="1">
        <v>153041.68</v>
      </c>
      <c r="E324" s="29">
        <f>Table14[[#This Row],[Ávöxtun]]*Table14[[#This Row],[Eignir]]/SUMIFS(Table14[Eignir],Table14[Year],Table14[[#This Row],[Year]])</f>
        <v>1.1723291956753549E-5</v>
      </c>
      <c r="F324" s="23">
        <f>IF(B324=1997, 100, IF(COUNTIF(A$1:A323,A324)=0, "NEW", F323*(1+Table14[[#This Row],[Ávöxtun]])))</f>
        <v>103</v>
      </c>
      <c r="G324" s="18" cm="1">
        <f t="array" ref="G324">IFERROR(_xlfn.IFS(ISNUMBER(Table14[[#This Row],[Column3]]),Table14[[#This Row],[Column3]],Table14[[#This Row],[Column3]]="NEW",Table14[[#This Row],[Column3]]),"")</f>
        <v>103</v>
      </c>
      <c r="H324" s="15" cm="1">
        <f t="array" ref="H324">_xlfn.IFS(Table14[[#This Row],[Column4]]="NEW",AVERAGEIFS(Table14[Column4],Table14[Year],Table14[[#This Row],[Year]]),ISNUMBER(Table14[[#This Row],[Column4]]),Table14[[#This Row],[Column4]],Table14[[#This Row],[Column4]]="",H323*(1+Table14[[#This Row],[Ávöxtun]]))</f>
        <v>103</v>
      </c>
      <c r="I324" cm="1">
        <f t="array" ref="I324">_xlfn.IFS(Table14[[#This Row],[Column4]]="NEW",_xlfn.XLOOKUP(Table14[[#This Row],[Year]],$M$2:$M$27,$O$2:$O$27),ISNUMBER(Table14[[#This Row],[Column4]]),Table14[[#This Row],[Column4]],Table14[[#This Row],[Column4]]="",I323*(1+Table14[[#This Row],[Ávöxtun]]))</f>
        <v>103</v>
      </c>
      <c r="L324" s="33">
        <v>103</v>
      </c>
    </row>
    <row r="325" spans="1:12">
      <c r="A325" t="s">
        <v>85</v>
      </c>
      <c r="B325">
        <v>1999</v>
      </c>
      <c r="C325" s="16">
        <v>0.04</v>
      </c>
      <c r="D325" s="1">
        <v>169348.75</v>
      </c>
      <c r="E325" s="29">
        <f>Table14[[#This Row],[Ávöxtun]]*Table14[[#This Row],[Eignir]]/SUMIFS(Table14[Eignir],Table14[Year],Table14[[#This Row],[Year]])</f>
        <v>1.3008897501657889E-5</v>
      </c>
      <c r="F325" s="23">
        <f>IF(B325=1997, 100, IF(COUNTIF(A$1:A324,A325)=0, "NEW", F324*(1+Table14[[#This Row],[Ávöxtun]])))</f>
        <v>107.12</v>
      </c>
      <c r="G325" s="18" cm="1">
        <f t="array" ref="G325">IFERROR(_xlfn.IFS(ISNUMBER(Table14[[#This Row],[Column3]]),Table14[[#This Row],[Column3]],Table14[[#This Row],[Column3]]="NEW",Table14[[#This Row],[Column3]]),"")</f>
        <v>107.12</v>
      </c>
      <c r="H325" s="15" cm="1">
        <f t="array" ref="H325">_xlfn.IFS(Table14[[#This Row],[Column4]]="NEW",AVERAGEIFS(Table14[Column4],Table14[Year],Table14[[#This Row],[Year]]),ISNUMBER(Table14[[#This Row],[Column4]]),Table14[[#This Row],[Column4]],Table14[[#This Row],[Column4]]="",H324*(1+Table14[[#This Row],[Ávöxtun]]))</f>
        <v>107.12</v>
      </c>
      <c r="I325" cm="1">
        <f t="array" ref="I325">_xlfn.IFS(Table14[[#This Row],[Column4]]="NEW",_xlfn.XLOOKUP(Table14[[#This Row],[Year]],$M$2:$M$27,$O$2:$O$27),ISNUMBER(Table14[[#This Row],[Column4]]),Table14[[#This Row],[Column4]],Table14[[#This Row],[Column4]]="",I324*(1+Table14[[#This Row],[Ávöxtun]]))</f>
        <v>107.12</v>
      </c>
      <c r="L325" s="33">
        <v>107.12</v>
      </c>
    </row>
    <row r="326" spans="1:12">
      <c r="A326" t="s">
        <v>85</v>
      </c>
      <c r="B326">
        <v>2000</v>
      </c>
      <c r="C326" s="16">
        <v>0</v>
      </c>
      <c r="D326" s="1">
        <v>166908.42000000001</v>
      </c>
      <c r="E326" s="29">
        <f>Table14[[#This Row],[Ávöxtun]]*Table14[[#This Row],[Eignir]]/SUMIFS(Table14[Eignir],Table14[Year],Table14[[#This Row],[Year]])</f>
        <v>0</v>
      </c>
      <c r="F326" s="23">
        <f>IF(B326=1997, 100, IF(COUNTIF(A$1:A325,A326)=0, "NEW", F325*(1+Table14[[#This Row],[Ávöxtun]])))</f>
        <v>107.12</v>
      </c>
      <c r="G326" s="18" cm="1">
        <f t="array" ref="G326">IFERROR(_xlfn.IFS(ISNUMBER(Table14[[#This Row],[Column3]]),Table14[[#This Row],[Column3]],Table14[[#This Row],[Column3]]="NEW",Table14[[#This Row],[Column3]]),"")</f>
        <v>107.12</v>
      </c>
      <c r="H326" s="15" cm="1">
        <f t="array" ref="H326">_xlfn.IFS(Table14[[#This Row],[Column4]]="NEW",AVERAGEIFS(Table14[Column4],Table14[Year],Table14[[#This Row],[Year]]),ISNUMBER(Table14[[#This Row],[Column4]]),Table14[[#This Row],[Column4]],Table14[[#This Row],[Column4]]="",H325*(1+Table14[[#This Row],[Ávöxtun]]))</f>
        <v>107.12</v>
      </c>
      <c r="I326" cm="1">
        <f t="array" ref="I326">_xlfn.IFS(Table14[[#This Row],[Column4]]="NEW",_xlfn.XLOOKUP(Table14[[#This Row],[Year]],$M$2:$M$27,$O$2:$O$27),ISNUMBER(Table14[[#This Row],[Column4]]),Table14[[#This Row],[Column4]],Table14[[#This Row],[Column4]]="",I325*(1+Table14[[#This Row],[Ávöxtun]]))</f>
        <v>107.12</v>
      </c>
      <c r="L326" s="33">
        <v>107.12</v>
      </c>
    </row>
    <row r="327" spans="1:12">
      <c r="A327" t="s">
        <v>85</v>
      </c>
      <c r="B327">
        <v>2001</v>
      </c>
      <c r="C327" s="16">
        <v>0.03</v>
      </c>
      <c r="D327" s="1">
        <v>185420.39</v>
      </c>
      <c r="E327" s="29">
        <f>Table14[[#This Row],[Ávöxtun]]*Table14[[#This Row],[Eignir]]/SUMIFS(Table14[Eignir],Table14[Year],Table14[[#This Row],[Year]])</f>
        <v>4.8039866690000965E-6</v>
      </c>
      <c r="F327" s="23">
        <f>IF(B327=1997, 100, IF(COUNTIF(A$1:A326,A327)=0, "NEW", F326*(1+Table14[[#This Row],[Ávöxtun]])))</f>
        <v>110.3336</v>
      </c>
      <c r="G327" s="18" cm="1">
        <f t="array" ref="G327">IFERROR(_xlfn.IFS(ISNUMBER(Table14[[#This Row],[Column3]]),Table14[[#This Row],[Column3]],Table14[[#This Row],[Column3]]="NEW",Table14[[#This Row],[Column3]]),"")</f>
        <v>110.3336</v>
      </c>
      <c r="H327" s="15" cm="1">
        <f t="array" ref="H327">_xlfn.IFS(Table14[[#This Row],[Column4]]="NEW",AVERAGEIFS(Table14[Column4],Table14[Year],Table14[[#This Row],[Year]]),ISNUMBER(Table14[[#This Row],[Column4]]),Table14[[#This Row],[Column4]],Table14[[#This Row],[Column4]]="",H326*(1+Table14[[#This Row],[Ávöxtun]]))</f>
        <v>110.3336</v>
      </c>
      <c r="I327" cm="1">
        <f t="array" ref="I327">_xlfn.IFS(Table14[[#This Row],[Column4]]="NEW",_xlfn.XLOOKUP(Table14[[#This Row],[Year]],$M$2:$M$27,$O$2:$O$27),ISNUMBER(Table14[[#This Row],[Column4]]),Table14[[#This Row],[Column4]],Table14[[#This Row],[Column4]]="",I326*(1+Table14[[#This Row],[Ávöxtun]]))</f>
        <v>110.3336</v>
      </c>
      <c r="L327" s="33">
        <v>110.3336</v>
      </c>
    </row>
    <row r="328" spans="1:12">
      <c r="A328" t="s">
        <v>85</v>
      </c>
      <c r="B328">
        <v>2002</v>
      </c>
      <c r="C328" s="16">
        <v>0.04</v>
      </c>
      <c r="D328" s="1">
        <v>189216</v>
      </c>
      <c r="E328" s="29">
        <f>Table14[[#This Row],[Ávöxtun]]*Table14[[#This Row],[Eignir]]/SUMIFS(Table14[Eignir],Table14[Year],Table14[[#This Row],[Year]])</f>
        <v>1.1916037667378361E-5</v>
      </c>
      <c r="F328" s="23">
        <f>IF(B328=1997, 100, IF(COUNTIF(A$1:A327,A328)=0, "NEW", F327*(1+Table14[[#This Row],[Ávöxtun]])))</f>
        <v>114.74694400000001</v>
      </c>
      <c r="G328" s="18" cm="1">
        <f t="array" ref="G328">IFERROR(_xlfn.IFS(ISNUMBER(Table14[[#This Row],[Column3]]),Table14[[#This Row],[Column3]],Table14[[#This Row],[Column3]]="NEW",Table14[[#This Row],[Column3]]),"")</f>
        <v>114.74694400000001</v>
      </c>
      <c r="H328" s="15" cm="1">
        <f t="array" ref="H328">_xlfn.IFS(Table14[[#This Row],[Column4]]="NEW",AVERAGEIFS(Table14[Column4],Table14[Year],Table14[[#This Row],[Year]]),ISNUMBER(Table14[[#This Row],[Column4]]),Table14[[#This Row],[Column4]],Table14[[#This Row],[Column4]]="",H327*(1+Table14[[#This Row],[Ávöxtun]]))</f>
        <v>114.74694400000001</v>
      </c>
      <c r="I328" cm="1">
        <f t="array" ref="I328">_xlfn.IFS(Table14[[#This Row],[Column4]]="NEW",_xlfn.XLOOKUP(Table14[[#This Row],[Year]],$M$2:$M$27,$O$2:$O$27),ISNUMBER(Table14[[#This Row],[Column4]]),Table14[[#This Row],[Column4]],Table14[[#This Row],[Column4]]="",I327*(1+Table14[[#This Row],[Ávöxtun]]))</f>
        <v>114.74694400000001</v>
      </c>
      <c r="L328" s="33">
        <v>114.74694400000001</v>
      </c>
    </row>
    <row r="329" spans="1:12">
      <c r="A329" t="s">
        <v>85</v>
      </c>
      <c r="B329">
        <v>2003</v>
      </c>
      <c r="C329" s="16">
        <v>0.05</v>
      </c>
      <c r="D329" s="1">
        <v>199867</v>
      </c>
      <c r="E329" s="29">
        <f>Table14[[#This Row],[Ávöxtun]]*Table14[[#This Row],[Eignir]]/SUMIFS(Table14[Eignir],Table14[Year],Table14[[#This Row],[Year]])</f>
        <v>1.3151024037730594E-5</v>
      </c>
      <c r="F329" s="23">
        <f>IF(B329=1997, 100, IF(COUNTIF(A$1:A328,A329)=0, "NEW", F328*(1+Table14[[#This Row],[Ávöxtun]])))</f>
        <v>120.48429120000002</v>
      </c>
      <c r="G329" s="18" cm="1">
        <f t="array" ref="G329">IFERROR(_xlfn.IFS(ISNUMBER(Table14[[#This Row],[Column3]]),Table14[[#This Row],[Column3]],Table14[[#This Row],[Column3]]="NEW",Table14[[#This Row],[Column3]]),"")</f>
        <v>120.48429120000002</v>
      </c>
      <c r="H329" s="15" cm="1">
        <f t="array" ref="H329">_xlfn.IFS(Table14[[#This Row],[Column4]]="NEW",AVERAGEIFS(Table14[Column4],Table14[Year],Table14[[#This Row],[Year]]),ISNUMBER(Table14[[#This Row],[Column4]]),Table14[[#This Row],[Column4]],Table14[[#This Row],[Column4]]="",H328*(1+Table14[[#This Row],[Ávöxtun]]))</f>
        <v>120.48429120000002</v>
      </c>
      <c r="I329" cm="1">
        <f t="array" ref="I329">_xlfn.IFS(Table14[[#This Row],[Column4]]="NEW",_xlfn.XLOOKUP(Table14[[#This Row],[Year]],$M$2:$M$27,$O$2:$O$27),ISNUMBER(Table14[[#This Row],[Column4]]),Table14[[#This Row],[Column4]],Table14[[#This Row],[Column4]]="",I328*(1+Table14[[#This Row],[Ávöxtun]]))</f>
        <v>120.48429120000002</v>
      </c>
      <c r="L329" s="33">
        <v>120.48429120000002</v>
      </c>
    </row>
    <row r="330" spans="1:12">
      <c r="A330" t="s">
        <v>85</v>
      </c>
      <c r="B330">
        <v>2004</v>
      </c>
      <c r="C330" s="16">
        <v>0.06</v>
      </c>
      <c r="D330" s="1">
        <v>213266</v>
      </c>
      <c r="E330" s="29">
        <f>Table14[[#This Row],[Ávöxtun]]*Table14[[#This Row],[Eignir]]/SUMIFS(Table14[Eignir],Table14[Year],Table14[[#This Row],[Year]])</f>
        <v>1.4097583931979681E-5</v>
      </c>
      <c r="F330" s="23">
        <f>IF(B330=1997, 100, IF(COUNTIF(A$1:A329,A330)=0, "NEW", F329*(1+Table14[[#This Row],[Ávöxtun]])))</f>
        <v>127.71334867200002</v>
      </c>
      <c r="G330" s="18" cm="1">
        <f t="array" ref="G330">IFERROR(_xlfn.IFS(ISNUMBER(Table14[[#This Row],[Column3]]),Table14[[#This Row],[Column3]],Table14[[#This Row],[Column3]]="NEW",Table14[[#This Row],[Column3]]),"")</f>
        <v>127.71334867200002</v>
      </c>
      <c r="H330" s="15" cm="1">
        <f t="array" ref="H330">_xlfn.IFS(Table14[[#This Row],[Column4]]="NEW",AVERAGEIFS(Table14[Column4],Table14[Year],Table14[[#This Row],[Year]]),ISNUMBER(Table14[[#This Row],[Column4]]),Table14[[#This Row],[Column4]],Table14[[#This Row],[Column4]]="",H329*(1+Table14[[#This Row],[Ávöxtun]]))</f>
        <v>127.71334867200002</v>
      </c>
      <c r="I330" cm="1">
        <f t="array" ref="I330">_xlfn.IFS(Table14[[#This Row],[Column4]]="NEW",_xlfn.XLOOKUP(Table14[[#This Row],[Year]],$M$2:$M$27,$O$2:$O$27),ISNUMBER(Table14[[#This Row],[Column4]]),Table14[[#This Row],[Column4]],Table14[[#This Row],[Column4]]="",I329*(1+Table14[[#This Row],[Ávöxtun]]))</f>
        <v>127.71334867200002</v>
      </c>
      <c r="L330" s="33">
        <v>127.71334867200002</v>
      </c>
    </row>
    <row r="331" spans="1:12">
      <c r="A331" t="s">
        <v>85</v>
      </c>
      <c r="B331">
        <v>2005</v>
      </c>
      <c r="C331" s="16">
        <v>0</v>
      </c>
      <c r="D331" s="1">
        <v>217428</v>
      </c>
      <c r="E331" s="29">
        <f>Table14[[#This Row],[Ávöxtun]]*Table14[[#This Row],[Eignir]]/SUMIFS(Table14[Eignir],Table14[Year],Table14[[#This Row],[Year]])</f>
        <v>0</v>
      </c>
      <c r="F331" s="23">
        <f>IF(B331=1997, 100, IF(COUNTIF(A$1:A330,A331)=0, "NEW", F330*(1+Table14[[#This Row],[Ávöxtun]])))</f>
        <v>127.71334867200002</v>
      </c>
      <c r="G331" s="18" cm="1">
        <f t="array" ref="G331">IFERROR(_xlfn.IFS(ISNUMBER(Table14[[#This Row],[Column3]]),Table14[[#This Row],[Column3]],Table14[[#This Row],[Column3]]="NEW",Table14[[#This Row],[Column3]]),"")</f>
        <v>127.71334867200002</v>
      </c>
      <c r="H331" s="15" cm="1">
        <f t="array" ref="H331">_xlfn.IFS(Table14[[#This Row],[Column4]]="NEW",AVERAGEIFS(Table14[Column4],Table14[Year],Table14[[#This Row],[Year]]),ISNUMBER(Table14[[#This Row],[Column4]]),Table14[[#This Row],[Column4]],Table14[[#This Row],[Column4]]="",H330*(1+Table14[[#This Row],[Ávöxtun]]))</f>
        <v>127.71334867200002</v>
      </c>
      <c r="I331" cm="1">
        <f t="array" ref="I331">_xlfn.IFS(Table14[[#This Row],[Column4]]="NEW",_xlfn.XLOOKUP(Table14[[#This Row],[Year]],$M$2:$M$27,$O$2:$O$27),ISNUMBER(Table14[[#This Row],[Column4]]),Table14[[#This Row],[Column4]],Table14[[#This Row],[Column4]]="",I330*(1+Table14[[#This Row],[Ávöxtun]]))</f>
        <v>127.71334867200002</v>
      </c>
      <c r="L331" s="33">
        <v>127.71334867200002</v>
      </c>
    </row>
    <row r="332" spans="1:12">
      <c r="A332" t="s">
        <v>85</v>
      </c>
      <c r="B332">
        <v>2006</v>
      </c>
      <c r="C332" s="16">
        <v>1.6000000000000001E-3</v>
      </c>
      <c r="D332" s="1">
        <v>448770</v>
      </c>
      <c r="E332" s="29">
        <f>Table14[[#This Row],[Ávöxtun]]*Table14[[#This Row],[Eignir]]/SUMIFS(Table14[Eignir],Table14[Year],Table14[[#This Row],[Year]])</f>
        <v>5.2308934396184086E-7</v>
      </c>
      <c r="F332" s="23">
        <f>IF(B332=1997, 100, IF(COUNTIF(A$1:A331,A332)=0, "NEW", F331*(1+Table14[[#This Row],[Ávöxtun]])))</f>
        <v>127.91769002987523</v>
      </c>
      <c r="G332" s="18" cm="1">
        <f t="array" ref="G332">IFERROR(_xlfn.IFS(ISNUMBER(Table14[[#This Row],[Column3]]),Table14[[#This Row],[Column3]],Table14[[#This Row],[Column3]]="NEW",Table14[[#This Row],[Column3]]),"")</f>
        <v>127.91769002987523</v>
      </c>
      <c r="H332" s="15" cm="1">
        <f t="array" ref="H332">_xlfn.IFS(Table14[[#This Row],[Column4]]="NEW",AVERAGEIFS(Table14[Column4],Table14[Year],Table14[[#This Row],[Year]]),ISNUMBER(Table14[[#This Row],[Column4]]),Table14[[#This Row],[Column4]],Table14[[#This Row],[Column4]]="",H331*(1+Table14[[#This Row],[Ávöxtun]]))</f>
        <v>127.91769002987523</v>
      </c>
      <c r="I332" cm="1">
        <f t="array" ref="I332">_xlfn.IFS(Table14[[#This Row],[Column4]]="NEW",_xlfn.XLOOKUP(Table14[[#This Row],[Year]],$M$2:$M$27,$O$2:$O$27),ISNUMBER(Table14[[#This Row],[Column4]]),Table14[[#This Row],[Column4]],Table14[[#This Row],[Column4]]="",I331*(1+Table14[[#This Row],[Ávöxtun]]))</f>
        <v>127.91769002987523</v>
      </c>
      <c r="L332" s="33">
        <v>127.91769002987523</v>
      </c>
    </row>
    <row r="333" spans="1:12">
      <c r="A333" t="s">
        <v>85</v>
      </c>
      <c r="B333">
        <v>2007</v>
      </c>
      <c r="C333" s="16">
        <v>5.8999999999999999E-3</v>
      </c>
      <c r="D333" s="1">
        <v>455624</v>
      </c>
      <c r="E333" s="29">
        <f>Table14[[#This Row],[Ávöxtun]]*Table14[[#This Row],[Eignir]]/SUMIFS(Table14[Eignir],Table14[Year],Table14[[#This Row],[Year]])</f>
        <v>1.7383391671441058E-6</v>
      </c>
      <c r="F333" s="23">
        <f>IF(B333=1997, 100, IF(COUNTIF(A$1:A332,A333)=0, "NEW", F332*(1+Table14[[#This Row],[Ávöxtun]])))</f>
        <v>128.67240440105149</v>
      </c>
      <c r="G333" s="18" cm="1">
        <f t="array" ref="G333">IFERROR(_xlfn.IFS(ISNUMBER(Table14[[#This Row],[Column3]]),Table14[[#This Row],[Column3]],Table14[[#This Row],[Column3]]="NEW",Table14[[#This Row],[Column3]]),"")</f>
        <v>128.67240440105149</v>
      </c>
      <c r="H333" s="15" cm="1">
        <f t="array" ref="H333">_xlfn.IFS(Table14[[#This Row],[Column4]]="NEW",AVERAGEIFS(Table14[Column4],Table14[Year],Table14[[#This Row],[Year]]),ISNUMBER(Table14[[#This Row],[Column4]]),Table14[[#This Row],[Column4]],Table14[[#This Row],[Column4]]="",H332*(1+Table14[[#This Row],[Ávöxtun]]))</f>
        <v>128.67240440105149</v>
      </c>
      <c r="I333" cm="1">
        <f t="array" ref="I333">_xlfn.IFS(Table14[[#This Row],[Column4]]="NEW",_xlfn.XLOOKUP(Table14[[#This Row],[Year]],$M$2:$M$27,$O$2:$O$27),ISNUMBER(Table14[[#This Row],[Column4]]),Table14[[#This Row],[Column4]],Table14[[#This Row],[Column4]]="",I332*(1+Table14[[#This Row],[Ávöxtun]]))</f>
        <v>128.67240440105149</v>
      </c>
      <c r="L333" s="33">
        <v>128.67240440105149</v>
      </c>
    </row>
    <row r="334" spans="1:12">
      <c r="A334" t="s">
        <v>85</v>
      </c>
      <c r="B334">
        <v>2008</v>
      </c>
      <c r="C334" s="16">
        <v>1.89E-2</v>
      </c>
      <c r="D334" s="1">
        <v>508998</v>
      </c>
      <c r="E334" s="29">
        <f>Table14[[#This Row],[Ávöxtun]]*Table14[[#This Row],[Eignir]]/SUMIFS(Table14[Eignir],Table14[Year],Table14[[#This Row],[Year]])</f>
        <v>6.4248628745774527E-6</v>
      </c>
      <c r="F334" s="23">
        <f>IF(B334=1997, 100, IF(COUNTIF(A$1:A333,A334)=0, "NEW", F333*(1+Table14[[#This Row],[Ávöxtun]])))</f>
        <v>131.10431284423134</v>
      </c>
      <c r="G334" s="18" cm="1">
        <f t="array" ref="G334">IFERROR(_xlfn.IFS(ISNUMBER(Table14[[#This Row],[Column3]]),Table14[[#This Row],[Column3]],Table14[[#This Row],[Column3]]="NEW",Table14[[#This Row],[Column3]]),"")</f>
        <v>131.10431284423134</v>
      </c>
      <c r="H334" s="15" cm="1">
        <f t="array" ref="H334">_xlfn.IFS(Table14[[#This Row],[Column4]]="NEW",AVERAGEIFS(Table14[Column4],Table14[Year],Table14[[#This Row],[Year]]),ISNUMBER(Table14[[#This Row],[Column4]]),Table14[[#This Row],[Column4]],Table14[[#This Row],[Column4]]="",H333*(1+Table14[[#This Row],[Ávöxtun]]))</f>
        <v>131.10431284423134</v>
      </c>
      <c r="I334" cm="1">
        <f t="array" ref="I334">_xlfn.IFS(Table14[[#This Row],[Column4]]="NEW",_xlfn.XLOOKUP(Table14[[#This Row],[Year]],$M$2:$M$27,$O$2:$O$27),ISNUMBER(Table14[[#This Row],[Column4]]),Table14[[#This Row],[Column4]],Table14[[#This Row],[Column4]]="",I333*(1+Table14[[#This Row],[Ávöxtun]]))</f>
        <v>131.10431284423134</v>
      </c>
      <c r="L334" s="33">
        <v>131.10431284423134</v>
      </c>
    </row>
    <row r="335" spans="1:12">
      <c r="A335" t="s">
        <v>85</v>
      </c>
      <c r="B335">
        <v>2009</v>
      </c>
      <c r="C335" s="16">
        <v>-1.3600000000000001E-2</v>
      </c>
      <c r="D335" s="1">
        <v>514108</v>
      </c>
      <c r="E335" s="29">
        <f>Table14[[#This Row],[Ávöxtun]]*Table14[[#This Row],[Eignir]]/SUMIFS(Table14[Eignir],Table14[Year],Table14[[#This Row],[Year]])</f>
        <v>-4.1911187021255843E-6</v>
      </c>
      <c r="F335" s="23">
        <f>IF(B335=1997, 100, IF(COUNTIF(A$1:A334,A335)=0, "NEW", F334*(1+Table14[[#This Row],[Ávöxtun]])))</f>
        <v>129.3212941895498</v>
      </c>
      <c r="G335" s="18" cm="1">
        <f t="array" ref="G335">IFERROR(_xlfn.IFS(ISNUMBER(Table14[[#This Row],[Column3]]),Table14[[#This Row],[Column3]],Table14[[#This Row],[Column3]]="NEW",Table14[[#This Row],[Column3]]),"")</f>
        <v>129.3212941895498</v>
      </c>
      <c r="H335" s="15" cm="1">
        <f t="array" ref="H335">_xlfn.IFS(Table14[[#This Row],[Column4]]="NEW",AVERAGEIFS(Table14[Column4],Table14[Year],Table14[[#This Row],[Year]]),ISNUMBER(Table14[[#This Row],[Column4]]),Table14[[#This Row],[Column4]],Table14[[#This Row],[Column4]]="",H334*(1+Table14[[#This Row],[Ávöxtun]]))</f>
        <v>129.3212941895498</v>
      </c>
      <c r="I335" cm="1">
        <f t="array" ref="I335">_xlfn.IFS(Table14[[#This Row],[Column4]]="NEW",_xlfn.XLOOKUP(Table14[[#This Row],[Year]],$M$2:$M$27,$O$2:$O$27),ISNUMBER(Table14[[#This Row],[Column4]]),Table14[[#This Row],[Column4]],Table14[[#This Row],[Column4]]="",I334*(1+Table14[[#This Row],[Ávöxtun]]))</f>
        <v>129.3212941895498</v>
      </c>
      <c r="L335" s="33">
        <v>129.3212941895498</v>
      </c>
    </row>
    <row r="336" spans="1:12">
      <c r="A336" t="s">
        <v>85</v>
      </c>
      <c r="B336">
        <v>2010</v>
      </c>
      <c r="C336" s="16">
        <v>2.3E-2</v>
      </c>
      <c r="D336" s="1">
        <v>507316</v>
      </c>
      <c r="E336" s="29">
        <f>Table14[[#This Row],[Ávöxtun]]*Table14[[#This Row],[Eignir]]/SUMIFS(Table14[Eignir],Table14[Year],Table14[[#This Row],[Year]])</f>
        <v>6.5266560715875699E-6</v>
      </c>
      <c r="F336" s="23">
        <f>IF(B336=1997, 100, IF(COUNTIF(A$1:A335,A336)=0, "NEW", F335*(1+Table14[[#This Row],[Ávöxtun]])))</f>
        <v>132.29568395590942</v>
      </c>
      <c r="G336" s="18" cm="1">
        <f t="array" ref="G336">IFERROR(_xlfn.IFS(ISNUMBER(Table14[[#This Row],[Column3]]),Table14[[#This Row],[Column3]],Table14[[#This Row],[Column3]]="NEW",Table14[[#This Row],[Column3]]),"")</f>
        <v>132.29568395590942</v>
      </c>
      <c r="H336" s="15" cm="1">
        <f t="array" ref="H336">_xlfn.IFS(Table14[[#This Row],[Column4]]="NEW",AVERAGEIFS(Table14[Column4],Table14[Year],Table14[[#This Row],[Year]]),ISNUMBER(Table14[[#This Row],[Column4]]),Table14[[#This Row],[Column4]],Table14[[#This Row],[Column4]]="",H335*(1+Table14[[#This Row],[Ávöxtun]]))</f>
        <v>132.29568395590942</v>
      </c>
      <c r="I336" cm="1">
        <f t="array" ref="I336">_xlfn.IFS(Table14[[#This Row],[Column4]]="NEW",_xlfn.XLOOKUP(Table14[[#This Row],[Year]],$M$2:$M$27,$O$2:$O$27),ISNUMBER(Table14[[#This Row],[Column4]]),Table14[[#This Row],[Column4]],Table14[[#This Row],[Column4]]="",I335*(1+Table14[[#This Row],[Ávöxtun]]))</f>
        <v>132.29568395590942</v>
      </c>
      <c r="L336" s="33">
        <v>132.29568395590942</v>
      </c>
    </row>
    <row r="337" spans="1:12">
      <c r="A337" t="s">
        <v>85</v>
      </c>
      <c r="B337">
        <v>2011</v>
      </c>
      <c r="C337" s="16">
        <v>1.7000000000000001E-2</v>
      </c>
      <c r="D337" s="1">
        <v>508719</v>
      </c>
      <c r="E337" s="29">
        <f>Table14[[#This Row],[Ávöxtun]]*Table14[[#This Row],[Eignir]]/SUMIFS(Table14[Eignir],Table14[Year],Table14[[#This Row],[Year]])</f>
        <v>4.4337155237354602E-6</v>
      </c>
      <c r="F337" s="23">
        <f>IF(B337=1997, 100, IF(COUNTIF(A$1:A336,A337)=0, "NEW", F336*(1+Table14[[#This Row],[Ávöxtun]])))</f>
        <v>134.54471058315988</v>
      </c>
      <c r="G337" s="18" cm="1">
        <f t="array" ref="G337">IFERROR(_xlfn.IFS(ISNUMBER(Table14[[#This Row],[Column3]]),Table14[[#This Row],[Column3]],Table14[[#This Row],[Column3]]="NEW",Table14[[#This Row],[Column3]]),"")</f>
        <v>134.54471058315988</v>
      </c>
      <c r="H337" s="15" cm="1">
        <f t="array" ref="H337">_xlfn.IFS(Table14[[#This Row],[Column4]]="NEW",AVERAGEIFS(Table14[Column4],Table14[Year],Table14[[#This Row],[Year]]),ISNUMBER(Table14[[#This Row],[Column4]]),Table14[[#This Row],[Column4]],Table14[[#This Row],[Column4]]="",H336*(1+Table14[[#This Row],[Ávöxtun]]))</f>
        <v>134.54471058315988</v>
      </c>
      <c r="I337" cm="1">
        <f t="array" ref="I337">_xlfn.IFS(Table14[[#This Row],[Column4]]="NEW",_xlfn.XLOOKUP(Table14[[#This Row],[Year]],$M$2:$M$27,$O$2:$O$27),ISNUMBER(Table14[[#This Row],[Column4]]),Table14[[#This Row],[Column4]],Table14[[#This Row],[Column4]]="",I336*(1+Table14[[#This Row],[Ávöxtun]]))</f>
        <v>134.54471058315988</v>
      </c>
      <c r="L337" s="33">
        <v>134.54471058315988</v>
      </c>
    </row>
    <row r="338" spans="1:12">
      <c r="A338" t="s">
        <v>85</v>
      </c>
      <c r="B338">
        <v>2012</v>
      </c>
      <c r="C338" s="16">
        <v>8.0000000000000002E-3</v>
      </c>
      <c r="D338" s="1">
        <v>497416</v>
      </c>
      <c r="E338" s="29">
        <f>Table14[[#This Row],[Ávöxtun]]*Table14[[#This Row],[Eignir]]/SUMIFS(Table14[Eignir],Table14[Year],Table14[[#This Row],[Year]])</f>
        <v>1.806451023049643E-6</v>
      </c>
      <c r="F338" s="23">
        <f>IF(B338=1997, 100, IF(COUNTIF(A$1:A337,A338)=0, "NEW", F337*(1+Table14[[#This Row],[Ávöxtun]])))</f>
        <v>135.62106826782517</v>
      </c>
      <c r="G338" s="18" cm="1">
        <f t="array" ref="G338">IFERROR(_xlfn.IFS(ISNUMBER(Table14[[#This Row],[Column3]]),Table14[[#This Row],[Column3]],Table14[[#This Row],[Column3]]="NEW",Table14[[#This Row],[Column3]]),"")</f>
        <v>135.62106826782517</v>
      </c>
      <c r="H338" s="15" cm="1">
        <f t="array" ref="H338">_xlfn.IFS(Table14[[#This Row],[Column4]]="NEW",AVERAGEIFS(Table14[Column4],Table14[Year],Table14[[#This Row],[Year]]),ISNUMBER(Table14[[#This Row],[Column4]]),Table14[[#This Row],[Column4]],Table14[[#This Row],[Column4]]="",H337*(1+Table14[[#This Row],[Ávöxtun]]))</f>
        <v>135.62106826782517</v>
      </c>
      <c r="I338" cm="1">
        <f t="array" ref="I338">_xlfn.IFS(Table14[[#This Row],[Column4]]="NEW",_xlfn.XLOOKUP(Table14[[#This Row],[Year]],$M$2:$M$27,$O$2:$O$27),ISNUMBER(Table14[[#This Row],[Column4]]),Table14[[#This Row],[Column4]],Table14[[#This Row],[Column4]]="",I337*(1+Table14[[#This Row],[Ávöxtun]]))</f>
        <v>135.62106826782517</v>
      </c>
      <c r="L338" s="33">
        <v>135.62106826782517</v>
      </c>
    </row>
    <row r="339" spans="1:12">
      <c r="A339" t="s">
        <v>86</v>
      </c>
      <c r="B339">
        <v>1997</v>
      </c>
      <c r="C339" s="16">
        <v>0.06</v>
      </c>
      <c r="D339" s="1">
        <v>232491.07</v>
      </c>
      <c r="E339" s="29">
        <f>Table14[[#This Row],[Ávöxtun]]*Table14[[#This Row],[Eignir]]/SUMIFS(Table14[Eignir],Table14[Year],Table14[[#This Row],[Year]])</f>
        <v>4.1145786135534111E-5</v>
      </c>
      <c r="F339" s="23">
        <f>IF(B339=1997, 100, IF(COUNTIF(A$1:A338,A339)=0, "NEW", F338*(1+Table14[[#This Row],[Ávöxtun]])))</f>
        <v>100</v>
      </c>
      <c r="G339" s="18" cm="1">
        <f t="array" ref="G339">IFERROR(_xlfn.IFS(ISNUMBER(Table14[[#This Row],[Column3]]),Table14[[#This Row],[Column3]],Table14[[#This Row],[Column3]]="NEW",Table14[[#This Row],[Column3]]),"")</f>
        <v>100</v>
      </c>
      <c r="H339" s="15" cm="1">
        <f t="array" ref="H339">_xlfn.IFS(Table14[[#This Row],[Column4]]="NEW",AVERAGEIFS(Table14[Column4],Table14[Year],Table14[[#This Row],[Year]]),ISNUMBER(Table14[[#This Row],[Column4]]),Table14[[#This Row],[Column4]],Table14[[#This Row],[Column4]]="",H338*(1+Table14[[#This Row],[Ávöxtun]]))</f>
        <v>100</v>
      </c>
      <c r="I339" cm="1">
        <f t="array" ref="I339">_xlfn.IFS(Table14[[#This Row],[Column4]]="NEW",_xlfn.XLOOKUP(Table14[[#This Row],[Year]],$M$2:$M$27,$O$2:$O$27),ISNUMBER(Table14[[#This Row],[Column4]]),Table14[[#This Row],[Column4]],Table14[[#This Row],[Column4]]="",I338*(1+Table14[[#This Row],[Ávöxtun]]))</f>
        <v>100</v>
      </c>
      <c r="L339" s="33">
        <v>100</v>
      </c>
    </row>
    <row r="340" spans="1:12">
      <c r="A340" t="s">
        <v>86</v>
      </c>
      <c r="B340">
        <v>1998</v>
      </c>
      <c r="C340" s="16">
        <v>0.05</v>
      </c>
      <c r="D340" s="1">
        <v>247946.48</v>
      </c>
      <c r="E340" s="29">
        <f>Table14[[#This Row],[Ávöxtun]]*Table14[[#This Row],[Eignir]]/SUMIFS(Table14[Eignir],Table14[Year],Table14[[#This Row],[Year]])</f>
        <v>3.1655308700755626E-5</v>
      </c>
      <c r="F340" s="23">
        <f>IF(B340=1997, 100, IF(COUNTIF(A$1:A339,A340)=0, "NEW", F339*(1+Table14[[#This Row],[Ávöxtun]])))</f>
        <v>105</v>
      </c>
      <c r="G340" s="18" cm="1">
        <f t="array" ref="G340">IFERROR(_xlfn.IFS(ISNUMBER(Table14[[#This Row],[Column3]]),Table14[[#This Row],[Column3]],Table14[[#This Row],[Column3]]="NEW",Table14[[#This Row],[Column3]]),"")</f>
        <v>105</v>
      </c>
      <c r="H340" s="15" cm="1">
        <f t="array" ref="H340">_xlfn.IFS(Table14[[#This Row],[Column4]]="NEW",AVERAGEIFS(Table14[Column4],Table14[Year],Table14[[#This Row],[Year]]),ISNUMBER(Table14[[#This Row],[Column4]]),Table14[[#This Row],[Column4]],Table14[[#This Row],[Column4]]="",H339*(1+Table14[[#This Row],[Ávöxtun]]))</f>
        <v>105</v>
      </c>
      <c r="I340" cm="1">
        <f t="array" ref="I340">_xlfn.IFS(Table14[[#This Row],[Column4]]="NEW",_xlfn.XLOOKUP(Table14[[#This Row],[Year]],$M$2:$M$27,$O$2:$O$27),ISNUMBER(Table14[[#This Row],[Column4]]),Table14[[#This Row],[Column4]],Table14[[#This Row],[Column4]]="",I339*(1+Table14[[#This Row],[Ávöxtun]]))</f>
        <v>105</v>
      </c>
      <c r="L340" s="33">
        <v>105</v>
      </c>
    </row>
    <row r="341" spans="1:12">
      <c r="A341" t="s">
        <v>86</v>
      </c>
      <c r="B341">
        <v>1999</v>
      </c>
      <c r="C341" s="16">
        <v>0.05</v>
      </c>
      <c r="D341" s="1">
        <v>272051.14</v>
      </c>
      <c r="E341" s="29">
        <f>Table14[[#This Row],[Ávöxtun]]*Table14[[#This Row],[Eignir]]/SUMIFS(Table14[Eignir],Table14[Year],Table14[[#This Row],[Year]])</f>
        <v>2.6122759951499355E-5</v>
      </c>
      <c r="F341" s="23">
        <f>IF(B341=1997, 100, IF(COUNTIF(A$1:A340,A341)=0, "NEW", F340*(1+Table14[[#This Row],[Ávöxtun]])))</f>
        <v>110.25</v>
      </c>
      <c r="G341" s="18" cm="1">
        <f t="array" ref="G341">IFERROR(_xlfn.IFS(ISNUMBER(Table14[[#This Row],[Column3]]),Table14[[#This Row],[Column3]],Table14[[#This Row],[Column3]]="NEW",Table14[[#This Row],[Column3]]),"")</f>
        <v>110.25</v>
      </c>
      <c r="H341" s="15" cm="1">
        <f t="array" ref="H341">_xlfn.IFS(Table14[[#This Row],[Column4]]="NEW",AVERAGEIFS(Table14[Column4],Table14[Year],Table14[[#This Row],[Year]]),ISNUMBER(Table14[[#This Row],[Column4]]),Table14[[#This Row],[Column4]],Table14[[#This Row],[Column4]]="",H340*(1+Table14[[#This Row],[Ávöxtun]]))</f>
        <v>110.25</v>
      </c>
      <c r="I341" cm="1">
        <f t="array" ref="I341">_xlfn.IFS(Table14[[#This Row],[Column4]]="NEW",_xlfn.XLOOKUP(Table14[[#This Row],[Year]],$M$2:$M$27,$O$2:$O$27),ISNUMBER(Table14[[#This Row],[Column4]]),Table14[[#This Row],[Column4]],Table14[[#This Row],[Column4]]="",I340*(1+Table14[[#This Row],[Ávöxtun]]))</f>
        <v>110.25</v>
      </c>
      <c r="L341" s="33">
        <v>110.25</v>
      </c>
    </row>
    <row r="342" spans="1:12">
      <c r="A342" t="s">
        <v>86</v>
      </c>
      <c r="B342">
        <v>2000</v>
      </c>
      <c r="C342" s="16">
        <v>0.03</v>
      </c>
      <c r="D342" s="1">
        <v>289658.03999999998</v>
      </c>
      <c r="E342" s="29">
        <f>Table14[[#This Row],[Ávöxtun]]*Table14[[#This Row],[Eignir]]/SUMIFS(Table14[Eignir],Table14[Year],Table14[[#This Row],[Year]])</f>
        <v>1.2223754356508843E-5</v>
      </c>
      <c r="F342" s="23">
        <f>IF(B342=1997, 100, IF(COUNTIF(A$1:A341,A342)=0, "NEW", F341*(1+Table14[[#This Row],[Ávöxtun]])))</f>
        <v>113.5575</v>
      </c>
      <c r="G342" s="18" cm="1">
        <f t="array" ref="G342">IFERROR(_xlfn.IFS(ISNUMBER(Table14[[#This Row],[Column3]]),Table14[[#This Row],[Column3]],Table14[[#This Row],[Column3]]="NEW",Table14[[#This Row],[Column3]]),"")</f>
        <v>113.5575</v>
      </c>
      <c r="H342" s="15" cm="1">
        <f t="array" ref="H342">_xlfn.IFS(Table14[[#This Row],[Column4]]="NEW",AVERAGEIFS(Table14[Column4],Table14[Year],Table14[[#This Row],[Year]]),ISNUMBER(Table14[[#This Row],[Column4]]),Table14[[#This Row],[Column4]],Table14[[#This Row],[Column4]]="",H341*(1+Table14[[#This Row],[Ávöxtun]]))</f>
        <v>113.5575</v>
      </c>
      <c r="I342" cm="1">
        <f t="array" ref="I342">_xlfn.IFS(Table14[[#This Row],[Column4]]="NEW",_xlfn.XLOOKUP(Table14[[#This Row],[Year]],$M$2:$M$27,$O$2:$O$27),ISNUMBER(Table14[[#This Row],[Column4]]),Table14[[#This Row],[Column4]],Table14[[#This Row],[Column4]]="",I341*(1+Table14[[#This Row],[Ávöxtun]]))</f>
        <v>113.5575</v>
      </c>
      <c r="L342" s="33">
        <v>113.5575</v>
      </c>
    </row>
    <row r="343" spans="1:12">
      <c r="A343" t="s">
        <v>86</v>
      </c>
      <c r="B343">
        <v>2001</v>
      </c>
      <c r="C343" s="16">
        <v>0.04</v>
      </c>
      <c r="D343" s="1">
        <v>328894.77</v>
      </c>
      <c r="E343" s="29">
        <f>Table14[[#This Row],[Ávöxtun]]*Table14[[#This Row],[Eignir]]/SUMIFS(Table14[Eignir],Table14[Year],Table14[[#This Row],[Year]])</f>
        <v>1.1361613398856174E-5</v>
      </c>
      <c r="F343" s="23">
        <f>IF(B343=1997, 100, IF(COUNTIF(A$1:A342,A343)=0, "NEW", F342*(1+Table14[[#This Row],[Ávöxtun]])))</f>
        <v>118.0998</v>
      </c>
      <c r="G343" s="18" cm="1">
        <f t="array" ref="G343">IFERROR(_xlfn.IFS(ISNUMBER(Table14[[#This Row],[Column3]]),Table14[[#This Row],[Column3]],Table14[[#This Row],[Column3]]="NEW",Table14[[#This Row],[Column3]]),"")</f>
        <v>118.0998</v>
      </c>
      <c r="H343" s="15" cm="1">
        <f t="array" ref="H343">_xlfn.IFS(Table14[[#This Row],[Column4]]="NEW",AVERAGEIFS(Table14[Column4],Table14[Year],Table14[[#This Row],[Year]]),ISNUMBER(Table14[[#This Row],[Column4]]),Table14[[#This Row],[Column4]],Table14[[#This Row],[Column4]]="",H342*(1+Table14[[#This Row],[Ávöxtun]]))</f>
        <v>118.0998</v>
      </c>
      <c r="I343" cm="1">
        <f t="array" ref="I343">_xlfn.IFS(Table14[[#This Row],[Column4]]="NEW",_xlfn.XLOOKUP(Table14[[#This Row],[Year]],$M$2:$M$27,$O$2:$O$27),ISNUMBER(Table14[[#This Row],[Column4]]),Table14[[#This Row],[Column4]],Table14[[#This Row],[Column4]]="",I342*(1+Table14[[#This Row],[Ávöxtun]]))</f>
        <v>118.0998</v>
      </c>
      <c r="L343" s="33">
        <v>118.0998</v>
      </c>
    </row>
    <row r="344" spans="1:12">
      <c r="A344" t="s">
        <v>86</v>
      </c>
      <c r="B344">
        <v>2002</v>
      </c>
      <c r="C344" s="16">
        <v>0.05</v>
      </c>
      <c r="D344" s="1">
        <v>344470</v>
      </c>
      <c r="E344" s="29">
        <f>Table14[[#This Row],[Ávöxtun]]*Table14[[#This Row],[Eignir]]/SUMIFS(Table14[Eignir],Table14[Year],Table14[[#This Row],[Year]])</f>
        <v>2.7116612068230378E-5</v>
      </c>
      <c r="F344" s="23">
        <f>IF(B344=1997, 100, IF(COUNTIF(A$1:A343,A344)=0, "NEW", F343*(1+Table14[[#This Row],[Ávöxtun]])))</f>
        <v>124.00479000000001</v>
      </c>
      <c r="G344" s="18" cm="1">
        <f t="array" ref="G344">IFERROR(_xlfn.IFS(ISNUMBER(Table14[[#This Row],[Column3]]),Table14[[#This Row],[Column3]],Table14[[#This Row],[Column3]]="NEW",Table14[[#This Row],[Column3]]),"")</f>
        <v>124.00479000000001</v>
      </c>
      <c r="H344" s="15" cm="1">
        <f t="array" ref="H344">_xlfn.IFS(Table14[[#This Row],[Column4]]="NEW",AVERAGEIFS(Table14[Column4],Table14[Year],Table14[[#This Row],[Year]]),ISNUMBER(Table14[[#This Row],[Column4]]),Table14[[#This Row],[Column4]],Table14[[#This Row],[Column4]]="",H343*(1+Table14[[#This Row],[Ávöxtun]]))</f>
        <v>124.00479000000001</v>
      </c>
      <c r="I344" cm="1">
        <f t="array" ref="I344">_xlfn.IFS(Table14[[#This Row],[Column4]]="NEW",_xlfn.XLOOKUP(Table14[[#This Row],[Year]],$M$2:$M$27,$O$2:$O$27),ISNUMBER(Table14[[#This Row],[Column4]]),Table14[[#This Row],[Column4]],Table14[[#This Row],[Column4]]="",I343*(1+Table14[[#This Row],[Ávöxtun]]))</f>
        <v>124.00479000000001</v>
      </c>
      <c r="L344" s="33">
        <v>124.00479000000001</v>
      </c>
    </row>
    <row r="345" spans="1:12">
      <c r="A345" t="s">
        <v>86</v>
      </c>
      <c r="B345">
        <v>2003</v>
      </c>
      <c r="C345" s="16">
        <v>0.05</v>
      </c>
      <c r="D345" s="1">
        <v>368809</v>
      </c>
      <c r="E345" s="29">
        <f>Table14[[#This Row],[Ávöxtun]]*Table14[[#This Row],[Eignir]]/SUMIFS(Table14[Eignir],Table14[Year],Table14[[#This Row],[Year]])</f>
        <v>2.4267217821508216E-5</v>
      </c>
      <c r="F345" s="23">
        <f>IF(B345=1997, 100, IF(COUNTIF(A$1:A344,A345)=0, "NEW", F344*(1+Table14[[#This Row],[Ávöxtun]])))</f>
        <v>130.20502950000002</v>
      </c>
      <c r="G345" s="18" cm="1">
        <f t="array" ref="G345">IFERROR(_xlfn.IFS(ISNUMBER(Table14[[#This Row],[Column3]]),Table14[[#This Row],[Column3]],Table14[[#This Row],[Column3]]="NEW",Table14[[#This Row],[Column3]]),"")</f>
        <v>130.20502950000002</v>
      </c>
      <c r="H345" s="15" cm="1">
        <f t="array" ref="H345">_xlfn.IFS(Table14[[#This Row],[Column4]]="NEW",AVERAGEIFS(Table14[Column4],Table14[Year],Table14[[#This Row],[Year]]),ISNUMBER(Table14[[#This Row],[Column4]]),Table14[[#This Row],[Column4]],Table14[[#This Row],[Column4]]="",H344*(1+Table14[[#This Row],[Ávöxtun]]))</f>
        <v>130.20502950000002</v>
      </c>
      <c r="I345" cm="1">
        <f t="array" ref="I345">_xlfn.IFS(Table14[[#This Row],[Column4]]="NEW",_xlfn.XLOOKUP(Table14[[#This Row],[Year]],$M$2:$M$27,$O$2:$O$27),ISNUMBER(Table14[[#This Row],[Column4]]),Table14[[#This Row],[Column4]],Table14[[#This Row],[Column4]]="",I344*(1+Table14[[#This Row],[Ávöxtun]]))</f>
        <v>130.20502950000002</v>
      </c>
      <c r="L345" s="33">
        <v>130.20502950000002</v>
      </c>
    </row>
    <row r="346" spans="1:12">
      <c r="A346" t="s">
        <v>86</v>
      </c>
      <c r="B346">
        <v>2004</v>
      </c>
      <c r="C346" s="16">
        <v>7.0000000000000007E-2</v>
      </c>
      <c r="D346" s="1">
        <v>402573.25</v>
      </c>
      <c r="E346" s="29">
        <f>Table14[[#This Row],[Ávöxtun]]*Table14[[#This Row],[Eignir]]/SUMIFS(Table14[Eignir],Table14[Year],Table14[[#This Row],[Year]])</f>
        <v>3.1046651649828445E-5</v>
      </c>
      <c r="F346" s="23">
        <f>IF(B346=1997, 100, IF(COUNTIF(A$1:A345,A346)=0, "NEW", F345*(1+Table14[[#This Row],[Ávöxtun]])))</f>
        <v>139.31938156500004</v>
      </c>
      <c r="G346" s="18" cm="1">
        <f t="array" ref="G346">IFERROR(_xlfn.IFS(ISNUMBER(Table14[[#This Row],[Column3]]),Table14[[#This Row],[Column3]],Table14[[#This Row],[Column3]]="NEW",Table14[[#This Row],[Column3]]),"")</f>
        <v>139.31938156500004</v>
      </c>
      <c r="H346" s="15" cm="1">
        <f t="array" ref="H346">_xlfn.IFS(Table14[[#This Row],[Column4]]="NEW",AVERAGEIFS(Table14[Column4],Table14[Year],Table14[[#This Row],[Year]]),ISNUMBER(Table14[[#This Row],[Column4]]),Table14[[#This Row],[Column4]],Table14[[#This Row],[Column4]]="",H345*(1+Table14[[#This Row],[Ávöxtun]]))</f>
        <v>139.31938156500004</v>
      </c>
      <c r="I346" cm="1">
        <f t="array" ref="I346">_xlfn.IFS(Table14[[#This Row],[Column4]]="NEW",_xlfn.XLOOKUP(Table14[[#This Row],[Year]],$M$2:$M$27,$O$2:$O$27),ISNUMBER(Table14[[#This Row],[Column4]]),Table14[[#This Row],[Column4]],Table14[[#This Row],[Column4]]="",I345*(1+Table14[[#This Row],[Ávöxtun]]))</f>
        <v>139.31938156500004</v>
      </c>
      <c r="L346" s="33">
        <v>139.31938156500004</v>
      </c>
    </row>
    <row r="347" spans="1:12">
      <c r="A347" t="s">
        <v>86</v>
      </c>
      <c r="B347">
        <v>2005</v>
      </c>
      <c r="C347" s="16">
        <v>0.03</v>
      </c>
      <c r="D347" s="1">
        <v>423335</v>
      </c>
      <c r="E347" s="29">
        <f>Table14[[#This Row],[Ávöxtun]]*Table14[[#This Row],[Eignir]]/SUMIFS(Table14[Eignir],Table14[Year],Table14[[#This Row],[Year]])</f>
        <v>1.1325802686953349E-5</v>
      </c>
      <c r="F347" s="23">
        <f>IF(B347=1997, 100, IF(COUNTIF(A$1:A346,A347)=0, "NEW", F346*(1+Table14[[#This Row],[Ávöxtun]])))</f>
        <v>143.49896301195005</v>
      </c>
      <c r="G347" s="18" cm="1">
        <f t="array" ref="G347">IFERROR(_xlfn.IFS(ISNUMBER(Table14[[#This Row],[Column3]]),Table14[[#This Row],[Column3]],Table14[[#This Row],[Column3]]="NEW",Table14[[#This Row],[Column3]]),"")</f>
        <v>143.49896301195005</v>
      </c>
      <c r="H347" s="15" cm="1">
        <f t="array" ref="H347">_xlfn.IFS(Table14[[#This Row],[Column4]]="NEW",AVERAGEIFS(Table14[Column4],Table14[Year],Table14[[#This Row],[Year]]),ISNUMBER(Table14[[#This Row],[Column4]]),Table14[[#This Row],[Column4]],Table14[[#This Row],[Column4]]="",H346*(1+Table14[[#This Row],[Ávöxtun]]))</f>
        <v>143.49896301195005</v>
      </c>
      <c r="I347" cm="1">
        <f t="array" ref="I347">_xlfn.IFS(Table14[[#This Row],[Column4]]="NEW",_xlfn.XLOOKUP(Table14[[#This Row],[Year]],$M$2:$M$27,$O$2:$O$27),ISNUMBER(Table14[[#This Row],[Column4]]),Table14[[#This Row],[Column4]],Table14[[#This Row],[Column4]]="",I346*(1+Table14[[#This Row],[Ávöxtun]]))</f>
        <v>143.49896301195005</v>
      </c>
      <c r="L347" s="33">
        <v>143.49896301195005</v>
      </c>
    </row>
    <row r="348" spans="1:12">
      <c r="A348" t="s">
        <v>86</v>
      </c>
      <c r="B348">
        <v>2006</v>
      </c>
      <c r="C348" s="16">
        <v>0.03</v>
      </c>
      <c r="D348" s="1">
        <v>455414</v>
      </c>
      <c r="E348" s="29">
        <f>Table14[[#This Row],[Ávöxtun]]*Table14[[#This Row],[Eignir]]/SUMIFS(Table14[Eignir],Table14[Year],Table14[[#This Row],[Year]])</f>
        <v>9.953130660933124E-6</v>
      </c>
      <c r="F348" s="23">
        <f>IF(B348=1997, 100, IF(COUNTIF(A$1:A347,A348)=0, "NEW", F347*(1+Table14[[#This Row],[Ávöxtun]])))</f>
        <v>147.80393190230856</v>
      </c>
      <c r="G348" s="18" cm="1">
        <f t="array" ref="G348">IFERROR(_xlfn.IFS(ISNUMBER(Table14[[#This Row],[Column3]]),Table14[[#This Row],[Column3]],Table14[[#This Row],[Column3]]="NEW",Table14[[#This Row],[Column3]]),"")</f>
        <v>147.80393190230856</v>
      </c>
      <c r="H348" s="15" cm="1">
        <f t="array" ref="H348">_xlfn.IFS(Table14[[#This Row],[Column4]]="NEW",AVERAGEIFS(Table14[Column4],Table14[Year],Table14[[#This Row],[Year]]),ISNUMBER(Table14[[#This Row],[Column4]]),Table14[[#This Row],[Column4]],Table14[[#This Row],[Column4]]="",H347*(1+Table14[[#This Row],[Ávöxtun]]))</f>
        <v>147.80393190230856</v>
      </c>
      <c r="I348" cm="1">
        <f t="array" ref="I348">_xlfn.IFS(Table14[[#This Row],[Column4]]="NEW",_xlfn.XLOOKUP(Table14[[#This Row],[Year]],$M$2:$M$27,$O$2:$O$27),ISNUMBER(Table14[[#This Row],[Column4]]),Table14[[#This Row],[Column4]],Table14[[#This Row],[Column4]]="",I347*(1+Table14[[#This Row],[Ávöxtun]]))</f>
        <v>147.80393190230856</v>
      </c>
      <c r="L348" s="33">
        <v>147.80393190230856</v>
      </c>
    </row>
    <row r="349" spans="1:12">
      <c r="A349" t="s">
        <v>86</v>
      </c>
      <c r="B349">
        <v>2007</v>
      </c>
      <c r="C349" s="16">
        <v>2.5099999999999997E-2</v>
      </c>
      <c r="D349" s="1">
        <v>486080</v>
      </c>
      <c r="E349" s="29">
        <f>Table14[[#This Row],[Ávöxtun]]*Table14[[#This Row],[Eignir]]/SUMIFS(Table14[Eignir],Table14[Year],Table14[[#This Row],[Year]])</f>
        <v>7.8896435975053596E-6</v>
      </c>
      <c r="F349" s="23">
        <f>IF(B349=1997, 100, IF(COUNTIF(A$1:A348,A349)=0, "NEW", F348*(1+Table14[[#This Row],[Ávöxtun]])))</f>
        <v>151.51381059305649</v>
      </c>
      <c r="G349" s="18" cm="1">
        <f t="array" ref="G349">IFERROR(_xlfn.IFS(ISNUMBER(Table14[[#This Row],[Column3]]),Table14[[#This Row],[Column3]],Table14[[#This Row],[Column3]]="NEW",Table14[[#This Row],[Column3]]),"")</f>
        <v>151.51381059305649</v>
      </c>
      <c r="H349" s="15" cm="1">
        <f t="array" ref="H349">_xlfn.IFS(Table14[[#This Row],[Column4]]="NEW",AVERAGEIFS(Table14[Column4],Table14[Year],Table14[[#This Row],[Year]]),ISNUMBER(Table14[[#This Row],[Column4]]),Table14[[#This Row],[Column4]],Table14[[#This Row],[Column4]]="",H348*(1+Table14[[#This Row],[Ávöxtun]]))</f>
        <v>151.51381059305649</v>
      </c>
      <c r="I349" cm="1">
        <f t="array" ref="I349">_xlfn.IFS(Table14[[#This Row],[Column4]]="NEW",_xlfn.XLOOKUP(Table14[[#This Row],[Year]],$M$2:$M$27,$O$2:$O$27),ISNUMBER(Table14[[#This Row],[Column4]]),Table14[[#This Row],[Column4]],Table14[[#This Row],[Column4]]="",I348*(1+Table14[[#This Row],[Ávöxtun]]))</f>
        <v>151.51381059305649</v>
      </c>
      <c r="L349" s="33">
        <v>151.51381059305649</v>
      </c>
    </row>
    <row r="350" spans="1:12">
      <c r="A350" t="s">
        <v>86</v>
      </c>
      <c r="B350">
        <v>2008</v>
      </c>
      <c r="C350" s="16">
        <v>-4.9000000000000002E-2</v>
      </c>
      <c r="D350" s="1">
        <v>531631</v>
      </c>
      <c r="E350" s="29">
        <f>Table14[[#This Row],[Ávöxtun]]*Table14[[#This Row],[Eignir]]/SUMIFS(Table14[Eignir],Table14[Year],Table14[[#This Row],[Year]])</f>
        <v>-1.7397720928337637E-5</v>
      </c>
      <c r="F350" s="23">
        <f>IF(B350=1997, 100, IF(COUNTIF(A$1:A349,A350)=0, "NEW", F349*(1+Table14[[#This Row],[Ávöxtun]])))</f>
        <v>144.08963387399672</v>
      </c>
      <c r="G350" s="18" cm="1">
        <f t="array" ref="G350">IFERROR(_xlfn.IFS(ISNUMBER(Table14[[#This Row],[Column3]]),Table14[[#This Row],[Column3]],Table14[[#This Row],[Column3]]="NEW",Table14[[#This Row],[Column3]]),"")</f>
        <v>144.08963387399672</v>
      </c>
      <c r="H350" s="15" cm="1">
        <f t="array" ref="H350">_xlfn.IFS(Table14[[#This Row],[Column4]]="NEW",AVERAGEIFS(Table14[Column4],Table14[Year],Table14[[#This Row],[Year]]),ISNUMBER(Table14[[#This Row],[Column4]]),Table14[[#This Row],[Column4]],Table14[[#This Row],[Column4]]="",H349*(1+Table14[[#This Row],[Ávöxtun]]))</f>
        <v>144.08963387399672</v>
      </c>
      <c r="I350" cm="1">
        <f t="array" ref="I350">_xlfn.IFS(Table14[[#This Row],[Column4]]="NEW",_xlfn.XLOOKUP(Table14[[#This Row],[Year]],$M$2:$M$27,$O$2:$O$27),ISNUMBER(Table14[[#This Row],[Column4]]),Table14[[#This Row],[Column4]],Table14[[#This Row],[Column4]]="",I349*(1+Table14[[#This Row],[Ávöxtun]]))</f>
        <v>144.08963387399672</v>
      </c>
      <c r="L350" s="33">
        <v>144.08963387399672</v>
      </c>
    </row>
    <row r="351" spans="1:12">
      <c r="A351" t="s">
        <v>86</v>
      </c>
      <c r="B351">
        <v>2009</v>
      </c>
      <c r="C351" s="16">
        <v>9.4000000000000004E-3</v>
      </c>
      <c r="D351" s="1">
        <v>571368</v>
      </c>
      <c r="E351" s="29">
        <f>Table14[[#This Row],[Ávöxtun]]*Table14[[#This Row],[Eignir]]/SUMIFS(Table14[Eignir],Table14[Year],Table14[[#This Row],[Year]])</f>
        <v>3.219440908216592E-6</v>
      </c>
      <c r="F351" s="23">
        <f>IF(B351=1997, 100, IF(COUNTIF(A$1:A350,A351)=0, "NEW", F350*(1+Table14[[#This Row],[Ávöxtun]])))</f>
        <v>145.44407643241229</v>
      </c>
      <c r="G351" s="18" cm="1">
        <f t="array" ref="G351">IFERROR(_xlfn.IFS(ISNUMBER(Table14[[#This Row],[Column3]]),Table14[[#This Row],[Column3]],Table14[[#This Row],[Column3]]="NEW",Table14[[#This Row],[Column3]]),"")</f>
        <v>145.44407643241229</v>
      </c>
      <c r="H351" s="15" cm="1">
        <f t="array" ref="H351">_xlfn.IFS(Table14[[#This Row],[Column4]]="NEW",AVERAGEIFS(Table14[Column4],Table14[Year],Table14[[#This Row],[Year]]),ISNUMBER(Table14[[#This Row],[Column4]]),Table14[[#This Row],[Column4]],Table14[[#This Row],[Column4]]="",H350*(1+Table14[[#This Row],[Ávöxtun]]))</f>
        <v>145.44407643241229</v>
      </c>
      <c r="I351" cm="1">
        <f t="array" ref="I351">_xlfn.IFS(Table14[[#This Row],[Column4]]="NEW",_xlfn.XLOOKUP(Table14[[#This Row],[Year]],$M$2:$M$27,$O$2:$O$27),ISNUMBER(Table14[[#This Row],[Column4]]),Table14[[#This Row],[Column4]],Table14[[#This Row],[Column4]]="",I350*(1+Table14[[#This Row],[Ávöxtun]]))</f>
        <v>145.44407643241229</v>
      </c>
      <c r="L351" s="33">
        <v>145.44407643241229</v>
      </c>
    </row>
    <row r="352" spans="1:12">
      <c r="A352" t="s">
        <v>86</v>
      </c>
      <c r="B352">
        <v>2010</v>
      </c>
      <c r="C352" s="16">
        <v>3.2400000000000005E-2</v>
      </c>
      <c r="D352" s="1">
        <v>589872</v>
      </c>
      <c r="E352" s="29">
        <f>Table14[[#This Row],[Ávöxtun]]*Table14[[#This Row],[Eignir]]/SUMIFS(Table14[Eignir],Table14[Year],Table14[[#This Row],[Year]])</f>
        <v>1.0690231842155831E-5</v>
      </c>
      <c r="F352" s="23">
        <f>IF(B352=1997, 100, IF(COUNTIF(A$1:A351,A352)=0, "NEW", F351*(1+Table14[[#This Row],[Ávöxtun]])))</f>
        <v>150.15646450882244</v>
      </c>
      <c r="G352" s="18" cm="1">
        <f t="array" ref="G352">IFERROR(_xlfn.IFS(ISNUMBER(Table14[[#This Row],[Column3]]),Table14[[#This Row],[Column3]],Table14[[#This Row],[Column3]]="NEW",Table14[[#This Row],[Column3]]),"")</f>
        <v>150.15646450882244</v>
      </c>
      <c r="H352" s="15" cm="1">
        <f t="array" ref="H352">_xlfn.IFS(Table14[[#This Row],[Column4]]="NEW",AVERAGEIFS(Table14[Column4],Table14[Year],Table14[[#This Row],[Year]]),ISNUMBER(Table14[[#This Row],[Column4]]),Table14[[#This Row],[Column4]],Table14[[#This Row],[Column4]]="",H351*(1+Table14[[#This Row],[Ávöxtun]]))</f>
        <v>150.15646450882244</v>
      </c>
      <c r="I352" cm="1">
        <f t="array" ref="I352">_xlfn.IFS(Table14[[#This Row],[Column4]]="NEW",_xlfn.XLOOKUP(Table14[[#This Row],[Year]],$M$2:$M$27,$O$2:$O$27),ISNUMBER(Table14[[#This Row],[Column4]]),Table14[[#This Row],[Column4]],Table14[[#This Row],[Column4]]="",I351*(1+Table14[[#This Row],[Ávöxtun]]))</f>
        <v>150.15646450882244</v>
      </c>
      <c r="L352" s="33">
        <v>150.15646450882244</v>
      </c>
    </row>
    <row r="353" spans="1:12">
      <c r="A353" t="s">
        <v>86</v>
      </c>
      <c r="B353">
        <v>2011</v>
      </c>
      <c r="C353" s="16">
        <v>1.1000000000000001E-2</v>
      </c>
      <c r="D353" s="1">
        <v>609599</v>
      </c>
      <c r="E353" s="29">
        <f>Table14[[#This Row],[Ávöxtun]]*Table14[[#This Row],[Eignir]]/SUMIFS(Table14[Eignir],Table14[Year],Table14[[#This Row],[Year]])</f>
        <v>3.4377783788750291E-6</v>
      </c>
      <c r="F353" s="23">
        <f>IF(B353=1997, 100, IF(COUNTIF(A$1:A352,A353)=0, "NEW", F352*(1+Table14[[#This Row],[Ávöxtun]])))</f>
        <v>151.80818561841946</v>
      </c>
      <c r="G353" s="18" cm="1">
        <f t="array" ref="G353">IFERROR(_xlfn.IFS(ISNUMBER(Table14[[#This Row],[Column3]]),Table14[[#This Row],[Column3]],Table14[[#This Row],[Column3]]="NEW",Table14[[#This Row],[Column3]]),"")</f>
        <v>151.80818561841946</v>
      </c>
      <c r="H353" s="15" cm="1">
        <f t="array" ref="H353">_xlfn.IFS(Table14[[#This Row],[Column4]]="NEW",AVERAGEIFS(Table14[Column4],Table14[Year],Table14[[#This Row],[Year]]),ISNUMBER(Table14[[#This Row],[Column4]]),Table14[[#This Row],[Column4]],Table14[[#This Row],[Column4]]="",H352*(1+Table14[[#This Row],[Ávöxtun]]))</f>
        <v>151.80818561841946</v>
      </c>
      <c r="I353" cm="1">
        <f t="array" ref="I353">_xlfn.IFS(Table14[[#This Row],[Column4]]="NEW",_xlfn.XLOOKUP(Table14[[#This Row],[Year]],$M$2:$M$27,$O$2:$O$27),ISNUMBER(Table14[[#This Row],[Column4]]),Table14[[#This Row],[Column4]],Table14[[#This Row],[Column4]]="",I352*(1+Table14[[#This Row],[Ávöxtun]]))</f>
        <v>151.80818561841946</v>
      </c>
      <c r="L353" s="33">
        <v>151.80818561841946</v>
      </c>
    </row>
    <row r="354" spans="1:12">
      <c r="A354" t="s">
        <v>86</v>
      </c>
      <c r="B354">
        <v>2012</v>
      </c>
      <c r="C354" s="16">
        <v>6.0000000000000001E-3</v>
      </c>
      <c r="D354" s="1">
        <v>614504</v>
      </c>
      <c r="E354" s="29">
        <f>Table14[[#This Row],[Ávöxtun]]*Table14[[#This Row],[Eignir]]/SUMIFS(Table14[Eignir],Table14[Year],Table14[[#This Row],[Year]])</f>
        <v>1.6737570456138792E-6</v>
      </c>
      <c r="F354" s="23">
        <f>IF(B354=1997, 100, IF(COUNTIF(A$1:A353,A354)=0, "NEW", F353*(1+Table14[[#This Row],[Ávöxtun]])))</f>
        <v>152.71903473212998</v>
      </c>
      <c r="G354" s="18" cm="1">
        <f t="array" ref="G354">IFERROR(_xlfn.IFS(ISNUMBER(Table14[[#This Row],[Column3]]),Table14[[#This Row],[Column3]],Table14[[#This Row],[Column3]]="NEW",Table14[[#This Row],[Column3]]),"")</f>
        <v>152.71903473212998</v>
      </c>
      <c r="H354" s="15" cm="1">
        <f t="array" ref="H354">_xlfn.IFS(Table14[[#This Row],[Column4]]="NEW",AVERAGEIFS(Table14[Column4],Table14[Year],Table14[[#This Row],[Year]]),ISNUMBER(Table14[[#This Row],[Column4]]),Table14[[#This Row],[Column4]],Table14[[#This Row],[Column4]]="",H353*(1+Table14[[#This Row],[Ávöxtun]]))</f>
        <v>152.71903473212998</v>
      </c>
      <c r="I354" cm="1">
        <f t="array" ref="I354">_xlfn.IFS(Table14[[#This Row],[Column4]]="NEW",_xlfn.XLOOKUP(Table14[[#This Row],[Year]],$M$2:$M$27,$O$2:$O$27),ISNUMBER(Table14[[#This Row],[Column4]]),Table14[[#This Row],[Column4]],Table14[[#This Row],[Column4]]="",I353*(1+Table14[[#This Row],[Ávöxtun]]))</f>
        <v>152.71903473212998</v>
      </c>
      <c r="L354" s="33">
        <v>152.71903473212998</v>
      </c>
    </row>
    <row r="355" spans="1:12">
      <c r="A355" t="s">
        <v>87</v>
      </c>
      <c r="B355">
        <v>1997</v>
      </c>
      <c r="C355" s="16">
        <v>0.08</v>
      </c>
      <c r="D355" s="1">
        <v>11443.39</v>
      </c>
      <c r="E355" s="29">
        <f>Table14[[#This Row],[Ávöxtun]]*Table14[[#This Row],[Eignir]]/SUMIFS(Table14[Eignir],Table14[Year],Table14[[#This Row],[Year]])</f>
        <v>2.700303156334906E-6</v>
      </c>
      <c r="F355" s="23">
        <f>IF(B355=1997, 100, IF(COUNTIF(A$1:A354,A355)=0, "NEW", F354*(1+Table14[[#This Row],[Ávöxtun]])))</f>
        <v>100</v>
      </c>
      <c r="G355" s="18" cm="1">
        <f t="array" ref="G355">IFERROR(_xlfn.IFS(ISNUMBER(Table14[[#This Row],[Column3]]),Table14[[#This Row],[Column3]],Table14[[#This Row],[Column3]]="NEW",Table14[[#This Row],[Column3]]),"")</f>
        <v>100</v>
      </c>
      <c r="H355" s="15" cm="1">
        <f t="array" ref="H355">_xlfn.IFS(Table14[[#This Row],[Column4]]="NEW",AVERAGEIFS(Table14[Column4],Table14[Year],Table14[[#This Row],[Year]]),ISNUMBER(Table14[[#This Row],[Column4]]),Table14[[#This Row],[Column4]],Table14[[#This Row],[Column4]]="",H354*(1+Table14[[#This Row],[Ávöxtun]]))</f>
        <v>100</v>
      </c>
      <c r="I355" cm="1">
        <f t="array" ref="I355">_xlfn.IFS(Table14[[#This Row],[Column4]]="NEW",_xlfn.XLOOKUP(Table14[[#This Row],[Year]],$M$2:$M$27,$O$2:$O$27),ISNUMBER(Table14[[#This Row],[Column4]]),Table14[[#This Row],[Column4]],Table14[[#This Row],[Column4]]="",I354*(1+Table14[[#This Row],[Ávöxtun]]))</f>
        <v>100</v>
      </c>
      <c r="L355" s="33">
        <v>100</v>
      </c>
    </row>
    <row r="356" spans="1:12">
      <c r="A356" t="s">
        <v>87</v>
      </c>
      <c r="B356">
        <v>1998</v>
      </c>
      <c r="C356" s="16">
        <v>0.08</v>
      </c>
      <c r="D356" s="1">
        <v>10939.39</v>
      </c>
      <c r="E356" s="29">
        <f>Table14[[#This Row],[Ávöxtun]]*Table14[[#This Row],[Eignir]]/SUMIFS(Table14[Eignir],Table14[Year],Table14[[#This Row],[Year]])</f>
        <v>2.2346097751286263E-6</v>
      </c>
      <c r="F356" s="23">
        <f>IF(B356=1997, 100, IF(COUNTIF(A$1:A355,A356)=0, "NEW", F355*(1+Table14[[#This Row],[Ávöxtun]])))</f>
        <v>108</v>
      </c>
      <c r="G356" s="18" cm="1">
        <f t="array" ref="G356">IFERROR(_xlfn.IFS(ISNUMBER(Table14[[#This Row],[Column3]]),Table14[[#This Row],[Column3]],Table14[[#This Row],[Column3]]="NEW",Table14[[#This Row],[Column3]]),"")</f>
        <v>108</v>
      </c>
      <c r="H356" s="15" cm="1">
        <f t="array" ref="H356">_xlfn.IFS(Table14[[#This Row],[Column4]]="NEW",AVERAGEIFS(Table14[Column4],Table14[Year],Table14[[#This Row],[Year]]),ISNUMBER(Table14[[#This Row],[Column4]]),Table14[[#This Row],[Column4]],Table14[[#This Row],[Column4]]="",H355*(1+Table14[[#This Row],[Ávöxtun]]))</f>
        <v>108</v>
      </c>
      <c r="I356" cm="1">
        <f t="array" ref="I356">_xlfn.IFS(Table14[[#This Row],[Column4]]="NEW",_xlfn.XLOOKUP(Table14[[#This Row],[Year]],$M$2:$M$27,$O$2:$O$27),ISNUMBER(Table14[[#This Row],[Column4]]),Table14[[#This Row],[Column4]],Table14[[#This Row],[Column4]]="",I355*(1+Table14[[#This Row],[Ávöxtun]]))</f>
        <v>108</v>
      </c>
      <c r="L356" s="33">
        <v>108</v>
      </c>
    </row>
    <row r="357" spans="1:12">
      <c r="A357" t="s">
        <v>87</v>
      </c>
      <c r="B357">
        <v>1999</v>
      </c>
      <c r="C357" s="16">
        <v>0.01</v>
      </c>
      <c r="D357" s="1">
        <v>10403.25</v>
      </c>
      <c r="E357" s="29">
        <f>Table14[[#This Row],[Ávöxtun]]*Table14[[#This Row],[Eignir]]/SUMIFS(Table14[Eignir],Table14[Year],Table14[[#This Row],[Year]])</f>
        <v>1.9978714477390953E-7</v>
      </c>
      <c r="F357" s="23">
        <f>IF(B357=1997, 100, IF(COUNTIF(A$1:A356,A357)=0, "NEW", F356*(1+Table14[[#This Row],[Ávöxtun]])))</f>
        <v>109.08</v>
      </c>
      <c r="G357" s="18" cm="1">
        <f t="array" ref="G357">IFERROR(_xlfn.IFS(ISNUMBER(Table14[[#This Row],[Column3]]),Table14[[#This Row],[Column3]],Table14[[#This Row],[Column3]]="NEW",Table14[[#This Row],[Column3]]),"")</f>
        <v>109.08</v>
      </c>
      <c r="H357" s="15" cm="1">
        <f t="array" ref="H357">_xlfn.IFS(Table14[[#This Row],[Column4]]="NEW",AVERAGEIFS(Table14[Column4],Table14[Year],Table14[[#This Row],[Year]]),ISNUMBER(Table14[[#This Row],[Column4]]),Table14[[#This Row],[Column4]],Table14[[#This Row],[Column4]]="",H356*(1+Table14[[#This Row],[Ávöxtun]]))</f>
        <v>109.08</v>
      </c>
      <c r="I357" cm="1">
        <f t="array" ref="I357">_xlfn.IFS(Table14[[#This Row],[Column4]]="NEW",_xlfn.XLOOKUP(Table14[[#This Row],[Year]],$M$2:$M$27,$O$2:$O$27),ISNUMBER(Table14[[#This Row],[Column4]]),Table14[[#This Row],[Column4]],Table14[[#This Row],[Column4]]="",I356*(1+Table14[[#This Row],[Ávöxtun]]))</f>
        <v>109.08</v>
      </c>
      <c r="L357" s="33">
        <v>109.08</v>
      </c>
    </row>
    <row r="358" spans="1:12">
      <c r="A358" t="s">
        <v>87</v>
      </c>
      <c r="B358">
        <v>2000</v>
      </c>
      <c r="C358" s="16">
        <v>-0.03</v>
      </c>
      <c r="D358" s="1">
        <v>9011.09</v>
      </c>
      <c r="E358" s="29">
        <f>Table14[[#This Row],[Ávöxtun]]*Table14[[#This Row],[Eignir]]/SUMIFS(Table14[Eignir],Table14[Year],Table14[[#This Row],[Year]])</f>
        <v>-3.8027375537165579E-7</v>
      </c>
      <c r="F358" s="23">
        <f>IF(B358=1997, 100, IF(COUNTIF(A$1:A357,A358)=0, "NEW", F357*(1+Table14[[#This Row],[Ávöxtun]])))</f>
        <v>105.80759999999999</v>
      </c>
      <c r="G358" s="18" cm="1">
        <f t="array" ref="G358">IFERROR(_xlfn.IFS(ISNUMBER(Table14[[#This Row],[Column3]]),Table14[[#This Row],[Column3]],Table14[[#This Row],[Column3]]="NEW",Table14[[#This Row],[Column3]]),"")</f>
        <v>105.80759999999999</v>
      </c>
      <c r="H358" s="15" cm="1">
        <f t="array" ref="H358">_xlfn.IFS(Table14[[#This Row],[Column4]]="NEW",AVERAGEIFS(Table14[Column4],Table14[Year],Table14[[#This Row],[Year]]),ISNUMBER(Table14[[#This Row],[Column4]]),Table14[[#This Row],[Column4]],Table14[[#This Row],[Column4]]="",H357*(1+Table14[[#This Row],[Ávöxtun]]))</f>
        <v>105.80759999999999</v>
      </c>
      <c r="I358" cm="1">
        <f t="array" ref="I358">_xlfn.IFS(Table14[[#This Row],[Column4]]="NEW",_xlfn.XLOOKUP(Table14[[#This Row],[Year]],$M$2:$M$27,$O$2:$O$27),ISNUMBER(Table14[[#This Row],[Column4]]),Table14[[#This Row],[Column4]],Table14[[#This Row],[Column4]]="",I357*(1+Table14[[#This Row],[Ávöxtun]]))</f>
        <v>105.80759999999999</v>
      </c>
      <c r="L358" s="33">
        <v>105.80759999999999</v>
      </c>
    </row>
    <row r="359" spans="1:12">
      <c r="A359" t="s">
        <v>87</v>
      </c>
      <c r="B359">
        <v>2001</v>
      </c>
      <c r="C359" s="16">
        <v>0.06</v>
      </c>
      <c r="D359" s="1">
        <v>9419</v>
      </c>
      <c r="E359" s="29">
        <f>Table14[[#This Row],[Ávöxtun]]*Table14[[#This Row],[Eignir]]/SUMIFS(Table14[Eignir],Table14[Year],Table14[[#This Row],[Year]])</f>
        <v>4.8806660837367359E-7</v>
      </c>
      <c r="F359" s="23">
        <f>IF(B359=1997, 100, IF(COUNTIF(A$1:A358,A359)=0, "NEW", F358*(1+Table14[[#This Row],[Ávöxtun]])))</f>
        <v>112.15605599999999</v>
      </c>
      <c r="G359" s="18" cm="1">
        <f t="array" ref="G359">IFERROR(_xlfn.IFS(ISNUMBER(Table14[[#This Row],[Column3]]),Table14[[#This Row],[Column3]],Table14[[#This Row],[Column3]]="NEW",Table14[[#This Row],[Column3]]),"")</f>
        <v>112.15605599999999</v>
      </c>
      <c r="H359" s="15" cm="1">
        <f t="array" ref="H359">_xlfn.IFS(Table14[[#This Row],[Column4]]="NEW",AVERAGEIFS(Table14[Column4],Table14[Year],Table14[[#This Row],[Year]]),ISNUMBER(Table14[[#This Row],[Column4]]),Table14[[#This Row],[Column4]],Table14[[#This Row],[Column4]]="",H358*(1+Table14[[#This Row],[Ávöxtun]]))</f>
        <v>112.15605599999999</v>
      </c>
      <c r="I359" cm="1">
        <f t="array" ref="I359">_xlfn.IFS(Table14[[#This Row],[Column4]]="NEW",_xlfn.XLOOKUP(Table14[[#This Row],[Year]],$M$2:$M$27,$O$2:$O$27),ISNUMBER(Table14[[#This Row],[Column4]]),Table14[[#This Row],[Column4]],Table14[[#This Row],[Column4]]="",I358*(1+Table14[[#This Row],[Ávöxtun]]))</f>
        <v>112.15605599999999</v>
      </c>
      <c r="L359" s="33">
        <v>112.15605599999999</v>
      </c>
    </row>
    <row r="360" spans="1:12">
      <c r="A360" t="s">
        <v>87</v>
      </c>
      <c r="B360">
        <v>2002</v>
      </c>
      <c r="C360" s="16">
        <v>0.08</v>
      </c>
      <c r="D360" s="1">
        <v>9201.65</v>
      </c>
      <c r="E360" s="29">
        <f>Table14[[#This Row],[Ávöxtun]]*Table14[[#This Row],[Eignir]]/SUMIFS(Table14[Eignir],Table14[Year],Table14[[#This Row],[Year]])</f>
        <v>1.1589633857816684E-6</v>
      </c>
      <c r="F360" s="23">
        <f>IF(B360=1997, 100, IF(COUNTIF(A$1:A359,A360)=0, "NEW", F359*(1+Table14[[#This Row],[Ávöxtun]])))</f>
        <v>121.12854048</v>
      </c>
      <c r="G360" s="18" cm="1">
        <f t="array" ref="G360">IFERROR(_xlfn.IFS(ISNUMBER(Table14[[#This Row],[Column3]]),Table14[[#This Row],[Column3]],Table14[[#This Row],[Column3]]="NEW",Table14[[#This Row],[Column3]]),"")</f>
        <v>121.12854048</v>
      </c>
      <c r="H360" s="15" cm="1">
        <f t="array" ref="H360">_xlfn.IFS(Table14[[#This Row],[Column4]]="NEW",AVERAGEIFS(Table14[Column4],Table14[Year],Table14[[#This Row],[Year]]),ISNUMBER(Table14[[#This Row],[Column4]]),Table14[[#This Row],[Column4]],Table14[[#This Row],[Column4]]="",H359*(1+Table14[[#This Row],[Ávöxtun]]))</f>
        <v>121.12854048</v>
      </c>
      <c r="I360" cm="1">
        <f t="array" ref="I360">_xlfn.IFS(Table14[[#This Row],[Column4]]="NEW",_xlfn.XLOOKUP(Table14[[#This Row],[Year]],$M$2:$M$27,$O$2:$O$27),ISNUMBER(Table14[[#This Row],[Column4]]),Table14[[#This Row],[Column4]],Table14[[#This Row],[Column4]]="",I359*(1+Table14[[#This Row],[Ávöxtun]]))</f>
        <v>121.12854048</v>
      </c>
      <c r="L360" s="33">
        <v>121.12854048</v>
      </c>
    </row>
    <row r="361" spans="1:12">
      <c r="A361" t="s">
        <v>87</v>
      </c>
      <c r="B361">
        <v>2003</v>
      </c>
      <c r="C361" s="16">
        <v>0.02</v>
      </c>
      <c r="D361" s="1">
        <v>8378</v>
      </c>
      <c r="E361" s="29">
        <f>Table14[[#This Row],[Ávöxtun]]*Table14[[#This Row],[Eignir]]/SUMIFS(Table14[Eignir],Table14[Year],Table14[[#This Row],[Year]])</f>
        <v>2.2050519473070974E-7</v>
      </c>
      <c r="F361" s="23">
        <f>IF(B361=1997, 100, IF(COUNTIF(A$1:A360,A361)=0, "NEW", F360*(1+Table14[[#This Row],[Ávöxtun]])))</f>
        <v>123.5511112896</v>
      </c>
      <c r="G361" s="18" cm="1">
        <f t="array" ref="G361">IFERROR(_xlfn.IFS(ISNUMBER(Table14[[#This Row],[Column3]]),Table14[[#This Row],[Column3]],Table14[[#This Row],[Column3]]="NEW",Table14[[#This Row],[Column3]]),"")</f>
        <v>123.5511112896</v>
      </c>
      <c r="H361" s="15" cm="1">
        <f t="array" ref="H361">_xlfn.IFS(Table14[[#This Row],[Column4]]="NEW",AVERAGEIFS(Table14[Column4],Table14[Year],Table14[[#This Row],[Year]]),ISNUMBER(Table14[[#This Row],[Column4]]),Table14[[#This Row],[Column4]],Table14[[#This Row],[Column4]]="",H360*(1+Table14[[#This Row],[Ávöxtun]]))</f>
        <v>123.5511112896</v>
      </c>
      <c r="I361" cm="1">
        <f t="array" ref="I361">_xlfn.IFS(Table14[[#This Row],[Column4]]="NEW",_xlfn.XLOOKUP(Table14[[#This Row],[Year]],$M$2:$M$27,$O$2:$O$27),ISNUMBER(Table14[[#This Row],[Column4]]),Table14[[#This Row],[Column4]],Table14[[#This Row],[Column4]]="",I360*(1+Table14[[#This Row],[Ávöxtun]]))</f>
        <v>123.5511112896</v>
      </c>
      <c r="L361" s="33">
        <v>123.5511112896</v>
      </c>
    </row>
    <row r="362" spans="1:12">
      <c r="A362" t="s">
        <v>87</v>
      </c>
      <c r="B362">
        <v>2004</v>
      </c>
      <c r="C362" s="16">
        <v>0.01</v>
      </c>
      <c r="D362" s="1">
        <v>8689</v>
      </c>
      <c r="E362" s="29">
        <f>Table14[[#This Row],[Ávöxtun]]*Table14[[#This Row],[Eignir]]/SUMIFS(Table14[Eignir],Table14[Year],Table14[[#This Row],[Year]])</f>
        <v>9.5728579008508517E-8</v>
      </c>
      <c r="F362" s="23">
        <f>IF(B362=1997, 100, IF(COUNTIF(A$1:A361,A362)=0, "NEW", F361*(1+Table14[[#This Row],[Ávöxtun]])))</f>
        <v>124.78662240249601</v>
      </c>
      <c r="G362" s="18" cm="1">
        <f t="array" ref="G362">IFERROR(_xlfn.IFS(ISNUMBER(Table14[[#This Row],[Column3]]),Table14[[#This Row],[Column3]],Table14[[#This Row],[Column3]]="NEW",Table14[[#This Row],[Column3]]),"")</f>
        <v>124.78662240249601</v>
      </c>
      <c r="H362" s="15" cm="1">
        <f t="array" ref="H362">_xlfn.IFS(Table14[[#This Row],[Column4]]="NEW",AVERAGEIFS(Table14[Column4],Table14[Year],Table14[[#This Row],[Year]]),ISNUMBER(Table14[[#This Row],[Column4]]),Table14[[#This Row],[Column4]],Table14[[#This Row],[Column4]]="",H361*(1+Table14[[#This Row],[Ávöxtun]]))</f>
        <v>124.78662240249601</v>
      </c>
      <c r="I362" cm="1">
        <f t="array" ref="I362">_xlfn.IFS(Table14[[#This Row],[Column4]]="NEW",_xlfn.XLOOKUP(Table14[[#This Row],[Year]],$M$2:$M$27,$O$2:$O$27),ISNUMBER(Table14[[#This Row],[Column4]]),Table14[[#This Row],[Column4]],Table14[[#This Row],[Column4]]="",I361*(1+Table14[[#This Row],[Ávöxtun]]))</f>
        <v>124.78662240249601</v>
      </c>
      <c r="L362" s="33">
        <v>124.78662240249601</v>
      </c>
    </row>
    <row r="363" spans="1:12">
      <c r="A363" t="s">
        <v>87</v>
      </c>
      <c r="B363">
        <v>2005</v>
      </c>
      <c r="C363" s="16">
        <v>0.02</v>
      </c>
      <c r="D363" s="1">
        <v>7797</v>
      </c>
      <c r="E363" s="29">
        <f>Table14[[#This Row],[Ávöxtun]]*Table14[[#This Row],[Eignir]]/SUMIFS(Table14[Eignir],Table14[Year],Table14[[#This Row],[Year]])</f>
        <v>1.3906604076389504E-7</v>
      </c>
      <c r="F363" s="23">
        <f>IF(B363=1997, 100, IF(COUNTIF(A$1:A362,A363)=0, "NEW", F362*(1+Table14[[#This Row],[Ávöxtun]])))</f>
        <v>127.28235485054593</v>
      </c>
      <c r="G363" s="18" cm="1">
        <f t="array" ref="G363">IFERROR(_xlfn.IFS(ISNUMBER(Table14[[#This Row],[Column3]]),Table14[[#This Row],[Column3]],Table14[[#This Row],[Column3]]="NEW",Table14[[#This Row],[Column3]]),"")</f>
        <v>127.28235485054593</v>
      </c>
      <c r="H363" s="15" cm="1">
        <f t="array" ref="H363">_xlfn.IFS(Table14[[#This Row],[Column4]]="NEW",AVERAGEIFS(Table14[Column4],Table14[Year],Table14[[#This Row],[Year]]),ISNUMBER(Table14[[#This Row],[Column4]]),Table14[[#This Row],[Column4]],Table14[[#This Row],[Column4]]="",H362*(1+Table14[[#This Row],[Ávöxtun]]))</f>
        <v>127.28235485054593</v>
      </c>
      <c r="I363" cm="1">
        <f t="array" ref="I363">_xlfn.IFS(Table14[[#This Row],[Column4]]="NEW",_xlfn.XLOOKUP(Table14[[#This Row],[Year]],$M$2:$M$27,$O$2:$O$27),ISNUMBER(Table14[[#This Row],[Column4]]),Table14[[#This Row],[Column4]],Table14[[#This Row],[Column4]]="",I362*(1+Table14[[#This Row],[Ávöxtun]]))</f>
        <v>127.28235485054593</v>
      </c>
      <c r="L363" s="33">
        <v>127.28235485054593</v>
      </c>
    </row>
    <row r="364" spans="1:12">
      <c r="A364" t="s">
        <v>88</v>
      </c>
      <c r="B364">
        <v>1997</v>
      </c>
      <c r="C364" s="16">
        <v>0.08</v>
      </c>
      <c r="D364" s="1">
        <v>98072.45</v>
      </c>
      <c r="E364" s="29">
        <f>Table14[[#This Row],[Ávöxtun]]*Table14[[#This Row],[Eignir]]/SUMIFS(Table14[Eignir],Table14[Year],Table14[[#This Row],[Year]])</f>
        <v>2.314221103051607E-5</v>
      </c>
      <c r="F364" s="23">
        <f>IF(B364=1997, 100, IF(COUNTIF(A$1:A363,A364)=0, "NEW", F363*(1+Table14[[#This Row],[Ávöxtun]])))</f>
        <v>100</v>
      </c>
      <c r="G364" s="18" cm="1">
        <f t="array" ref="G364">IFERROR(_xlfn.IFS(ISNUMBER(Table14[[#This Row],[Column3]]),Table14[[#This Row],[Column3]],Table14[[#This Row],[Column3]]="NEW",Table14[[#This Row],[Column3]]),"")</f>
        <v>100</v>
      </c>
      <c r="H364" s="15" cm="1">
        <f t="array" ref="H364">_xlfn.IFS(Table14[[#This Row],[Column4]]="NEW",AVERAGEIFS(Table14[Column4],Table14[Year],Table14[[#This Row],[Year]]),ISNUMBER(Table14[[#This Row],[Column4]]),Table14[[#This Row],[Column4]],Table14[[#This Row],[Column4]]="",H363*(1+Table14[[#This Row],[Ávöxtun]]))</f>
        <v>100</v>
      </c>
      <c r="I364" cm="1">
        <f t="array" ref="I364">_xlfn.IFS(Table14[[#This Row],[Column4]]="NEW",_xlfn.XLOOKUP(Table14[[#This Row],[Year]],$M$2:$M$27,$O$2:$O$27),ISNUMBER(Table14[[#This Row],[Column4]]),Table14[[#This Row],[Column4]],Table14[[#This Row],[Column4]]="",I363*(1+Table14[[#This Row],[Ávöxtun]]))</f>
        <v>100</v>
      </c>
      <c r="L364" s="33">
        <v>100</v>
      </c>
    </row>
    <row r="365" spans="1:12">
      <c r="A365" t="s">
        <v>88</v>
      </c>
      <c r="B365">
        <v>1998</v>
      </c>
      <c r="C365" s="16">
        <v>0.04</v>
      </c>
      <c r="D365" s="1">
        <v>104214.2</v>
      </c>
      <c r="E365" s="29">
        <f>Table14[[#This Row],[Ávöxtun]]*Table14[[#This Row],[Eignir]]/SUMIFS(Table14[Eignir],Table14[Year],Table14[[#This Row],[Year]])</f>
        <v>1.0644015343963864E-5</v>
      </c>
      <c r="F365" s="23">
        <f>IF(B365=1997, 100, IF(COUNTIF(A$1:A364,A365)=0, "NEW", F364*(1+Table14[[#This Row],[Ávöxtun]])))</f>
        <v>104</v>
      </c>
      <c r="G365" s="18" cm="1">
        <f t="array" ref="G365">IFERROR(_xlfn.IFS(ISNUMBER(Table14[[#This Row],[Column3]]),Table14[[#This Row],[Column3]],Table14[[#This Row],[Column3]]="NEW",Table14[[#This Row],[Column3]]),"")</f>
        <v>104</v>
      </c>
      <c r="H365" s="15" cm="1">
        <f t="array" ref="H365">_xlfn.IFS(Table14[[#This Row],[Column4]]="NEW",AVERAGEIFS(Table14[Column4],Table14[Year],Table14[[#This Row],[Year]]),ISNUMBER(Table14[[#This Row],[Column4]]),Table14[[#This Row],[Column4]],Table14[[#This Row],[Column4]]="",H364*(1+Table14[[#This Row],[Ávöxtun]]))</f>
        <v>104</v>
      </c>
      <c r="I365" cm="1">
        <f t="array" ref="I365">_xlfn.IFS(Table14[[#This Row],[Column4]]="NEW",_xlfn.XLOOKUP(Table14[[#This Row],[Year]],$M$2:$M$27,$O$2:$O$27),ISNUMBER(Table14[[#This Row],[Column4]]),Table14[[#This Row],[Column4]],Table14[[#This Row],[Column4]]="",I364*(1+Table14[[#This Row],[Ávöxtun]]))</f>
        <v>104</v>
      </c>
      <c r="L365" s="33">
        <v>104</v>
      </c>
    </row>
    <row r="366" spans="1:12">
      <c r="A366" t="s">
        <v>88</v>
      </c>
      <c r="B366">
        <v>1999</v>
      </c>
      <c r="C366" s="16">
        <v>0.03</v>
      </c>
      <c r="D366" s="1">
        <v>88750.399999999994</v>
      </c>
      <c r="E366" s="29">
        <f>Table14[[#This Row],[Ávöxtun]]*Table14[[#This Row],[Eignir]]/SUMIFS(Table14[Eignir],Table14[Year],Table14[[#This Row],[Year]])</f>
        <v>5.1131681965373448E-6</v>
      </c>
      <c r="F366" s="23">
        <f>IF(B366=1997, 100, IF(COUNTIF(A$1:A365,A366)=0, "NEW", F365*(1+Table14[[#This Row],[Ávöxtun]])))</f>
        <v>107.12</v>
      </c>
      <c r="G366" s="18" cm="1">
        <f t="array" ref="G366">IFERROR(_xlfn.IFS(ISNUMBER(Table14[[#This Row],[Column3]]),Table14[[#This Row],[Column3]],Table14[[#This Row],[Column3]]="NEW",Table14[[#This Row],[Column3]]),"")</f>
        <v>107.12</v>
      </c>
      <c r="H366" s="15" cm="1">
        <f t="array" ref="H366">_xlfn.IFS(Table14[[#This Row],[Column4]]="NEW",AVERAGEIFS(Table14[Column4],Table14[Year],Table14[[#This Row],[Year]]),ISNUMBER(Table14[[#This Row],[Column4]]),Table14[[#This Row],[Column4]],Table14[[#This Row],[Column4]]="",H365*(1+Table14[[#This Row],[Ávöxtun]]))</f>
        <v>107.12</v>
      </c>
      <c r="I366" cm="1">
        <f t="array" ref="I366">_xlfn.IFS(Table14[[#This Row],[Column4]]="NEW",_xlfn.XLOOKUP(Table14[[#This Row],[Year]],$M$2:$M$27,$O$2:$O$27),ISNUMBER(Table14[[#This Row],[Column4]]),Table14[[#This Row],[Column4]],Table14[[#This Row],[Column4]]="",I365*(1+Table14[[#This Row],[Ávöxtun]]))</f>
        <v>107.12</v>
      </c>
      <c r="L366" s="33">
        <v>107.12</v>
      </c>
    </row>
    <row r="367" spans="1:12">
      <c r="A367" t="s">
        <v>88</v>
      </c>
      <c r="B367">
        <v>2000</v>
      </c>
      <c r="C367" s="16">
        <v>0.03</v>
      </c>
      <c r="D367" s="1">
        <v>76119.490000000005</v>
      </c>
      <c r="E367" s="29">
        <f>Table14[[#This Row],[Ávöxtun]]*Table14[[#This Row],[Eignir]]/SUMIFS(Table14[Eignir],Table14[Year],Table14[[#This Row],[Year]])</f>
        <v>3.2122911123155135E-6</v>
      </c>
      <c r="F367" s="23">
        <f>IF(B367=1997, 100, IF(COUNTIF(A$1:A366,A367)=0, "NEW", F366*(1+Table14[[#This Row],[Ávöxtun]])))</f>
        <v>110.3336</v>
      </c>
      <c r="G367" s="18" cm="1">
        <f t="array" ref="G367">IFERROR(_xlfn.IFS(ISNUMBER(Table14[[#This Row],[Column3]]),Table14[[#This Row],[Column3]],Table14[[#This Row],[Column3]]="NEW",Table14[[#This Row],[Column3]]),"")</f>
        <v>110.3336</v>
      </c>
      <c r="H367" s="15" cm="1">
        <f t="array" ref="H367">_xlfn.IFS(Table14[[#This Row],[Column4]]="NEW",AVERAGEIFS(Table14[Column4],Table14[Year],Table14[[#This Row],[Year]]),ISNUMBER(Table14[[#This Row],[Column4]]),Table14[[#This Row],[Column4]],Table14[[#This Row],[Column4]]="",H366*(1+Table14[[#This Row],[Ávöxtun]]))</f>
        <v>110.3336</v>
      </c>
      <c r="I367" cm="1">
        <f t="array" ref="I367">_xlfn.IFS(Table14[[#This Row],[Column4]]="NEW",_xlfn.XLOOKUP(Table14[[#This Row],[Year]],$M$2:$M$27,$O$2:$O$27),ISNUMBER(Table14[[#This Row],[Column4]]),Table14[[#This Row],[Column4]],Table14[[#This Row],[Column4]]="",I366*(1+Table14[[#This Row],[Ávöxtun]]))</f>
        <v>110.3336</v>
      </c>
      <c r="L367" s="33">
        <v>110.3336</v>
      </c>
    </row>
    <row r="368" spans="1:12">
      <c r="A368" t="s">
        <v>88</v>
      </c>
      <c r="B368">
        <v>2001</v>
      </c>
      <c r="C368" s="16">
        <v>-0.02</v>
      </c>
      <c r="D368" s="1">
        <v>61714.720000000001</v>
      </c>
      <c r="E368" s="29">
        <f>Table14[[#This Row],[Ávöxtun]]*Table14[[#This Row],[Eignir]]/SUMIFS(Table14[Eignir],Table14[Year],Table14[[#This Row],[Year]])</f>
        <v>-1.0659622067852539E-6</v>
      </c>
      <c r="F368" s="23">
        <f>IF(B368=1997, 100, IF(COUNTIF(A$1:A367,A368)=0, "NEW", F367*(1+Table14[[#This Row],[Ávöxtun]])))</f>
        <v>108.12692800000001</v>
      </c>
      <c r="G368" s="18" cm="1">
        <f t="array" ref="G368">IFERROR(_xlfn.IFS(ISNUMBER(Table14[[#This Row],[Column3]]),Table14[[#This Row],[Column3]],Table14[[#This Row],[Column3]]="NEW",Table14[[#This Row],[Column3]]),"")</f>
        <v>108.12692800000001</v>
      </c>
      <c r="H368" s="15" cm="1">
        <f t="array" ref="H368">_xlfn.IFS(Table14[[#This Row],[Column4]]="NEW",AVERAGEIFS(Table14[Column4],Table14[Year],Table14[[#This Row],[Year]]),ISNUMBER(Table14[[#This Row],[Column4]]),Table14[[#This Row],[Column4]],Table14[[#This Row],[Column4]]="",H367*(1+Table14[[#This Row],[Ávöxtun]]))</f>
        <v>108.12692800000001</v>
      </c>
      <c r="I368" cm="1">
        <f t="array" ref="I368">_xlfn.IFS(Table14[[#This Row],[Column4]]="NEW",_xlfn.XLOOKUP(Table14[[#This Row],[Year]],$M$2:$M$27,$O$2:$O$27),ISNUMBER(Table14[[#This Row],[Column4]]),Table14[[#This Row],[Column4]],Table14[[#This Row],[Column4]]="",I367*(1+Table14[[#This Row],[Ávöxtun]]))</f>
        <v>108.12692800000001</v>
      </c>
      <c r="L368" s="33">
        <v>108.12692800000001</v>
      </c>
    </row>
    <row r="369" spans="1:12">
      <c r="A369" t="s">
        <v>88</v>
      </c>
      <c r="B369">
        <v>2002</v>
      </c>
      <c r="C369" s="16">
        <v>0.02</v>
      </c>
      <c r="D369" s="1">
        <v>59523.68</v>
      </c>
      <c r="E369" s="29">
        <f>Table14[[#This Row],[Ávöxtun]]*Table14[[#This Row],[Eignir]]/SUMIFS(Table14[Eignir],Table14[Year],Table14[[#This Row],[Year]])</f>
        <v>1.874277051044774E-6</v>
      </c>
      <c r="F369" s="23">
        <f>IF(B369=1997, 100, IF(COUNTIF(A$1:A368,A369)=0, "NEW", F368*(1+Table14[[#This Row],[Ávöxtun]])))</f>
        <v>110.28946656000001</v>
      </c>
      <c r="G369" s="18" cm="1">
        <f t="array" ref="G369">IFERROR(_xlfn.IFS(ISNUMBER(Table14[[#This Row],[Column3]]),Table14[[#This Row],[Column3]],Table14[[#This Row],[Column3]]="NEW",Table14[[#This Row],[Column3]]),"")</f>
        <v>110.28946656000001</v>
      </c>
      <c r="H369" s="15" cm="1">
        <f t="array" ref="H369">_xlfn.IFS(Table14[[#This Row],[Column4]]="NEW",AVERAGEIFS(Table14[Column4],Table14[Year],Table14[[#This Row],[Year]]),ISNUMBER(Table14[[#This Row],[Column4]]),Table14[[#This Row],[Column4]],Table14[[#This Row],[Column4]]="",H368*(1+Table14[[#This Row],[Ávöxtun]]))</f>
        <v>110.28946656000001</v>
      </c>
      <c r="I369" cm="1">
        <f t="array" ref="I369">_xlfn.IFS(Table14[[#This Row],[Column4]]="NEW",_xlfn.XLOOKUP(Table14[[#This Row],[Year]],$M$2:$M$27,$O$2:$O$27),ISNUMBER(Table14[[#This Row],[Column4]]),Table14[[#This Row],[Column4]],Table14[[#This Row],[Column4]]="",I368*(1+Table14[[#This Row],[Ávöxtun]]))</f>
        <v>110.28946656000001</v>
      </c>
      <c r="L369" s="33">
        <v>110.28946656000001</v>
      </c>
    </row>
    <row r="370" spans="1:12">
      <c r="A370" t="s">
        <v>88</v>
      </c>
      <c r="B370">
        <v>2003</v>
      </c>
      <c r="C370" s="16">
        <v>-0.04</v>
      </c>
      <c r="D370" s="1">
        <v>59200</v>
      </c>
      <c r="E370" s="29">
        <f>Table14[[#This Row],[Ávöxtun]]*Table14[[#This Row],[Eignir]]/SUMIFS(Table14[Eignir],Table14[Year],Table14[[#This Row],[Year]])</f>
        <v>-3.1162347882688033E-6</v>
      </c>
      <c r="F370" s="23">
        <f>IF(B370=1997, 100, IF(COUNTIF(A$1:A369,A370)=0, "NEW", F369*(1+Table14[[#This Row],[Ávöxtun]])))</f>
        <v>105.8778878976</v>
      </c>
      <c r="G370" s="18" cm="1">
        <f t="array" ref="G370">IFERROR(_xlfn.IFS(ISNUMBER(Table14[[#This Row],[Column3]]),Table14[[#This Row],[Column3]],Table14[[#This Row],[Column3]]="NEW",Table14[[#This Row],[Column3]]),"")</f>
        <v>105.8778878976</v>
      </c>
      <c r="H370" s="15" cm="1">
        <f t="array" ref="H370">_xlfn.IFS(Table14[[#This Row],[Column4]]="NEW",AVERAGEIFS(Table14[Column4],Table14[Year],Table14[[#This Row],[Year]]),ISNUMBER(Table14[[#This Row],[Column4]]),Table14[[#This Row],[Column4]],Table14[[#This Row],[Column4]]="",H369*(1+Table14[[#This Row],[Ávöxtun]]))</f>
        <v>105.8778878976</v>
      </c>
      <c r="I370" cm="1">
        <f t="array" ref="I370">_xlfn.IFS(Table14[[#This Row],[Column4]]="NEW",_xlfn.XLOOKUP(Table14[[#This Row],[Year]],$M$2:$M$27,$O$2:$O$27),ISNUMBER(Table14[[#This Row],[Column4]]),Table14[[#This Row],[Column4]],Table14[[#This Row],[Column4]]="",I369*(1+Table14[[#This Row],[Ávöxtun]]))</f>
        <v>105.8778878976</v>
      </c>
      <c r="L370" s="33">
        <v>105.8778878976</v>
      </c>
    </row>
    <row r="371" spans="1:12">
      <c r="A371" t="s">
        <v>88</v>
      </c>
      <c r="B371">
        <v>2004</v>
      </c>
      <c r="C371" s="16">
        <v>2.15</v>
      </c>
      <c r="D371" s="1">
        <v>57736</v>
      </c>
      <c r="E371" s="29">
        <f>Table14[[#This Row],[Ávöxtun]]*Table14[[#This Row],[Eignir]]/SUMIFS(Table14[Eignir],Table14[Year],Table14[[#This Row],[Year]])</f>
        <v>1.3675933088866133E-4</v>
      </c>
      <c r="F371" s="23">
        <f>IF(B371=1997, 100, IF(COUNTIF(A$1:A370,A371)=0, "NEW", F370*(1+Table14[[#This Row],[Ávöxtun]])))</f>
        <v>333.51534687743998</v>
      </c>
      <c r="G371" s="18" cm="1">
        <f t="array" ref="G371">IFERROR(_xlfn.IFS(ISNUMBER(Table14[[#This Row],[Column3]]),Table14[[#This Row],[Column3]],Table14[[#This Row],[Column3]]="NEW",Table14[[#This Row],[Column3]]),"")</f>
        <v>333.51534687743998</v>
      </c>
      <c r="H371" s="15" cm="1">
        <f t="array" ref="H371">_xlfn.IFS(Table14[[#This Row],[Column4]]="NEW",AVERAGEIFS(Table14[Column4],Table14[Year],Table14[[#This Row],[Year]]),ISNUMBER(Table14[[#This Row],[Column4]]),Table14[[#This Row],[Column4]],Table14[[#This Row],[Column4]]="",H370*(1+Table14[[#This Row],[Ávöxtun]]))</f>
        <v>333.51534687743998</v>
      </c>
      <c r="I371" cm="1">
        <f t="array" ref="I371">_xlfn.IFS(Table14[[#This Row],[Column4]]="NEW",_xlfn.XLOOKUP(Table14[[#This Row],[Year]],$M$2:$M$27,$O$2:$O$27),ISNUMBER(Table14[[#This Row],[Column4]]),Table14[[#This Row],[Column4]],Table14[[#This Row],[Column4]]="",I370*(1+Table14[[#This Row],[Ávöxtun]]))</f>
        <v>333.51534687743998</v>
      </c>
      <c r="L371" s="33">
        <v>333.51534687743998</v>
      </c>
    </row>
    <row r="372" spans="1:12">
      <c r="A372" t="s">
        <v>88</v>
      </c>
      <c r="B372">
        <v>2005</v>
      </c>
      <c r="C372" s="16">
        <v>0</v>
      </c>
      <c r="D372" s="1">
        <v>55886</v>
      </c>
      <c r="E372" s="29">
        <f>Table14[[#This Row],[Ávöxtun]]*Table14[[#This Row],[Eignir]]/SUMIFS(Table14[Eignir],Table14[Year],Table14[[#This Row],[Year]])</f>
        <v>0</v>
      </c>
      <c r="F372" s="23">
        <f>IF(B372=1997, 100, IF(COUNTIF(A$1:A371,A372)=0, "NEW", F371*(1+Table14[[#This Row],[Ávöxtun]])))</f>
        <v>333.51534687743998</v>
      </c>
      <c r="G372" s="18" cm="1">
        <f t="array" ref="G372">IFERROR(_xlfn.IFS(ISNUMBER(Table14[[#This Row],[Column3]]),Table14[[#This Row],[Column3]],Table14[[#This Row],[Column3]]="NEW",Table14[[#This Row],[Column3]]),"")</f>
        <v>333.51534687743998</v>
      </c>
      <c r="H372" s="15" cm="1">
        <f t="array" ref="H372">_xlfn.IFS(Table14[[#This Row],[Column4]]="NEW",AVERAGEIFS(Table14[Column4],Table14[Year],Table14[[#This Row],[Year]]),ISNUMBER(Table14[[#This Row],[Column4]]),Table14[[#This Row],[Column4]],Table14[[#This Row],[Column4]]="",H371*(1+Table14[[#This Row],[Ávöxtun]]))</f>
        <v>333.51534687743998</v>
      </c>
      <c r="I372" cm="1">
        <f t="array" ref="I372">_xlfn.IFS(Table14[[#This Row],[Column4]]="NEW",_xlfn.XLOOKUP(Table14[[#This Row],[Year]],$M$2:$M$27,$O$2:$O$27),ISNUMBER(Table14[[#This Row],[Column4]]),Table14[[#This Row],[Column4]],Table14[[#This Row],[Column4]]="",I371*(1+Table14[[#This Row],[Ávöxtun]]))</f>
        <v>333.51534687743998</v>
      </c>
      <c r="L372" s="33">
        <v>333.51534687743998</v>
      </c>
    </row>
    <row r="373" spans="1:12">
      <c r="A373" t="s">
        <v>88</v>
      </c>
      <c r="B373">
        <v>2006</v>
      </c>
      <c r="C373" s="16">
        <v>-1.4499999999999999E-2</v>
      </c>
      <c r="D373" s="1">
        <v>64524</v>
      </c>
      <c r="E373" s="29">
        <f>Table14[[#This Row],[Ávöxtun]]*Table14[[#This Row],[Eignir]]/SUMIFS(Table14[Eignir],Table14[Year],Table14[[#This Row],[Year]])</f>
        <v>-6.8158709365600748E-7</v>
      </c>
      <c r="F373" s="23">
        <f>IF(B373=1997, 100, IF(COUNTIF(A$1:A372,A373)=0, "NEW", F372*(1+Table14[[#This Row],[Ávöxtun]])))</f>
        <v>328.6793743477171</v>
      </c>
      <c r="G373" s="18" cm="1">
        <f t="array" ref="G373">IFERROR(_xlfn.IFS(ISNUMBER(Table14[[#This Row],[Column3]]),Table14[[#This Row],[Column3]],Table14[[#This Row],[Column3]]="NEW",Table14[[#This Row],[Column3]]),"")</f>
        <v>328.6793743477171</v>
      </c>
      <c r="H373" s="15" cm="1">
        <f t="array" ref="H373">_xlfn.IFS(Table14[[#This Row],[Column4]]="NEW",AVERAGEIFS(Table14[Column4],Table14[Year],Table14[[#This Row],[Year]]),ISNUMBER(Table14[[#This Row],[Column4]]),Table14[[#This Row],[Column4]],Table14[[#This Row],[Column4]]="",H372*(1+Table14[[#This Row],[Ávöxtun]]))</f>
        <v>328.6793743477171</v>
      </c>
      <c r="I373" cm="1">
        <f t="array" ref="I373">_xlfn.IFS(Table14[[#This Row],[Column4]]="NEW",_xlfn.XLOOKUP(Table14[[#This Row],[Year]],$M$2:$M$27,$O$2:$O$27),ISNUMBER(Table14[[#This Row],[Column4]]),Table14[[#This Row],[Column4]],Table14[[#This Row],[Column4]]="",I372*(1+Table14[[#This Row],[Ávöxtun]]))</f>
        <v>328.6793743477171</v>
      </c>
      <c r="L373" s="33">
        <v>328.6793743477171</v>
      </c>
    </row>
    <row r="374" spans="1:12">
      <c r="A374" t="s">
        <v>88</v>
      </c>
      <c r="B374">
        <v>2007</v>
      </c>
      <c r="C374" s="16">
        <v>-1.47E-2</v>
      </c>
      <c r="D374" s="1">
        <v>71180</v>
      </c>
      <c r="E374" s="29">
        <f>Table14[[#This Row],[Ávöxtun]]*Table14[[#This Row],[Eignir]]/SUMIFS(Table14[Eignir],Table14[Year],Table14[[#This Row],[Year]])</f>
        <v>-6.7662996956179099E-7</v>
      </c>
      <c r="F374" s="23">
        <f>IF(B374=1997, 100, IF(COUNTIF(A$1:A373,A374)=0, "NEW", F373*(1+Table14[[#This Row],[Ávöxtun]])))</f>
        <v>323.84778754480567</v>
      </c>
      <c r="G374" s="18" cm="1">
        <f t="array" ref="G374">IFERROR(_xlfn.IFS(ISNUMBER(Table14[[#This Row],[Column3]]),Table14[[#This Row],[Column3]],Table14[[#This Row],[Column3]]="NEW",Table14[[#This Row],[Column3]]),"")</f>
        <v>323.84778754480567</v>
      </c>
      <c r="H374" s="15" cm="1">
        <f t="array" ref="H374">_xlfn.IFS(Table14[[#This Row],[Column4]]="NEW",AVERAGEIFS(Table14[Column4],Table14[Year],Table14[[#This Row],[Year]]),ISNUMBER(Table14[[#This Row],[Column4]]),Table14[[#This Row],[Column4]],Table14[[#This Row],[Column4]]="",H373*(1+Table14[[#This Row],[Ávöxtun]]))</f>
        <v>323.84778754480567</v>
      </c>
      <c r="I374" cm="1">
        <f t="array" ref="I374">_xlfn.IFS(Table14[[#This Row],[Column4]]="NEW",_xlfn.XLOOKUP(Table14[[#This Row],[Year]],$M$2:$M$27,$O$2:$O$27),ISNUMBER(Table14[[#This Row],[Column4]]),Table14[[#This Row],[Column4]],Table14[[#This Row],[Column4]]="",I373*(1+Table14[[#This Row],[Ávöxtun]]))</f>
        <v>323.84778754480567</v>
      </c>
      <c r="L374" s="33">
        <v>323.84778754480567</v>
      </c>
    </row>
    <row r="375" spans="1:12">
      <c r="A375" t="s">
        <v>88</v>
      </c>
      <c r="B375">
        <v>2008</v>
      </c>
      <c r="C375" s="16">
        <v>-3.9E-2</v>
      </c>
      <c r="D375" s="1">
        <v>80873</v>
      </c>
      <c r="E375" s="29">
        <f>Table14[[#This Row],[Ávöxtun]]*Table14[[#This Row],[Eignir]]/SUMIFS(Table14[Eignir],Table14[Year],Table14[[#This Row],[Year]])</f>
        <v>-2.1064644961414482E-6</v>
      </c>
      <c r="F375" s="23">
        <f>IF(B375=1997, 100, IF(COUNTIF(A$1:A374,A375)=0, "NEW", F374*(1+Table14[[#This Row],[Ávöxtun]])))</f>
        <v>311.21772383055821</v>
      </c>
      <c r="G375" s="18" cm="1">
        <f t="array" ref="G375">IFERROR(_xlfn.IFS(ISNUMBER(Table14[[#This Row],[Column3]]),Table14[[#This Row],[Column3]],Table14[[#This Row],[Column3]]="NEW",Table14[[#This Row],[Column3]]),"")</f>
        <v>311.21772383055821</v>
      </c>
      <c r="H375" s="15" cm="1">
        <f t="array" ref="H375">_xlfn.IFS(Table14[[#This Row],[Column4]]="NEW",AVERAGEIFS(Table14[Column4],Table14[Year],Table14[[#This Row],[Year]]),ISNUMBER(Table14[[#This Row],[Column4]]),Table14[[#This Row],[Column4]],Table14[[#This Row],[Column4]]="",H374*(1+Table14[[#This Row],[Ávöxtun]]))</f>
        <v>311.21772383055821</v>
      </c>
      <c r="I375" cm="1">
        <f t="array" ref="I375">_xlfn.IFS(Table14[[#This Row],[Column4]]="NEW",_xlfn.XLOOKUP(Table14[[#This Row],[Year]],$M$2:$M$27,$O$2:$O$27),ISNUMBER(Table14[[#This Row],[Column4]]),Table14[[#This Row],[Column4]],Table14[[#This Row],[Column4]]="",I374*(1+Table14[[#This Row],[Ávöxtun]]))</f>
        <v>311.21772383055821</v>
      </c>
      <c r="L375" s="33">
        <v>311.21772383055821</v>
      </c>
    </row>
    <row r="376" spans="1:12">
      <c r="A376" t="s">
        <v>88</v>
      </c>
      <c r="B376">
        <v>2009</v>
      </c>
      <c r="C376" s="16">
        <v>0</v>
      </c>
      <c r="D376" s="1">
        <v>92757</v>
      </c>
      <c r="E376" s="29">
        <f>Table14[[#This Row],[Ávöxtun]]*Table14[[#This Row],[Eignir]]/SUMIFS(Table14[Eignir],Table14[Year],Table14[[#This Row],[Year]])</f>
        <v>0</v>
      </c>
      <c r="F376" s="23">
        <f>IF(B376=1997, 100, IF(COUNTIF(A$1:A375,A376)=0, "NEW", F375*(1+Table14[[#This Row],[Ávöxtun]])))</f>
        <v>311.21772383055821</v>
      </c>
      <c r="G376" s="18" cm="1">
        <f t="array" ref="G376">IFERROR(_xlfn.IFS(ISNUMBER(Table14[[#This Row],[Column3]]),Table14[[#This Row],[Column3]],Table14[[#This Row],[Column3]]="NEW",Table14[[#This Row],[Column3]]),"")</f>
        <v>311.21772383055821</v>
      </c>
      <c r="H376" s="15" cm="1">
        <f t="array" ref="H376">_xlfn.IFS(Table14[[#This Row],[Column4]]="NEW",AVERAGEIFS(Table14[Column4],Table14[Year],Table14[[#This Row],[Year]]),ISNUMBER(Table14[[#This Row],[Column4]]),Table14[[#This Row],[Column4]],Table14[[#This Row],[Column4]]="",H375*(1+Table14[[#This Row],[Ávöxtun]]))</f>
        <v>311.21772383055821</v>
      </c>
      <c r="I376" cm="1">
        <f t="array" ref="I376">_xlfn.IFS(Table14[[#This Row],[Column4]]="NEW",_xlfn.XLOOKUP(Table14[[#This Row],[Year]],$M$2:$M$27,$O$2:$O$27),ISNUMBER(Table14[[#This Row],[Column4]]),Table14[[#This Row],[Column4]],Table14[[#This Row],[Column4]]="",I375*(1+Table14[[#This Row],[Ávöxtun]]))</f>
        <v>311.21772383055821</v>
      </c>
      <c r="L376" s="33">
        <v>311.21772383055821</v>
      </c>
    </row>
    <row r="377" spans="1:12">
      <c r="A377" t="s">
        <v>88</v>
      </c>
      <c r="B377">
        <v>2010</v>
      </c>
      <c r="C377" s="16">
        <v>-1.61E-2</v>
      </c>
      <c r="D377" s="1">
        <v>84873</v>
      </c>
      <c r="E377" s="29">
        <f>Table14[[#This Row],[Ávöxtun]]*Table14[[#This Row],[Eignir]]/SUMIFS(Table14[Eignir],Table14[Year],Table14[[#This Row],[Year]])</f>
        <v>-7.6432798597855441E-7</v>
      </c>
      <c r="F377" s="23">
        <f>IF(B377=1997, 100, IF(COUNTIF(A$1:A376,A377)=0, "NEW", F376*(1+Table14[[#This Row],[Ávöxtun]])))</f>
        <v>306.20711847688625</v>
      </c>
      <c r="G377" s="18" cm="1">
        <f t="array" ref="G377">IFERROR(_xlfn.IFS(ISNUMBER(Table14[[#This Row],[Column3]]),Table14[[#This Row],[Column3]],Table14[[#This Row],[Column3]]="NEW",Table14[[#This Row],[Column3]]),"")</f>
        <v>306.20711847688625</v>
      </c>
      <c r="H377" s="15" cm="1">
        <f t="array" ref="H377">_xlfn.IFS(Table14[[#This Row],[Column4]]="NEW",AVERAGEIFS(Table14[Column4],Table14[Year],Table14[[#This Row],[Year]]),ISNUMBER(Table14[[#This Row],[Column4]]),Table14[[#This Row],[Column4]],Table14[[#This Row],[Column4]]="",H376*(1+Table14[[#This Row],[Ávöxtun]]))</f>
        <v>306.20711847688625</v>
      </c>
      <c r="I377" cm="1">
        <f t="array" ref="I377">_xlfn.IFS(Table14[[#This Row],[Column4]]="NEW",_xlfn.XLOOKUP(Table14[[#This Row],[Year]],$M$2:$M$27,$O$2:$O$27),ISNUMBER(Table14[[#This Row],[Column4]]),Table14[[#This Row],[Column4]],Table14[[#This Row],[Column4]]="",I376*(1+Table14[[#This Row],[Ávöxtun]]))</f>
        <v>306.20711847688625</v>
      </c>
      <c r="L377" s="33">
        <v>306.20711847688625</v>
      </c>
    </row>
    <row r="378" spans="1:12">
      <c r="A378" t="s">
        <v>88</v>
      </c>
      <c r="B378">
        <v>2011</v>
      </c>
      <c r="C378" s="16">
        <v>-5.2999999999999999E-2</v>
      </c>
      <c r="D378" s="1">
        <v>94091</v>
      </c>
      <c r="E378" s="29">
        <f>Table14[[#This Row],[Ávöxtun]]*Table14[[#This Row],[Eignir]]/SUMIFS(Table14[Eignir],Table14[Year],Table14[[#This Row],[Year]])</f>
        <v>-2.5566124450330474E-6</v>
      </c>
      <c r="F378" s="23">
        <f>IF(B378=1997, 100, IF(COUNTIF(A$1:A377,A378)=0, "NEW", F377*(1+Table14[[#This Row],[Ávöxtun]])))</f>
        <v>289.97814119761125</v>
      </c>
      <c r="G378" s="18" cm="1">
        <f t="array" ref="G378">IFERROR(_xlfn.IFS(ISNUMBER(Table14[[#This Row],[Column3]]),Table14[[#This Row],[Column3]],Table14[[#This Row],[Column3]]="NEW",Table14[[#This Row],[Column3]]),"")</f>
        <v>289.97814119761125</v>
      </c>
      <c r="H378" s="15" cm="1">
        <f t="array" ref="H378">_xlfn.IFS(Table14[[#This Row],[Column4]]="NEW",AVERAGEIFS(Table14[Column4],Table14[Year],Table14[[#This Row],[Year]]),ISNUMBER(Table14[[#This Row],[Column4]]),Table14[[#This Row],[Column4]],Table14[[#This Row],[Column4]]="",H377*(1+Table14[[#This Row],[Ávöxtun]]))</f>
        <v>289.97814119761125</v>
      </c>
      <c r="I378" cm="1">
        <f t="array" ref="I378">_xlfn.IFS(Table14[[#This Row],[Column4]]="NEW",_xlfn.XLOOKUP(Table14[[#This Row],[Year]],$M$2:$M$27,$O$2:$O$27),ISNUMBER(Table14[[#This Row],[Column4]]),Table14[[#This Row],[Column4]],Table14[[#This Row],[Column4]]="",I377*(1+Table14[[#This Row],[Ávöxtun]]))</f>
        <v>289.97814119761125</v>
      </c>
      <c r="L378" s="33">
        <v>289.97814119761125</v>
      </c>
    </row>
    <row r="379" spans="1:12">
      <c r="A379" t="s">
        <v>88</v>
      </c>
      <c r="B379">
        <v>2012</v>
      </c>
      <c r="C379" s="16">
        <v>-0.06</v>
      </c>
      <c r="D379" s="1">
        <v>75554</v>
      </c>
      <c r="E379" s="29">
        <f>Table14[[#This Row],[Ávöxtun]]*Table14[[#This Row],[Eignir]]/SUMIFS(Table14[Eignir],Table14[Year],Table14[[#This Row],[Year]])</f>
        <v>-2.0579042581384503E-6</v>
      </c>
      <c r="F379" s="23">
        <f>IF(B379=1997, 100, IF(COUNTIF(A$1:A378,A379)=0, "NEW", F378*(1+Table14[[#This Row],[Ávöxtun]])))</f>
        <v>272.57945272575455</v>
      </c>
      <c r="G379" s="18" cm="1">
        <f t="array" ref="G379">IFERROR(_xlfn.IFS(ISNUMBER(Table14[[#This Row],[Column3]]),Table14[[#This Row],[Column3]],Table14[[#This Row],[Column3]]="NEW",Table14[[#This Row],[Column3]]),"")</f>
        <v>272.57945272575455</v>
      </c>
      <c r="H379" s="15" cm="1">
        <f t="array" ref="H379">_xlfn.IFS(Table14[[#This Row],[Column4]]="NEW",AVERAGEIFS(Table14[Column4],Table14[Year],Table14[[#This Row],[Year]]),ISNUMBER(Table14[[#This Row],[Column4]]),Table14[[#This Row],[Column4]],Table14[[#This Row],[Column4]]="",H378*(1+Table14[[#This Row],[Ávöxtun]]))</f>
        <v>272.57945272575455</v>
      </c>
      <c r="I379" cm="1">
        <f t="array" ref="I379">_xlfn.IFS(Table14[[#This Row],[Column4]]="NEW",_xlfn.XLOOKUP(Table14[[#This Row],[Year]],$M$2:$M$27,$O$2:$O$27),ISNUMBER(Table14[[#This Row],[Column4]]),Table14[[#This Row],[Column4]],Table14[[#This Row],[Column4]]="",I378*(1+Table14[[#This Row],[Ávöxtun]]))</f>
        <v>272.57945272575455</v>
      </c>
      <c r="L379" s="33">
        <v>272.57945272575455</v>
      </c>
    </row>
    <row r="380" spans="1:12">
      <c r="A380" t="s">
        <v>90</v>
      </c>
      <c r="B380">
        <v>1998</v>
      </c>
      <c r="C380" s="16">
        <v>7.0000000000000007E-2</v>
      </c>
      <c r="D380" s="1">
        <v>4085814.79</v>
      </c>
      <c r="E380" s="29">
        <f>Table14[[#This Row],[Ávöxtun]]*Table14[[#This Row],[Eignir]]/SUMIFS(Table14[Eignir],Table14[Year],Table14[[#This Row],[Year]])</f>
        <v>7.3028993942639655E-4</v>
      </c>
      <c r="F380" s="23" t="str">
        <f>IF(B380=1997, 100, IF(COUNTIF(A$1:A379,A380)=0, "NEW", F379*(1+Table14[[#This Row],[Ávöxtun]])))</f>
        <v>NEW</v>
      </c>
      <c r="G380" s="18" t="str" cm="1">
        <f t="array" ref="G380">IFERROR(_xlfn.IFS(ISNUMBER(Table14[[#This Row],[Column3]]),Table14[[#This Row],[Column3]],Table14[[#This Row],[Column3]]="NEW",Table14[[#This Row],[Column3]]),"")</f>
        <v>NEW</v>
      </c>
      <c r="H380" s="15" cm="1">
        <f t="array" ref="H380">_xlfn.IFS(Table14[[#This Row],[Column4]]="NEW",AVERAGEIFS(Table14[Column4],Table14[Year],Table14[[#This Row],[Year]]),ISNUMBER(Table14[[#This Row],[Column4]]),Table14[[#This Row],[Column4]],Table14[[#This Row],[Column4]]="",H379*(1+Table14[[#This Row],[Ávöxtun]]))</f>
        <v>106.70588235294117</v>
      </c>
      <c r="I380" cm="1">
        <f t="array" ref="I380">_xlfn.IFS(Table14[[#This Row],[Column4]]="NEW",_xlfn.XLOOKUP(Table14[[#This Row],[Year]],$M$2:$M$27,$O$2:$O$27),ISNUMBER(Table14[[#This Row],[Column4]]),Table14[[#This Row],[Column4]],Table14[[#This Row],[Column4]]="",I379*(1+Table14[[#This Row],[Ávöxtun]]))</f>
        <v>107.11186565673697</v>
      </c>
      <c r="L380" s="33">
        <v>107.11186565673697</v>
      </c>
    </row>
    <row r="381" spans="1:12">
      <c r="A381" t="s">
        <v>90</v>
      </c>
      <c r="B381">
        <v>1999</v>
      </c>
      <c r="C381" s="16">
        <v>0.09</v>
      </c>
      <c r="D381" s="1">
        <v>5096264.6900000004</v>
      </c>
      <c r="E381" s="29">
        <f>Table14[[#This Row],[Ávöxtun]]*Table14[[#This Row],[Eignir]]/SUMIFS(Table14[Eignir],Table14[Year],Table14[[#This Row],[Year]])</f>
        <v>8.8083181148628929E-4</v>
      </c>
      <c r="F381" s="23" t="e">
        <f>IF(B381=1997, 100, IF(COUNTIF(A$1:A380,A381)=0, "NEW", F380*(1+Table14[[#This Row],[Ávöxtun]])))</f>
        <v>#VALUE!</v>
      </c>
      <c r="G381" s="18" t="str" cm="1">
        <f t="array" ref="G381">IFERROR(_xlfn.IFS(ISNUMBER(Table14[[#This Row],[Column3]]),Table14[[#This Row],[Column3]],Table14[[#This Row],[Column3]]="NEW",Table14[[#This Row],[Column3]]),"")</f>
        <v/>
      </c>
      <c r="H381" s="15" cm="1">
        <f t="array" ref="H381">_xlfn.IFS(Table14[[#This Row],[Column4]]="NEW",AVERAGEIFS(Table14[Column4],Table14[Year],Table14[[#This Row],[Year]]),ISNUMBER(Table14[[#This Row],[Column4]]),Table14[[#This Row],[Column4]],Table14[[#This Row],[Column4]]="",H380*(1+Table14[[#This Row],[Ávöxtun]]))</f>
        <v>116.30941176470589</v>
      </c>
      <c r="I381" cm="1">
        <f t="array" ref="I381">_xlfn.IFS(Table14[[#This Row],[Column4]]="NEW",_xlfn.XLOOKUP(Table14[[#This Row],[Year]],$M$2:$M$27,$O$2:$O$27),ISNUMBER(Table14[[#This Row],[Column4]]),Table14[[#This Row],[Column4]],Table14[[#This Row],[Column4]]="",I380*(1+Table14[[#This Row],[Ávöxtun]]))</f>
        <v>116.7519335658433</v>
      </c>
      <c r="L381" s="33">
        <v>116.7519335658433</v>
      </c>
    </row>
    <row r="382" spans="1:12">
      <c r="A382" t="s">
        <v>90</v>
      </c>
      <c r="B382">
        <v>2000</v>
      </c>
      <c r="C382" s="16">
        <v>-0.04</v>
      </c>
      <c r="D382" s="1">
        <v>5557907.5999999996</v>
      </c>
      <c r="E382" s="29">
        <f>Table14[[#This Row],[Ávöxtun]]*Table14[[#This Row],[Eignir]]/SUMIFS(Table14[Eignir],Table14[Year],Table14[[#This Row],[Year]])</f>
        <v>-3.1272966904272647E-4</v>
      </c>
      <c r="F382" s="23" t="e">
        <f>IF(B382=1997, 100, IF(COUNTIF(A$1:A381,A382)=0, "NEW", F381*(1+Table14[[#This Row],[Ávöxtun]])))</f>
        <v>#VALUE!</v>
      </c>
      <c r="G382" s="18" t="str" cm="1">
        <f t="array" ref="G382">IFERROR(_xlfn.IFS(ISNUMBER(Table14[[#This Row],[Column3]]),Table14[[#This Row],[Column3]],Table14[[#This Row],[Column3]]="NEW",Table14[[#This Row],[Column3]]),"")</f>
        <v/>
      </c>
      <c r="H382" s="15" cm="1">
        <f t="array" ref="H382">_xlfn.IFS(Table14[[#This Row],[Column4]]="NEW",AVERAGEIFS(Table14[Column4],Table14[Year],Table14[[#This Row],[Year]]),ISNUMBER(Table14[[#This Row],[Column4]]),Table14[[#This Row],[Column4]],Table14[[#This Row],[Column4]]="",H381*(1+Table14[[#This Row],[Ávöxtun]]))</f>
        <v>111.65703529411765</v>
      </c>
      <c r="I382" cm="1">
        <f t="array" ref="I382">_xlfn.IFS(Table14[[#This Row],[Column4]]="NEW",_xlfn.XLOOKUP(Table14[[#This Row],[Year]],$M$2:$M$27,$O$2:$O$27),ISNUMBER(Table14[[#This Row],[Column4]]),Table14[[#This Row],[Column4]],Table14[[#This Row],[Column4]]="",I381*(1+Table14[[#This Row],[Ávöxtun]]))</f>
        <v>112.08185622320957</v>
      </c>
      <c r="L382" s="33">
        <v>112.08185622320957</v>
      </c>
    </row>
    <row r="383" spans="1:12">
      <c r="A383" t="s">
        <v>90</v>
      </c>
      <c r="B383">
        <v>2001</v>
      </c>
      <c r="C383" s="16">
        <v>0</v>
      </c>
      <c r="D383" s="1">
        <v>7822797</v>
      </c>
      <c r="E383" s="29">
        <f>Table14[[#This Row],[Ávöxtun]]*Table14[[#This Row],[Eignir]]/SUMIFS(Table14[Eignir],Table14[Year],Table14[[#This Row],[Year]])</f>
        <v>0</v>
      </c>
      <c r="F383" s="23" t="e">
        <f>IF(B383=1997, 100, IF(COUNTIF(A$1:A382,A383)=0, "NEW", F382*(1+Table14[[#This Row],[Ávöxtun]])))</f>
        <v>#VALUE!</v>
      </c>
      <c r="G383" s="18" t="str" cm="1">
        <f t="array" ref="G383">IFERROR(_xlfn.IFS(ISNUMBER(Table14[[#This Row],[Column3]]),Table14[[#This Row],[Column3]],Table14[[#This Row],[Column3]]="NEW",Table14[[#This Row],[Column3]]),"")</f>
        <v/>
      </c>
      <c r="H383" s="15" cm="1">
        <f t="array" ref="H383">_xlfn.IFS(Table14[[#This Row],[Column4]]="NEW",AVERAGEIFS(Table14[Column4],Table14[Year],Table14[[#This Row],[Year]]),ISNUMBER(Table14[[#This Row],[Column4]]),Table14[[#This Row],[Column4]],Table14[[#This Row],[Column4]]="",H382*(1+Table14[[#This Row],[Ávöxtun]]))</f>
        <v>111.65703529411765</v>
      </c>
      <c r="I383" cm="1">
        <f t="array" ref="I383">_xlfn.IFS(Table14[[#This Row],[Column4]]="NEW",_xlfn.XLOOKUP(Table14[[#This Row],[Year]],$M$2:$M$27,$O$2:$O$27),ISNUMBER(Table14[[#This Row],[Column4]]),Table14[[#This Row],[Column4]],Table14[[#This Row],[Column4]]="",I382*(1+Table14[[#This Row],[Ávöxtun]]))</f>
        <v>112.08185622320957</v>
      </c>
      <c r="L383" s="33">
        <v>112.08185622320957</v>
      </c>
    </row>
    <row r="384" spans="1:12">
      <c r="A384" t="s">
        <v>90</v>
      </c>
      <c r="B384">
        <v>2002</v>
      </c>
      <c r="C384" s="16">
        <v>-7.0000000000000007E-2</v>
      </c>
      <c r="D384" s="1">
        <v>1440250.8</v>
      </c>
      <c r="E384" s="29">
        <f>Table14[[#This Row],[Ávöxtun]]*Table14[[#This Row],[Eignir]]/SUMIFS(Table14[Eignir],Table14[Year],Table14[[#This Row],[Year]])</f>
        <v>-1.5872677189416161E-4</v>
      </c>
      <c r="F384" s="23" t="e">
        <f>IF(B384=1997, 100, IF(COUNTIF(A$1:A383,A384)=0, "NEW", F383*(1+Table14[[#This Row],[Ávöxtun]])))</f>
        <v>#VALUE!</v>
      </c>
      <c r="G384" s="18" t="str" cm="1">
        <f t="array" ref="G384">IFERROR(_xlfn.IFS(ISNUMBER(Table14[[#This Row],[Column3]]),Table14[[#This Row],[Column3]],Table14[[#This Row],[Column3]]="NEW",Table14[[#This Row],[Column3]]),"")</f>
        <v/>
      </c>
      <c r="H384" s="15" cm="1">
        <f t="array" ref="H384">_xlfn.IFS(Table14[[#This Row],[Column4]]="NEW",AVERAGEIFS(Table14[Column4],Table14[Year],Table14[[#This Row],[Year]]),ISNUMBER(Table14[[#This Row],[Column4]]),Table14[[#This Row],[Column4]],Table14[[#This Row],[Column4]]="",H383*(1+Table14[[#This Row],[Ávöxtun]]))</f>
        <v>103.84104282352941</v>
      </c>
      <c r="I384" cm="1">
        <f t="array" ref="I384">_xlfn.IFS(Table14[[#This Row],[Column4]]="NEW",_xlfn.XLOOKUP(Table14[[#This Row],[Year]],$M$2:$M$27,$O$2:$O$27),ISNUMBER(Table14[[#This Row],[Column4]]),Table14[[#This Row],[Column4]],Table14[[#This Row],[Column4]]="",I383*(1+Table14[[#This Row],[Ávöxtun]]))</f>
        <v>104.2361262875849</v>
      </c>
      <c r="L384" s="33">
        <v>104.2361262875849</v>
      </c>
    </row>
    <row r="385" spans="1:12">
      <c r="A385" t="s">
        <v>89</v>
      </c>
      <c r="B385">
        <v>1997</v>
      </c>
      <c r="C385" s="16">
        <v>7.0000000000000007E-2</v>
      </c>
      <c r="D385" s="1">
        <v>2313416.7799999998</v>
      </c>
      <c r="E385" s="29">
        <f>Table14[[#This Row],[Ávöxtun]]*Table14[[#This Row],[Eignir]]/SUMIFS(Table14[Eignir],Table14[Year],Table14[[#This Row],[Year]])</f>
        <v>4.7766097317605345E-4</v>
      </c>
      <c r="F385" s="23">
        <f>IF(B385=1997, 100, IF(COUNTIF(A$1:A384,A385)=0, "NEW", F384*(1+Table14[[#This Row],[Ávöxtun]])))</f>
        <v>100</v>
      </c>
      <c r="G385" s="18" cm="1">
        <f t="array" ref="G385">IFERROR(_xlfn.IFS(ISNUMBER(Table14[[#This Row],[Column3]]),Table14[[#This Row],[Column3]],Table14[[#This Row],[Column3]]="NEW",Table14[[#This Row],[Column3]]),"")</f>
        <v>100</v>
      </c>
      <c r="H385" s="15" cm="1">
        <f t="array" ref="H385">_xlfn.IFS(Table14[[#This Row],[Column4]]="NEW",AVERAGEIFS(Table14[Column4],Table14[Year],Table14[[#This Row],[Year]]),ISNUMBER(Table14[[#This Row],[Column4]]),Table14[[#This Row],[Column4]],Table14[[#This Row],[Column4]]="",H384*(1+Table14[[#This Row],[Ávöxtun]]))</f>
        <v>100</v>
      </c>
      <c r="I385" cm="1">
        <f t="array" ref="I385">_xlfn.IFS(Table14[[#This Row],[Column4]]="NEW",_xlfn.XLOOKUP(Table14[[#This Row],[Year]],$M$2:$M$27,$O$2:$O$27),ISNUMBER(Table14[[#This Row],[Column4]]),Table14[[#This Row],[Column4]],Table14[[#This Row],[Column4]]="",I384*(1+Table14[[#This Row],[Ávöxtun]]))</f>
        <v>100</v>
      </c>
      <c r="L385" s="33">
        <v>100</v>
      </c>
    </row>
    <row r="386" spans="1:12">
      <c r="A386" t="s">
        <v>89</v>
      </c>
      <c r="B386">
        <v>1998</v>
      </c>
      <c r="C386" s="16">
        <v>0.06</v>
      </c>
      <c r="D386" s="1">
        <v>2502243.96</v>
      </c>
      <c r="E386" s="29">
        <f>Table14[[#This Row],[Ávöxtun]]*Table14[[#This Row],[Eignir]]/SUMIFS(Table14[Eignir],Table14[Year],Table14[[#This Row],[Year]])</f>
        <v>3.8335356080909655E-4</v>
      </c>
      <c r="F386" s="23">
        <f>IF(B386=1997, 100, IF(COUNTIF(A$1:A385,A386)=0, "NEW", F385*(1+Table14[[#This Row],[Ávöxtun]])))</f>
        <v>106</v>
      </c>
      <c r="G386" s="18" cm="1">
        <f t="array" ref="G386">IFERROR(_xlfn.IFS(ISNUMBER(Table14[[#This Row],[Column3]]),Table14[[#This Row],[Column3]],Table14[[#This Row],[Column3]]="NEW",Table14[[#This Row],[Column3]]),"")</f>
        <v>106</v>
      </c>
      <c r="H386" s="15" cm="1">
        <f t="array" ref="H386">_xlfn.IFS(Table14[[#This Row],[Column4]]="NEW",AVERAGEIFS(Table14[Column4],Table14[Year],Table14[[#This Row],[Year]]),ISNUMBER(Table14[[#This Row],[Column4]]),Table14[[#This Row],[Column4]],Table14[[#This Row],[Column4]]="",H385*(1+Table14[[#This Row],[Ávöxtun]]))</f>
        <v>106</v>
      </c>
      <c r="I386" cm="1">
        <f t="array" ref="I386">_xlfn.IFS(Table14[[#This Row],[Column4]]="NEW",_xlfn.XLOOKUP(Table14[[#This Row],[Year]],$M$2:$M$27,$O$2:$O$27),ISNUMBER(Table14[[#This Row],[Column4]]),Table14[[#This Row],[Column4]],Table14[[#This Row],[Column4]]="",I385*(1+Table14[[#This Row],[Ávöxtun]]))</f>
        <v>106</v>
      </c>
      <c r="L386" s="33">
        <v>106</v>
      </c>
    </row>
    <row r="387" spans="1:12">
      <c r="A387" t="s">
        <v>89</v>
      </c>
      <c r="B387">
        <v>1999</v>
      </c>
      <c r="C387" s="16">
        <v>0.08</v>
      </c>
      <c r="D387" s="1">
        <v>2844893.69</v>
      </c>
      <c r="E387" s="29">
        <f>Table14[[#This Row],[Ávöxtun]]*Table14[[#This Row],[Eignir]]/SUMIFS(Table14[Eignir],Table14[Year],Table14[[#This Row],[Year]])</f>
        <v>4.3707355875166831E-4</v>
      </c>
      <c r="F387" s="23">
        <f>IF(B387=1997, 100, IF(COUNTIF(A$1:A386,A387)=0, "NEW", F386*(1+Table14[[#This Row],[Ávöxtun]])))</f>
        <v>114.48</v>
      </c>
      <c r="G387" s="18" cm="1">
        <f t="array" ref="G387">IFERROR(_xlfn.IFS(ISNUMBER(Table14[[#This Row],[Column3]]),Table14[[#This Row],[Column3]],Table14[[#This Row],[Column3]]="NEW",Table14[[#This Row],[Column3]]),"")</f>
        <v>114.48</v>
      </c>
      <c r="H387" s="15" cm="1">
        <f t="array" ref="H387">_xlfn.IFS(Table14[[#This Row],[Column4]]="NEW",AVERAGEIFS(Table14[Column4],Table14[Year],Table14[[#This Row],[Year]]),ISNUMBER(Table14[[#This Row],[Column4]]),Table14[[#This Row],[Column4]],Table14[[#This Row],[Column4]]="",H386*(1+Table14[[#This Row],[Ávöxtun]]))</f>
        <v>114.48</v>
      </c>
      <c r="I387" cm="1">
        <f t="array" ref="I387">_xlfn.IFS(Table14[[#This Row],[Column4]]="NEW",_xlfn.XLOOKUP(Table14[[#This Row],[Year]],$M$2:$M$27,$O$2:$O$27),ISNUMBER(Table14[[#This Row],[Column4]]),Table14[[#This Row],[Column4]],Table14[[#This Row],[Column4]]="",I386*(1+Table14[[#This Row],[Ávöxtun]]))</f>
        <v>114.48</v>
      </c>
      <c r="L387" s="33">
        <v>114.48</v>
      </c>
    </row>
    <row r="388" spans="1:12">
      <c r="A388" t="s">
        <v>89</v>
      </c>
      <c r="B388">
        <v>2000</v>
      </c>
      <c r="C388" s="16">
        <v>0.04</v>
      </c>
      <c r="D388" s="1">
        <v>3101619.93</v>
      </c>
      <c r="E388" s="29">
        <f>Table14[[#This Row],[Ávöxtun]]*Table14[[#This Row],[Eignir]]/SUMIFS(Table14[Eignir],Table14[Year],Table14[[#This Row],[Year]])</f>
        <v>1.7452045698010968E-4</v>
      </c>
      <c r="F388" s="23">
        <f>IF(B388=1997, 100, IF(COUNTIF(A$1:A387,A388)=0, "NEW", F387*(1+Table14[[#This Row],[Ávöxtun]])))</f>
        <v>119.0592</v>
      </c>
      <c r="G388" s="18" cm="1">
        <f t="array" ref="G388">IFERROR(_xlfn.IFS(ISNUMBER(Table14[[#This Row],[Column3]]),Table14[[#This Row],[Column3]],Table14[[#This Row],[Column3]]="NEW",Table14[[#This Row],[Column3]]),"")</f>
        <v>119.0592</v>
      </c>
      <c r="H388" s="15" cm="1">
        <f t="array" ref="H388">_xlfn.IFS(Table14[[#This Row],[Column4]]="NEW",AVERAGEIFS(Table14[Column4],Table14[Year],Table14[[#This Row],[Year]]),ISNUMBER(Table14[[#This Row],[Column4]]),Table14[[#This Row],[Column4]],Table14[[#This Row],[Column4]]="",H387*(1+Table14[[#This Row],[Ávöxtun]]))</f>
        <v>119.0592</v>
      </c>
      <c r="I388" cm="1">
        <f t="array" ref="I388">_xlfn.IFS(Table14[[#This Row],[Column4]]="NEW",_xlfn.XLOOKUP(Table14[[#This Row],[Year]],$M$2:$M$27,$O$2:$O$27),ISNUMBER(Table14[[#This Row],[Column4]]),Table14[[#This Row],[Column4]],Table14[[#This Row],[Column4]]="",I387*(1+Table14[[#This Row],[Ávöxtun]]))</f>
        <v>119.0592</v>
      </c>
      <c r="L388" s="33">
        <v>119.0592</v>
      </c>
    </row>
    <row r="389" spans="1:12">
      <c r="A389" t="s">
        <v>91</v>
      </c>
      <c r="B389">
        <v>1997</v>
      </c>
      <c r="C389" s="16">
        <v>0.08</v>
      </c>
      <c r="D389" s="1">
        <v>2367664.7999999998</v>
      </c>
      <c r="E389" s="29">
        <f>Table14[[#This Row],[Ávöxtun]]*Table14[[#This Row],[Eignir]]/SUMIFS(Table14[Eignir],Table14[Year],Table14[[#This Row],[Year]])</f>
        <v>5.5869919076279441E-4</v>
      </c>
      <c r="F389" s="23">
        <f>IF(B389=1997, 100, IF(COUNTIF(A$1:A388,A389)=0, "NEW", F388*(1+Table14[[#This Row],[Ávöxtun]])))</f>
        <v>100</v>
      </c>
      <c r="G389" s="18" cm="1">
        <f t="array" ref="G389">IFERROR(_xlfn.IFS(ISNUMBER(Table14[[#This Row],[Column3]]),Table14[[#This Row],[Column3]],Table14[[#This Row],[Column3]]="NEW",Table14[[#This Row],[Column3]]),"")</f>
        <v>100</v>
      </c>
      <c r="H389" s="15" cm="1">
        <f t="array" ref="H389">_xlfn.IFS(Table14[[#This Row],[Column4]]="NEW",AVERAGEIFS(Table14[Column4],Table14[Year],Table14[[#This Row],[Year]]),ISNUMBER(Table14[[#This Row],[Column4]]),Table14[[#This Row],[Column4]],Table14[[#This Row],[Column4]]="",H388*(1+Table14[[#This Row],[Ávöxtun]]))</f>
        <v>100</v>
      </c>
      <c r="I389" cm="1">
        <f t="array" ref="I389">_xlfn.IFS(Table14[[#This Row],[Column4]]="NEW",_xlfn.XLOOKUP(Table14[[#This Row],[Year]],$M$2:$M$27,$O$2:$O$27),ISNUMBER(Table14[[#This Row],[Column4]]),Table14[[#This Row],[Column4]],Table14[[#This Row],[Column4]]="",I388*(1+Table14[[#This Row],[Ávöxtun]]))</f>
        <v>100</v>
      </c>
      <c r="L389" s="33">
        <v>100</v>
      </c>
    </row>
    <row r="390" spans="1:12">
      <c r="A390" t="s">
        <v>91</v>
      </c>
      <c r="B390">
        <v>1998</v>
      </c>
      <c r="C390" s="16">
        <v>7.0000000000000007E-2</v>
      </c>
      <c r="D390" s="1">
        <v>2626303.38</v>
      </c>
      <c r="E390" s="29">
        <f>Table14[[#This Row],[Ávöxtun]]*Table14[[#This Row],[Eignir]]/SUMIFS(Table14[Eignir],Table14[Year],Table14[[#This Row],[Year]])</f>
        <v>4.6941994066636099E-4</v>
      </c>
      <c r="F390" s="23">
        <f>IF(B390=1997, 100, IF(COUNTIF(A$1:A389,A390)=0, "NEW", F389*(1+Table14[[#This Row],[Ávöxtun]])))</f>
        <v>107</v>
      </c>
      <c r="G390" s="18" cm="1">
        <f t="array" ref="G390">IFERROR(_xlfn.IFS(ISNUMBER(Table14[[#This Row],[Column3]]),Table14[[#This Row],[Column3]],Table14[[#This Row],[Column3]]="NEW",Table14[[#This Row],[Column3]]),"")</f>
        <v>107</v>
      </c>
      <c r="H390" s="15" cm="1">
        <f t="array" ref="H390">_xlfn.IFS(Table14[[#This Row],[Column4]]="NEW",AVERAGEIFS(Table14[Column4],Table14[Year],Table14[[#This Row],[Year]]),ISNUMBER(Table14[[#This Row],[Column4]]),Table14[[#This Row],[Column4]],Table14[[#This Row],[Column4]]="",H389*(1+Table14[[#This Row],[Ávöxtun]]))</f>
        <v>107</v>
      </c>
      <c r="I390" cm="1">
        <f t="array" ref="I390">_xlfn.IFS(Table14[[#This Row],[Column4]]="NEW",_xlfn.XLOOKUP(Table14[[#This Row],[Year]],$M$2:$M$27,$O$2:$O$27),ISNUMBER(Table14[[#This Row],[Column4]]),Table14[[#This Row],[Column4]],Table14[[#This Row],[Column4]]="",I389*(1+Table14[[#This Row],[Ávöxtun]]))</f>
        <v>107</v>
      </c>
      <c r="L390" s="33">
        <v>107</v>
      </c>
    </row>
    <row r="391" spans="1:12">
      <c r="A391" t="s">
        <v>91</v>
      </c>
      <c r="B391">
        <v>1999</v>
      </c>
      <c r="C391" s="16">
        <v>7.0000000000000007E-2</v>
      </c>
      <c r="D391" s="1">
        <v>3029999.74</v>
      </c>
      <c r="E391" s="29">
        <f>Table14[[#This Row],[Ávöxtun]]*Table14[[#This Row],[Eignir]]/SUMIFS(Table14[Eignir],Table14[Year],Table14[[#This Row],[Year]])</f>
        <v>4.0732319006483726E-4</v>
      </c>
      <c r="F391" s="23">
        <f>IF(B391=1997, 100, IF(COUNTIF(A$1:A390,A391)=0, "NEW", F390*(1+Table14[[#This Row],[Ávöxtun]])))</f>
        <v>114.49000000000001</v>
      </c>
      <c r="G391" s="18" cm="1">
        <f t="array" ref="G391">IFERROR(_xlfn.IFS(ISNUMBER(Table14[[#This Row],[Column3]]),Table14[[#This Row],[Column3]],Table14[[#This Row],[Column3]]="NEW",Table14[[#This Row],[Column3]]),"")</f>
        <v>114.49000000000001</v>
      </c>
      <c r="H391" s="15" cm="1">
        <f t="array" ref="H391">_xlfn.IFS(Table14[[#This Row],[Column4]]="NEW",AVERAGEIFS(Table14[Column4],Table14[Year],Table14[[#This Row],[Year]]),ISNUMBER(Table14[[#This Row],[Column4]]),Table14[[#This Row],[Column4]],Table14[[#This Row],[Column4]]="",H390*(1+Table14[[#This Row],[Ávöxtun]]))</f>
        <v>114.49000000000001</v>
      </c>
      <c r="I391" cm="1">
        <f t="array" ref="I391">_xlfn.IFS(Table14[[#This Row],[Column4]]="NEW",_xlfn.XLOOKUP(Table14[[#This Row],[Year]],$M$2:$M$27,$O$2:$O$27),ISNUMBER(Table14[[#This Row],[Column4]]),Table14[[#This Row],[Column4]],Table14[[#This Row],[Column4]]="",I390*(1+Table14[[#This Row],[Ávöxtun]]))</f>
        <v>114.49000000000001</v>
      </c>
      <c r="L391" s="33">
        <v>114.49000000000001</v>
      </c>
    </row>
    <row r="392" spans="1:12">
      <c r="A392" t="s">
        <v>91</v>
      </c>
      <c r="B392">
        <v>2000</v>
      </c>
      <c r="C392" s="16">
        <v>0.03</v>
      </c>
      <c r="D392" s="1">
        <v>3298266.01</v>
      </c>
      <c r="E392" s="29">
        <f>Table14[[#This Row],[Ávöxtun]]*Table14[[#This Row],[Eignir]]/SUMIFS(Table14[Eignir],Table14[Year],Table14[[#This Row],[Year]])</f>
        <v>1.3918893295232731E-4</v>
      </c>
      <c r="F392" s="23">
        <f>IF(B392=1997, 100, IF(COUNTIF(A$1:A391,A392)=0, "NEW", F391*(1+Table14[[#This Row],[Ávöxtun]])))</f>
        <v>117.92470000000002</v>
      </c>
      <c r="G392" s="18" cm="1">
        <f t="array" ref="G392">IFERROR(_xlfn.IFS(ISNUMBER(Table14[[#This Row],[Column3]]),Table14[[#This Row],[Column3]],Table14[[#This Row],[Column3]]="NEW",Table14[[#This Row],[Column3]]),"")</f>
        <v>117.92470000000002</v>
      </c>
      <c r="H392" s="15" cm="1">
        <f t="array" ref="H392">_xlfn.IFS(Table14[[#This Row],[Column4]]="NEW",AVERAGEIFS(Table14[Column4],Table14[Year],Table14[[#This Row],[Year]]),ISNUMBER(Table14[[#This Row],[Column4]]),Table14[[#This Row],[Column4]],Table14[[#This Row],[Column4]]="",H391*(1+Table14[[#This Row],[Ávöxtun]]))</f>
        <v>117.92470000000002</v>
      </c>
      <c r="I392" cm="1">
        <f t="array" ref="I392">_xlfn.IFS(Table14[[#This Row],[Column4]]="NEW",_xlfn.XLOOKUP(Table14[[#This Row],[Year]],$M$2:$M$27,$O$2:$O$27),ISNUMBER(Table14[[#This Row],[Column4]]),Table14[[#This Row],[Column4]],Table14[[#This Row],[Column4]]="",I391*(1+Table14[[#This Row],[Ávöxtun]]))</f>
        <v>117.92470000000002</v>
      </c>
      <c r="L392" s="33">
        <v>117.92470000000002</v>
      </c>
    </row>
    <row r="393" spans="1:12">
      <c r="A393" t="s">
        <v>140</v>
      </c>
      <c r="B393">
        <v>1997</v>
      </c>
      <c r="C393" s="16">
        <v>0</v>
      </c>
      <c r="D393" s="1">
        <v>60538.19</v>
      </c>
      <c r="E393" s="29">
        <f>Table14[[#This Row],[Ávöxtun]]*Table14[[#This Row],[Eignir]]/SUMIFS(Table14[Eignir],Table14[Year],Table14[[#This Row],[Year]])</f>
        <v>0</v>
      </c>
      <c r="F393" s="23">
        <f>IF(B393=1997, 100, IF(COUNTIF(A$1:A392,A393)=0, "NEW", F392*(1+Table14[[#This Row],[Ávöxtun]])))</f>
        <v>100</v>
      </c>
      <c r="G393" s="18" cm="1">
        <f t="array" ref="G393">IFERROR(_xlfn.IFS(ISNUMBER(Table14[[#This Row],[Column3]]),Table14[[#This Row],[Column3]],Table14[[#This Row],[Column3]]="NEW",Table14[[#This Row],[Column3]]),"")</f>
        <v>100</v>
      </c>
      <c r="H393" s="15" cm="1">
        <f t="array" ref="H393">_xlfn.IFS(Table14[[#This Row],[Column4]]="NEW",AVERAGEIFS(Table14[Column4],Table14[Year],Table14[[#This Row],[Year]]),ISNUMBER(Table14[[#This Row],[Column4]]),Table14[[#This Row],[Column4]],Table14[[#This Row],[Column4]]="",H392*(1+Table14[[#This Row],[Ávöxtun]]))</f>
        <v>100</v>
      </c>
      <c r="I393" cm="1">
        <f t="array" ref="I393">_xlfn.IFS(Table14[[#This Row],[Column4]]="NEW",_xlfn.XLOOKUP(Table14[[#This Row],[Year]],$M$2:$M$27,$O$2:$O$27),ISNUMBER(Table14[[#This Row],[Column4]]),Table14[[#This Row],[Column4]],Table14[[#This Row],[Column4]]="",I392*(1+Table14[[#This Row],[Ávöxtun]]))</f>
        <v>100</v>
      </c>
      <c r="L393" s="33">
        <v>100</v>
      </c>
    </row>
    <row r="394" spans="1:12">
      <c r="A394" t="s">
        <v>140</v>
      </c>
      <c r="B394">
        <v>1998</v>
      </c>
      <c r="C394" s="16">
        <v>0</v>
      </c>
      <c r="D394" s="1">
        <v>37214.97</v>
      </c>
      <c r="E394" s="29">
        <f>Table14[[#This Row],[Ávöxtun]]*Table14[[#This Row],[Eignir]]/SUMIFS(Table14[Eignir],Table14[Year],Table14[[#This Row],[Year]])</f>
        <v>0</v>
      </c>
      <c r="F394" s="23">
        <f>IF(B394=1997, 100, IF(COUNTIF(A$1:A393,A394)=0, "NEW", F393*(1+Table14[[#This Row],[Ávöxtun]])))</f>
        <v>100</v>
      </c>
      <c r="G394" s="18" cm="1">
        <f t="array" ref="G394">IFERROR(_xlfn.IFS(ISNUMBER(Table14[[#This Row],[Column3]]),Table14[[#This Row],[Column3]],Table14[[#This Row],[Column3]]="NEW",Table14[[#This Row],[Column3]]),"")</f>
        <v>100</v>
      </c>
      <c r="H394" s="15" cm="1">
        <f t="array" ref="H394">_xlfn.IFS(Table14[[#This Row],[Column4]]="NEW",AVERAGEIFS(Table14[Column4],Table14[Year],Table14[[#This Row],[Year]]),ISNUMBER(Table14[[#This Row],[Column4]]),Table14[[#This Row],[Column4]],Table14[[#This Row],[Column4]]="",H393*(1+Table14[[#This Row],[Ávöxtun]]))</f>
        <v>100</v>
      </c>
      <c r="I394" cm="1">
        <f t="array" ref="I394">_xlfn.IFS(Table14[[#This Row],[Column4]]="NEW",_xlfn.XLOOKUP(Table14[[#This Row],[Year]],$M$2:$M$27,$O$2:$O$27),ISNUMBER(Table14[[#This Row],[Column4]]),Table14[[#This Row],[Column4]],Table14[[#This Row],[Column4]]="",I393*(1+Table14[[#This Row],[Ávöxtun]]))</f>
        <v>100</v>
      </c>
      <c r="L394" s="33">
        <v>100</v>
      </c>
    </row>
    <row r="395" spans="1:12">
      <c r="A395" t="s">
        <v>92</v>
      </c>
      <c r="B395">
        <v>1997</v>
      </c>
      <c r="C395" s="16">
        <v>7.0000000000000007E-2</v>
      </c>
      <c r="D395" s="1">
        <v>308830.8</v>
      </c>
      <c r="E395" s="29">
        <f>Table14[[#This Row],[Ávöxtun]]*Table14[[#This Row],[Eignir]]/SUMIFS(Table14[Eignir],Table14[Year],Table14[[#This Row],[Year]])</f>
        <v>6.3765604948512193E-5</v>
      </c>
      <c r="F395" s="23">
        <f>IF(B395=1997, 100, IF(COUNTIF(A$1:A394,A395)=0, "NEW", F394*(1+Table14[[#This Row],[Ávöxtun]])))</f>
        <v>100</v>
      </c>
      <c r="G395" s="18" cm="1">
        <f t="array" ref="G395">IFERROR(_xlfn.IFS(ISNUMBER(Table14[[#This Row],[Column3]]),Table14[[#This Row],[Column3]],Table14[[#This Row],[Column3]]="NEW",Table14[[#This Row],[Column3]]),"")</f>
        <v>100</v>
      </c>
      <c r="H395" s="15" cm="1">
        <f t="array" ref="H395">_xlfn.IFS(Table14[[#This Row],[Column4]]="NEW",AVERAGEIFS(Table14[Column4],Table14[Year],Table14[[#This Row],[Year]]),ISNUMBER(Table14[[#This Row],[Column4]]),Table14[[#This Row],[Column4]],Table14[[#This Row],[Column4]]="",H394*(1+Table14[[#This Row],[Ávöxtun]]))</f>
        <v>100</v>
      </c>
      <c r="I395" cm="1">
        <f t="array" ref="I395">_xlfn.IFS(Table14[[#This Row],[Column4]]="NEW",_xlfn.XLOOKUP(Table14[[#This Row],[Year]],$M$2:$M$27,$O$2:$O$27),ISNUMBER(Table14[[#This Row],[Column4]]),Table14[[#This Row],[Column4]],Table14[[#This Row],[Column4]]="",I394*(1+Table14[[#This Row],[Ávöxtun]]))</f>
        <v>100</v>
      </c>
      <c r="L395" s="33">
        <v>100</v>
      </c>
    </row>
    <row r="396" spans="1:12">
      <c r="A396" t="s">
        <v>93</v>
      </c>
      <c r="B396">
        <v>1997</v>
      </c>
      <c r="C396" s="16">
        <v>0.13</v>
      </c>
      <c r="D396" s="1">
        <v>10546818.51</v>
      </c>
      <c r="E396" s="29">
        <f>Table14[[#This Row],[Ávöxtun]]*Table14[[#This Row],[Eignir]]/SUMIFS(Table14[Eignir],Table14[Year],Table14[[#This Row],[Year]])</f>
        <v>4.0442003533696889E-3</v>
      </c>
      <c r="F396" s="23">
        <f>IF(B396=1997, 100, IF(COUNTIF(A$1:A395,A396)=0, "NEW", F395*(1+Table14[[#This Row],[Ávöxtun]])))</f>
        <v>100</v>
      </c>
      <c r="G396" s="18" cm="1">
        <f t="array" ref="G396">IFERROR(_xlfn.IFS(ISNUMBER(Table14[[#This Row],[Column3]]),Table14[[#This Row],[Column3]],Table14[[#This Row],[Column3]]="NEW",Table14[[#This Row],[Column3]]),"")</f>
        <v>100</v>
      </c>
      <c r="H396" s="15" cm="1">
        <f t="array" ref="H396">_xlfn.IFS(Table14[[#This Row],[Column4]]="NEW",AVERAGEIFS(Table14[Column4],Table14[Year],Table14[[#This Row],[Year]]),ISNUMBER(Table14[[#This Row],[Column4]]),Table14[[#This Row],[Column4]],Table14[[#This Row],[Column4]]="",H395*(1+Table14[[#This Row],[Ávöxtun]]))</f>
        <v>100</v>
      </c>
      <c r="I396" cm="1">
        <f t="array" ref="I396">_xlfn.IFS(Table14[[#This Row],[Column4]]="NEW",_xlfn.XLOOKUP(Table14[[#This Row],[Year]],$M$2:$M$27,$O$2:$O$27),ISNUMBER(Table14[[#This Row],[Column4]]),Table14[[#This Row],[Column4]],Table14[[#This Row],[Column4]]="",I395*(1+Table14[[#This Row],[Ávöxtun]]))</f>
        <v>100</v>
      </c>
      <c r="L396" s="33">
        <v>100</v>
      </c>
    </row>
    <row r="397" spans="1:12">
      <c r="A397" t="s">
        <v>93</v>
      </c>
      <c r="B397">
        <v>1998</v>
      </c>
      <c r="C397" s="16">
        <v>0.02</v>
      </c>
      <c r="D397" s="1">
        <v>11330066.619999999</v>
      </c>
      <c r="E397" s="29">
        <f>Table14[[#This Row],[Ávöxtun]]*Table14[[#This Row],[Eignir]]/SUMIFS(Table14[Eignir],Table14[Year],Table14[[#This Row],[Year]])</f>
        <v>5.7860350581500784E-4</v>
      </c>
      <c r="F397" s="23">
        <f>IF(B397=1997, 100, IF(COUNTIF(A$1:A396,A397)=0, "NEW", F396*(1+Table14[[#This Row],[Ávöxtun]])))</f>
        <v>102</v>
      </c>
      <c r="G397" s="18" cm="1">
        <f t="array" ref="G397">IFERROR(_xlfn.IFS(ISNUMBER(Table14[[#This Row],[Column3]]),Table14[[#This Row],[Column3]],Table14[[#This Row],[Column3]]="NEW",Table14[[#This Row],[Column3]]),"")</f>
        <v>102</v>
      </c>
      <c r="H397" s="15" cm="1">
        <f t="array" ref="H397">_xlfn.IFS(Table14[[#This Row],[Column4]]="NEW",AVERAGEIFS(Table14[Column4],Table14[Year],Table14[[#This Row],[Year]]),ISNUMBER(Table14[[#This Row],[Column4]]),Table14[[#This Row],[Column4]],Table14[[#This Row],[Column4]]="",H396*(1+Table14[[#This Row],[Ávöxtun]]))</f>
        <v>102</v>
      </c>
      <c r="I397" cm="1">
        <f t="array" ref="I397">_xlfn.IFS(Table14[[#This Row],[Column4]]="NEW",_xlfn.XLOOKUP(Table14[[#This Row],[Year]],$M$2:$M$27,$O$2:$O$27),ISNUMBER(Table14[[#This Row],[Column4]]),Table14[[#This Row],[Column4]],Table14[[#This Row],[Column4]]="",I396*(1+Table14[[#This Row],[Ávöxtun]]))</f>
        <v>102</v>
      </c>
      <c r="L397" s="33">
        <v>102</v>
      </c>
    </row>
    <row r="398" spans="1:12">
      <c r="A398" t="s">
        <v>93</v>
      </c>
      <c r="B398">
        <v>1999</v>
      </c>
      <c r="C398" s="16">
        <v>0.08</v>
      </c>
      <c r="D398" s="1">
        <v>13471156.970000001</v>
      </c>
      <c r="E398" s="29">
        <f>Table14[[#This Row],[Ávöxtun]]*Table14[[#This Row],[Eignir]]/SUMIFS(Table14[Eignir],Table14[Year],Table14[[#This Row],[Year]])</f>
        <v>2.0696332302597366E-3</v>
      </c>
      <c r="F398" s="23">
        <f>IF(B398=1997, 100, IF(COUNTIF(A$1:A397,A398)=0, "NEW", F397*(1+Table14[[#This Row],[Ávöxtun]])))</f>
        <v>110.16000000000001</v>
      </c>
      <c r="G398" s="18" cm="1">
        <f t="array" ref="G398">IFERROR(_xlfn.IFS(ISNUMBER(Table14[[#This Row],[Column3]]),Table14[[#This Row],[Column3]],Table14[[#This Row],[Column3]]="NEW",Table14[[#This Row],[Column3]]),"")</f>
        <v>110.16000000000001</v>
      </c>
      <c r="H398" s="15" cm="1">
        <f t="array" ref="H398">_xlfn.IFS(Table14[[#This Row],[Column4]]="NEW",AVERAGEIFS(Table14[Column4],Table14[Year],Table14[[#This Row],[Year]]),ISNUMBER(Table14[[#This Row],[Column4]]),Table14[[#This Row],[Column4]],Table14[[#This Row],[Column4]]="",H397*(1+Table14[[#This Row],[Ávöxtun]]))</f>
        <v>110.16000000000001</v>
      </c>
      <c r="I398" cm="1">
        <f t="array" ref="I398">_xlfn.IFS(Table14[[#This Row],[Column4]]="NEW",_xlfn.XLOOKUP(Table14[[#This Row],[Year]],$M$2:$M$27,$O$2:$O$27),ISNUMBER(Table14[[#This Row],[Column4]]),Table14[[#This Row],[Column4]],Table14[[#This Row],[Column4]]="",I397*(1+Table14[[#This Row],[Ávöxtun]]))</f>
        <v>110.16000000000001</v>
      </c>
      <c r="L398" s="33">
        <v>110.16000000000001</v>
      </c>
    </row>
    <row r="399" spans="1:12">
      <c r="A399" t="s">
        <v>93</v>
      </c>
      <c r="B399">
        <v>2000</v>
      </c>
      <c r="C399" s="16">
        <v>-0.04</v>
      </c>
      <c r="D399" s="1">
        <v>13856038.65</v>
      </c>
      <c r="E399" s="29">
        <f>Table14[[#This Row],[Ávöxtun]]*Table14[[#This Row],[Eignir]]/SUMIFS(Table14[Eignir],Table14[Year],Table14[[#This Row],[Year]])</f>
        <v>-7.7964491191932132E-4</v>
      </c>
      <c r="F399" s="23">
        <f>IF(B399=1997, 100, IF(COUNTIF(A$1:A398,A399)=0, "NEW", F398*(1+Table14[[#This Row],[Ávöxtun]])))</f>
        <v>105.75360000000001</v>
      </c>
      <c r="G399" s="18" cm="1">
        <f t="array" ref="G399">IFERROR(_xlfn.IFS(ISNUMBER(Table14[[#This Row],[Column3]]),Table14[[#This Row],[Column3]],Table14[[#This Row],[Column3]]="NEW",Table14[[#This Row],[Column3]]),"")</f>
        <v>105.75360000000001</v>
      </c>
      <c r="H399" s="15" cm="1">
        <f t="array" ref="H399">_xlfn.IFS(Table14[[#This Row],[Column4]]="NEW",AVERAGEIFS(Table14[Column4],Table14[Year],Table14[[#This Row],[Year]]),ISNUMBER(Table14[[#This Row],[Column4]]),Table14[[#This Row],[Column4]],Table14[[#This Row],[Column4]]="",H398*(1+Table14[[#This Row],[Ávöxtun]]))</f>
        <v>105.75360000000001</v>
      </c>
      <c r="I399" cm="1">
        <f t="array" ref="I399">_xlfn.IFS(Table14[[#This Row],[Column4]]="NEW",_xlfn.XLOOKUP(Table14[[#This Row],[Year]],$M$2:$M$27,$O$2:$O$27),ISNUMBER(Table14[[#This Row],[Column4]]),Table14[[#This Row],[Column4]],Table14[[#This Row],[Column4]]="",I398*(1+Table14[[#This Row],[Ávöxtun]]))</f>
        <v>105.75360000000001</v>
      </c>
      <c r="L399" s="33">
        <v>105.75360000000001</v>
      </c>
    </row>
    <row r="400" spans="1:12">
      <c r="A400" t="s">
        <v>93</v>
      </c>
      <c r="B400">
        <v>2001</v>
      </c>
      <c r="C400" s="16">
        <v>-0.1</v>
      </c>
      <c r="D400" s="1">
        <v>14039988.74</v>
      </c>
      <c r="E400" s="29">
        <f>Table14[[#This Row],[Ávöxtun]]*Table14[[#This Row],[Eignir]]/SUMIFS(Table14[Eignir],Table14[Year],Table14[[#This Row],[Year]])</f>
        <v>-1.2125225052086858E-3</v>
      </c>
      <c r="F400" s="23">
        <f>IF(B400=1997, 100, IF(COUNTIF(A$1:A399,A400)=0, "NEW", F399*(1+Table14[[#This Row],[Ávöxtun]])))</f>
        <v>95.178240000000002</v>
      </c>
      <c r="G400" s="18" cm="1">
        <f t="array" ref="G400">IFERROR(_xlfn.IFS(ISNUMBER(Table14[[#This Row],[Column3]]),Table14[[#This Row],[Column3]],Table14[[#This Row],[Column3]]="NEW",Table14[[#This Row],[Column3]]),"")</f>
        <v>95.178240000000002</v>
      </c>
      <c r="H400" s="15" cm="1">
        <f t="array" ref="H400">_xlfn.IFS(Table14[[#This Row],[Column4]]="NEW",AVERAGEIFS(Table14[Column4],Table14[Year],Table14[[#This Row],[Year]]),ISNUMBER(Table14[[#This Row],[Column4]]),Table14[[#This Row],[Column4]],Table14[[#This Row],[Column4]]="",H399*(1+Table14[[#This Row],[Ávöxtun]]))</f>
        <v>95.178240000000002</v>
      </c>
      <c r="I400" cm="1">
        <f t="array" ref="I400">_xlfn.IFS(Table14[[#This Row],[Column4]]="NEW",_xlfn.XLOOKUP(Table14[[#This Row],[Year]],$M$2:$M$27,$O$2:$O$27),ISNUMBER(Table14[[#This Row],[Column4]]),Table14[[#This Row],[Column4]],Table14[[#This Row],[Column4]]="",I399*(1+Table14[[#This Row],[Ávöxtun]]))</f>
        <v>95.178240000000002</v>
      </c>
      <c r="L400" s="33">
        <v>95.178240000000002</v>
      </c>
    </row>
    <row r="401" spans="1:12">
      <c r="A401" t="s">
        <v>93</v>
      </c>
      <c r="B401">
        <v>2002</v>
      </c>
      <c r="C401" s="16">
        <v>-0.11</v>
      </c>
      <c r="D401" s="1">
        <v>13235732.9</v>
      </c>
      <c r="E401" s="29">
        <f>Table14[[#This Row],[Ávöxtun]]*Table14[[#This Row],[Eignir]]/SUMIFS(Table14[Eignir],Table14[Year],Table14[[#This Row],[Year]])</f>
        <v>-2.2922115594206476E-3</v>
      </c>
      <c r="F401" s="23">
        <f>IF(B401=1997, 100, IF(COUNTIF(A$1:A400,A401)=0, "NEW", F400*(1+Table14[[#This Row],[Ávöxtun]])))</f>
        <v>84.708633599999999</v>
      </c>
      <c r="G401" s="18" cm="1">
        <f t="array" ref="G401">IFERROR(_xlfn.IFS(ISNUMBER(Table14[[#This Row],[Column3]]),Table14[[#This Row],[Column3]],Table14[[#This Row],[Column3]]="NEW",Table14[[#This Row],[Column3]]),"")</f>
        <v>84.708633599999999</v>
      </c>
      <c r="H401" s="15" cm="1">
        <f t="array" ref="H401">_xlfn.IFS(Table14[[#This Row],[Column4]]="NEW",AVERAGEIFS(Table14[Column4],Table14[Year],Table14[[#This Row],[Year]]),ISNUMBER(Table14[[#This Row],[Column4]]),Table14[[#This Row],[Column4]],Table14[[#This Row],[Column4]]="",H400*(1+Table14[[#This Row],[Ávöxtun]]))</f>
        <v>84.708633599999999</v>
      </c>
      <c r="I401" cm="1">
        <f t="array" ref="I401">_xlfn.IFS(Table14[[#This Row],[Column4]]="NEW",_xlfn.XLOOKUP(Table14[[#This Row],[Year]],$M$2:$M$27,$O$2:$O$27),ISNUMBER(Table14[[#This Row],[Column4]]),Table14[[#This Row],[Column4]],Table14[[#This Row],[Column4]]="",I400*(1+Table14[[#This Row],[Ávöxtun]]))</f>
        <v>84.708633599999999</v>
      </c>
      <c r="L401" s="33">
        <v>84.708633599999999</v>
      </c>
    </row>
    <row r="402" spans="1:12">
      <c r="A402" t="s">
        <v>93</v>
      </c>
      <c r="B402">
        <v>2003</v>
      </c>
      <c r="C402" s="16">
        <v>0.11</v>
      </c>
      <c r="D402" s="1">
        <v>15647579</v>
      </c>
      <c r="E402" s="29">
        <f>Table14[[#This Row],[Ávöxtun]]*Table14[[#This Row],[Eignir]]/SUMIFS(Table14[Eignir],Table14[Year],Table14[[#This Row],[Year]])</f>
        <v>2.2651048579046791E-3</v>
      </c>
      <c r="F402" s="23">
        <f>IF(B402=1997, 100, IF(COUNTIF(A$1:A401,A402)=0, "NEW", F401*(1+Table14[[#This Row],[Ávöxtun]])))</f>
        <v>94.026583296000013</v>
      </c>
      <c r="G402" s="18" cm="1">
        <f t="array" ref="G402">IFERROR(_xlfn.IFS(ISNUMBER(Table14[[#This Row],[Column3]]),Table14[[#This Row],[Column3]],Table14[[#This Row],[Column3]]="NEW",Table14[[#This Row],[Column3]]),"")</f>
        <v>94.026583296000013</v>
      </c>
      <c r="H402" s="15" cm="1">
        <f t="array" ref="H402">_xlfn.IFS(Table14[[#This Row],[Column4]]="NEW",AVERAGEIFS(Table14[Column4],Table14[Year],Table14[[#This Row],[Year]]),ISNUMBER(Table14[[#This Row],[Column4]]),Table14[[#This Row],[Column4]],Table14[[#This Row],[Column4]]="",H401*(1+Table14[[#This Row],[Ávöxtun]]))</f>
        <v>94.026583296000013</v>
      </c>
      <c r="I402" cm="1">
        <f t="array" ref="I402">_xlfn.IFS(Table14[[#This Row],[Column4]]="NEW",_xlfn.XLOOKUP(Table14[[#This Row],[Year]],$M$2:$M$27,$O$2:$O$27),ISNUMBER(Table14[[#This Row],[Column4]]),Table14[[#This Row],[Column4]],Table14[[#This Row],[Column4]]="",I401*(1+Table14[[#This Row],[Ávöxtun]]))</f>
        <v>94.026583296000013</v>
      </c>
      <c r="L402" s="33">
        <v>94.026583296000013</v>
      </c>
    </row>
    <row r="403" spans="1:12">
      <c r="A403" t="s">
        <v>93</v>
      </c>
      <c r="B403">
        <v>2004</v>
      </c>
      <c r="C403" s="16">
        <v>0.09</v>
      </c>
      <c r="D403" s="1">
        <v>18311035</v>
      </c>
      <c r="E403" s="29">
        <f>Table14[[#This Row],[Ávöxtun]]*Table14[[#This Row],[Eignir]]/SUMIFS(Table14[Eignir],Table14[Year],Table14[[#This Row],[Year]])</f>
        <v>1.8156294448757719E-3</v>
      </c>
      <c r="F403" s="23">
        <f>IF(B403=1997, 100, IF(COUNTIF(A$1:A402,A403)=0, "NEW", F402*(1+Table14[[#This Row],[Ávöxtun]])))</f>
        <v>102.48897579264002</v>
      </c>
      <c r="G403" s="18" cm="1">
        <f t="array" ref="G403">IFERROR(_xlfn.IFS(ISNUMBER(Table14[[#This Row],[Column3]]),Table14[[#This Row],[Column3]],Table14[[#This Row],[Column3]]="NEW",Table14[[#This Row],[Column3]]),"")</f>
        <v>102.48897579264002</v>
      </c>
      <c r="H403" s="15" cm="1">
        <f t="array" ref="H403">_xlfn.IFS(Table14[[#This Row],[Column4]]="NEW",AVERAGEIFS(Table14[Column4],Table14[Year],Table14[[#This Row],[Year]]),ISNUMBER(Table14[[#This Row],[Column4]]),Table14[[#This Row],[Column4]],Table14[[#This Row],[Column4]]="",H402*(1+Table14[[#This Row],[Ávöxtun]]))</f>
        <v>102.48897579264002</v>
      </c>
      <c r="I403" cm="1">
        <f t="array" ref="I403">_xlfn.IFS(Table14[[#This Row],[Column4]]="NEW",_xlfn.XLOOKUP(Table14[[#This Row],[Year]],$M$2:$M$27,$O$2:$O$27),ISNUMBER(Table14[[#This Row],[Column4]]),Table14[[#This Row],[Column4]],Table14[[#This Row],[Column4]]="",I402*(1+Table14[[#This Row],[Ávöxtun]]))</f>
        <v>102.48897579264002</v>
      </c>
      <c r="L403" s="33">
        <v>102.48897579264002</v>
      </c>
    </row>
    <row r="404" spans="1:12">
      <c r="A404" t="s">
        <v>93</v>
      </c>
      <c r="B404">
        <v>2005</v>
      </c>
      <c r="C404" s="16">
        <v>0.1</v>
      </c>
      <c r="D404" s="1">
        <v>21940590</v>
      </c>
      <c r="E404" s="29">
        <f>Table14[[#This Row],[Ávöxtun]]*Table14[[#This Row],[Eignir]]/SUMIFS(Table14[Eignir],Table14[Year],Table14[[#This Row],[Year]])</f>
        <v>1.9566442114428038E-3</v>
      </c>
      <c r="F404" s="23">
        <f>IF(B404=1997, 100, IF(COUNTIF(A$1:A403,A404)=0, "NEW", F403*(1+Table14[[#This Row],[Ávöxtun]])))</f>
        <v>112.73787337190403</v>
      </c>
      <c r="G404" s="18" cm="1">
        <f t="array" ref="G404">IFERROR(_xlfn.IFS(ISNUMBER(Table14[[#This Row],[Column3]]),Table14[[#This Row],[Column3]],Table14[[#This Row],[Column3]]="NEW",Table14[[#This Row],[Column3]]),"")</f>
        <v>112.73787337190403</v>
      </c>
      <c r="H404" s="15" cm="1">
        <f t="array" ref="H404">_xlfn.IFS(Table14[[#This Row],[Column4]]="NEW",AVERAGEIFS(Table14[Column4],Table14[Year],Table14[[#This Row],[Year]]),ISNUMBER(Table14[[#This Row],[Column4]]),Table14[[#This Row],[Column4]],Table14[[#This Row],[Column4]]="",H403*(1+Table14[[#This Row],[Ávöxtun]]))</f>
        <v>112.73787337190403</v>
      </c>
      <c r="I404" cm="1">
        <f t="array" ref="I404">_xlfn.IFS(Table14[[#This Row],[Column4]]="NEW",_xlfn.XLOOKUP(Table14[[#This Row],[Year]],$M$2:$M$27,$O$2:$O$27),ISNUMBER(Table14[[#This Row],[Column4]]),Table14[[#This Row],[Column4]],Table14[[#This Row],[Column4]]="",I403*(1+Table14[[#This Row],[Ávöxtun]]))</f>
        <v>112.73787337190403</v>
      </c>
      <c r="L404" s="33">
        <v>112.73787337190403</v>
      </c>
    </row>
    <row r="405" spans="1:12">
      <c r="A405" t="s">
        <v>93</v>
      </c>
      <c r="B405">
        <v>2006</v>
      </c>
      <c r="C405" s="16">
        <v>8.8300000000000003E-2</v>
      </c>
      <c r="D405" s="1">
        <v>27425648</v>
      </c>
      <c r="E405" s="29">
        <f>Table14[[#This Row],[Ávöxtun]]*Table14[[#This Row],[Eignir]]/SUMIFS(Table14[Eignir],Table14[Year],Table14[[#This Row],[Year]])</f>
        <v>1.7642075431600142E-3</v>
      </c>
      <c r="F405" s="23">
        <f>IF(B405=1997, 100, IF(COUNTIF(A$1:A404,A405)=0, "NEW", F404*(1+Table14[[#This Row],[Ávöxtun]])))</f>
        <v>122.69262759064316</v>
      </c>
      <c r="G405" s="18" cm="1">
        <f t="array" ref="G405">IFERROR(_xlfn.IFS(ISNUMBER(Table14[[#This Row],[Column3]]),Table14[[#This Row],[Column3]],Table14[[#This Row],[Column3]]="NEW",Table14[[#This Row],[Column3]]),"")</f>
        <v>122.69262759064316</v>
      </c>
      <c r="H405" s="15" cm="1">
        <f t="array" ref="H405">_xlfn.IFS(Table14[[#This Row],[Column4]]="NEW",AVERAGEIFS(Table14[Column4],Table14[Year],Table14[[#This Row],[Year]]),ISNUMBER(Table14[[#This Row],[Column4]]),Table14[[#This Row],[Column4]],Table14[[#This Row],[Column4]]="",H404*(1+Table14[[#This Row],[Ávöxtun]]))</f>
        <v>122.69262759064316</v>
      </c>
      <c r="I405" cm="1">
        <f t="array" ref="I405">_xlfn.IFS(Table14[[#This Row],[Column4]]="NEW",_xlfn.XLOOKUP(Table14[[#This Row],[Year]],$M$2:$M$27,$O$2:$O$27),ISNUMBER(Table14[[#This Row],[Column4]]),Table14[[#This Row],[Column4]],Table14[[#This Row],[Column4]]="",I404*(1+Table14[[#This Row],[Ávöxtun]]))</f>
        <v>122.69262759064316</v>
      </c>
      <c r="L405" s="33">
        <v>122.69262759064316</v>
      </c>
    </row>
    <row r="406" spans="1:12">
      <c r="A406" t="s">
        <v>108</v>
      </c>
      <c r="B406">
        <v>1997</v>
      </c>
      <c r="C406" s="16">
        <v>0.09</v>
      </c>
      <c r="D406" s="1">
        <v>9098944.8300000001</v>
      </c>
      <c r="E406" s="29">
        <f>Table14[[#This Row],[Ávöxtun]]*Table14[[#This Row],[Eignir]]/SUMIFS(Table14[Eignir],Table14[Year],Table14[[#This Row],[Year]])</f>
        <v>2.4154685040217059E-3</v>
      </c>
      <c r="F406" s="23">
        <f>IF(B406=1997, 100, IF(COUNTIF(A$1:A405,A406)=0, "NEW", F405*(1+Table14[[#This Row],[Ávöxtun]])))</f>
        <v>100</v>
      </c>
      <c r="G406" s="18" cm="1">
        <f t="array" ref="G406">IFERROR(_xlfn.IFS(ISNUMBER(Table14[[#This Row],[Column3]]),Table14[[#This Row],[Column3]],Table14[[#This Row],[Column3]]="NEW",Table14[[#This Row],[Column3]]),"")</f>
        <v>100</v>
      </c>
      <c r="H406" s="15" cm="1">
        <f t="array" ref="H406">_xlfn.IFS(Table14[[#This Row],[Column4]]="NEW",AVERAGEIFS(Table14[Column4],Table14[Year],Table14[[#This Row],[Year]]),ISNUMBER(Table14[[#This Row],[Column4]]),Table14[[#This Row],[Column4]],Table14[[#This Row],[Column4]]="",H405*(1+Table14[[#This Row],[Ávöxtun]]))</f>
        <v>100</v>
      </c>
      <c r="I406" cm="1">
        <f t="array" ref="I406">_xlfn.IFS(Table14[[#This Row],[Column4]]="NEW",_xlfn.XLOOKUP(Table14[[#This Row],[Year]],$M$2:$M$27,$O$2:$O$27),ISNUMBER(Table14[[#This Row],[Column4]]),Table14[[#This Row],[Column4]],Table14[[#This Row],[Column4]]="",I405*(1+Table14[[#This Row],[Ávöxtun]]))</f>
        <v>100</v>
      </c>
      <c r="L406" s="33">
        <v>100</v>
      </c>
    </row>
    <row r="407" spans="1:12">
      <c r="A407" t="s">
        <v>108</v>
      </c>
      <c r="B407">
        <v>1998</v>
      </c>
      <c r="C407" s="16">
        <v>0.09</v>
      </c>
      <c r="D407" s="1">
        <v>9915207.7100000009</v>
      </c>
      <c r="E407" s="29">
        <f>Table14[[#This Row],[Ávöxtun]]*Table14[[#This Row],[Eignir]]/SUMIFS(Table14[Eignir],Table14[Year],Table14[[#This Row],[Year]])</f>
        <v>2.2785728984976599E-3</v>
      </c>
      <c r="F407" s="23">
        <f>IF(B407=1997, 100, IF(COUNTIF(A$1:A406,A407)=0, "NEW", F406*(1+Table14[[#This Row],[Ávöxtun]])))</f>
        <v>109.00000000000001</v>
      </c>
      <c r="G407" s="18" cm="1">
        <f t="array" ref="G407">IFERROR(_xlfn.IFS(ISNUMBER(Table14[[#This Row],[Column3]]),Table14[[#This Row],[Column3]],Table14[[#This Row],[Column3]]="NEW",Table14[[#This Row],[Column3]]),"")</f>
        <v>109.00000000000001</v>
      </c>
      <c r="H407" s="15" cm="1">
        <f t="array" ref="H407">_xlfn.IFS(Table14[[#This Row],[Column4]]="NEW",AVERAGEIFS(Table14[Column4],Table14[Year],Table14[[#This Row],[Year]]),ISNUMBER(Table14[[#This Row],[Column4]]),Table14[[#This Row],[Column4]],Table14[[#This Row],[Column4]]="",H406*(1+Table14[[#This Row],[Ávöxtun]]))</f>
        <v>109.00000000000001</v>
      </c>
      <c r="I407" cm="1">
        <f t="array" ref="I407">_xlfn.IFS(Table14[[#This Row],[Column4]]="NEW",_xlfn.XLOOKUP(Table14[[#This Row],[Year]],$M$2:$M$27,$O$2:$O$27),ISNUMBER(Table14[[#This Row],[Column4]]),Table14[[#This Row],[Column4]],Table14[[#This Row],[Column4]]="",I406*(1+Table14[[#This Row],[Ávöxtun]]))</f>
        <v>109.00000000000001</v>
      </c>
      <c r="L407" s="33">
        <v>109.00000000000001</v>
      </c>
    </row>
    <row r="408" spans="1:12">
      <c r="A408" t="s">
        <v>108</v>
      </c>
      <c r="B408">
        <v>1999</v>
      </c>
      <c r="C408" s="16">
        <v>0.1</v>
      </c>
      <c r="D408" s="1">
        <v>11396867.08</v>
      </c>
      <c r="E408" s="29">
        <f>Table14[[#This Row],[Ávöxtun]]*Table14[[#This Row],[Eignir]]/SUMIFS(Table14[Eignir],Table14[Year],Table14[[#This Row],[Year]])</f>
        <v>2.1886886629476016E-3</v>
      </c>
      <c r="F408" s="23">
        <f>IF(B408=1997, 100, IF(COUNTIF(A$1:A407,A408)=0, "NEW", F407*(1+Table14[[#This Row],[Ávöxtun]])))</f>
        <v>119.90000000000002</v>
      </c>
      <c r="G408" s="18" cm="1">
        <f t="array" ref="G408">IFERROR(_xlfn.IFS(ISNUMBER(Table14[[#This Row],[Column3]]),Table14[[#This Row],[Column3]],Table14[[#This Row],[Column3]]="NEW",Table14[[#This Row],[Column3]]),"")</f>
        <v>119.90000000000002</v>
      </c>
      <c r="H408" s="15" cm="1">
        <f t="array" ref="H408">_xlfn.IFS(Table14[[#This Row],[Column4]]="NEW",AVERAGEIFS(Table14[Column4],Table14[Year],Table14[[#This Row],[Year]]),ISNUMBER(Table14[[#This Row],[Column4]]),Table14[[#This Row],[Column4]],Table14[[#This Row],[Column4]]="",H407*(1+Table14[[#This Row],[Ávöxtun]]))</f>
        <v>119.90000000000002</v>
      </c>
      <c r="I408" cm="1">
        <f t="array" ref="I408">_xlfn.IFS(Table14[[#This Row],[Column4]]="NEW",_xlfn.XLOOKUP(Table14[[#This Row],[Year]],$M$2:$M$27,$O$2:$O$27),ISNUMBER(Table14[[#This Row],[Column4]]),Table14[[#This Row],[Column4]],Table14[[#This Row],[Column4]]="",I407*(1+Table14[[#This Row],[Ávöxtun]]))</f>
        <v>119.90000000000002</v>
      </c>
      <c r="L408" s="33">
        <v>119.90000000000002</v>
      </c>
    </row>
    <row r="409" spans="1:12">
      <c r="A409" t="s">
        <v>108</v>
      </c>
      <c r="B409">
        <v>2000</v>
      </c>
      <c r="C409" s="16">
        <v>-0.02</v>
      </c>
      <c r="D409" s="1">
        <v>11653098.58</v>
      </c>
      <c r="E409" s="29">
        <f>Table14[[#This Row],[Ávöxtun]]*Table14[[#This Row],[Eignir]]/SUMIFS(Table14[Eignir],Table14[Year],Table14[[#This Row],[Year]])</f>
        <v>-3.2784547032103109E-4</v>
      </c>
      <c r="F409" s="23">
        <f>IF(B409=1997, 100, IF(COUNTIF(A$1:A408,A409)=0, "NEW", F408*(1+Table14[[#This Row],[Ávöxtun]])))</f>
        <v>117.50200000000002</v>
      </c>
      <c r="G409" s="18" cm="1">
        <f t="array" ref="G409">IFERROR(_xlfn.IFS(ISNUMBER(Table14[[#This Row],[Column3]]),Table14[[#This Row],[Column3]],Table14[[#This Row],[Column3]]="NEW",Table14[[#This Row],[Column3]]),"")</f>
        <v>117.50200000000002</v>
      </c>
      <c r="H409" s="15" cm="1">
        <f t="array" ref="H409">_xlfn.IFS(Table14[[#This Row],[Column4]]="NEW",AVERAGEIFS(Table14[Column4],Table14[Year],Table14[[#This Row],[Year]]),ISNUMBER(Table14[[#This Row],[Column4]]),Table14[[#This Row],[Column4]],Table14[[#This Row],[Column4]]="",H408*(1+Table14[[#This Row],[Ávöxtun]]))</f>
        <v>117.50200000000002</v>
      </c>
      <c r="I409" cm="1">
        <f t="array" ref="I409">_xlfn.IFS(Table14[[#This Row],[Column4]]="NEW",_xlfn.XLOOKUP(Table14[[#This Row],[Year]],$M$2:$M$27,$O$2:$O$27),ISNUMBER(Table14[[#This Row],[Column4]]),Table14[[#This Row],[Column4]],Table14[[#This Row],[Column4]]="",I408*(1+Table14[[#This Row],[Ávöxtun]]))</f>
        <v>117.50200000000002</v>
      </c>
      <c r="L409" s="33">
        <v>117.50200000000002</v>
      </c>
    </row>
    <row r="410" spans="1:12">
      <c r="A410" t="s">
        <v>108</v>
      </c>
      <c r="B410">
        <v>2001</v>
      </c>
      <c r="C410" s="16">
        <v>-0.03</v>
      </c>
      <c r="D410" s="1">
        <v>11969657</v>
      </c>
      <c r="E410" s="29">
        <f>Table14[[#This Row],[Ávöxtun]]*Table14[[#This Row],[Eignir]]/SUMIFS(Table14[Eignir],Table14[Year],Table14[[#This Row],[Year]])</f>
        <v>-3.1011731050993737E-4</v>
      </c>
      <c r="F410" s="23">
        <f>IF(B410=1997, 100, IF(COUNTIF(A$1:A409,A410)=0, "NEW", F409*(1+Table14[[#This Row],[Ávöxtun]])))</f>
        <v>113.97694000000001</v>
      </c>
      <c r="G410" s="18" cm="1">
        <f t="array" ref="G410">IFERROR(_xlfn.IFS(ISNUMBER(Table14[[#This Row],[Column3]]),Table14[[#This Row],[Column3]],Table14[[#This Row],[Column3]]="NEW",Table14[[#This Row],[Column3]]),"")</f>
        <v>113.97694000000001</v>
      </c>
      <c r="H410" s="15" cm="1">
        <f t="array" ref="H410">_xlfn.IFS(Table14[[#This Row],[Column4]]="NEW",AVERAGEIFS(Table14[Column4],Table14[Year],Table14[[#This Row],[Year]]),ISNUMBER(Table14[[#This Row],[Column4]]),Table14[[#This Row],[Column4]],Table14[[#This Row],[Column4]]="",H409*(1+Table14[[#This Row],[Ávöxtun]]))</f>
        <v>113.97694000000001</v>
      </c>
      <c r="I410" cm="1">
        <f t="array" ref="I410">_xlfn.IFS(Table14[[#This Row],[Column4]]="NEW",_xlfn.XLOOKUP(Table14[[#This Row],[Year]],$M$2:$M$27,$O$2:$O$27),ISNUMBER(Table14[[#This Row],[Column4]]),Table14[[#This Row],[Column4]],Table14[[#This Row],[Column4]]="",I409*(1+Table14[[#This Row],[Ávöxtun]]))</f>
        <v>113.97694000000001</v>
      </c>
      <c r="L410" s="33">
        <v>113.97694000000001</v>
      </c>
    </row>
    <row r="411" spans="1:12">
      <c r="A411" t="s">
        <v>108</v>
      </c>
      <c r="B411">
        <v>2002</v>
      </c>
      <c r="C411" s="16">
        <v>-0.05</v>
      </c>
      <c r="D411" s="1">
        <v>11409412</v>
      </c>
      <c r="E411" s="29">
        <f>Table14[[#This Row],[Ávöxtun]]*Table14[[#This Row],[Eignir]]/SUMIFS(Table14[Eignir],Table14[Year],Table14[[#This Row],[Year]])</f>
        <v>-8.981467156228772E-4</v>
      </c>
      <c r="F411" s="23">
        <f>IF(B411=1997, 100, IF(COUNTIF(A$1:A410,A411)=0, "NEW", F410*(1+Table14[[#This Row],[Ávöxtun]])))</f>
        <v>108.27809300000001</v>
      </c>
      <c r="G411" s="18" cm="1">
        <f t="array" ref="G411">IFERROR(_xlfn.IFS(ISNUMBER(Table14[[#This Row],[Column3]]),Table14[[#This Row],[Column3]],Table14[[#This Row],[Column3]]="NEW",Table14[[#This Row],[Column3]]),"")</f>
        <v>108.27809300000001</v>
      </c>
      <c r="H411" s="15" cm="1">
        <f t="array" ref="H411">_xlfn.IFS(Table14[[#This Row],[Column4]]="NEW",AVERAGEIFS(Table14[Column4],Table14[Year],Table14[[#This Row],[Year]]),ISNUMBER(Table14[[#This Row],[Column4]]),Table14[[#This Row],[Column4]],Table14[[#This Row],[Column4]]="",H410*(1+Table14[[#This Row],[Ávöxtun]]))</f>
        <v>108.27809300000001</v>
      </c>
      <c r="I411" cm="1">
        <f t="array" ref="I411">_xlfn.IFS(Table14[[#This Row],[Column4]]="NEW",_xlfn.XLOOKUP(Table14[[#This Row],[Year]],$M$2:$M$27,$O$2:$O$27),ISNUMBER(Table14[[#This Row],[Column4]]),Table14[[#This Row],[Column4]],Table14[[#This Row],[Column4]]="",I410*(1+Table14[[#This Row],[Ávöxtun]]))</f>
        <v>108.27809300000001</v>
      </c>
      <c r="L411" s="33">
        <v>108.27809300000001</v>
      </c>
    </row>
    <row r="412" spans="1:12">
      <c r="A412" t="s">
        <v>108</v>
      </c>
      <c r="B412">
        <v>2003</v>
      </c>
      <c r="C412" s="16">
        <v>0.11</v>
      </c>
      <c r="D412" s="1">
        <v>12715172.34</v>
      </c>
      <c r="E412" s="29">
        <f>Table14[[#This Row],[Ávöxtun]]*Table14[[#This Row],[Eignir]]/SUMIFS(Table14[Eignir],Table14[Year],Table14[[#This Row],[Year]])</f>
        <v>1.8406169182101084E-3</v>
      </c>
      <c r="F412" s="23">
        <f>IF(B412=1997, 100, IF(COUNTIF(A$1:A411,A412)=0, "NEW", F411*(1+Table14[[#This Row],[Ávöxtun]])))</f>
        <v>120.18868323000002</v>
      </c>
      <c r="G412" s="18" cm="1">
        <f t="array" ref="G412">IFERROR(_xlfn.IFS(ISNUMBER(Table14[[#This Row],[Column3]]),Table14[[#This Row],[Column3]],Table14[[#This Row],[Column3]]="NEW",Table14[[#This Row],[Column3]]),"")</f>
        <v>120.18868323000002</v>
      </c>
      <c r="H412" s="15" cm="1">
        <f t="array" ref="H412">_xlfn.IFS(Table14[[#This Row],[Column4]]="NEW",AVERAGEIFS(Table14[Column4],Table14[Year],Table14[[#This Row],[Year]]),ISNUMBER(Table14[[#This Row],[Column4]]),Table14[[#This Row],[Column4]],Table14[[#This Row],[Column4]]="",H411*(1+Table14[[#This Row],[Ávöxtun]]))</f>
        <v>120.18868323000002</v>
      </c>
      <c r="I412" cm="1">
        <f t="array" ref="I412">_xlfn.IFS(Table14[[#This Row],[Column4]]="NEW",_xlfn.XLOOKUP(Table14[[#This Row],[Year]],$M$2:$M$27,$O$2:$O$27),ISNUMBER(Table14[[#This Row],[Column4]]),Table14[[#This Row],[Column4]],Table14[[#This Row],[Column4]]="",I411*(1+Table14[[#This Row],[Ávöxtun]]))</f>
        <v>120.18868323000002</v>
      </c>
      <c r="L412" s="33">
        <v>120.18868323000002</v>
      </c>
    </row>
    <row r="413" spans="1:12">
      <c r="A413" t="s">
        <v>108</v>
      </c>
      <c r="B413">
        <v>2004</v>
      </c>
      <c r="C413" s="16">
        <v>7.0000000000000007E-2</v>
      </c>
      <c r="D413" s="1">
        <v>13908412.609999999</v>
      </c>
      <c r="E413" s="29">
        <f>Table14[[#This Row],[Ávöxtun]]*Table14[[#This Row],[Eignir]]/SUMIFS(Table14[Eignir],Table14[Year],Table14[[#This Row],[Year]])</f>
        <v>1.0726237804045632E-3</v>
      </c>
      <c r="F413" s="23">
        <f>IF(B413=1997, 100, IF(COUNTIF(A$1:A412,A413)=0, "NEW", F412*(1+Table14[[#This Row],[Ávöxtun]])))</f>
        <v>128.60189105610004</v>
      </c>
      <c r="G413" s="18" cm="1">
        <f t="array" ref="G413">IFERROR(_xlfn.IFS(ISNUMBER(Table14[[#This Row],[Column3]]),Table14[[#This Row],[Column3]],Table14[[#This Row],[Column3]]="NEW",Table14[[#This Row],[Column3]]),"")</f>
        <v>128.60189105610004</v>
      </c>
      <c r="H413" s="15" cm="1">
        <f t="array" ref="H413">_xlfn.IFS(Table14[[#This Row],[Column4]]="NEW",AVERAGEIFS(Table14[Column4],Table14[Year],Table14[[#This Row],[Year]]),ISNUMBER(Table14[[#This Row],[Column4]]),Table14[[#This Row],[Column4]],Table14[[#This Row],[Column4]]="",H412*(1+Table14[[#This Row],[Ávöxtun]]))</f>
        <v>128.60189105610004</v>
      </c>
      <c r="I413" cm="1">
        <f t="array" ref="I413">_xlfn.IFS(Table14[[#This Row],[Column4]]="NEW",_xlfn.XLOOKUP(Table14[[#This Row],[Year]],$M$2:$M$27,$O$2:$O$27),ISNUMBER(Table14[[#This Row],[Column4]]),Table14[[#This Row],[Column4]],Table14[[#This Row],[Column4]]="",I412*(1+Table14[[#This Row],[Ávöxtun]]))</f>
        <v>128.60189105610004</v>
      </c>
      <c r="L413" s="33">
        <v>128.60189105610004</v>
      </c>
    </row>
    <row r="414" spans="1:12">
      <c r="A414" t="s">
        <v>108</v>
      </c>
      <c r="B414">
        <v>2005</v>
      </c>
      <c r="C414" s="16">
        <v>0.08</v>
      </c>
      <c r="D414" s="1">
        <v>18283265</v>
      </c>
      <c r="E414" s="29">
        <f>Table14[[#This Row],[Ávöxtun]]*Table14[[#This Row],[Eignir]]/SUMIFS(Table14[Eignir],Table14[Year],Table14[[#This Row],[Year]])</f>
        <v>1.3043895220146702E-3</v>
      </c>
      <c r="F414" s="23">
        <f>IF(B414=1997, 100, IF(COUNTIF(A$1:A413,A414)=0, "NEW", F413*(1+Table14[[#This Row],[Ávöxtun]])))</f>
        <v>138.89004234058805</v>
      </c>
      <c r="G414" s="18" cm="1">
        <f t="array" ref="G414">IFERROR(_xlfn.IFS(ISNUMBER(Table14[[#This Row],[Column3]]),Table14[[#This Row],[Column3]],Table14[[#This Row],[Column3]]="NEW",Table14[[#This Row],[Column3]]),"")</f>
        <v>138.89004234058805</v>
      </c>
      <c r="H414" s="15" cm="1">
        <f t="array" ref="H414">_xlfn.IFS(Table14[[#This Row],[Column4]]="NEW",AVERAGEIFS(Table14[Column4],Table14[Year],Table14[[#This Row],[Year]]),ISNUMBER(Table14[[#This Row],[Column4]]),Table14[[#This Row],[Column4]],Table14[[#This Row],[Column4]]="",H413*(1+Table14[[#This Row],[Ávöxtun]]))</f>
        <v>138.89004234058805</v>
      </c>
      <c r="I414" cm="1">
        <f t="array" ref="I414">_xlfn.IFS(Table14[[#This Row],[Column4]]="NEW",_xlfn.XLOOKUP(Table14[[#This Row],[Year]],$M$2:$M$27,$O$2:$O$27),ISNUMBER(Table14[[#This Row],[Column4]]),Table14[[#This Row],[Column4]],Table14[[#This Row],[Column4]]="",I413*(1+Table14[[#This Row],[Ávöxtun]]))</f>
        <v>138.89004234058805</v>
      </c>
      <c r="L414" s="33">
        <v>138.89004234058805</v>
      </c>
    </row>
    <row r="415" spans="1:12">
      <c r="A415" t="s">
        <v>108</v>
      </c>
      <c r="B415">
        <v>2006</v>
      </c>
      <c r="C415" s="16">
        <v>8.6400000000000005E-2</v>
      </c>
      <c r="D415" s="1">
        <v>20946933</v>
      </c>
      <c r="E415" s="29">
        <f>Table14[[#This Row],[Ávöxtun]]*Table14[[#This Row],[Eignir]]/SUMIFS(Table14[Eignir],Table14[Year],Table14[[#This Row],[Year]])</f>
        <v>1.3184578777838587E-3</v>
      </c>
      <c r="F415" s="23">
        <f>IF(B415=1997, 100, IF(COUNTIF(A$1:A414,A415)=0, "NEW", F414*(1+Table14[[#This Row],[Ávöxtun]])))</f>
        <v>150.89014199881487</v>
      </c>
      <c r="G415" s="18" cm="1">
        <f t="array" ref="G415">IFERROR(_xlfn.IFS(ISNUMBER(Table14[[#This Row],[Column3]]),Table14[[#This Row],[Column3]],Table14[[#This Row],[Column3]]="NEW",Table14[[#This Row],[Column3]]),"")</f>
        <v>150.89014199881487</v>
      </c>
      <c r="H415" s="15" cm="1">
        <f t="array" ref="H415">_xlfn.IFS(Table14[[#This Row],[Column4]]="NEW",AVERAGEIFS(Table14[Column4],Table14[Year],Table14[[#This Row],[Year]]),ISNUMBER(Table14[[#This Row],[Column4]]),Table14[[#This Row],[Column4]],Table14[[#This Row],[Column4]]="",H414*(1+Table14[[#This Row],[Ávöxtun]]))</f>
        <v>150.89014199881487</v>
      </c>
      <c r="I415" cm="1">
        <f t="array" ref="I415">_xlfn.IFS(Table14[[#This Row],[Column4]]="NEW",_xlfn.XLOOKUP(Table14[[#This Row],[Year]],$M$2:$M$27,$O$2:$O$27),ISNUMBER(Table14[[#This Row],[Column4]]),Table14[[#This Row],[Column4]],Table14[[#This Row],[Column4]]="",I414*(1+Table14[[#This Row],[Ávöxtun]]))</f>
        <v>150.89014199881487</v>
      </c>
      <c r="L415" s="33">
        <v>150.89014199881487</v>
      </c>
    </row>
    <row r="416" spans="1:12">
      <c r="A416" t="s">
        <v>108</v>
      </c>
      <c r="B416">
        <v>2007</v>
      </c>
      <c r="C416" s="16">
        <v>-1.0700000000000001E-2</v>
      </c>
      <c r="D416" s="1">
        <v>21622728</v>
      </c>
      <c r="E416" s="29">
        <f>Table14[[#This Row],[Ávöxtun]]*Table14[[#This Row],[Eignir]]/SUMIFS(Table14[Eignir],Table14[Year],Table14[[#This Row],[Year]])</f>
        <v>-1.4961329038077928E-4</v>
      </c>
      <c r="F416" s="23">
        <f>IF(B416=1997, 100, IF(COUNTIF(A$1:A415,A416)=0, "NEW", F415*(1+Table14[[#This Row],[Ávöxtun]])))</f>
        <v>149.27561747942755</v>
      </c>
      <c r="G416" s="18" cm="1">
        <f t="array" ref="G416">IFERROR(_xlfn.IFS(ISNUMBER(Table14[[#This Row],[Column3]]),Table14[[#This Row],[Column3]],Table14[[#This Row],[Column3]]="NEW",Table14[[#This Row],[Column3]]),"")</f>
        <v>149.27561747942755</v>
      </c>
      <c r="H416" s="15" cm="1">
        <f t="array" ref="H416">_xlfn.IFS(Table14[[#This Row],[Column4]]="NEW",AVERAGEIFS(Table14[Column4],Table14[Year],Table14[[#This Row],[Year]]),ISNUMBER(Table14[[#This Row],[Column4]]),Table14[[#This Row],[Column4]],Table14[[#This Row],[Column4]]="",H415*(1+Table14[[#This Row],[Ávöxtun]]))</f>
        <v>149.27561747942755</v>
      </c>
      <c r="I416" cm="1">
        <f t="array" ref="I416">_xlfn.IFS(Table14[[#This Row],[Column4]]="NEW",_xlfn.XLOOKUP(Table14[[#This Row],[Year]],$M$2:$M$27,$O$2:$O$27),ISNUMBER(Table14[[#This Row],[Column4]]),Table14[[#This Row],[Column4]],Table14[[#This Row],[Column4]]="",I415*(1+Table14[[#This Row],[Ávöxtun]]))</f>
        <v>149.27561747942755</v>
      </c>
      <c r="L416" s="33">
        <v>149.27561747942755</v>
      </c>
    </row>
    <row r="417" spans="1:12">
      <c r="A417" t="s">
        <v>108</v>
      </c>
      <c r="B417">
        <v>2008</v>
      </c>
      <c r="C417" s="16">
        <v>-0.17929999999999999</v>
      </c>
      <c r="D417" s="1">
        <v>20892652</v>
      </c>
      <c r="E417" s="29">
        <f>Table14[[#This Row],[Ávöxtun]]*Table14[[#This Row],[Eignir]]/SUMIFS(Table14[Eignir],Table14[Year],Table14[[#This Row],[Year]])</f>
        <v>-2.5018417923116502E-3</v>
      </c>
      <c r="F417" s="23">
        <f>IF(B417=1997, 100, IF(COUNTIF(A$1:A416,A417)=0, "NEW", F416*(1+Table14[[#This Row],[Ávöxtun]])))</f>
        <v>122.51049926536619</v>
      </c>
      <c r="G417" s="18" cm="1">
        <f t="array" ref="G417">IFERROR(_xlfn.IFS(ISNUMBER(Table14[[#This Row],[Column3]]),Table14[[#This Row],[Column3]],Table14[[#This Row],[Column3]]="NEW",Table14[[#This Row],[Column3]]),"")</f>
        <v>122.51049926536619</v>
      </c>
      <c r="H417" s="15" cm="1">
        <f t="array" ref="H417">_xlfn.IFS(Table14[[#This Row],[Column4]]="NEW",AVERAGEIFS(Table14[Column4],Table14[Year],Table14[[#This Row],[Year]]),ISNUMBER(Table14[[#This Row],[Column4]]),Table14[[#This Row],[Column4]],Table14[[#This Row],[Column4]]="",H416*(1+Table14[[#This Row],[Ávöxtun]]))</f>
        <v>122.51049926536619</v>
      </c>
      <c r="I417" cm="1">
        <f t="array" ref="I417">_xlfn.IFS(Table14[[#This Row],[Column4]]="NEW",_xlfn.XLOOKUP(Table14[[#This Row],[Year]],$M$2:$M$27,$O$2:$O$27),ISNUMBER(Table14[[#This Row],[Column4]]),Table14[[#This Row],[Column4]],Table14[[#This Row],[Column4]]="",I416*(1+Table14[[#This Row],[Ávöxtun]]))</f>
        <v>122.51049926536619</v>
      </c>
      <c r="L417" s="33">
        <v>122.51049926536619</v>
      </c>
    </row>
    <row r="418" spans="1:12">
      <c r="A418" t="s">
        <v>108</v>
      </c>
      <c r="B418">
        <v>2009</v>
      </c>
      <c r="C418" s="16">
        <v>5.6999999999999993E-3</v>
      </c>
      <c r="D418" s="1">
        <v>22181072</v>
      </c>
      <c r="E418" s="29">
        <f>Table14[[#This Row],[Ávöxtun]]*Table14[[#This Row],[Eignir]]/SUMIFS(Table14[Eignir],Table14[Year],Table14[[#This Row],[Year]])</f>
        <v>7.5786888685131868E-5</v>
      </c>
      <c r="F418" s="23">
        <f>IF(B418=1997, 100, IF(COUNTIF(A$1:A417,A418)=0, "NEW", F417*(1+Table14[[#This Row],[Ávöxtun]])))</f>
        <v>123.20880911117878</v>
      </c>
      <c r="G418" s="18" cm="1">
        <f t="array" ref="G418">IFERROR(_xlfn.IFS(ISNUMBER(Table14[[#This Row],[Column3]]),Table14[[#This Row],[Column3]],Table14[[#This Row],[Column3]]="NEW",Table14[[#This Row],[Column3]]),"")</f>
        <v>123.20880911117878</v>
      </c>
      <c r="H418" s="15" cm="1">
        <f t="array" ref="H418">_xlfn.IFS(Table14[[#This Row],[Column4]]="NEW",AVERAGEIFS(Table14[Column4],Table14[Year],Table14[[#This Row],[Year]]),ISNUMBER(Table14[[#This Row],[Column4]]),Table14[[#This Row],[Column4]],Table14[[#This Row],[Column4]]="",H417*(1+Table14[[#This Row],[Ávöxtun]]))</f>
        <v>123.20880911117878</v>
      </c>
      <c r="I418" cm="1">
        <f t="array" ref="I418">_xlfn.IFS(Table14[[#This Row],[Column4]]="NEW",_xlfn.XLOOKUP(Table14[[#This Row],[Year]],$M$2:$M$27,$O$2:$O$27),ISNUMBER(Table14[[#This Row],[Column4]]),Table14[[#This Row],[Column4]],Table14[[#This Row],[Column4]]="",I417*(1+Table14[[#This Row],[Ávöxtun]]))</f>
        <v>123.20880911117878</v>
      </c>
      <c r="L418" s="33">
        <v>123.20880911117878</v>
      </c>
    </row>
    <row r="419" spans="1:12">
      <c r="A419" t="s">
        <v>108</v>
      </c>
      <c r="B419">
        <v>2010</v>
      </c>
      <c r="C419" s="16">
        <v>4.1200000000000001E-2</v>
      </c>
      <c r="D419" s="1">
        <v>22721934</v>
      </c>
      <c r="E419" s="29">
        <f>Table14[[#This Row],[Ávöxtun]]*Table14[[#This Row],[Eignir]]/SUMIFS(Table14[Eignir],Table14[Year],Table14[[#This Row],[Year]])</f>
        <v>5.2363279950131899E-4</v>
      </c>
      <c r="F419" s="23">
        <f>IF(B419=1997, 100, IF(COUNTIF(A$1:A418,A419)=0, "NEW", F418*(1+Table14[[#This Row],[Ávöxtun]])))</f>
        <v>128.28501204655933</v>
      </c>
      <c r="G419" s="18" cm="1">
        <f t="array" ref="G419">IFERROR(_xlfn.IFS(ISNUMBER(Table14[[#This Row],[Column3]]),Table14[[#This Row],[Column3]],Table14[[#This Row],[Column3]]="NEW",Table14[[#This Row],[Column3]]),"")</f>
        <v>128.28501204655933</v>
      </c>
      <c r="H419" s="15" cm="1">
        <f t="array" ref="H419">_xlfn.IFS(Table14[[#This Row],[Column4]]="NEW",AVERAGEIFS(Table14[Column4],Table14[Year],Table14[[#This Row],[Year]]),ISNUMBER(Table14[[#This Row],[Column4]]),Table14[[#This Row],[Column4]],Table14[[#This Row],[Column4]]="",H418*(1+Table14[[#This Row],[Ávöxtun]]))</f>
        <v>128.28501204655933</v>
      </c>
      <c r="I419" cm="1">
        <f t="array" ref="I419">_xlfn.IFS(Table14[[#This Row],[Column4]]="NEW",_xlfn.XLOOKUP(Table14[[#This Row],[Year]],$M$2:$M$27,$O$2:$O$27),ISNUMBER(Table14[[#This Row],[Column4]]),Table14[[#This Row],[Column4]],Table14[[#This Row],[Column4]]="",I418*(1+Table14[[#This Row],[Ávöxtun]]))</f>
        <v>128.28501204655933</v>
      </c>
      <c r="L419" s="33">
        <v>128.28501204655933</v>
      </c>
    </row>
    <row r="420" spans="1:12">
      <c r="A420" t="s">
        <v>108</v>
      </c>
      <c r="B420">
        <v>2011</v>
      </c>
      <c r="C420" s="16">
        <v>2.8999999999999998E-2</v>
      </c>
      <c r="D420" s="1">
        <v>24009123</v>
      </c>
      <c r="E420" s="29">
        <f>Table14[[#This Row],[Ávöxtun]]*Table14[[#This Row],[Eignir]]/SUMIFS(Table14[Eignir],Table14[Year],Table14[[#This Row],[Year]])</f>
        <v>3.569564544455951E-4</v>
      </c>
      <c r="F420" s="23">
        <f>IF(B420=1997, 100, IF(COUNTIF(A$1:A419,A420)=0, "NEW", F419*(1+Table14[[#This Row],[Ávöxtun]])))</f>
        <v>132.00527739590953</v>
      </c>
      <c r="G420" s="18" cm="1">
        <f t="array" ref="G420">IFERROR(_xlfn.IFS(ISNUMBER(Table14[[#This Row],[Column3]]),Table14[[#This Row],[Column3]],Table14[[#This Row],[Column3]]="NEW",Table14[[#This Row],[Column3]]),"")</f>
        <v>132.00527739590953</v>
      </c>
      <c r="H420" s="15" cm="1">
        <f t="array" ref="H420">_xlfn.IFS(Table14[[#This Row],[Column4]]="NEW",AVERAGEIFS(Table14[Column4],Table14[Year],Table14[[#This Row],[Year]]),ISNUMBER(Table14[[#This Row],[Column4]]),Table14[[#This Row],[Column4]],Table14[[#This Row],[Column4]]="",H419*(1+Table14[[#This Row],[Ávöxtun]]))</f>
        <v>132.00527739590953</v>
      </c>
      <c r="I420" cm="1">
        <f t="array" ref="I420">_xlfn.IFS(Table14[[#This Row],[Column4]]="NEW",_xlfn.XLOOKUP(Table14[[#This Row],[Year]],$M$2:$M$27,$O$2:$O$27),ISNUMBER(Table14[[#This Row],[Column4]]),Table14[[#This Row],[Column4]],Table14[[#This Row],[Column4]]="",I419*(1+Table14[[#This Row],[Ávöxtun]]))</f>
        <v>132.00527739590953</v>
      </c>
      <c r="L420" s="33">
        <v>132.00527739590953</v>
      </c>
    </row>
    <row r="421" spans="1:12">
      <c r="A421" t="s">
        <v>108</v>
      </c>
      <c r="B421">
        <v>2012</v>
      </c>
      <c r="C421" s="16">
        <v>5.5E-2</v>
      </c>
      <c r="D421" s="1">
        <v>25655912</v>
      </c>
      <c r="E421" s="29">
        <f>Table14[[#This Row],[Ávöxtun]]*Table14[[#This Row],[Eignir]]/SUMIFS(Table14[Eignir],Table14[Year],Table14[[#This Row],[Year]])</f>
        <v>6.4057000739369528E-4</v>
      </c>
      <c r="F421" s="23">
        <f>IF(B421=1997, 100, IF(COUNTIF(A$1:A420,A421)=0, "NEW", F420*(1+Table14[[#This Row],[Ávöxtun]])))</f>
        <v>139.26556765268455</v>
      </c>
      <c r="G421" s="18" cm="1">
        <f t="array" ref="G421">IFERROR(_xlfn.IFS(ISNUMBER(Table14[[#This Row],[Column3]]),Table14[[#This Row],[Column3]],Table14[[#This Row],[Column3]]="NEW",Table14[[#This Row],[Column3]]),"")</f>
        <v>139.26556765268455</v>
      </c>
      <c r="H421" s="15" cm="1">
        <f t="array" ref="H421">_xlfn.IFS(Table14[[#This Row],[Column4]]="NEW",AVERAGEIFS(Table14[Column4],Table14[Year],Table14[[#This Row],[Year]]),ISNUMBER(Table14[[#This Row],[Column4]]),Table14[[#This Row],[Column4]],Table14[[#This Row],[Column4]]="",H420*(1+Table14[[#This Row],[Ávöxtun]]))</f>
        <v>139.26556765268455</v>
      </c>
      <c r="I421" cm="1">
        <f t="array" ref="I421">_xlfn.IFS(Table14[[#This Row],[Column4]]="NEW",_xlfn.XLOOKUP(Table14[[#This Row],[Year]],$M$2:$M$27,$O$2:$O$27),ISNUMBER(Table14[[#This Row],[Column4]]),Table14[[#This Row],[Column4]],Table14[[#This Row],[Column4]]="",I420*(1+Table14[[#This Row],[Ávöxtun]]))</f>
        <v>139.26556765268455</v>
      </c>
      <c r="L421" s="33">
        <v>139.26556765268455</v>
      </c>
    </row>
    <row r="422" spans="1:12">
      <c r="A422" t="s">
        <v>108</v>
      </c>
      <c r="B422">
        <v>2013</v>
      </c>
      <c r="C422" s="16">
        <v>5.5999999999999994E-2</v>
      </c>
      <c r="D422" s="1">
        <v>27423658</v>
      </c>
      <c r="E422" s="29">
        <f>Table14[[#This Row],[Ávöxtun]]*Table14[[#This Row],[Eignir]]/SUMIFS(Table14[Eignir],Table14[Year],Table14[[#This Row],[Year]])</f>
        <v>6.3105595186276401E-4</v>
      </c>
      <c r="F422" s="23">
        <f>IF(B422=1997, 100, IF(COUNTIF(A$1:A421,A422)=0, "NEW", F421*(1+Table14[[#This Row],[Ávöxtun]])))</f>
        <v>147.0644394412349</v>
      </c>
      <c r="G422" s="18" cm="1">
        <f t="array" ref="G422">IFERROR(_xlfn.IFS(ISNUMBER(Table14[[#This Row],[Column3]]),Table14[[#This Row],[Column3]],Table14[[#This Row],[Column3]]="NEW",Table14[[#This Row],[Column3]]),"")</f>
        <v>147.0644394412349</v>
      </c>
      <c r="H422" s="15" cm="1">
        <f t="array" ref="H422">_xlfn.IFS(Table14[[#This Row],[Column4]]="NEW",AVERAGEIFS(Table14[Column4],Table14[Year],Table14[[#This Row],[Year]]),ISNUMBER(Table14[[#This Row],[Column4]]),Table14[[#This Row],[Column4]],Table14[[#This Row],[Column4]]="",H421*(1+Table14[[#This Row],[Ávöxtun]]))</f>
        <v>147.0644394412349</v>
      </c>
      <c r="I422" cm="1">
        <f t="array" ref="I422">_xlfn.IFS(Table14[[#This Row],[Column4]]="NEW",_xlfn.XLOOKUP(Table14[[#This Row],[Year]],$M$2:$M$27,$O$2:$O$27),ISNUMBER(Table14[[#This Row],[Column4]]),Table14[[#This Row],[Column4]],Table14[[#This Row],[Column4]]="",I421*(1+Table14[[#This Row],[Ávöxtun]]))</f>
        <v>147.0644394412349</v>
      </c>
      <c r="L422" s="33">
        <v>147.0644394412349</v>
      </c>
    </row>
    <row r="423" spans="1:12">
      <c r="A423" t="s">
        <v>108</v>
      </c>
      <c r="B423">
        <v>2014</v>
      </c>
      <c r="C423" s="16">
        <v>5.4000000000000006E-2</v>
      </c>
      <c r="D423" s="1">
        <v>28477814</v>
      </c>
      <c r="E423" s="29">
        <f>Table14[[#This Row],[Ávöxtun]]*Table14[[#This Row],[Eignir]]/SUMIFS(Table14[Eignir],Table14[Year],Table14[[#This Row],[Year]])</f>
        <v>5.796423864170403E-4</v>
      </c>
      <c r="F423" s="23">
        <f>IF(B423=1997, 100, IF(COUNTIF(A$1:A422,A423)=0, "NEW", F422*(1+Table14[[#This Row],[Ávöxtun]])))</f>
        <v>155.00591917106158</v>
      </c>
      <c r="G423" s="18" cm="1">
        <f t="array" ref="G423">IFERROR(_xlfn.IFS(ISNUMBER(Table14[[#This Row],[Column3]]),Table14[[#This Row],[Column3]],Table14[[#This Row],[Column3]]="NEW",Table14[[#This Row],[Column3]]),"")</f>
        <v>155.00591917106158</v>
      </c>
      <c r="H423" s="15" cm="1">
        <f t="array" ref="H423">_xlfn.IFS(Table14[[#This Row],[Column4]]="NEW",AVERAGEIFS(Table14[Column4],Table14[Year],Table14[[#This Row],[Year]]),ISNUMBER(Table14[[#This Row],[Column4]]),Table14[[#This Row],[Column4]],Table14[[#This Row],[Column4]]="",H422*(1+Table14[[#This Row],[Ávöxtun]]))</f>
        <v>155.00591917106158</v>
      </c>
      <c r="I423" cm="1">
        <f t="array" ref="I423">_xlfn.IFS(Table14[[#This Row],[Column4]]="NEW",_xlfn.XLOOKUP(Table14[[#This Row],[Year]],$M$2:$M$27,$O$2:$O$27),ISNUMBER(Table14[[#This Row],[Column4]]),Table14[[#This Row],[Column4]],Table14[[#This Row],[Column4]]="",I422*(1+Table14[[#This Row],[Ávöxtun]]))</f>
        <v>155.00591917106158</v>
      </c>
      <c r="L423" s="33">
        <v>155.00591917106158</v>
      </c>
    </row>
    <row r="424" spans="1:12">
      <c r="A424" t="s">
        <v>108</v>
      </c>
      <c r="B424">
        <v>2015</v>
      </c>
      <c r="C424" s="16">
        <v>8.1000000000000003E-2</v>
      </c>
      <c r="D424" s="1">
        <v>30602975</v>
      </c>
      <c r="E424" s="29">
        <f>Table14[[#This Row],[Ávöxtun]]*Table14[[#This Row],[Eignir]]/SUMIFS(Table14[Eignir],Table14[Year],Table14[[#This Row],[Year]])</f>
        <v>8.3705652663890163E-4</v>
      </c>
      <c r="F424" s="23">
        <f>IF(B424=1997, 100, IF(COUNTIF(A$1:A423,A424)=0, "NEW", F423*(1+Table14[[#This Row],[Ávöxtun]])))</f>
        <v>167.56139862391757</v>
      </c>
      <c r="G424" s="18" cm="1">
        <f t="array" ref="G424">IFERROR(_xlfn.IFS(ISNUMBER(Table14[[#This Row],[Column3]]),Table14[[#This Row],[Column3]],Table14[[#This Row],[Column3]]="NEW",Table14[[#This Row],[Column3]]),"")</f>
        <v>167.56139862391757</v>
      </c>
      <c r="H424" s="15" cm="1">
        <f t="array" ref="H424">_xlfn.IFS(Table14[[#This Row],[Column4]]="NEW",AVERAGEIFS(Table14[Column4],Table14[Year],Table14[[#This Row],[Year]]),ISNUMBER(Table14[[#This Row],[Column4]]),Table14[[#This Row],[Column4]],Table14[[#This Row],[Column4]]="",H423*(1+Table14[[#This Row],[Ávöxtun]]))</f>
        <v>167.56139862391757</v>
      </c>
      <c r="I424" cm="1">
        <f t="array" ref="I424">_xlfn.IFS(Table14[[#This Row],[Column4]]="NEW",_xlfn.XLOOKUP(Table14[[#This Row],[Year]],$M$2:$M$27,$O$2:$O$27),ISNUMBER(Table14[[#This Row],[Column4]]),Table14[[#This Row],[Column4]],Table14[[#This Row],[Column4]]="",I423*(1+Table14[[#This Row],[Ávöxtun]]))</f>
        <v>167.56139862391757</v>
      </c>
      <c r="L424" s="33">
        <v>167.56139862391757</v>
      </c>
    </row>
    <row r="425" spans="1:12">
      <c r="A425" t="s">
        <v>108</v>
      </c>
      <c r="B425">
        <v>2016</v>
      </c>
      <c r="C425" s="16">
        <v>-1.3000000000000001E-2</v>
      </c>
      <c r="D425" s="1">
        <v>31546397.280000001</v>
      </c>
      <c r="E425" s="29">
        <f>Table14[[#This Row],[Ávöxtun]]*Table14[[#This Row],[Eignir]]/SUMIFS(Table14[Eignir],Table14[Year],Table14[[#This Row],[Year]])</f>
        <v>-1.2815537037301307E-4</v>
      </c>
      <c r="F425" s="23">
        <f>IF(B425=1997, 100, IF(COUNTIF(A$1:A424,A425)=0, "NEW", F424*(1+Table14[[#This Row],[Ávöxtun]])))</f>
        <v>165.38310044180665</v>
      </c>
      <c r="G425" s="18" cm="1">
        <f t="array" ref="G425">IFERROR(_xlfn.IFS(ISNUMBER(Table14[[#This Row],[Column3]]),Table14[[#This Row],[Column3]],Table14[[#This Row],[Column3]]="NEW",Table14[[#This Row],[Column3]]),"")</f>
        <v>165.38310044180665</v>
      </c>
      <c r="H425" s="15" cm="1">
        <f t="array" ref="H425">_xlfn.IFS(Table14[[#This Row],[Column4]]="NEW",AVERAGEIFS(Table14[Column4],Table14[Year],Table14[[#This Row],[Year]]),ISNUMBER(Table14[[#This Row],[Column4]]),Table14[[#This Row],[Column4]],Table14[[#This Row],[Column4]]="",H424*(1+Table14[[#This Row],[Ávöxtun]]))</f>
        <v>165.38310044180665</v>
      </c>
      <c r="I425" cm="1">
        <f t="array" ref="I425">_xlfn.IFS(Table14[[#This Row],[Column4]]="NEW",_xlfn.XLOOKUP(Table14[[#This Row],[Year]],$M$2:$M$27,$O$2:$O$27),ISNUMBER(Table14[[#This Row],[Column4]]),Table14[[#This Row],[Column4]],Table14[[#This Row],[Column4]]="",I424*(1+Table14[[#This Row],[Ávöxtun]]))</f>
        <v>165.38310044180665</v>
      </c>
      <c r="L425" s="33">
        <v>165.38310044180665</v>
      </c>
    </row>
    <row r="426" spans="1:12">
      <c r="A426" t="s">
        <v>108</v>
      </c>
      <c r="B426">
        <v>2017</v>
      </c>
      <c r="C426" s="16">
        <v>5.9000000000000004E-2</v>
      </c>
      <c r="D426" s="1">
        <v>33175562</v>
      </c>
      <c r="E426" s="29">
        <f>Table14[[#This Row],[Ávöxtun]]*Table14[[#This Row],[Eignir]]/SUMIFS(Table14[Eignir],Table14[Year],Table14[[#This Row],[Year]])</f>
        <v>5.4995081542328717E-4</v>
      </c>
      <c r="F426" s="23">
        <f>IF(B426=1997, 100, IF(COUNTIF(A$1:A425,A426)=0, "NEW", F425*(1+Table14[[#This Row],[Ávöxtun]])))</f>
        <v>175.14070336787324</v>
      </c>
      <c r="G426" s="18" cm="1">
        <f t="array" ref="G426">IFERROR(_xlfn.IFS(ISNUMBER(Table14[[#This Row],[Column3]]),Table14[[#This Row],[Column3]],Table14[[#This Row],[Column3]]="NEW",Table14[[#This Row],[Column3]]),"")</f>
        <v>175.14070336787324</v>
      </c>
      <c r="H426" s="15" cm="1">
        <f t="array" ref="H426">_xlfn.IFS(Table14[[#This Row],[Column4]]="NEW",AVERAGEIFS(Table14[Column4],Table14[Year],Table14[[#This Row],[Year]]),ISNUMBER(Table14[[#This Row],[Column4]]),Table14[[#This Row],[Column4]],Table14[[#This Row],[Column4]]="",H425*(1+Table14[[#This Row],[Ávöxtun]]))</f>
        <v>175.14070336787324</v>
      </c>
      <c r="I426" cm="1">
        <f t="array" ref="I426">_xlfn.IFS(Table14[[#This Row],[Column4]]="NEW",_xlfn.XLOOKUP(Table14[[#This Row],[Year]],$M$2:$M$27,$O$2:$O$27),ISNUMBER(Table14[[#This Row],[Column4]]),Table14[[#This Row],[Column4]],Table14[[#This Row],[Column4]]="",I425*(1+Table14[[#This Row],[Ávöxtun]]))</f>
        <v>175.14070336787324</v>
      </c>
      <c r="L426" s="33">
        <v>175.14070336787324</v>
      </c>
    </row>
    <row r="427" spans="1:12">
      <c r="A427" t="s">
        <v>108</v>
      </c>
      <c r="B427">
        <v>2018</v>
      </c>
      <c r="C427" s="16">
        <v>1.7000000000000001E-2</v>
      </c>
      <c r="D427" s="1">
        <v>34000227</v>
      </c>
      <c r="E427" s="29">
        <f>Table14[[#This Row],[Ávöxtun]]*Table14[[#This Row],[Eignir]]/SUMIFS(Table14[Eignir],Table14[Year],Table14[[#This Row],[Year]])</f>
        <v>1.5137654771960206E-4</v>
      </c>
      <c r="F427" s="23">
        <f>IF(B427=1997, 100, IF(COUNTIF(A$1:A426,A427)=0, "NEW", F426*(1+Table14[[#This Row],[Ávöxtun]])))</f>
        <v>178.11809532512706</v>
      </c>
      <c r="G427" s="18" cm="1">
        <f t="array" ref="G427">IFERROR(_xlfn.IFS(ISNUMBER(Table14[[#This Row],[Column3]]),Table14[[#This Row],[Column3]],Table14[[#This Row],[Column3]]="NEW",Table14[[#This Row],[Column3]]),"")</f>
        <v>178.11809532512706</v>
      </c>
      <c r="H427" s="15" cm="1">
        <f t="array" ref="H427">_xlfn.IFS(Table14[[#This Row],[Column4]]="NEW",AVERAGEIFS(Table14[Column4],Table14[Year],Table14[[#This Row],[Year]]),ISNUMBER(Table14[[#This Row],[Column4]]),Table14[[#This Row],[Column4]],Table14[[#This Row],[Column4]]="",H426*(1+Table14[[#This Row],[Ávöxtun]]))</f>
        <v>178.11809532512706</v>
      </c>
      <c r="I427" cm="1">
        <f t="array" ref="I427">_xlfn.IFS(Table14[[#This Row],[Column4]]="NEW",_xlfn.XLOOKUP(Table14[[#This Row],[Year]],$M$2:$M$27,$O$2:$O$27),ISNUMBER(Table14[[#This Row],[Column4]]),Table14[[#This Row],[Column4]],Table14[[#This Row],[Column4]]="",I426*(1+Table14[[#This Row],[Ávöxtun]]))</f>
        <v>178.11809532512706</v>
      </c>
      <c r="L427" s="33">
        <v>178.11809532512706</v>
      </c>
    </row>
    <row r="428" spans="1:12">
      <c r="A428" t="s">
        <v>108</v>
      </c>
      <c r="B428">
        <v>2019</v>
      </c>
      <c r="C428" s="16">
        <v>9.6000000000000002E-2</v>
      </c>
      <c r="D428" s="1">
        <v>37262560.93</v>
      </c>
      <c r="E428" s="29">
        <f>Table14[[#This Row],[Ávöxtun]]*Table14[[#This Row],[Eignir]]/SUMIFS(Table14[Eignir],Table14[Year],Table14[[#This Row],[Year]])</f>
        <v>8.0806495554212204E-4</v>
      </c>
      <c r="F428" s="23">
        <f>IF(B428=1997, 100, IF(COUNTIF(A$1:A427,A428)=0, "NEW", F427*(1+Table14[[#This Row],[Ávöxtun]])))</f>
        <v>195.21743247633927</v>
      </c>
      <c r="G428" s="18" cm="1">
        <f t="array" ref="G428">IFERROR(_xlfn.IFS(ISNUMBER(Table14[[#This Row],[Column3]]),Table14[[#This Row],[Column3]],Table14[[#This Row],[Column3]]="NEW",Table14[[#This Row],[Column3]]),"")</f>
        <v>195.21743247633927</v>
      </c>
      <c r="H428" s="15" cm="1">
        <f t="array" ref="H428">_xlfn.IFS(Table14[[#This Row],[Column4]]="NEW",AVERAGEIFS(Table14[Column4],Table14[Year],Table14[[#This Row],[Year]]),ISNUMBER(Table14[[#This Row],[Column4]]),Table14[[#This Row],[Column4]],Table14[[#This Row],[Column4]]="",H427*(1+Table14[[#This Row],[Ávöxtun]]))</f>
        <v>195.21743247633927</v>
      </c>
      <c r="I428" cm="1">
        <f t="array" ref="I428">_xlfn.IFS(Table14[[#This Row],[Column4]]="NEW",_xlfn.XLOOKUP(Table14[[#This Row],[Year]],$M$2:$M$27,$O$2:$O$27),ISNUMBER(Table14[[#This Row],[Column4]]),Table14[[#This Row],[Column4]],Table14[[#This Row],[Column4]]="",I427*(1+Table14[[#This Row],[Ávöxtun]]))</f>
        <v>195.21743247633927</v>
      </c>
      <c r="L428" s="33">
        <v>195.21743247633927</v>
      </c>
    </row>
    <row r="429" spans="1:12">
      <c r="A429" t="s">
        <v>108</v>
      </c>
      <c r="B429">
        <v>2020</v>
      </c>
      <c r="C429" s="16">
        <v>8.3000000000000004E-2</v>
      </c>
      <c r="D429" s="1">
        <v>40402301.890000001</v>
      </c>
      <c r="E429" s="29">
        <f>Table14[[#This Row],[Ávöxtun]]*Table14[[#This Row],[Eignir]]/SUMIFS(Table14[Eignir],Table14[Year],Table14[[#This Row],[Year]])</f>
        <v>6.5284082242094506E-4</v>
      </c>
      <c r="F429" s="23">
        <f>IF(B429=1997, 100, IF(COUNTIF(A$1:A428,A429)=0, "NEW", F428*(1+Table14[[#This Row],[Ávöxtun]])))</f>
        <v>211.42047937187542</v>
      </c>
      <c r="G429" s="18" cm="1">
        <f t="array" ref="G429">IFERROR(_xlfn.IFS(ISNUMBER(Table14[[#This Row],[Column3]]),Table14[[#This Row],[Column3]],Table14[[#This Row],[Column3]]="NEW",Table14[[#This Row],[Column3]]),"")</f>
        <v>211.42047937187542</v>
      </c>
      <c r="H429" s="15" cm="1">
        <f t="array" ref="H429">_xlfn.IFS(Table14[[#This Row],[Column4]]="NEW",AVERAGEIFS(Table14[Column4],Table14[Year],Table14[[#This Row],[Year]]),ISNUMBER(Table14[[#This Row],[Column4]]),Table14[[#This Row],[Column4]],Table14[[#This Row],[Column4]]="",H428*(1+Table14[[#This Row],[Ávöxtun]]))</f>
        <v>211.42047937187542</v>
      </c>
      <c r="I429" cm="1">
        <f t="array" ref="I429">_xlfn.IFS(Table14[[#This Row],[Column4]]="NEW",_xlfn.XLOOKUP(Table14[[#This Row],[Year]],$M$2:$M$27,$O$2:$O$27),ISNUMBER(Table14[[#This Row],[Column4]]),Table14[[#This Row],[Column4]],Table14[[#This Row],[Column4]]="",I428*(1+Table14[[#This Row],[Ávöxtun]]))</f>
        <v>211.42047937187542</v>
      </c>
      <c r="L429" s="33">
        <v>211.42047937187542</v>
      </c>
    </row>
    <row r="430" spans="1:12">
      <c r="A430" t="s">
        <v>108</v>
      </c>
      <c r="B430">
        <v>2021</v>
      </c>
      <c r="C430" s="16">
        <v>7.9699999999999993E-2</v>
      </c>
      <c r="D430" s="1">
        <v>45136265.799999997</v>
      </c>
      <c r="E430" s="29">
        <f>Table14[[#This Row],[Ávöxtun]]*Table14[[#This Row],[Eignir]]/SUMIFS(Table14[Eignir],Table14[Year],Table14[[#This Row],[Year]])</f>
        <v>5.9563895179818628E-4</v>
      </c>
      <c r="F430" s="23">
        <f>IF(B430=1997, 100, IF(COUNTIF(A$1:A429,A430)=0, "NEW", F429*(1+Table14[[#This Row],[Ávöxtun]])))</f>
        <v>228.27069157781386</v>
      </c>
      <c r="G430" s="18" cm="1">
        <f t="array" ref="G430">IFERROR(_xlfn.IFS(ISNUMBER(Table14[[#This Row],[Column3]]),Table14[[#This Row],[Column3]],Table14[[#This Row],[Column3]]="NEW",Table14[[#This Row],[Column3]]),"")</f>
        <v>228.27069157781386</v>
      </c>
      <c r="H430" s="15" cm="1">
        <f t="array" ref="H430">_xlfn.IFS(Table14[[#This Row],[Column4]]="NEW",AVERAGEIFS(Table14[Column4],Table14[Year],Table14[[#This Row],[Year]]),ISNUMBER(Table14[[#This Row],[Column4]]),Table14[[#This Row],[Column4]],Table14[[#This Row],[Column4]]="",H429*(1+Table14[[#This Row],[Ávöxtun]]))</f>
        <v>228.27069157781386</v>
      </c>
      <c r="I430" cm="1">
        <f t="array" ref="I430">_xlfn.IFS(Table14[[#This Row],[Column4]]="NEW",_xlfn.XLOOKUP(Table14[[#This Row],[Year]],$M$2:$M$27,$O$2:$O$27),ISNUMBER(Table14[[#This Row],[Column4]]),Table14[[#This Row],[Column4]],Table14[[#This Row],[Column4]]="",I429*(1+Table14[[#This Row],[Ávöxtun]]))</f>
        <v>228.27069157781386</v>
      </c>
      <c r="L430" s="33">
        <v>228.27069157781386</v>
      </c>
    </row>
    <row r="431" spans="1:12">
      <c r="A431" t="s">
        <v>106</v>
      </c>
      <c r="B431">
        <v>1998</v>
      </c>
      <c r="C431" s="16">
        <v>0</v>
      </c>
      <c r="D431" s="1">
        <v>14246555.289999999</v>
      </c>
      <c r="E431" s="29">
        <f>Table14[[#This Row],[Ávöxtun]]*Table14[[#This Row],[Eignir]]/SUMIFS(Table14[Eignir],Table14[Year],Table14[[#This Row],[Year]])</f>
        <v>0</v>
      </c>
      <c r="F431" s="23" t="str">
        <f>IF(B431=1997, 100, IF(COUNTIF(A$1:A430,A431)=0, "NEW", F430*(1+Table14[[#This Row],[Ávöxtun]])))</f>
        <v>NEW</v>
      </c>
      <c r="G431" s="18" t="str" cm="1">
        <f t="array" ref="G431">IFERROR(_xlfn.IFS(ISNUMBER(Table14[[#This Row],[Column3]]),Table14[[#This Row],[Column3]],Table14[[#This Row],[Column3]]="NEW",Table14[[#This Row],[Column3]]),"")</f>
        <v>NEW</v>
      </c>
      <c r="H431" s="15" cm="1">
        <f t="array" ref="H431">_xlfn.IFS(Table14[[#This Row],[Column4]]="NEW",AVERAGEIFS(Table14[Column4],Table14[Year],Table14[[#This Row],[Year]]),ISNUMBER(Table14[[#This Row],[Column4]]),Table14[[#This Row],[Column4]],Table14[[#This Row],[Column4]]="",H430*(1+Table14[[#This Row],[Ávöxtun]]))</f>
        <v>106.70588235294117</v>
      </c>
      <c r="I431" cm="1">
        <f t="array" ref="I431">_xlfn.IFS(Table14[[#This Row],[Column4]]="NEW",_xlfn.XLOOKUP(Table14[[#This Row],[Year]],$M$2:$M$27,$O$2:$O$27),ISNUMBER(Table14[[#This Row],[Column4]]),Table14[[#This Row],[Column4]],Table14[[#This Row],[Column4]]="",I430*(1+Table14[[#This Row],[Ávöxtun]]))</f>
        <v>107.11186565673697</v>
      </c>
      <c r="L431" s="33">
        <v>107.11186565673697</v>
      </c>
    </row>
    <row r="432" spans="1:12">
      <c r="A432" t="s">
        <v>106</v>
      </c>
      <c r="B432">
        <v>1999</v>
      </c>
      <c r="C432" s="16">
        <v>7.0000000000000007E-2</v>
      </c>
      <c r="D432" s="1">
        <v>17183477.609999999</v>
      </c>
      <c r="E432" s="29">
        <f>Table14[[#This Row],[Ávöxtun]]*Table14[[#This Row],[Eignir]]/SUMIFS(Table14[Eignir],Table14[Year],Table14[[#This Row],[Year]])</f>
        <v>2.3099767383190947E-3</v>
      </c>
      <c r="F432" s="23" t="e">
        <f>IF(B432=1997, 100, IF(COUNTIF(A$1:A431,A432)=0, "NEW", F431*(1+Table14[[#This Row],[Ávöxtun]])))</f>
        <v>#VALUE!</v>
      </c>
      <c r="G432" s="18" t="str" cm="1">
        <f t="array" ref="G432">IFERROR(_xlfn.IFS(ISNUMBER(Table14[[#This Row],[Column3]]),Table14[[#This Row],[Column3]],Table14[[#This Row],[Column3]]="NEW",Table14[[#This Row],[Column3]]),"")</f>
        <v/>
      </c>
      <c r="H432" s="15" cm="1">
        <f t="array" ref="H432">_xlfn.IFS(Table14[[#This Row],[Column4]]="NEW",AVERAGEIFS(Table14[Column4],Table14[Year],Table14[[#This Row],[Year]]),ISNUMBER(Table14[[#This Row],[Column4]]),Table14[[#This Row],[Column4]],Table14[[#This Row],[Column4]]="",H431*(1+Table14[[#This Row],[Ávöxtun]]))</f>
        <v>114.17529411764706</v>
      </c>
      <c r="I432" cm="1">
        <f t="array" ref="I432">_xlfn.IFS(Table14[[#This Row],[Column4]]="NEW",_xlfn.XLOOKUP(Table14[[#This Row],[Year]],$M$2:$M$27,$O$2:$O$27),ISNUMBER(Table14[[#This Row],[Column4]]),Table14[[#This Row],[Column4]],Table14[[#This Row],[Column4]]="",I431*(1+Table14[[#This Row],[Ávöxtun]]))</f>
        <v>114.60969625270856</v>
      </c>
      <c r="L432" s="33">
        <v>114.60969625270856</v>
      </c>
    </row>
    <row r="433" spans="1:12">
      <c r="A433" t="s">
        <v>106</v>
      </c>
      <c r="B433">
        <v>2000</v>
      </c>
      <c r="C433" s="16">
        <v>-0.08</v>
      </c>
      <c r="D433" s="1">
        <v>35197278.909999996</v>
      </c>
      <c r="E433" s="29">
        <f>Table14[[#This Row],[Ávöxtun]]*Table14[[#This Row],[Eignir]]/SUMIFS(Table14[Eignir],Table14[Year],Table14[[#This Row],[Year]])</f>
        <v>-3.9609270887226832E-3</v>
      </c>
      <c r="F433" s="23" t="e">
        <f>IF(B433=1997, 100, IF(COUNTIF(A$1:A432,A433)=0, "NEW", F432*(1+Table14[[#This Row],[Ávöxtun]])))</f>
        <v>#VALUE!</v>
      </c>
      <c r="G433" s="18" t="str" cm="1">
        <f t="array" ref="G433">IFERROR(_xlfn.IFS(ISNUMBER(Table14[[#This Row],[Column3]]),Table14[[#This Row],[Column3]],Table14[[#This Row],[Column3]]="NEW",Table14[[#This Row],[Column3]]),"")</f>
        <v/>
      </c>
      <c r="H433" s="15" cm="1">
        <f t="array" ref="H433">_xlfn.IFS(Table14[[#This Row],[Column4]]="NEW",AVERAGEIFS(Table14[Column4],Table14[Year],Table14[[#This Row],[Year]]),ISNUMBER(Table14[[#This Row],[Column4]]),Table14[[#This Row],[Column4]],Table14[[#This Row],[Column4]]="",H432*(1+Table14[[#This Row],[Ávöxtun]]))</f>
        <v>105.04127058823529</v>
      </c>
      <c r="I433" cm="1">
        <f t="array" ref="I433">_xlfn.IFS(Table14[[#This Row],[Column4]]="NEW",_xlfn.XLOOKUP(Table14[[#This Row],[Year]],$M$2:$M$27,$O$2:$O$27),ISNUMBER(Table14[[#This Row],[Column4]]),Table14[[#This Row],[Column4]],Table14[[#This Row],[Column4]]="",I432*(1+Table14[[#This Row],[Ávöxtun]]))</f>
        <v>105.44092055249187</v>
      </c>
      <c r="L433" s="33">
        <v>105.44092055249187</v>
      </c>
    </row>
    <row r="434" spans="1:12">
      <c r="A434" t="s">
        <v>106</v>
      </c>
      <c r="B434">
        <v>2001</v>
      </c>
      <c r="C434" s="16">
        <v>0</v>
      </c>
      <c r="D434" s="1">
        <v>38596234</v>
      </c>
      <c r="E434" s="29">
        <f>Table14[[#This Row],[Ávöxtun]]*Table14[[#This Row],[Eignir]]/SUMIFS(Table14[Eignir],Table14[Year],Table14[[#This Row],[Year]])</f>
        <v>0</v>
      </c>
      <c r="F434" s="23" t="e">
        <f>IF(B434=1997, 100, IF(COUNTIF(A$1:A433,A434)=0, "NEW", F433*(1+Table14[[#This Row],[Ávöxtun]])))</f>
        <v>#VALUE!</v>
      </c>
      <c r="G434" s="18" t="str" cm="1">
        <f t="array" ref="G434">IFERROR(_xlfn.IFS(ISNUMBER(Table14[[#This Row],[Column3]]),Table14[[#This Row],[Column3]],Table14[[#This Row],[Column3]]="NEW",Table14[[#This Row],[Column3]]),"")</f>
        <v/>
      </c>
      <c r="H434" s="15" cm="1">
        <f t="array" ref="H434">_xlfn.IFS(Table14[[#This Row],[Column4]]="NEW",AVERAGEIFS(Table14[Column4],Table14[Year],Table14[[#This Row],[Year]]),ISNUMBER(Table14[[#This Row],[Column4]]),Table14[[#This Row],[Column4]],Table14[[#This Row],[Column4]]="",H433*(1+Table14[[#This Row],[Ávöxtun]]))</f>
        <v>105.04127058823529</v>
      </c>
      <c r="I434" cm="1">
        <f t="array" ref="I434">_xlfn.IFS(Table14[[#This Row],[Column4]]="NEW",_xlfn.XLOOKUP(Table14[[#This Row],[Year]],$M$2:$M$27,$O$2:$O$27),ISNUMBER(Table14[[#This Row],[Column4]]),Table14[[#This Row],[Column4]],Table14[[#This Row],[Column4]]="",I433*(1+Table14[[#This Row],[Ávöxtun]]))</f>
        <v>105.44092055249187</v>
      </c>
      <c r="L434" s="33">
        <v>105.44092055249187</v>
      </c>
    </row>
    <row r="435" spans="1:12">
      <c r="A435" t="s">
        <v>106</v>
      </c>
      <c r="B435">
        <v>2002</v>
      </c>
      <c r="C435" s="16">
        <v>0</v>
      </c>
      <c r="D435" s="1">
        <v>19789062</v>
      </c>
      <c r="E435" s="29">
        <f>Table14[[#This Row],[Ávöxtun]]*Table14[[#This Row],[Eignir]]/SUMIFS(Table14[Eignir],Table14[Year],Table14[[#This Row],[Year]])</f>
        <v>0</v>
      </c>
      <c r="F435" s="23" t="e">
        <f>IF(B435=1997, 100, IF(COUNTIF(A$1:A434,A435)=0, "NEW", F434*(1+Table14[[#This Row],[Ávöxtun]])))</f>
        <v>#VALUE!</v>
      </c>
      <c r="G435" s="18" t="str" cm="1">
        <f t="array" ref="G435">IFERROR(_xlfn.IFS(ISNUMBER(Table14[[#This Row],[Column3]]),Table14[[#This Row],[Column3]],Table14[[#This Row],[Column3]]="NEW",Table14[[#This Row],[Column3]]),"")</f>
        <v/>
      </c>
      <c r="H435" s="15" cm="1">
        <f t="array" ref="H435">_xlfn.IFS(Table14[[#This Row],[Column4]]="NEW",AVERAGEIFS(Table14[Column4],Table14[Year],Table14[[#This Row],[Year]]),ISNUMBER(Table14[[#This Row],[Column4]]),Table14[[#This Row],[Column4]],Table14[[#This Row],[Column4]]="",H434*(1+Table14[[#This Row],[Ávöxtun]]))</f>
        <v>105.04127058823529</v>
      </c>
      <c r="I435" cm="1">
        <f t="array" ref="I435">_xlfn.IFS(Table14[[#This Row],[Column4]]="NEW",_xlfn.XLOOKUP(Table14[[#This Row],[Year]],$M$2:$M$27,$O$2:$O$27),ISNUMBER(Table14[[#This Row],[Column4]]),Table14[[#This Row],[Column4]],Table14[[#This Row],[Column4]]="",I434*(1+Table14[[#This Row],[Ávöxtun]]))</f>
        <v>105.44092055249187</v>
      </c>
      <c r="L435" s="33">
        <v>105.44092055249187</v>
      </c>
    </row>
    <row r="436" spans="1:12">
      <c r="A436" t="s">
        <v>106</v>
      </c>
      <c r="B436">
        <v>2003</v>
      </c>
      <c r="C436" s="16">
        <v>0.18</v>
      </c>
      <c r="D436" s="1">
        <v>22498628</v>
      </c>
      <c r="E436" s="29">
        <f>Table14[[#This Row],[Ávöxtun]]*Table14[[#This Row],[Eignir]]/SUMIFS(Table14[Eignir],Table14[Year],Table14[[#This Row],[Year]])</f>
        <v>5.3293839979498912E-3</v>
      </c>
      <c r="F436" s="23" t="e">
        <f>IF(B436=1997, 100, IF(COUNTIF(A$1:A435,A436)=0, "NEW", F435*(1+Table14[[#This Row],[Ávöxtun]])))</f>
        <v>#VALUE!</v>
      </c>
      <c r="G436" s="18" t="str" cm="1">
        <f t="array" ref="G436">IFERROR(_xlfn.IFS(ISNUMBER(Table14[[#This Row],[Column3]]),Table14[[#This Row],[Column3]],Table14[[#This Row],[Column3]]="NEW",Table14[[#This Row],[Column3]]),"")</f>
        <v/>
      </c>
      <c r="H436" s="15" cm="1">
        <f t="array" ref="H436">_xlfn.IFS(Table14[[#This Row],[Column4]]="NEW",AVERAGEIFS(Table14[Column4],Table14[Year],Table14[[#This Row],[Year]]),ISNUMBER(Table14[[#This Row],[Column4]]),Table14[[#This Row],[Column4]],Table14[[#This Row],[Column4]]="",H435*(1+Table14[[#This Row],[Ávöxtun]]))</f>
        <v>123.94869929411765</v>
      </c>
      <c r="I436" cm="1">
        <f t="array" ref="I436">_xlfn.IFS(Table14[[#This Row],[Column4]]="NEW",_xlfn.XLOOKUP(Table14[[#This Row],[Year]],$M$2:$M$27,$O$2:$O$27),ISNUMBER(Table14[[#This Row],[Column4]]),Table14[[#This Row],[Column4]],Table14[[#This Row],[Column4]]="",I435*(1+Table14[[#This Row],[Ávöxtun]]))</f>
        <v>124.42028625194041</v>
      </c>
      <c r="L436" s="33">
        <v>124.42028625194041</v>
      </c>
    </row>
    <row r="437" spans="1:12">
      <c r="A437" t="s">
        <v>106</v>
      </c>
      <c r="B437">
        <v>2004</v>
      </c>
      <c r="C437" s="16">
        <v>0.18</v>
      </c>
      <c r="D437" s="1">
        <v>25571056</v>
      </c>
      <c r="E437" s="29">
        <f>Table14[[#This Row],[Ávöxtun]]*Table14[[#This Row],[Eignir]]/SUMIFS(Table14[Eignir],Table14[Year],Table14[[#This Row],[Year]])</f>
        <v>5.070992678476916E-3</v>
      </c>
      <c r="F437" s="23" t="e">
        <f>IF(B437=1997, 100, IF(COUNTIF(A$1:A436,A437)=0, "NEW", F436*(1+Table14[[#This Row],[Ávöxtun]])))</f>
        <v>#VALUE!</v>
      </c>
      <c r="G437" s="18" t="str" cm="1">
        <f t="array" ref="G437">IFERROR(_xlfn.IFS(ISNUMBER(Table14[[#This Row],[Column3]]),Table14[[#This Row],[Column3]],Table14[[#This Row],[Column3]]="NEW",Table14[[#This Row],[Column3]]),"")</f>
        <v/>
      </c>
      <c r="H437" s="15" cm="1">
        <f t="array" ref="H437">_xlfn.IFS(Table14[[#This Row],[Column4]]="NEW",AVERAGEIFS(Table14[Column4],Table14[Year],Table14[[#This Row],[Year]]),ISNUMBER(Table14[[#This Row],[Column4]]),Table14[[#This Row],[Column4]],Table14[[#This Row],[Column4]]="",H436*(1+Table14[[#This Row],[Ávöxtun]]))</f>
        <v>146.25946516705881</v>
      </c>
      <c r="I437" cm="1">
        <f t="array" ref="I437">_xlfn.IFS(Table14[[#This Row],[Column4]]="NEW",_xlfn.XLOOKUP(Table14[[#This Row],[Year]],$M$2:$M$27,$O$2:$O$27),ISNUMBER(Table14[[#This Row],[Column4]]),Table14[[#This Row],[Column4]],Table14[[#This Row],[Column4]]="",I436*(1+Table14[[#This Row],[Ávöxtun]]))</f>
        <v>146.81593777728969</v>
      </c>
      <c r="L437" s="33">
        <v>146.81593777728969</v>
      </c>
    </row>
    <row r="438" spans="1:12">
      <c r="A438" t="s">
        <v>106</v>
      </c>
      <c r="B438">
        <v>2005</v>
      </c>
      <c r="C438" s="16">
        <v>0.16</v>
      </c>
      <c r="D438" s="1">
        <v>28726712</v>
      </c>
      <c r="E438" s="29">
        <f>Table14[[#This Row],[Ávöxtun]]*Table14[[#This Row],[Eignir]]/SUMIFS(Table14[Eignir],Table14[Year],Table14[[#This Row],[Year]])</f>
        <v>4.0989202021338191E-3</v>
      </c>
      <c r="F438" s="23" t="e">
        <f>IF(B438=1997, 100, IF(COUNTIF(A$1:A437,A438)=0, "NEW", F437*(1+Table14[[#This Row],[Ávöxtun]])))</f>
        <v>#VALUE!</v>
      </c>
      <c r="G438" s="18" t="str" cm="1">
        <f t="array" ref="G438">IFERROR(_xlfn.IFS(ISNUMBER(Table14[[#This Row],[Column3]]),Table14[[#This Row],[Column3]],Table14[[#This Row],[Column3]]="NEW",Table14[[#This Row],[Column3]]),"")</f>
        <v/>
      </c>
      <c r="H438" s="15" cm="1">
        <f t="array" ref="H438">_xlfn.IFS(Table14[[#This Row],[Column4]]="NEW",AVERAGEIFS(Table14[Column4],Table14[Year],Table14[[#This Row],[Year]]),ISNUMBER(Table14[[#This Row],[Column4]]),Table14[[#This Row],[Column4]],Table14[[#This Row],[Column4]]="",H437*(1+Table14[[#This Row],[Ávöxtun]]))</f>
        <v>169.6609795937882</v>
      </c>
      <c r="I438" cm="1">
        <f t="array" ref="I438">_xlfn.IFS(Table14[[#This Row],[Column4]]="NEW",_xlfn.XLOOKUP(Table14[[#This Row],[Year]],$M$2:$M$27,$O$2:$O$27),ISNUMBER(Table14[[#This Row],[Column4]]),Table14[[#This Row],[Column4]],Table14[[#This Row],[Column4]]="",I437*(1+Table14[[#This Row],[Ávöxtun]]))</f>
        <v>170.30648782165602</v>
      </c>
      <c r="L438" s="33">
        <v>170.30648782165602</v>
      </c>
    </row>
    <row r="439" spans="1:12">
      <c r="A439" t="s">
        <v>106</v>
      </c>
      <c r="B439">
        <v>2006</v>
      </c>
      <c r="C439" s="16">
        <v>0.156</v>
      </c>
      <c r="D439" s="1">
        <v>35121866</v>
      </c>
      <c r="E439" s="29">
        <f>Table14[[#This Row],[Ávöxtun]]*Table14[[#This Row],[Eignir]]/SUMIFS(Table14[Eignir],Table14[Year],Table14[[#This Row],[Year]])</f>
        <v>3.9914827191076252E-3</v>
      </c>
      <c r="F439" s="23" t="e">
        <f>IF(B439=1997, 100, IF(COUNTIF(A$1:A438,A439)=0, "NEW", F438*(1+Table14[[#This Row],[Ávöxtun]])))</f>
        <v>#VALUE!</v>
      </c>
      <c r="G439" s="18" t="str" cm="1">
        <f t="array" ref="G439">IFERROR(_xlfn.IFS(ISNUMBER(Table14[[#This Row],[Column3]]),Table14[[#This Row],[Column3]],Table14[[#This Row],[Column3]]="NEW",Table14[[#This Row],[Column3]]),"")</f>
        <v/>
      </c>
      <c r="H439" s="15" cm="1">
        <f t="array" ref="H439">_xlfn.IFS(Table14[[#This Row],[Column4]]="NEW",AVERAGEIFS(Table14[Column4],Table14[Year],Table14[[#This Row],[Year]]),ISNUMBER(Table14[[#This Row],[Column4]]),Table14[[#This Row],[Column4]],Table14[[#This Row],[Column4]]="",H438*(1+Table14[[#This Row],[Ávöxtun]]))</f>
        <v>196.12809241041916</v>
      </c>
      <c r="I439" cm="1">
        <f t="array" ref="I439">_xlfn.IFS(Table14[[#This Row],[Column4]]="NEW",_xlfn.XLOOKUP(Table14[[#This Row],[Year]],$M$2:$M$27,$O$2:$O$27),ISNUMBER(Table14[[#This Row],[Column4]]),Table14[[#This Row],[Column4]],Table14[[#This Row],[Column4]]="",I438*(1+Table14[[#This Row],[Ávöxtun]]))</f>
        <v>196.87429992183434</v>
      </c>
      <c r="L439" s="33">
        <v>196.87429992183434</v>
      </c>
    </row>
    <row r="440" spans="1:12">
      <c r="A440" t="s">
        <v>106</v>
      </c>
      <c r="B440">
        <v>2007</v>
      </c>
      <c r="C440" s="16">
        <v>2.2499999999999999E-2</v>
      </c>
      <c r="D440" s="1">
        <v>38161101</v>
      </c>
      <c r="E440" s="29">
        <f>Table14[[#This Row],[Ávöxtun]]*Table14[[#This Row],[Eignir]]/SUMIFS(Table14[Eignir],Table14[Year],Table14[[#This Row],[Year]])</f>
        <v>5.5523818477030995E-4</v>
      </c>
      <c r="F440" s="23" t="e">
        <f>IF(B440=1997, 100, IF(COUNTIF(A$1:A439,A440)=0, "NEW", F439*(1+Table14[[#This Row],[Ávöxtun]])))</f>
        <v>#VALUE!</v>
      </c>
      <c r="G440" s="18" t="str" cm="1">
        <f t="array" ref="G440">IFERROR(_xlfn.IFS(ISNUMBER(Table14[[#This Row],[Column3]]),Table14[[#This Row],[Column3]],Table14[[#This Row],[Column3]]="NEW",Table14[[#This Row],[Column3]]),"")</f>
        <v/>
      </c>
      <c r="H440" s="15" cm="1">
        <f t="array" ref="H440">_xlfn.IFS(Table14[[#This Row],[Column4]]="NEW",AVERAGEIFS(Table14[Column4],Table14[Year],Table14[[#This Row],[Year]]),ISNUMBER(Table14[[#This Row],[Column4]]),Table14[[#This Row],[Column4]],Table14[[#This Row],[Column4]]="",H439*(1+Table14[[#This Row],[Ávöxtun]]))</f>
        <v>200.54097448965359</v>
      </c>
      <c r="I440" cm="1">
        <f t="array" ref="I440">_xlfn.IFS(Table14[[#This Row],[Column4]]="NEW",_xlfn.XLOOKUP(Table14[[#This Row],[Year]],$M$2:$M$27,$O$2:$O$27),ISNUMBER(Table14[[#This Row],[Column4]]),Table14[[#This Row],[Column4]],Table14[[#This Row],[Column4]]="",I439*(1+Table14[[#This Row],[Ávöxtun]]))</f>
        <v>201.30397167007561</v>
      </c>
      <c r="L440" s="33">
        <v>201.30397167007561</v>
      </c>
    </row>
    <row r="441" spans="1:12">
      <c r="A441" t="s">
        <v>106</v>
      </c>
      <c r="B441">
        <v>2008</v>
      </c>
      <c r="C441" s="16">
        <v>-0.11199999999999999</v>
      </c>
      <c r="D441" s="1">
        <v>39414110</v>
      </c>
      <c r="E441" s="29">
        <f>Table14[[#This Row],[Ávöxtun]]*Table14[[#This Row],[Eignir]]/SUMIFS(Table14[Eignir],Table14[Year],Table14[[#This Row],[Year]])</f>
        <v>-2.9481917728383638E-3</v>
      </c>
      <c r="F441" s="23" t="e">
        <f>IF(B441=1997, 100, IF(COUNTIF(A$1:A440,A441)=0, "NEW", F440*(1+Table14[[#This Row],[Ávöxtun]])))</f>
        <v>#VALUE!</v>
      </c>
      <c r="G441" s="18" t="str" cm="1">
        <f t="array" ref="G441">IFERROR(_xlfn.IFS(ISNUMBER(Table14[[#This Row],[Column3]]),Table14[[#This Row],[Column3]],Table14[[#This Row],[Column3]]="NEW",Table14[[#This Row],[Column3]]),"")</f>
        <v/>
      </c>
      <c r="H441" s="15" cm="1">
        <f t="array" ref="H441">_xlfn.IFS(Table14[[#This Row],[Column4]]="NEW",AVERAGEIFS(Table14[Column4],Table14[Year],Table14[[#This Row],[Year]]),ISNUMBER(Table14[[#This Row],[Column4]]),Table14[[#This Row],[Column4]],Table14[[#This Row],[Column4]]="",H440*(1+Table14[[#This Row],[Ávöxtun]]))</f>
        <v>178.08038534681239</v>
      </c>
      <c r="I441" cm="1">
        <f t="array" ref="I441">_xlfn.IFS(Table14[[#This Row],[Column4]]="NEW",_xlfn.XLOOKUP(Table14[[#This Row],[Year]],$M$2:$M$27,$O$2:$O$27),ISNUMBER(Table14[[#This Row],[Column4]]),Table14[[#This Row],[Column4]],Table14[[#This Row],[Column4]]="",I440*(1+Table14[[#This Row],[Ávöxtun]]))</f>
        <v>178.75792684302715</v>
      </c>
      <c r="L441" s="33">
        <v>178.75792684302715</v>
      </c>
    </row>
    <row r="442" spans="1:12">
      <c r="A442" t="s">
        <v>106</v>
      </c>
      <c r="B442">
        <v>2009</v>
      </c>
      <c r="C442" s="16">
        <v>5.2600000000000001E-2</v>
      </c>
      <c r="D442" s="1">
        <v>44036710</v>
      </c>
      <c r="E442" s="29">
        <f>Table14[[#This Row],[Ávöxtun]]*Table14[[#This Row],[Eignir]]/SUMIFS(Table14[Eignir],Table14[Year],Table14[[#This Row],[Year]])</f>
        <v>1.3884725565921441E-3</v>
      </c>
      <c r="F442" s="23" t="e">
        <f>IF(B442=1997, 100, IF(COUNTIF(A$1:A441,A442)=0, "NEW", F441*(1+Table14[[#This Row],[Ávöxtun]])))</f>
        <v>#VALUE!</v>
      </c>
      <c r="G442" s="18" t="str" cm="1">
        <f t="array" ref="G442">IFERROR(_xlfn.IFS(ISNUMBER(Table14[[#This Row],[Column3]]),Table14[[#This Row],[Column3]],Table14[[#This Row],[Column3]]="NEW",Table14[[#This Row],[Column3]]),"")</f>
        <v/>
      </c>
      <c r="H442" s="15" cm="1">
        <f t="array" ref="H442">_xlfn.IFS(Table14[[#This Row],[Column4]]="NEW",AVERAGEIFS(Table14[Column4],Table14[Year],Table14[[#This Row],[Year]]),ISNUMBER(Table14[[#This Row],[Column4]]),Table14[[#This Row],[Column4]],Table14[[#This Row],[Column4]]="",H441*(1+Table14[[#This Row],[Ávöxtun]]))</f>
        <v>187.44741361605472</v>
      </c>
      <c r="I442" cm="1">
        <f t="array" ref="I442">_xlfn.IFS(Table14[[#This Row],[Column4]]="NEW",_xlfn.XLOOKUP(Table14[[#This Row],[Year]],$M$2:$M$27,$O$2:$O$27),ISNUMBER(Table14[[#This Row],[Column4]]),Table14[[#This Row],[Column4]],Table14[[#This Row],[Column4]]="",I441*(1+Table14[[#This Row],[Ávöxtun]]))</f>
        <v>188.16059379497037</v>
      </c>
      <c r="L442" s="33">
        <v>188.16059379497037</v>
      </c>
    </row>
    <row r="443" spans="1:12">
      <c r="A443" t="s">
        <v>106</v>
      </c>
      <c r="B443">
        <v>2010</v>
      </c>
      <c r="C443" s="16">
        <v>7.7200000000000005E-2</v>
      </c>
      <c r="D443" s="1">
        <v>46827098</v>
      </c>
      <c r="E443" s="29">
        <f>Table14[[#This Row],[Ávöxtun]]*Table14[[#This Row],[Eignir]]/SUMIFS(Table14[Eignir],Table14[Year],Table14[[#This Row],[Year]])</f>
        <v>2.0220825284770474E-3</v>
      </c>
      <c r="F443" s="23" t="e">
        <f>IF(B443=1997, 100, IF(COUNTIF(A$1:A442,A443)=0, "NEW", F442*(1+Table14[[#This Row],[Ávöxtun]])))</f>
        <v>#VALUE!</v>
      </c>
      <c r="G443" s="18" t="str" cm="1">
        <f t="array" ref="G443">IFERROR(_xlfn.IFS(ISNUMBER(Table14[[#This Row],[Column3]]),Table14[[#This Row],[Column3]],Table14[[#This Row],[Column3]]="NEW",Table14[[#This Row],[Column3]]),"")</f>
        <v/>
      </c>
      <c r="H443" s="15" cm="1">
        <f t="array" ref="H443">_xlfn.IFS(Table14[[#This Row],[Column4]]="NEW",AVERAGEIFS(Table14[Column4],Table14[Year],Table14[[#This Row],[Year]]),ISNUMBER(Table14[[#This Row],[Column4]]),Table14[[#This Row],[Column4]],Table14[[#This Row],[Column4]]="",H442*(1+Table14[[#This Row],[Ávöxtun]]))</f>
        <v>201.91835394721414</v>
      </c>
      <c r="I443" cm="1">
        <f t="array" ref="I443">_xlfn.IFS(Table14[[#This Row],[Column4]]="NEW",_xlfn.XLOOKUP(Table14[[#This Row],[Year]],$M$2:$M$27,$O$2:$O$27),ISNUMBER(Table14[[#This Row],[Column4]]),Table14[[#This Row],[Column4]],Table14[[#This Row],[Column4]]="",I442*(1+Table14[[#This Row],[Ávöxtun]]))</f>
        <v>202.68659163594208</v>
      </c>
      <c r="L443" s="33">
        <v>202.68659163594208</v>
      </c>
    </row>
    <row r="444" spans="1:12">
      <c r="A444" t="s">
        <v>106</v>
      </c>
      <c r="B444">
        <v>2011</v>
      </c>
      <c r="C444" s="16">
        <v>8.3000000000000004E-2</v>
      </c>
      <c r="D444" s="1">
        <v>51384697</v>
      </c>
      <c r="E444" s="29">
        <f>Table14[[#This Row],[Ávöxtun]]*Table14[[#This Row],[Eignir]]/SUMIFS(Table14[Eignir],Table14[Year],Table14[[#This Row],[Year]])</f>
        <v>2.1865168934729669E-3</v>
      </c>
      <c r="F444" s="23" t="e">
        <f>IF(B444=1997, 100, IF(COUNTIF(A$1:A443,A444)=0, "NEW", F443*(1+Table14[[#This Row],[Ávöxtun]])))</f>
        <v>#VALUE!</v>
      </c>
      <c r="G444" s="18" t="str" cm="1">
        <f t="array" ref="G444">IFERROR(_xlfn.IFS(ISNUMBER(Table14[[#This Row],[Column3]]),Table14[[#This Row],[Column3]],Table14[[#This Row],[Column3]]="NEW",Table14[[#This Row],[Column3]]),"")</f>
        <v/>
      </c>
      <c r="H444" s="15" cm="1">
        <f t="array" ref="H444">_xlfn.IFS(Table14[[#This Row],[Column4]]="NEW",AVERAGEIFS(Table14[Column4],Table14[Year],Table14[[#This Row],[Year]]),ISNUMBER(Table14[[#This Row],[Column4]]),Table14[[#This Row],[Column4]],Table14[[#This Row],[Column4]]="",H443*(1+Table14[[#This Row],[Ávöxtun]]))</f>
        <v>218.6775773248329</v>
      </c>
      <c r="I444" cm="1">
        <f t="array" ref="I444">_xlfn.IFS(Table14[[#This Row],[Column4]]="NEW",_xlfn.XLOOKUP(Table14[[#This Row],[Year]],$M$2:$M$27,$O$2:$O$27),ISNUMBER(Table14[[#This Row],[Column4]]),Table14[[#This Row],[Column4]],Table14[[#This Row],[Column4]]="",I443*(1+Table14[[#This Row],[Ávöxtun]]))</f>
        <v>219.50957874172528</v>
      </c>
      <c r="L444" s="33">
        <v>219.50957874172528</v>
      </c>
    </row>
    <row r="445" spans="1:12">
      <c r="A445" t="s">
        <v>106</v>
      </c>
      <c r="B445">
        <v>2012</v>
      </c>
      <c r="C445" s="16">
        <v>0.107</v>
      </c>
      <c r="D445" s="1">
        <v>56006035</v>
      </c>
      <c r="E445" s="29">
        <f>Table14[[#This Row],[Ávöxtun]]*Table14[[#This Row],[Eignir]]/SUMIFS(Table14[Eignir],Table14[Year],Table14[[#This Row],[Year]])</f>
        <v>2.7204143606230349E-3</v>
      </c>
      <c r="F445" s="23" t="e">
        <f>IF(B445=1997, 100, IF(COUNTIF(A$1:A444,A445)=0, "NEW", F444*(1+Table14[[#This Row],[Ávöxtun]])))</f>
        <v>#VALUE!</v>
      </c>
      <c r="G445" s="18" t="str" cm="1">
        <f t="array" ref="G445">IFERROR(_xlfn.IFS(ISNUMBER(Table14[[#This Row],[Column3]]),Table14[[#This Row],[Column3]],Table14[[#This Row],[Column3]]="NEW",Table14[[#This Row],[Column3]]),"")</f>
        <v/>
      </c>
      <c r="H445" s="15" cm="1">
        <f t="array" ref="H445">_xlfn.IFS(Table14[[#This Row],[Column4]]="NEW",AVERAGEIFS(Table14[Column4],Table14[Year],Table14[[#This Row],[Year]]),ISNUMBER(Table14[[#This Row],[Column4]]),Table14[[#This Row],[Column4]],Table14[[#This Row],[Column4]]="",H444*(1+Table14[[#This Row],[Ávöxtun]]))</f>
        <v>242.07607809859002</v>
      </c>
      <c r="I445" cm="1">
        <f t="array" ref="I445">_xlfn.IFS(Table14[[#This Row],[Column4]]="NEW",_xlfn.XLOOKUP(Table14[[#This Row],[Year]],$M$2:$M$27,$O$2:$O$27),ISNUMBER(Table14[[#This Row],[Column4]]),Table14[[#This Row],[Column4]],Table14[[#This Row],[Column4]]="",I444*(1+Table14[[#This Row],[Ávöxtun]]))</f>
        <v>242.99710366708987</v>
      </c>
      <c r="L445" s="33">
        <v>242.99710366708987</v>
      </c>
    </row>
    <row r="446" spans="1:12">
      <c r="A446" t="s">
        <v>106</v>
      </c>
      <c r="B446">
        <v>2013</v>
      </c>
      <c r="C446" s="16">
        <v>9.6999999999999989E-2</v>
      </c>
      <c r="D446" s="1">
        <v>60336344</v>
      </c>
      <c r="E446" s="29">
        <f>Table14[[#This Row],[Ávöxtun]]*Table14[[#This Row],[Eignir]]/SUMIFS(Table14[Eignir],Table14[Year],Table14[[#This Row],[Year]])</f>
        <v>2.4049451809738513E-3</v>
      </c>
      <c r="F446" s="23" t="e">
        <f>IF(B446=1997, 100, IF(COUNTIF(A$1:A445,A446)=0, "NEW", F445*(1+Table14[[#This Row],[Ávöxtun]])))</f>
        <v>#VALUE!</v>
      </c>
      <c r="G446" s="18" t="str" cm="1">
        <f t="array" ref="G446">IFERROR(_xlfn.IFS(ISNUMBER(Table14[[#This Row],[Column3]]),Table14[[#This Row],[Column3]],Table14[[#This Row],[Column3]]="NEW",Table14[[#This Row],[Column3]]),"")</f>
        <v/>
      </c>
      <c r="H446" s="15" cm="1">
        <f t="array" ref="H446">_xlfn.IFS(Table14[[#This Row],[Column4]]="NEW",AVERAGEIFS(Table14[Column4],Table14[Year],Table14[[#This Row],[Year]]),ISNUMBER(Table14[[#This Row],[Column4]]),Table14[[#This Row],[Column4]],Table14[[#This Row],[Column4]]="",H445*(1+Table14[[#This Row],[Ávöxtun]]))</f>
        <v>265.55745767415323</v>
      </c>
      <c r="I446" cm="1">
        <f t="array" ref="I446">_xlfn.IFS(Table14[[#This Row],[Column4]]="NEW",_xlfn.XLOOKUP(Table14[[#This Row],[Year]],$M$2:$M$27,$O$2:$O$27),ISNUMBER(Table14[[#This Row],[Column4]]),Table14[[#This Row],[Column4]],Table14[[#This Row],[Column4]]="",I445*(1+Table14[[#This Row],[Ávöxtun]]))</f>
        <v>266.56782272279759</v>
      </c>
      <c r="L446" s="33">
        <v>266.56782272279759</v>
      </c>
    </row>
    <row r="447" spans="1:12">
      <c r="A447" t="s">
        <v>106</v>
      </c>
      <c r="B447">
        <v>2014</v>
      </c>
      <c r="C447" s="16">
        <v>9.5000000000000001E-2</v>
      </c>
      <c r="D447" s="1">
        <v>63150185</v>
      </c>
      <c r="E447" s="29">
        <f>Table14[[#This Row],[Ávöxtun]]*Table14[[#This Row],[Eignir]]/SUMIFS(Table14[Eignir],Table14[Year],Table14[[#This Row],[Year]])</f>
        <v>2.2612988365371604E-3</v>
      </c>
      <c r="F447" s="23" t="e">
        <f>IF(B447=1997, 100, IF(COUNTIF(A$1:A446,A447)=0, "NEW", F446*(1+Table14[[#This Row],[Ávöxtun]])))</f>
        <v>#VALUE!</v>
      </c>
      <c r="G447" s="18" t="str" cm="1">
        <f t="array" ref="G447">IFERROR(_xlfn.IFS(ISNUMBER(Table14[[#This Row],[Column3]]),Table14[[#This Row],[Column3]],Table14[[#This Row],[Column3]]="NEW",Table14[[#This Row],[Column3]]),"")</f>
        <v/>
      </c>
      <c r="H447" s="15" cm="1">
        <f t="array" ref="H447">_xlfn.IFS(Table14[[#This Row],[Column4]]="NEW",AVERAGEIFS(Table14[Column4],Table14[Year],Table14[[#This Row],[Year]]),ISNUMBER(Table14[[#This Row],[Column4]]),Table14[[#This Row],[Column4]],Table14[[#This Row],[Column4]]="",H446*(1+Table14[[#This Row],[Ávöxtun]]))</f>
        <v>290.78541615319779</v>
      </c>
      <c r="I447" cm="1">
        <f t="array" ref="I447">_xlfn.IFS(Table14[[#This Row],[Column4]]="NEW",_xlfn.XLOOKUP(Table14[[#This Row],[Year]],$M$2:$M$27,$O$2:$O$27),ISNUMBER(Table14[[#This Row],[Column4]]),Table14[[#This Row],[Column4]],Table14[[#This Row],[Column4]]="",I446*(1+Table14[[#This Row],[Ávöxtun]]))</f>
        <v>291.89176588146336</v>
      </c>
      <c r="L447" s="33">
        <v>291.89176588146336</v>
      </c>
    </row>
    <row r="448" spans="1:12">
      <c r="A448" t="s">
        <v>106</v>
      </c>
      <c r="B448">
        <v>2015</v>
      </c>
      <c r="C448" s="16">
        <v>0.127</v>
      </c>
      <c r="D448" s="1">
        <v>67783235</v>
      </c>
      <c r="E448" s="29">
        <f>Table14[[#This Row],[Ávöxtun]]*Table14[[#This Row],[Eignir]]/SUMIFS(Table14[Eignir],Table14[Year],Table14[[#This Row],[Year]])</f>
        <v>2.9069136656448688E-3</v>
      </c>
      <c r="F448" s="23" t="e">
        <f>IF(B448=1997, 100, IF(COUNTIF(A$1:A447,A448)=0, "NEW", F447*(1+Table14[[#This Row],[Ávöxtun]])))</f>
        <v>#VALUE!</v>
      </c>
      <c r="G448" s="18" t="str" cm="1">
        <f t="array" ref="G448">IFERROR(_xlfn.IFS(ISNUMBER(Table14[[#This Row],[Column3]]),Table14[[#This Row],[Column3]],Table14[[#This Row],[Column3]]="NEW",Table14[[#This Row],[Column3]]),"")</f>
        <v/>
      </c>
      <c r="H448" s="15" cm="1">
        <f t="array" ref="H448">_xlfn.IFS(Table14[[#This Row],[Column4]]="NEW",AVERAGEIFS(Table14[Column4],Table14[Year],Table14[[#This Row],[Year]]),ISNUMBER(Table14[[#This Row],[Column4]]),Table14[[#This Row],[Column4]],Table14[[#This Row],[Column4]]="",H447*(1+Table14[[#This Row],[Ávöxtun]]))</f>
        <v>327.7151640046539</v>
      </c>
      <c r="I448" cm="1">
        <f t="array" ref="I448">_xlfn.IFS(Table14[[#This Row],[Column4]]="NEW",_xlfn.XLOOKUP(Table14[[#This Row],[Year]],$M$2:$M$27,$O$2:$O$27),ISNUMBER(Table14[[#This Row],[Column4]]),Table14[[#This Row],[Column4]],Table14[[#This Row],[Column4]]="",I447*(1+Table14[[#This Row],[Ávöxtun]]))</f>
        <v>328.96202014840918</v>
      </c>
      <c r="L448" s="33">
        <v>328.96202014840918</v>
      </c>
    </row>
    <row r="449" spans="1:12">
      <c r="A449" t="s">
        <v>106</v>
      </c>
      <c r="B449">
        <v>2016</v>
      </c>
      <c r="C449" s="16">
        <v>3.2000000000000001E-2</v>
      </c>
      <c r="D449" s="1">
        <v>71260086.609999999</v>
      </c>
      <c r="E449" s="29">
        <f>Table14[[#This Row],[Ávöxtun]]*Table14[[#This Row],[Eignir]]/SUMIFS(Table14[Eignir],Table14[Year],Table14[[#This Row],[Year]])</f>
        <v>7.125904761322528E-4</v>
      </c>
      <c r="F449" s="23" t="e">
        <f>IF(B449=1997, 100, IF(COUNTIF(A$1:A448,A449)=0, "NEW", F448*(1+Table14[[#This Row],[Ávöxtun]])))</f>
        <v>#VALUE!</v>
      </c>
      <c r="G449" s="18" t="str" cm="1">
        <f t="array" ref="G449">IFERROR(_xlfn.IFS(ISNUMBER(Table14[[#This Row],[Column3]]),Table14[[#This Row],[Column3]],Table14[[#This Row],[Column3]]="NEW",Table14[[#This Row],[Column3]]),"")</f>
        <v/>
      </c>
      <c r="H449" s="15" cm="1">
        <f t="array" ref="H449">_xlfn.IFS(Table14[[#This Row],[Column4]]="NEW",AVERAGEIFS(Table14[Column4],Table14[Year],Table14[[#This Row],[Year]]),ISNUMBER(Table14[[#This Row],[Column4]]),Table14[[#This Row],[Column4]],Table14[[#This Row],[Column4]]="",H448*(1+Table14[[#This Row],[Ávöxtun]]))</f>
        <v>338.20204925280285</v>
      </c>
      <c r="I449" cm="1">
        <f t="array" ref="I449">_xlfn.IFS(Table14[[#This Row],[Column4]]="NEW",_xlfn.XLOOKUP(Table14[[#This Row],[Year]],$M$2:$M$27,$O$2:$O$27),ISNUMBER(Table14[[#This Row],[Column4]]),Table14[[#This Row],[Column4]],Table14[[#This Row],[Column4]]="",I448*(1+Table14[[#This Row],[Ávöxtun]]))</f>
        <v>339.48880479315829</v>
      </c>
      <c r="L449" s="33">
        <v>339.48880479315829</v>
      </c>
    </row>
    <row r="450" spans="1:12">
      <c r="A450" t="s">
        <v>106</v>
      </c>
      <c r="B450">
        <v>2017</v>
      </c>
      <c r="C450" s="16">
        <v>7.9000000000000001E-2</v>
      </c>
      <c r="D450" s="1">
        <v>74695853</v>
      </c>
      <c r="E450" s="29">
        <f>Table14[[#This Row],[Ávöxtun]]*Table14[[#This Row],[Eignir]]/SUMIFS(Table14[Eignir],Table14[Year],Table14[[#This Row],[Year]])</f>
        <v>1.6579717732072574E-3</v>
      </c>
      <c r="F450" s="23" t="e">
        <f>IF(B450=1997, 100, IF(COUNTIF(A$1:A449,A450)=0, "NEW", F449*(1+Table14[[#This Row],[Ávöxtun]])))</f>
        <v>#VALUE!</v>
      </c>
      <c r="G450" s="18" t="str" cm="1">
        <f t="array" ref="G450">IFERROR(_xlfn.IFS(ISNUMBER(Table14[[#This Row],[Column3]]),Table14[[#This Row],[Column3]],Table14[[#This Row],[Column3]]="NEW",Table14[[#This Row],[Column3]]),"")</f>
        <v/>
      </c>
      <c r="H450" s="15" cm="1">
        <f t="array" ref="H450">_xlfn.IFS(Table14[[#This Row],[Column4]]="NEW",AVERAGEIFS(Table14[Column4],Table14[Year],Table14[[#This Row],[Year]]),ISNUMBER(Table14[[#This Row],[Column4]]),Table14[[#This Row],[Column4]],Table14[[#This Row],[Column4]]="",H449*(1+Table14[[#This Row],[Ávöxtun]]))</f>
        <v>364.92001114377427</v>
      </c>
      <c r="I450" cm="1">
        <f t="array" ref="I450">_xlfn.IFS(Table14[[#This Row],[Column4]]="NEW",_xlfn.XLOOKUP(Table14[[#This Row],[Year]],$M$2:$M$27,$O$2:$O$27),ISNUMBER(Table14[[#This Row],[Column4]]),Table14[[#This Row],[Column4]],Table14[[#This Row],[Column4]]="",I449*(1+Table14[[#This Row],[Ávöxtun]]))</f>
        <v>366.30842037181776</v>
      </c>
      <c r="L450" s="33">
        <v>366.30842037181776</v>
      </c>
    </row>
    <row r="451" spans="1:12">
      <c r="A451" t="s">
        <v>106</v>
      </c>
      <c r="B451">
        <v>2018</v>
      </c>
      <c r="C451" s="16">
        <v>5.2000000000000005E-2</v>
      </c>
      <c r="D451" s="1">
        <v>78395142</v>
      </c>
      <c r="E451" s="29">
        <f>Table14[[#This Row],[Ávöxtun]]*Table14[[#This Row],[Eignir]]/SUMIFS(Table14[Eignir],Table14[Year],Table14[[#This Row],[Year]])</f>
        <v>1.0676289785900807E-3</v>
      </c>
      <c r="F451" s="23" t="e">
        <f>IF(B451=1997, 100, IF(COUNTIF(A$1:A450,A451)=0, "NEW", F450*(1+Table14[[#This Row],[Ávöxtun]])))</f>
        <v>#VALUE!</v>
      </c>
      <c r="G451" s="18" t="str" cm="1">
        <f t="array" ref="G451">IFERROR(_xlfn.IFS(ISNUMBER(Table14[[#This Row],[Column3]]),Table14[[#This Row],[Column3]],Table14[[#This Row],[Column3]]="NEW",Table14[[#This Row],[Column3]]),"")</f>
        <v/>
      </c>
      <c r="H451" s="15" cm="1">
        <f t="array" ref="H451">_xlfn.IFS(Table14[[#This Row],[Column4]]="NEW",AVERAGEIFS(Table14[Column4],Table14[Year],Table14[[#This Row],[Year]]),ISNUMBER(Table14[[#This Row],[Column4]]),Table14[[#This Row],[Column4]],Table14[[#This Row],[Column4]]="",H450*(1+Table14[[#This Row],[Ávöxtun]]))</f>
        <v>383.89585172325053</v>
      </c>
      <c r="I451" cm="1">
        <f t="array" ref="I451">_xlfn.IFS(Table14[[#This Row],[Column4]]="NEW",_xlfn.XLOOKUP(Table14[[#This Row],[Year]],$M$2:$M$27,$O$2:$O$27),ISNUMBER(Table14[[#This Row],[Column4]]),Table14[[#This Row],[Column4]],Table14[[#This Row],[Column4]]="",I450*(1+Table14[[#This Row],[Ávöxtun]]))</f>
        <v>385.35645823115232</v>
      </c>
      <c r="L451" s="33">
        <v>385.35645823115232</v>
      </c>
    </row>
    <row r="452" spans="1:12">
      <c r="A452" t="s">
        <v>106</v>
      </c>
      <c r="B452">
        <v>2019</v>
      </c>
      <c r="C452" s="16">
        <v>0.122</v>
      </c>
      <c r="D452" s="1">
        <v>84401813</v>
      </c>
      <c r="E452" s="29">
        <f>Table14[[#This Row],[Ávöxtun]]*Table14[[#This Row],[Eignir]]/SUMIFS(Table14[Eignir],Table14[Year],Table14[[#This Row],[Year]])</f>
        <v>2.3260226885059229E-3</v>
      </c>
      <c r="F452" s="23" t="e">
        <f>IF(B452=1997, 100, IF(COUNTIF(A$1:A451,A452)=0, "NEW", F451*(1+Table14[[#This Row],[Ávöxtun]])))</f>
        <v>#VALUE!</v>
      </c>
      <c r="G452" s="18" t="str" cm="1">
        <f t="array" ref="G452">IFERROR(_xlfn.IFS(ISNUMBER(Table14[[#This Row],[Column3]]),Table14[[#This Row],[Column3]],Table14[[#This Row],[Column3]]="NEW",Table14[[#This Row],[Column3]]),"")</f>
        <v/>
      </c>
      <c r="H452" s="15" cm="1">
        <f t="array" ref="H452">_xlfn.IFS(Table14[[#This Row],[Column4]]="NEW",AVERAGEIFS(Table14[Column4],Table14[Year],Table14[[#This Row],[Year]]),ISNUMBER(Table14[[#This Row],[Column4]]),Table14[[#This Row],[Column4]],Table14[[#This Row],[Column4]]="",H451*(1+Table14[[#This Row],[Ávöxtun]]))</f>
        <v>430.73114563348707</v>
      </c>
      <c r="I452" cm="1">
        <f t="array" ref="I452">_xlfn.IFS(Table14[[#This Row],[Column4]]="NEW",_xlfn.XLOOKUP(Table14[[#This Row],[Year]],$M$2:$M$27,$O$2:$O$27),ISNUMBER(Table14[[#This Row],[Column4]]),Table14[[#This Row],[Column4]],Table14[[#This Row],[Column4]]="",I451*(1+Table14[[#This Row],[Ávöxtun]]))</f>
        <v>432.36994613535285</v>
      </c>
      <c r="L452" s="33">
        <v>432.36994613535285</v>
      </c>
    </row>
    <row r="453" spans="1:12">
      <c r="A453" t="s">
        <v>106</v>
      </c>
      <c r="B453">
        <v>2020</v>
      </c>
      <c r="C453" s="16">
        <v>0.1125</v>
      </c>
      <c r="D453" s="1">
        <v>91356989</v>
      </c>
      <c r="E453" s="29">
        <f>Table14[[#This Row],[Ávöxtun]]*Table14[[#This Row],[Eignir]]/SUMIFS(Table14[Eignir],Table14[Year],Table14[[#This Row],[Year]])</f>
        <v>2.0008632209561296E-3</v>
      </c>
      <c r="F453" s="23" t="e">
        <f>IF(B453=1997, 100, IF(COUNTIF(A$1:A452,A453)=0, "NEW", F452*(1+Table14[[#This Row],[Ávöxtun]])))</f>
        <v>#VALUE!</v>
      </c>
      <c r="G453" s="18" t="str" cm="1">
        <f t="array" ref="G453">IFERROR(_xlfn.IFS(ISNUMBER(Table14[[#This Row],[Column3]]),Table14[[#This Row],[Column3]],Table14[[#This Row],[Column3]]="NEW",Table14[[#This Row],[Column3]]),"")</f>
        <v/>
      </c>
      <c r="H453" s="15" cm="1">
        <f t="array" ref="H453">_xlfn.IFS(Table14[[#This Row],[Column4]]="NEW",AVERAGEIFS(Table14[Column4],Table14[Year],Table14[[#This Row],[Year]]),ISNUMBER(Table14[[#This Row],[Column4]]),Table14[[#This Row],[Column4]],Table14[[#This Row],[Column4]]="",H452*(1+Table14[[#This Row],[Ávöxtun]]))</f>
        <v>479.18839951725437</v>
      </c>
      <c r="I453" cm="1">
        <f t="array" ref="I453">_xlfn.IFS(Table14[[#This Row],[Column4]]="NEW",_xlfn.XLOOKUP(Table14[[#This Row],[Year]],$M$2:$M$27,$O$2:$O$27),ISNUMBER(Table14[[#This Row],[Column4]]),Table14[[#This Row],[Column4]],Table14[[#This Row],[Column4]]="",I452*(1+Table14[[#This Row],[Ávöxtun]]))</f>
        <v>481.01156507558005</v>
      </c>
      <c r="L453" s="33">
        <v>481.01156507558005</v>
      </c>
    </row>
    <row r="454" spans="1:12">
      <c r="A454" t="s">
        <v>106</v>
      </c>
      <c r="B454">
        <v>2021</v>
      </c>
      <c r="C454" s="16">
        <v>0.14929999999999999</v>
      </c>
      <c r="D454" s="1">
        <v>101903909</v>
      </c>
      <c r="E454" s="29">
        <f>Table14[[#This Row],[Ávöxtun]]*Table14[[#This Row],[Eignir]]/SUMIFS(Table14[Eignir],Table14[Year],Table14[[#This Row],[Year]])</f>
        <v>2.5191254438968838E-3</v>
      </c>
      <c r="F454" s="23" t="e">
        <f>IF(B454=1997, 100, IF(COUNTIF(A$1:A453,A454)=0, "NEW", F453*(1+Table14[[#This Row],[Ávöxtun]])))</f>
        <v>#VALUE!</v>
      </c>
      <c r="G454" s="18" t="str" cm="1">
        <f t="array" ref="G454">IFERROR(_xlfn.IFS(ISNUMBER(Table14[[#This Row],[Column3]]),Table14[[#This Row],[Column3]],Table14[[#This Row],[Column3]]="NEW",Table14[[#This Row],[Column3]]),"")</f>
        <v/>
      </c>
      <c r="H454" s="15" cm="1">
        <f t="array" ref="H454">_xlfn.IFS(Table14[[#This Row],[Column4]]="NEW",AVERAGEIFS(Table14[Column4],Table14[Year],Table14[[#This Row],[Year]]),ISNUMBER(Table14[[#This Row],[Column4]]),Table14[[#This Row],[Column4]],Table14[[#This Row],[Column4]]="",H453*(1+Table14[[#This Row],[Ávöxtun]]))</f>
        <v>550.73122756518046</v>
      </c>
      <c r="I454" cm="1">
        <f t="array" ref="I454">_xlfn.IFS(Table14[[#This Row],[Column4]]="NEW",_xlfn.XLOOKUP(Table14[[#This Row],[Year]],$M$2:$M$27,$O$2:$O$27),ISNUMBER(Table14[[#This Row],[Column4]]),Table14[[#This Row],[Column4]],Table14[[#This Row],[Column4]]="",I453*(1+Table14[[#This Row],[Ávöxtun]]))</f>
        <v>552.82659174136415</v>
      </c>
      <c r="L454" s="33">
        <v>552.82659174136415</v>
      </c>
    </row>
    <row r="455" spans="1:12">
      <c r="A455" t="s">
        <v>107</v>
      </c>
      <c r="B455">
        <v>1997</v>
      </c>
      <c r="C455" s="16">
        <v>0.06</v>
      </c>
      <c r="D455" s="1">
        <v>1116343.43</v>
      </c>
      <c r="E455" s="29">
        <f>Table14[[#This Row],[Ávöxtun]]*Table14[[#This Row],[Eignir]]/SUMIFS(Table14[Eignir],Table14[Year],Table14[[#This Row],[Year]])</f>
        <v>1.975681389594387E-4</v>
      </c>
      <c r="F455" s="23">
        <f>IF(B455=1997, 100, IF(COUNTIF(A$1:A454,A455)=0, "NEW", F454*(1+Table14[[#This Row],[Ávöxtun]])))</f>
        <v>100</v>
      </c>
      <c r="G455" s="18" cm="1">
        <f t="array" ref="G455">IFERROR(_xlfn.IFS(ISNUMBER(Table14[[#This Row],[Column3]]),Table14[[#This Row],[Column3]],Table14[[#This Row],[Column3]]="NEW",Table14[[#This Row],[Column3]]),"")</f>
        <v>100</v>
      </c>
      <c r="H455" s="15" cm="1">
        <f t="array" ref="H455">_xlfn.IFS(Table14[[#This Row],[Column4]]="NEW",AVERAGEIFS(Table14[Column4],Table14[Year],Table14[[#This Row],[Year]]),ISNUMBER(Table14[[#This Row],[Column4]]),Table14[[#This Row],[Column4]],Table14[[#This Row],[Column4]]="",H454*(1+Table14[[#This Row],[Ávöxtun]]))</f>
        <v>100</v>
      </c>
      <c r="I455" cm="1">
        <f t="array" ref="I455">_xlfn.IFS(Table14[[#This Row],[Column4]]="NEW",_xlfn.XLOOKUP(Table14[[#This Row],[Year]],$M$2:$M$27,$O$2:$O$27),ISNUMBER(Table14[[#This Row],[Column4]]),Table14[[#This Row],[Column4]],Table14[[#This Row],[Column4]]="",I454*(1+Table14[[#This Row],[Ávöxtun]]))</f>
        <v>100</v>
      </c>
      <c r="L455" s="33">
        <v>100</v>
      </c>
    </row>
    <row r="456" spans="1:12">
      <c r="A456" t="s">
        <v>107</v>
      </c>
      <c r="B456">
        <v>1998</v>
      </c>
      <c r="C456" s="16">
        <v>0.11</v>
      </c>
      <c r="D456" s="1">
        <v>1309344.56</v>
      </c>
      <c r="E456" s="29">
        <f>Table14[[#This Row],[Ávöxtun]]*Table14[[#This Row],[Eignir]]/SUMIFS(Table14[Eignir],Table14[Year],Table14[[#This Row],[Year]])</f>
        <v>3.6776063017067678E-4</v>
      </c>
      <c r="F456" s="23">
        <f>IF(B456=1997, 100, IF(COUNTIF(A$1:A455,A456)=0, "NEW", F455*(1+Table14[[#This Row],[Ávöxtun]])))</f>
        <v>111.00000000000001</v>
      </c>
      <c r="G456" s="18" cm="1">
        <f t="array" ref="G456">IFERROR(_xlfn.IFS(ISNUMBER(Table14[[#This Row],[Column3]]),Table14[[#This Row],[Column3]],Table14[[#This Row],[Column3]]="NEW",Table14[[#This Row],[Column3]]),"")</f>
        <v>111.00000000000001</v>
      </c>
      <c r="H456" s="15" cm="1">
        <f t="array" ref="H456">_xlfn.IFS(Table14[[#This Row],[Column4]]="NEW",AVERAGEIFS(Table14[Column4],Table14[Year],Table14[[#This Row],[Year]]),ISNUMBER(Table14[[#This Row],[Column4]]),Table14[[#This Row],[Column4]],Table14[[#This Row],[Column4]]="",H455*(1+Table14[[#This Row],[Ávöxtun]]))</f>
        <v>111.00000000000001</v>
      </c>
      <c r="I456" cm="1">
        <f t="array" ref="I456">_xlfn.IFS(Table14[[#This Row],[Column4]]="NEW",_xlfn.XLOOKUP(Table14[[#This Row],[Year]],$M$2:$M$27,$O$2:$O$27),ISNUMBER(Table14[[#This Row],[Column4]]),Table14[[#This Row],[Column4]],Table14[[#This Row],[Column4]]="",I455*(1+Table14[[#This Row],[Ávöxtun]]))</f>
        <v>111.00000000000001</v>
      </c>
      <c r="L456" s="33">
        <v>111.00000000000001</v>
      </c>
    </row>
    <row r="457" spans="1:12">
      <c r="A457" t="s">
        <v>107</v>
      </c>
      <c r="B457">
        <v>1999</v>
      </c>
      <c r="C457" s="16">
        <v>0.06</v>
      </c>
      <c r="D457" s="1">
        <v>1536501.38</v>
      </c>
      <c r="E457" s="29">
        <f>Table14[[#This Row],[Ávöxtun]]*Table14[[#This Row],[Eignir]]/SUMIFS(Table14[Eignir],Table14[Year],Table14[[#This Row],[Year]])</f>
        <v>1.7704461028123235E-4</v>
      </c>
      <c r="F457" s="23">
        <f>IF(B457=1997, 100, IF(COUNTIF(A$1:A456,A457)=0, "NEW", F456*(1+Table14[[#This Row],[Ávöxtun]])))</f>
        <v>117.66000000000003</v>
      </c>
      <c r="G457" s="18" cm="1">
        <f t="array" ref="G457">IFERROR(_xlfn.IFS(ISNUMBER(Table14[[#This Row],[Column3]]),Table14[[#This Row],[Column3]],Table14[[#This Row],[Column3]]="NEW",Table14[[#This Row],[Column3]]),"")</f>
        <v>117.66000000000003</v>
      </c>
      <c r="H457" s="15" cm="1">
        <f t="array" ref="H457">_xlfn.IFS(Table14[[#This Row],[Column4]]="NEW",AVERAGEIFS(Table14[Column4],Table14[Year],Table14[[#This Row],[Year]]),ISNUMBER(Table14[[#This Row],[Column4]]),Table14[[#This Row],[Column4]],Table14[[#This Row],[Column4]]="",H456*(1+Table14[[#This Row],[Ávöxtun]]))</f>
        <v>117.66000000000003</v>
      </c>
      <c r="I457" cm="1">
        <f t="array" ref="I457">_xlfn.IFS(Table14[[#This Row],[Column4]]="NEW",_xlfn.XLOOKUP(Table14[[#This Row],[Year]],$M$2:$M$27,$O$2:$O$27),ISNUMBER(Table14[[#This Row],[Column4]]),Table14[[#This Row],[Column4]],Table14[[#This Row],[Column4]]="",I456*(1+Table14[[#This Row],[Ávöxtun]]))</f>
        <v>117.66000000000003</v>
      </c>
      <c r="L457" s="33">
        <v>117.66000000000003</v>
      </c>
    </row>
    <row r="458" spans="1:12">
      <c r="A458" t="s">
        <v>94</v>
      </c>
      <c r="B458">
        <v>1997</v>
      </c>
      <c r="C458" s="16">
        <v>0.06</v>
      </c>
      <c r="D458" s="1">
        <v>1539299.63</v>
      </c>
      <c r="E458" s="29">
        <f>Table14[[#This Row],[Ávöxtun]]*Table14[[#This Row],[Eignir]]/SUMIFS(Table14[Eignir],Table14[Year],Table14[[#This Row],[Year]])</f>
        <v>2.7242204775644406E-4</v>
      </c>
      <c r="F458" s="23">
        <f>IF(B458=1997, 100, IF(COUNTIF(A$1:A457,A458)=0, "NEW", F457*(1+Table14[[#This Row],[Ávöxtun]])))</f>
        <v>100</v>
      </c>
      <c r="G458" s="18" cm="1">
        <f t="array" ref="G458">IFERROR(_xlfn.IFS(ISNUMBER(Table14[[#This Row],[Column3]]),Table14[[#This Row],[Column3]],Table14[[#This Row],[Column3]]="NEW",Table14[[#This Row],[Column3]]),"")</f>
        <v>100</v>
      </c>
      <c r="H458" s="15" cm="1">
        <f t="array" ref="H458">_xlfn.IFS(Table14[[#This Row],[Column4]]="NEW",AVERAGEIFS(Table14[Column4],Table14[Year],Table14[[#This Row],[Year]]),ISNUMBER(Table14[[#This Row],[Column4]]),Table14[[#This Row],[Column4]],Table14[[#This Row],[Column4]]="",H457*(1+Table14[[#This Row],[Ávöxtun]]))</f>
        <v>100</v>
      </c>
      <c r="I458" cm="1">
        <f t="array" ref="I458">_xlfn.IFS(Table14[[#This Row],[Column4]]="NEW",_xlfn.XLOOKUP(Table14[[#This Row],[Year]],$M$2:$M$27,$O$2:$O$27),ISNUMBER(Table14[[#This Row],[Column4]]),Table14[[#This Row],[Column4]],Table14[[#This Row],[Column4]]="",I457*(1+Table14[[#This Row],[Ávöxtun]]))</f>
        <v>100</v>
      </c>
      <c r="L458" s="33">
        <v>100</v>
      </c>
    </row>
    <row r="459" spans="1:12">
      <c r="A459" t="s">
        <v>94</v>
      </c>
      <c r="B459">
        <v>1998</v>
      </c>
      <c r="C459" s="16">
        <v>7.0000000000000007E-2</v>
      </c>
      <c r="D459" s="1">
        <v>1695187.81</v>
      </c>
      <c r="E459" s="29">
        <f>Table14[[#This Row],[Ávöxtun]]*Table14[[#This Row],[Eignir]]/SUMIFS(Table14[Eignir],Table14[Year],Table14[[#This Row],[Year]])</f>
        <v>3.0299430265689201E-4</v>
      </c>
      <c r="F459" s="23">
        <f>IF(B459=1997, 100, IF(COUNTIF(A$1:A458,A459)=0, "NEW", F458*(1+Table14[[#This Row],[Ávöxtun]])))</f>
        <v>107</v>
      </c>
      <c r="G459" s="18" cm="1">
        <f t="array" ref="G459">IFERROR(_xlfn.IFS(ISNUMBER(Table14[[#This Row],[Column3]]),Table14[[#This Row],[Column3]],Table14[[#This Row],[Column3]]="NEW",Table14[[#This Row],[Column3]]),"")</f>
        <v>107</v>
      </c>
      <c r="H459" s="15" cm="1">
        <f t="array" ref="H459">_xlfn.IFS(Table14[[#This Row],[Column4]]="NEW",AVERAGEIFS(Table14[Column4],Table14[Year],Table14[[#This Row],[Year]]),ISNUMBER(Table14[[#This Row],[Column4]]),Table14[[#This Row],[Column4]],Table14[[#This Row],[Column4]]="",H458*(1+Table14[[#This Row],[Ávöxtun]]))</f>
        <v>107</v>
      </c>
      <c r="I459" cm="1">
        <f t="array" ref="I459">_xlfn.IFS(Table14[[#This Row],[Column4]]="NEW",_xlfn.XLOOKUP(Table14[[#This Row],[Year]],$M$2:$M$27,$O$2:$O$27),ISNUMBER(Table14[[#This Row],[Column4]]),Table14[[#This Row],[Column4]],Table14[[#This Row],[Column4]]="",I458*(1+Table14[[#This Row],[Ávöxtun]]))</f>
        <v>107</v>
      </c>
      <c r="L459" s="33">
        <v>107</v>
      </c>
    </row>
    <row r="460" spans="1:12">
      <c r="A460" t="s">
        <v>94</v>
      </c>
      <c r="B460">
        <v>1999</v>
      </c>
      <c r="C460" s="16">
        <v>0.1</v>
      </c>
      <c r="D460" s="1">
        <v>1943546.67</v>
      </c>
      <c r="E460" s="29">
        <f>Table14[[#This Row],[Ávöxtun]]*Table14[[#This Row],[Eignir]]/SUMIFS(Table14[Eignir],Table14[Year],Table14[[#This Row],[Year]])</f>
        <v>3.7324455332145225E-4</v>
      </c>
      <c r="F460" s="23">
        <f>IF(B460=1997, 100, IF(COUNTIF(A$1:A459,A460)=0, "NEW", F459*(1+Table14[[#This Row],[Ávöxtun]])))</f>
        <v>117.7</v>
      </c>
      <c r="G460" s="18" cm="1">
        <f t="array" ref="G460">IFERROR(_xlfn.IFS(ISNUMBER(Table14[[#This Row],[Column3]]),Table14[[#This Row],[Column3]],Table14[[#This Row],[Column3]]="NEW",Table14[[#This Row],[Column3]]),"")</f>
        <v>117.7</v>
      </c>
      <c r="H460" s="15" cm="1">
        <f t="array" ref="H460">_xlfn.IFS(Table14[[#This Row],[Column4]]="NEW",AVERAGEIFS(Table14[Column4],Table14[Year],Table14[[#This Row],[Year]]),ISNUMBER(Table14[[#This Row],[Column4]]),Table14[[#This Row],[Column4]],Table14[[#This Row],[Column4]]="",H459*(1+Table14[[#This Row],[Ávöxtun]]))</f>
        <v>117.7</v>
      </c>
      <c r="I460" cm="1">
        <f t="array" ref="I460">_xlfn.IFS(Table14[[#This Row],[Column4]]="NEW",_xlfn.XLOOKUP(Table14[[#This Row],[Year]],$M$2:$M$27,$O$2:$O$27),ISNUMBER(Table14[[#This Row],[Column4]]),Table14[[#This Row],[Column4]],Table14[[#This Row],[Column4]]="",I459*(1+Table14[[#This Row],[Ávöxtun]]))</f>
        <v>117.7</v>
      </c>
      <c r="L460" s="33">
        <v>117.7</v>
      </c>
    </row>
    <row r="461" spans="1:12">
      <c r="A461" t="s">
        <v>94</v>
      </c>
      <c r="B461">
        <v>2000</v>
      </c>
      <c r="C461" s="16">
        <v>0.02</v>
      </c>
      <c r="D461" s="1">
        <v>2010196.24</v>
      </c>
      <c r="E461" s="29">
        <f>Table14[[#This Row],[Ávöxtun]]*Table14[[#This Row],[Eignir]]/SUMIFS(Table14[Eignir],Table14[Year],Table14[[#This Row],[Year]])</f>
        <v>5.6554377122618338E-5</v>
      </c>
      <c r="F461" s="23">
        <f>IF(B461=1997, 100, IF(COUNTIF(A$1:A460,A461)=0, "NEW", F460*(1+Table14[[#This Row],[Ávöxtun]])))</f>
        <v>120.054</v>
      </c>
      <c r="G461" s="18" cm="1">
        <f t="array" ref="G461">IFERROR(_xlfn.IFS(ISNUMBER(Table14[[#This Row],[Column3]]),Table14[[#This Row],[Column3]],Table14[[#This Row],[Column3]]="NEW",Table14[[#This Row],[Column3]]),"")</f>
        <v>120.054</v>
      </c>
      <c r="H461" s="15" cm="1">
        <f t="array" ref="H461">_xlfn.IFS(Table14[[#This Row],[Column4]]="NEW",AVERAGEIFS(Table14[Column4],Table14[Year],Table14[[#This Row],[Year]]),ISNUMBER(Table14[[#This Row],[Column4]]),Table14[[#This Row],[Column4]],Table14[[#This Row],[Column4]]="",H460*(1+Table14[[#This Row],[Ávöxtun]]))</f>
        <v>120.054</v>
      </c>
      <c r="I461" cm="1">
        <f t="array" ref="I461">_xlfn.IFS(Table14[[#This Row],[Column4]]="NEW",_xlfn.XLOOKUP(Table14[[#This Row],[Year]],$M$2:$M$27,$O$2:$O$27),ISNUMBER(Table14[[#This Row],[Column4]]),Table14[[#This Row],[Column4]],Table14[[#This Row],[Column4]]="",I460*(1+Table14[[#This Row],[Ávöxtun]]))</f>
        <v>120.054</v>
      </c>
      <c r="L461" s="33">
        <v>120.054</v>
      </c>
    </row>
    <row r="462" spans="1:12">
      <c r="A462" t="s">
        <v>94</v>
      </c>
      <c r="B462">
        <v>2001</v>
      </c>
      <c r="C462" s="16">
        <v>0.01</v>
      </c>
      <c r="D462" s="1">
        <v>2106773</v>
      </c>
      <c r="E462" s="29">
        <f>Table14[[#This Row],[Ávöxtun]]*Table14[[#This Row],[Eignir]]/SUMIFS(Table14[Eignir],Table14[Year],Table14[[#This Row],[Year]])</f>
        <v>1.8194527952776822E-5</v>
      </c>
      <c r="F462" s="23">
        <f>IF(B462=1997, 100, IF(COUNTIF(A$1:A461,A462)=0, "NEW", F461*(1+Table14[[#This Row],[Ávöxtun]])))</f>
        <v>121.25454000000001</v>
      </c>
      <c r="G462" s="18" cm="1">
        <f t="array" ref="G462">IFERROR(_xlfn.IFS(ISNUMBER(Table14[[#This Row],[Column3]]),Table14[[#This Row],[Column3]],Table14[[#This Row],[Column3]]="NEW",Table14[[#This Row],[Column3]]),"")</f>
        <v>121.25454000000001</v>
      </c>
      <c r="H462" s="15" cm="1">
        <f t="array" ref="H462">_xlfn.IFS(Table14[[#This Row],[Column4]]="NEW",AVERAGEIFS(Table14[Column4],Table14[Year],Table14[[#This Row],[Year]]),ISNUMBER(Table14[[#This Row],[Column4]]),Table14[[#This Row],[Column4]],Table14[[#This Row],[Column4]]="",H461*(1+Table14[[#This Row],[Ávöxtun]]))</f>
        <v>121.25454000000001</v>
      </c>
      <c r="I462" cm="1">
        <f t="array" ref="I462">_xlfn.IFS(Table14[[#This Row],[Column4]]="NEW",_xlfn.XLOOKUP(Table14[[#This Row],[Year]],$M$2:$M$27,$O$2:$O$27),ISNUMBER(Table14[[#This Row],[Column4]]),Table14[[#This Row],[Column4]],Table14[[#This Row],[Column4]]="",I461*(1+Table14[[#This Row],[Ávöxtun]]))</f>
        <v>121.25454000000001</v>
      </c>
      <c r="L462" s="33">
        <v>121.25454000000001</v>
      </c>
    </row>
    <row r="463" spans="1:12">
      <c r="A463" t="s">
        <v>94</v>
      </c>
      <c r="B463">
        <v>2002</v>
      </c>
      <c r="C463" s="16">
        <v>0.03</v>
      </c>
      <c r="D463" s="1">
        <v>2110670</v>
      </c>
      <c r="E463" s="29">
        <f>Table14[[#This Row],[Ávöxtun]]*Table14[[#This Row],[Eignir]]/SUMIFS(Table14[Eignir],Table14[Year],Table14[[#This Row],[Year]])</f>
        <v>9.9690921579327922E-5</v>
      </c>
      <c r="F463" s="23">
        <f>IF(B463=1997, 100, IF(COUNTIF(A$1:A462,A463)=0, "NEW", F462*(1+Table14[[#This Row],[Ávöxtun]])))</f>
        <v>124.89217620000001</v>
      </c>
      <c r="G463" s="18" cm="1">
        <f t="array" ref="G463">IFERROR(_xlfn.IFS(ISNUMBER(Table14[[#This Row],[Column3]]),Table14[[#This Row],[Column3]],Table14[[#This Row],[Column3]]="NEW",Table14[[#This Row],[Column3]]),"")</f>
        <v>124.89217620000001</v>
      </c>
      <c r="H463" s="15" cm="1">
        <f t="array" ref="H463">_xlfn.IFS(Table14[[#This Row],[Column4]]="NEW",AVERAGEIFS(Table14[Column4],Table14[Year],Table14[[#This Row],[Year]]),ISNUMBER(Table14[[#This Row],[Column4]]),Table14[[#This Row],[Column4]],Table14[[#This Row],[Column4]]="",H462*(1+Table14[[#This Row],[Ávöxtun]]))</f>
        <v>124.89217620000001</v>
      </c>
      <c r="I463" cm="1">
        <f t="array" ref="I463">_xlfn.IFS(Table14[[#This Row],[Column4]]="NEW",_xlfn.XLOOKUP(Table14[[#This Row],[Year]],$M$2:$M$27,$O$2:$O$27),ISNUMBER(Table14[[#This Row],[Column4]]),Table14[[#This Row],[Column4]],Table14[[#This Row],[Column4]]="",I462*(1+Table14[[#This Row],[Ávöxtun]]))</f>
        <v>124.89217620000001</v>
      </c>
      <c r="L463" s="33">
        <v>124.89217620000001</v>
      </c>
    </row>
    <row r="464" spans="1:12">
      <c r="A464" t="s">
        <v>94</v>
      </c>
      <c r="B464">
        <v>2003</v>
      </c>
      <c r="C464" s="16">
        <v>0.09</v>
      </c>
      <c r="D464" s="1">
        <v>2252809</v>
      </c>
      <c r="E464" s="29">
        <f>Table14[[#This Row],[Ávöxtun]]*Table14[[#This Row],[Eignir]]/SUMIFS(Table14[Eignir],Table14[Year],Table14[[#This Row],[Year]])</f>
        <v>2.6681814186708399E-4</v>
      </c>
      <c r="F464" s="23">
        <f>IF(B464=1997, 100, IF(COUNTIF(A$1:A463,A464)=0, "NEW", F463*(1+Table14[[#This Row],[Ávöxtun]])))</f>
        <v>136.13247205800002</v>
      </c>
      <c r="G464" s="18" cm="1">
        <f t="array" ref="G464">IFERROR(_xlfn.IFS(ISNUMBER(Table14[[#This Row],[Column3]]),Table14[[#This Row],[Column3]],Table14[[#This Row],[Column3]]="NEW",Table14[[#This Row],[Column3]]),"")</f>
        <v>136.13247205800002</v>
      </c>
      <c r="H464" s="15" cm="1">
        <f t="array" ref="H464">_xlfn.IFS(Table14[[#This Row],[Column4]]="NEW",AVERAGEIFS(Table14[Column4],Table14[Year],Table14[[#This Row],[Year]]),ISNUMBER(Table14[[#This Row],[Column4]]),Table14[[#This Row],[Column4]],Table14[[#This Row],[Column4]]="",H463*(1+Table14[[#This Row],[Ávöxtun]]))</f>
        <v>136.13247205800002</v>
      </c>
      <c r="I464" cm="1">
        <f t="array" ref="I464">_xlfn.IFS(Table14[[#This Row],[Column4]]="NEW",_xlfn.XLOOKUP(Table14[[#This Row],[Year]],$M$2:$M$27,$O$2:$O$27),ISNUMBER(Table14[[#This Row],[Column4]]),Table14[[#This Row],[Column4]],Table14[[#This Row],[Column4]]="",I463*(1+Table14[[#This Row],[Ávöxtun]]))</f>
        <v>136.13247205800002</v>
      </c>
      <c r="L464" s="33">
        <v>136.13247205800002</v>
      </c>
    </row>
    <row r="465" spans="1:12">
      <c r="A465" t="s">
        <v>94</v>
      </c>
      <c r="B465">
        <v>2004</v>
      </c>
      <c r="C465" s="16">
        <v>0.08</v>
      </c>
      <c r="D465" s="1">
        <v>2420800</v>
      </c>
      <c r="E465" s="29">
        <f>Table14[[#This Row],[Ávöxtun]]*Table14[[#This Row],[Eignir]]/SUMIFS(Table14[Eignir],Table14[Year],Table14[[#This Row],[Year]])</f>
        <v>2.1336378783638846E-4</v>
      </c>
      <c r="F465" s="23">
        <f>IF(B465=1997, 100, IF(COUNTIF(A$1:A464,A465)=0, "NEW", F464*(1+Table14[[#This Row],[Ávöxtun]])))</f>
        <v>147.02306982264002</v>
      </c>
      <c r="G465" s="18" cm="1">
        <f t="array" ref="G465">IFERROR(_xlfn.IFS(ISNUMBER(Table14[[#This Row],[Column3]]),Table14[[#This Row],[Column3]],Table14[[#This Row],[Column3]]="NEW",Table14[[#This Row],[Column3]]),"")</f>
        <v>147.02306982264002</v>
      </c>
      <c r="H465" s="15" cm="1">
        <f t="array" ref="H465">_xlfn.IFS(Table14[[#This Row],[Column4]]="NEW",AVERAGEIFS(Table14[Column4],Table14[Year],Table14[[#This Row],[Year]]),ISNUMBER(Table14[[#This Row],[Column4]]),Table14[[#This Row],[Column4]],Table14[[#This Row],[Column4]]="",H464*(1+Table14[[#This Row],[Ávöxtun]]))</f>
        <v>147.02306982264002</v>
      </c>
      <c r="I465" cm="1">
        <f t="array" ref="I465">_xlfn.IFS(Table14[[#This Row],[Column4]]="NEW",_xlfn.XLOOKUP(Table14[[#This Row],[Year]],$M$2:$M$27,$O$2:$O$27),ISNUMBER(Table14[[#This Row],[Column4]]),Table14[[#This Row],[Column4]],Table14[[#This Row],[Column4]]="",I464*(1+Table14[[#This Row],[Ávöxtun]]))</f>
        <v>147.02306982264002</v>
      </c>
      <c r="L465" s="33">
        <v>147.02306982264002</v>
      </c>
    </row>
    <row r="466" spans="1:12">
      <c r="A466" t="s">
        <v>94</v>
      </c>
      <c r="B466">
        <v>2005</v>
      </c>
      <c r="C466" s="16">
        <v>0.09</v>
      </c>
      <c r="D466" s="1">
        <v>2637386</v>
      </c>
      <c r="E466" s="29">
        <f>Table14[[#This Row],[Ávöxtun]]*Table14[[#This Row],[Eignir]]/SUMIFS(Table14[Eignir],Table14[Year],Table14[[#This Row],[Year]])</f>
        <v>2.1167997055759492E-4</v>
      </c>
      <c r="F466" s="23">
        <f>IF(B466=1997, 100, IF(COUNTIF(A$1:A465,A466)=0, "NEW", F465*(1+Table14[[#This Row],[Ávöxtun]])))</f>
        <v>160.25514610667764</v>
      </c>
      <c r="G466" s="18" cm="1">
        <f t="array" ref="G466">IFERROR(_xlfn.IFS(ISNUMBER(Table14[[#This Row],[Column3]]),Table14[[#This Row],[Column3]],Table14[[#This Row],[Column3]]="NEW",Table14[[#This Row],[Column3]]),"")</f>
        <v>160.25514610667764</v>
      </c>
      <c r="H466" s="15" cm="1">
        <f t="array" ref="H466">_xlfn.IFS(Table14[[#This Row],[Column4]]="NEW",AVERAGEIFS(Table14[Column4],Table14[Year],Table14[[#This Row],[Year]]),ISNUMBER(Table14[[#This Row],[Column4]]),Table14[[#This Row],[Column4]],Table14[[#This Row],[Column4]]="",H465*(1+Table14[[#This Row],[Ávöxtun]]))</f>
        <v>160.25514610667764</v>
      </c>
      <c r="I466" cm="1">
        <f t="array" ref="I466">_xlfn.IFS(Table14[[#This Row],[Column4]]="NEW",_xlfn.XLOOKUP(Table14[[#This Row],[Year]],$M$2:$M$27,$O$2:$O$27),ISNUMBER(Table14[[#This Row],[Column4]]),Table14[[#This Row],[Column4]],Table14[[#This Row],[Column4]]="",I465*(1+Table14[[#This Row],[Ávöxtun]]))</f>
        <v>160.25514610667764</v>
      </c>
      <c r="L466" s="33">
        <v>160.25514610667764</v>
      </c>
    </row>
    <row r="467" spans="1:12">
      <c r="A467" t="s">
        <v>94</v>
      </c>
      <c r="B467">
        <v>2006</v>
      </c>
      <c r="C467" s="16">
        <v>6.88E-2</v>
      </c>
      <c r="D467" s="1">
        <v>2889366</v>
      </c>
      <c r="E467" s="29">
        <f>Table14[[#This Row],[Ávöxtun]]*Table14[[#This Row],[Eignir]]/SUMIFS(Table14[Eignir],Table14[Year],Table14[[#This Row],[Year]])</f>
        <v>1.4481817481659396E-4</v>
      </c>
      <c r="F467" s="23">
        <f>IF(B467=1997, 100, IF(COUNTIF(A$1:A466,A467)=0, "NEW", F466*(1+Table14[[#This Row],[Ávöxtun]])))</f>
        <v>171.28070015881707</v>
      </c>
      <c r="G467" s="18" cm="1">
        <f t="array" ref="G467">IFERROR(_xlfn.IFS(ISNUMBER(Table14[[#This Row],[Column3]]),Table14[[#This Row],[Column3]],Table14[[#This Row],[Column3]]="NEW",Table14[[#This Row],[Column3]]),"")</f>
        <v>171.28070015881707</v>
      </c>
      <c r="H467" s="15" cm="1">
        <f t="array" ref="H467">_xlfn.IFS(Table14[[#This Row],[Column4]]="NEW",AVERAGEIFS(Table14[Column4],Table14[Year],Table14[[#This Row],[Year]]),ISNUMBER(Table14[[#This Row],[Column4]]),Table14[[#This Row],[Column4]],Table14[[#This Row],[Column4]]="",H466*(1+Table14[[#This Row],[Ávöxtun]]))</f>
        <v>171.28070015881707</v>
      </c>
      <c r="I467" cm="1">
        <f t="array" ref="I467">_xlfn.IFS(Table14[[#This Row],[Column4]]="NEW",_xlfn.XLOOKUP(Table14[[#This Row],[Year]],$M$2:$M$27,$O$2:$O$27),ISNUMBER(Table14[[#This Row],[Column4]]),Table14[[#This Row],[Column4]],Table14[[#This Row],[Column4]]="",I466*(1+Table14[[#This Row],[Ávöxtun]]))</f>
        <v>171.28070015881707</v>
      </c>
      <c r="L467" s="33">
        <v>171.28070015881707</v>
      </c>
    </row>
    <row r="468" spans="1:12">
      <c r="A468" t="s">
        <v>109</v>
      </c>
      <c r="B468">
        <v>1997</v>
      </c>
      <c r="C468" s="16">
        <v>0.06</v>
      </c>
      <c r="D468" s="1">
        <v>4289599.13</v>
      </c>
      <c r="E468" s="29">
        <f>Table14[[#This Row],[Ávöxtun]]*Table14[[#This Row],[Eignir]]/SUMIFS(Table14[Eignir],Table14[Year],Table14[[#This Row],[Year]])</f>
        <v>7.591643343985349E-4</v>
      </c>
      <c r="F468" s="23">
        <f>IF(B468=1997, 100, IF(COUNTIF(A$1:A467,A468)=0, "NEW", F467*(1+Table14[[#This Row],[Ávöxtun]])))</f>
        <v>100</v>
      </c>
      <c r="G468" s="18" cm="1">
        <f t="array" ref="G468">IFERROR(_xlfn.IFS(ISNUMBER(Table14[[#This Row],[Column3]]),Table14[[#This Row],[Column3]],Table14[[#This Row],[Column3]]="NEW",Table14[[#This Row],[Column3]]),"")</f>
        <v>100</v>
      </c>
      <c r="H468" s="15" cm="1">
        <f t="array" ref="H468">_xlfn.IFS(Table14[[#This Row],[Column4]]="NEW",AVERAGEIFS(Table14[Column4],Table14[Year],Table14[[#This Row],[Year]]),ISNUMBER(Table14[[#This Row],[Column4]]),Table14[[#This Row],[Column4]],Table14[[#This Row],[Column4]]="",H467*(1+Table14[[#This Row],[Ávöxtun]]))</f>
        <v>100</v>
      </c>
      <c r="I468" cm="1">
        <f t="array" ref="I468">_xlfn.IFS(Table14[[#This Row],[Column4]]="NEW",_xlfn.XLOOKUP(Table14[[#This Row],[Year]],$M$2:$M$27,$O$2:$O$27),ISNUMBER(Table14[[#This Row],[Column4]]),Table14[[#This Row],[Column4]],Table14[[#This Row],[Column4]]="",I467*(1+Table14[[#This Row],[Ávöxtun]]))</f>
        <v>100</v>
      </c>
      <c r="L468" s="33">
        <v>100</v>
      </c>
    </row>
    <row r="469" spans="1:12">
      <c r="A469" t="s">
        <v>109</v>
      </c>
      <c r="B469">
        <v>1998</v>
      </c>
      <c r="C469" s="16">
        <v>7.0000000000000007E-2</v>
      </c>
      <c r="D469" s="1">
        <v>4700192.82</v>
      </c>
      <c r="E469" s="29">
        <f>Table14[[#This Row],[Ávöxtun]]*Table14[[#This Row],[Eignir]]/SUMIFS(Table14[Eignir],Table14[Year],Table14[[#This Row],[Year]])</f>
        <v>8.4010257591979201E-4</v>
      </c>
      <c r="F469" s="23">
        <f>IF(B469=1997, 100, IF(COUNTIF(A$1:A468,A469)=0, "NEW", F468*(1+Table14[[#This Row],[Ávöxtun]])))</f>
        <v>107</v>
      </c>
      <c r="G469" s="18" cm="1">
        <f t="array" ref="G469">IFERROR(_xlfn.IFS(ISNUMBER(Table14[[#This Row],[Column3]]),Table14[[#This Row],[Column3]],Table14[[#This Row],[Column3]]="NEW",Table14[[#This Row],[Column3]]),"")</f>
        <v>107</v>
      </c>
      <c r="H469" s="15" cm="1">
        <f t="array" ref="H469">_xlfn.IFS(Table14[[#This Row],[Column4]]="NEW",AVERAGEIFS(Table14[Column4],Table14[Year],Table14[[#This Row],[Year]]),ISNUMBER(Table14[[#This Row],[Column4]]),Table14[[#This Row],[Column4]],Table14[[#This Row],[Column4]]="",H468*(1+Table14[[#This Row],[Ávöxtun]]))</f>
        <v>107</v>
      </c>
      <c r="I469" cm="1">
        <f t="array" ref="I469">_xlfn.IFS(Table14[[#This Row],[Column4]]="NEW",_xlfn.XLOOKUP(Table14[[#This Row],[Year]],$M$2:$M$27,$O$2:$O$27),ISNUMBER(Table14[[#This Row],[Column4]]),Table14[[#This Row],[Column4]],Table14[[#This Row],[Column4]]="",I468*(1+Table14[[#This Row],[Ávöxtun]]))</f>
        <v>107</v>
      </c>
      <c r="L469" s="33">
        <v>107</v>
      </c>
    </row>
    <row r="470" spans="1:12">
      <c r="A470" t="s">
        <v>109</v>
      </c>
      <c r="B470">
        <v>1999</v>
      </c>
      <c r="C470" s="16">
        <v>0.09</v>
      </c>
      <c r="D470" s="1">
        <v>6326788.7800000003</v>
      </c>
      <c r="E470" s="29">
        <f>Table14[[#This Row],[Ávöxtun]]*Table14[[#This Row],[Eignir]]/SUMIFS(Table14[Eignir],Table14[Year],Table14[[#This Row],[Year]])</f>
        <v>1.093514007016486E-3</v>
      </c>
      <c r="F470" s="23">
        <f>IF(B470=1997, 100, IF(COUNTIF(A$1:A469,A470)=0, "NEW", F469*(1+Table14[[#This Row],[Ávöxtun]])))</f>
        <v>116.63000000000001</v>
      </c>
      <c r="G470" s="18" cm="1">
        <f t="array" ref="G470">IFERROR(_xlfn.IFS(ISNUMBER(Table14[[#This Row],[Column3]]),Table14[[#This Row],[Column3]],Table14[[#This Row],[Column3]]="NEW",Table14[[#This Row],[Column3]]),"")</f>
        <v>116.63000000000001</v>
      </c>
      <c r="H470" s="15" cm="1">
        <f t="array" ref="H470">_xlfn.IFS(Table14[[#This Row],[Column4]]="NEW",AVERAGEIFS(Table14[Column4],Table14[Year],Table14[[#This Row],[Year]]),ISNUMBER(Table14[[#This Row],[Column4]]),Table14[[#This Row],[Column4]],Table14[[#This Row],[Column4]]="",H469*(1+Table14[[#This Row],[Ávöxtun]]))</f>
        <v>116.63000000000001</v>
      </c>
      <c r="I470" cm="1">
        <f t="array" ref="I470">_xlfn.IFS(Table14[[#This Row],[Column4]]="NEW",_xlfn.XLOOKUP(Table14[[#This Row],[Year]],$M$2:$M$27,$O$2:$O$27),ISNUMBER(Table14[[#This Row],[Column4]]),Table14[[#This Row],[Column4]],Table14[[#This Row],[Column4]]="",I469*(1+Table14[[#This Row],[Ávöxtun]]))</f>
        <v>116.63000000000001</v>
      </c>
      <c r="L470" s="33">
        <v>116.63000000000001</v>
      </c>
    </row>
    <row r="471" spans="1:12">
      <c r="A471" t="s">
        <v>109</v>
      </c>
      <c r="B471">
        <v>2000</v>
      </c>
      <c r="C471" s="16">
        <v>0.01</v>
      </c>
      <c r="D471" s="1">
        <v>7562626.8399999999</v>
      </c>
      <c r="E471" s="29">
        <f>Table14[[#This Row],[Ávöxtun]]*Table14[[#This Row],[Eignir]]/SUMIFS(Table14[Eignir],Table14[Year],Table14[[#This Row],[Year]])</f>
        <v>1.0638256152220129E-4</v>
      </c>
      <c r="F471" s="23">
        <f>IF(B471=1997, 100, IF(COUNTIF(A$1:A470,A471)=0, "NEW", F470*(1+Table14[[#This Row],[Ávöxtun]])))</f>
        <v>117.79630000000002</v>
      </c>
      <c r="G471" s="18" cm="1">
        <f t="array" ref="G471">IFERROR(_xlfn.IFS(ISNUMBER(Table14[[#This Row],[Column3]]),Table14[[#This Row],[Column3]],Table14[[#This Row],[Column3]]="NEW",Table14[[#This Row],[Column3]]),"")</f>
        <v>117.79630000000002</v>
      </c>
      <c r="H471" s="15" cm="1">
        <f t="array" ref="H471">_xlfn.IFS(Table14[[#This Row],[Column4]]="NEW",AVERAGEIFS(Table14[Column4],Table14[Year],Table14[[#This Row],[Year]]),ISNUMBER(Table14[[#This Row],[Column4]]),Table14[[#This Row],[Column4]],Table14[[#This Row],[Column4]]="",H470*(1+Table14[[#This Row],[Ávöxtun]]))</f>
        <v>117.79630000000002</v>
      </c>
      <c r="I471" cm="1">
        <f t="array" ref="I471">_xlfn.IFS(Table14[[#This Row],[Column4]]="NEW",_xlfn.XLOOKUP(Table14[[#This Row],[Year]],$M$2:$M$27,$O$2:$O$27),ISNUMBER(Table14[[#This Row],[Column4]]),Table14[[#This Row],[Column4]],Table14[[#This Row],[Column4]]="",I470*(1+Table14[[#This Row],[Ávöxtun]]))</f>
        <v>117.79630000000002</v>
      </c>
      <c r="L471" s="33">
        <v>117.79630000000002</v>
      </c>
    </row>
    <row r="472" spans="1:12">
      <c r="A472" t="s">
        <v>109</v>
      </c>
      <c r="B472">
        <v>2001</v>
      </c>
      <c r="C472" s="16">
        <v>-0.01</v>
      </c>
      <c r="D472" s="1">
        <v>9604011</v>
      </c>
      <c r="E472" s="29">
        <f>Table14[[#This Row],[Ávöxtun]]*Table14[[#This Row],[Eignir]]/SUMIFS(Table14[Eignir],Table14[Year],Table14[[#This Row],[Year]])</f>
        <v>-8.2942228041785277E-5</v>
      </c>
      <c r="F472" s="23">
        <f>IF(B472=1997, 100, IF(COUNTIF(A$1:A471,A472)=0, "NEW", F471*(1+Table14[[#This Row],[Ávöxtun]])))</f>
        <v>116.61833700000001</v>
      </c>
      <c r="G472" s="18" cm="1">
        <f t="array" ref="G472">IFERROR(_xlfn.IFS(ISNUMBER(Table14[[#This Row],[Column3]]),Table14[[#This Row],[Column3]],Table14[[#This Row],[Column3]]="NEW",Table14[[#This Row],[Column3]]),"")</f>
        <v>116.61833700000001</v>
      </c>
      <c r="H472" s="15" cm="1">
        <f t="array" ref="H472">_xlfn.IFS(Table14[[#This Row],[Column4]]="NEW",AVERAGEIFS(Table14[Column4],Table14[Year],Table14[[#This Row],[Year]]),ISNUMBER(Table14[[#This Row],[Column4]]),Table14[[#This Row],[Column4]],Table14[[#This Row],[Column4]]="",H471*(1+Table14[[#This Row],[Ávöxtun]]))</f>
        <v>116.61833700000001</v>
      </c>
      <c r="I472" cm="1">
        <f t="array" ref="I472">_xlfn.IFS(Table14[[#This Row],[Column4]]="NEW",_xlfn.XLOOKUP(Table14[[#This Row],[Year]],$M$2:$M$27,$O$2:$O$27),ISNUMBER(Table14[[#This Row],[Column4]]),Table14[[#This Row],[Column4]],Table14[[#This Row],[Column4]]="",I471*(1+Table14[[#This Row],[Ávöxtun]]))</f>
        <v>116.61833700000001</v>
      </c>
      <c r="L472" s="33">
        <v>116.61833700000001</v>
      </c>
    </row>
    <row r="473" spans="1:12">
      <c r="A473" t="s">
        <v>109</v>
      </c>
      <c r="B473">
        <v>2002</v>
      </c>
      <c r="C473" s="16">
        <v>-0.03</v>
      </c>
      <c r="D473" s="1">
        <v>10506131</v>
      </c>
      <c r="E473" s="29">
        <f>Table14[[#This Row],[Ávöxtun]]*Table14[[#This Row],[Eignir]]/SUMIFS(Table14[Eignir],Table14[Year],Table14[[#This Row],[Year]])</f>
        <v>-4.962243655441855E-4</v>
      </c>
      <c r="F473" s="23">
        <f>IF(B473=1997, 100, IF(COUNTIF(A$1:A472,A473)=0, "NEW", F472*(1+Table14[[#This Row],[Ávöxtun]])))</f>
        <v>113.11978689000001</v>
      </c>
      <c r="G473" s="18" cm="1">
        <f t="array" ref="G473">IFERROR(_xlfn.IFS(ISNUMBER(Table14[[#This Row],[Column3]]),Table14[[#This Row],[Column3]],Table14[[#This Row],[Column3]]="NEW",Table14[[#This Row],[Column3]]),"")</f>
        <v>113.11978689000001</v>
      </c>
      <c r="H473" s="15" cm="1">
        <f t="array" ref="H473">_xlfn.IFS(Table14[[#This Row],[Column4]]="NEW",AVERAGEIFS(Table14[Column4],Table14[Year],Table14[[#This Row],[Year]]),ISNUMBER(Table14[[#This Row],[Column4]]),Table14[[#This Row],[Column4]],Table14[[#This Row],[Column4]]="",H472*(1+Table14[[#This Row],[Ávöxtun]]))</f>
        <v>113.11978689000001</v>
      </c>
      <c r="I473" cm="1">
        <f t="array" ref="I473">_xlfn.IFS(Table14[[#This Row],[Column4]]="NEW",_xlfn.XLOOKUP(Table14[[#This Row],[Year]],$M$2:$M$27,$O$2:$O$27),ISNUMBER(Table14[[#This Row],[Column4]]),Table14[[#This Row],[Column4]],Table14[[#This Row],[Column4]]="",I472*(1+Table14[[#This Row],[Ávöxtun]]))</f>
        <v>113.11978689000001</v>
      </c>
      <c r="L473" s="33">
        <v>113.11978689000001</v>
      </c>
    </row>
    <row r="474" spans="1:12">
      <c r="A474" t="s">
        <v>109</v>
      </c>
      <c r="B474">
        <v>2003</v>
      </c>
      <c r="C474" s="16">
        <v>0.12</v>
      </c>
      <c r="D474" s="1">
        <v>12978154</v>
      </c>
      <c r="E474" s="29">
        <f>Table14[[#This Row],[Ávöxtun]]*Table14[[#This Row],[Eignir]]/SUMIFS(Table14[Eignir],Table14[Year],Table14[[#This Row],[Year]])</f>
        <v>2.0494750835630027E-3</v>
      </c>
      <c r="F474" s="23">
        <f>IF(B474=1997, 100, IF(COUNTIF(A$1:A473,A474)=0, "NEW", F473*(1+Table14[[#This Row],[Ávöxtun]])))</f>
        <v>126.69416131680003</v>
      </c>
      <c r="G474" s="18" cm="1">
        <f t="array" ref="G474">IFERROR(_xlfn.IFS(ISNUMBER(Table14[[#This Row],[Column3]]),Table14[[#This Row],[Column3]],Table14[[#This Row],[Column3]]="NEW",Table14[[#This Row],[Column3]]),"")</f>
        <v>126.69416131680003</v>
      </c>
      <c r="H474" s="15" cm="1">
        <f t="array" ref="H474">_xlfn.IFS(Table14[[#This Row],[Column4]]="NEW",AVERAGEIFS(Table14[Column4],Table14[Year],Table14[[#This Row],[Year]]),ISNUMBER(Table14[[#This Row],[Column4]]),Table14[[#This Row],[Column4]],Table14[[#This Row],[Column4]]="",H473*(1+Table14[[#This Row],[Ávöxtun]]))</f>
        <v>126.69416131680003</v>
      </c>
      <c r="I474" cm="1">
        <f t="array" ref="I474">_xlfn.IFS(Table14[[#This Row],[Column4]]="NEW",_xlfn.XLOOKUP(Table14[[#This Row],[Year]],$M$2:$M$27,$O$2:$O$27),ISNUMBER(Table14[[#This Row],[Column4]]),Table14[[#This Row],[Column4]],Table14[[#This Row],[Column4]]="",I473*(1+Table14[[#This Row],[Ávöxtun]]))</f>
        <v>126.69416131680003</v>
      </c>
      <c r="L474" s="33">
        <v>126.69416131680003</v>
      </c>
    </row>
    <row r="475" spans="1:12">
      <c r="A475" t="s">
        <v>109</v>
      </c>
      <c r="B475">
        <v>2004</v>
      </c>
      <c r="C475" s="16">
        <v>0.09</v>
      </c>
      <c r="D475" s="1">
        <v>15523906</v>
      </c>
      <c r="E475" s="29">
        <f>Table14[[#This Row],[Ávöxtun]]*Table14[[#This Row],[Eignir]]/SUMIFS(Table14[Eignir],Table14[Year],Table14[[#This Row],[Year]])</f>
        <v>1.5392718561830976E-3</v>
      </c>
      <c r="F475" s="23">
        <f>IF(B475=1997, 100, IF(COUNTIF(A$1:A474,A475)=0, "NEW", F474*(1+Table14[[#This Row],[Ávöxtun]])))</f>
        <v>138.09663583531204</v>
      </c>
      <c r="G475" s="18" cm="1">
        <f t="array" ref="G475">IFERROR(_xlfn.IFS(ISNUMBER(Table14[[#This Row],[Column3]]),Table14[[#This Row],[Column3]],Table14[[#This Row],[Column3]]="NEW",Table14[[#This Row],[Column3]]),"")</f>
        <v>138.09663583531204</v>
      </c>
      <c r="H475" s="15" cm="1">
        <f t="array" ref="H475">_xlfn.IFS(Table14[[#This Row],[Column4]]="NEW",AVERAGEIFS(Table14[Column4],Table14[Year],Table14[[#This Row],[Year]]),ISNUMBER(Table14[[#This Row],[Column4]]),Table14[[#This Row],[Column4]],Table14[[#This Row],[Column4]]="",H474*(1+Table14[[#This Row],[Ávöxtun]]))</f>
        <v>138.09663583531204</v>
      </c>
      <c r="I475" cm="1">
        <f t="array" ref="I475">_xlfn.IFS(Table14[[#This Row],[Column4]]="NEW",_xlfn.XLOOKUP(Table14[[#This Row],[Year]],$M$2:$M$27,$O$2:$O$27),ISNUMBER(Table14[[#This Row],[Column4]]),Table14[[#This Row],[Column4]],Table14[[#This Row],[Column4]]="",I474*(1+Table14[[#This Row],[Ávöxtun]]))</f>
        <v>138.09663583531204</v>
      </c>
      <c r="L475" s="33">
        <v>138.09663583531204</v>
      </c>
    </row>
    <row r="476" spans="1:12">
      <c r="A476" t="s">
        <v>109</v>
      </c>
      <c r="B476">
        <v>2005</v>
      </c>
      <c r="C476" s="16">
        <v>0.14000000000000001</v>
      </c>
      <c r="D476" s="1">
        <v>18614234</v>
      </c>
      <c r="E476" s="29">
        <f>Table14[[#This Row],[Ávöxtun]]*Table14[[#This Row],[Eignir]]/SUMIFS(Table14[Eignir],Table14[Year],Table14[[#This Row],[Year]])</f>
        <v>2.324003433324198E-3</v>
      </c>
      <c r="F476" s="23">
        <f>IF(B476=1997, 100, IF(COUNTIF(A$1:A475,A476)=0, "NEW", F475*(1+Table14[[#This Row],[Ávöxtun]])))</f>
        <v>157.43016485225576</v>
      </c>
      <c r="G476" s="18" cm="1">
        <f t="array" ref="G476">IFERROR(_xlfn.IFS(ISNUMBER(Table14[[#This Row],[Column3]]),Table14[[#This Row],[Column3]],Table14[[#This Row],[Column3]]="NEW",Table14[[#This Row],[Column3]]),"")</f>
        <v>157.43016485225576</v>
      </c>
      <c r="H476" s="15" cm="1">
        <f t="array" ref="H476">_xlfn.IFS(Table14[[#This Row],[Column4]]="NEW",AVERAGEIFS(Table14[Column4],Table14[Year],Table14[[#This Row],[Year]]),ISNUMBER(Table14[[#This Row],[Column4]]),Table14[[#This Row],[Column4]],Table14[[#This Row],[Column4]]="",H475*(1+Table14[[#This Row],[Ávöxtun]]))</f>
        <v>157.43016485225576</v>
      </c>
      <c r="I476" cm="1">
        <f t="array" ref="I476">_xlfn.IFS(Table14[[#This Row],[Column4]]="NEW",_xlfn.XLOOKUP(Table14[[#This Row],[Year]],$M$2:$M$27,$O$2:$O$27),ISNUMBER(Table14[[#This Row],[Column4]]),Table14[[#This Row],[Column4]],Table14[[#This Row],[Column4]]="",I475*(1+Table14[[#This Row],[Ávöxtun]]))</f>
        <v>157.43016485225576</v>
      </c>
      <c r="L476" s="33">
        <v>157.43016485225576</v>
      </c>
    </row>
    <row r="477" spans="1:12">
      <c r="A477" t="s">
        <v>109</v>
      </c>
      <c r="B477">
        <v>2006</v>
      </c>
      <c r="C477" s="16">
        <v>0.1109</v>
      </c>
      <c r="D477" s="1">
        <v>22367837</v>
      </c>
      <c r="E477" s="29">
        <f>Table14[[#This Row],[Ávöxtun]]*Table14[[#This Row],[Eignir]]/SUMIFS(Table14[Eignir],Table14[Year],Table14[[#This Row],[Year]])</f>
        <v>1.8071225648762879E-3</v>
      </c>
      <c r="F477" s="23">
        <f>IF(B477=1997, 100, IF(COUNTIF(A$1:A476,A477)=0, "NEW", F476*(1+Table14[[#This Row],[Ávöxtun]])))</f>
        <v>174.88917013437091</v>
      </c>
      <c r="G477" s="18" cm="1">
        <f t="array" ref="G477">IFERROR(_xlfn.IFS(ISNUMBER(Table14[[#This Row],[Column3]]),Table14[[#This Row],[Column3]],Table14[[#This Row],[Column3]]="NEW",Table14[[#This Row],[Column3]]),"")</f>
        <v>174.88917013437091</v>
      </c>
      <c r="H477" s="15" cm="1">
        <f t="array" ref="H477">_xlfn.IFS(Table14[[#This Row],[Column4]]="NEW",AVERAGEIFS(Table14[Column4],Table14[Year],Table14[[#This Row],[Year]]),ISNUMBER(Table14[[#This Row],[Column4]]),Table14[[#This Row],[Column4]],Table14[[#This Row],[Column4]]="",H476*(1+Table14[[#This Row],[Ávöxtun]]))</f>
        <v>174.88917013437091</v>
      </c>
      <c r="I477" cm="1">
        <f t="array" ref="I477">_xlfn.IFS(Table14[[#This Row],[Column4]]="NEW",_xlfn.XLOOKUP(Table14[[#This Row],[Year]],$M$2:$M$27,$O$2:$O$27),ISNUMBER(Table14[[#This Row],[Column4]]),Table14[[#This Row],[Column4]],Table14[[#This Row],[Column4]]="",I476*(1+Table14[[#This Row],[Ávöxtun]]))</f>
        <v>174.88917013437091</v>
      </c>
      <c r="L477" s="33">
        <v>174.88917013437091</v>
      </c>
    </row>
    <row r="478" spans="1:12">
      <c r="A478" t="s">
        <v>109</v>
      </c>
      <c r="B478">
        <v>2007</v>
      </c>
      <c r="C478" s="16">
        <v>-1.47E-2</v>
      </c>
      <c r="D478" s="1">
        <v>23208801</v>
      </c>
      <c r="E478" s="29">
        <f>Table14[[#This Row],[Ávöxtun]]*Table14[[#This Row],[Eignir]]/SUMIFS(Table14[Eignir],Table14[Year],Table14[[#This Row],[Year]])</f>
        <v>-2.2062054389148164E-4</v>
      </c>
      <c r="F478" s="23">
        <f>IF(B478=1997, 100, IF(COUNTIF(A$1:A477,A478)=0, "NEW", F477*(1+Table14[[#This Row],[Ávöxtun]])))</f>
        <v>172.31829933339566</v>
      </c>
      <c r="G478" s="18" cm="1">
        <f t="array" ref="G478">IFERROR(_xlfn.IFS(ISNUMBER(Table14[[#This Row],[Column3]]),Table14[[#This Row],[Column3]],Table14[[#This Row],[Column3]]="NEW",Table14[[#This Row],[Column3]]),"")</f>
        <v>172.31829933339566</v>
      </c>
      <c r="H478" s="15" cm="1">
        <f t="array" ref="H478">_xlfn.IFS(Table14[[#This Row],[Column4]]="NEW",AVERAGEIFS(Table14[Column4],Table14[Year],Table14[[#This Row],[Year]]),ISNUMBER(Table14[[#This Row],[Column4]]),Table14[[#This Row],[Column4]],Table14[[#This Row],[Column4]]="",H477*(1+Table14[[#This Row],[Ávöxtun]]))</f>
        <v>172.31829933339566</v>
      </c>
      <c r="I478" cm="1">
        <f t="array" ref="I478">_xlfn.IFS(Table14[[#This Row],[Column4]]="NEW",_xlfn.XLOOKUP(Table14[[#This Row],[Year]],$M$2:$M$27,$O$2:$O$27),ISNUMBER(Table14[[#This Row],[Column4]]),Table14[[#This Row],[Column4]],Table14[[#This Row],[Column4]]="",I477*(1+Table14[[#This Row],[Ávöxtun]]))</f>
        <v>172.31829933339566</v>
      </c>
      <c r="L478" s="33">
        <v>172.31829933339566</v>
      </c>
    </row>
    <row r="479" spans="1:12">
      <c r="A479" t="s">
        <v>109</v>
      </c>
      <c r="B479">
        <v>2008</v>
      </c>
      <c r="C479" s="16">
        <v>-0.26730000000000004</v>
      </c>
      <c r="D479" s="1">
        <v>21133490</v>
      </c>
      <c r="E479" s="29">
        <f>Table14[[#This Row],[Ávöxtun]]*Table14[[#This Row],[Eignir]]/SUMIFS(Table14[Eignir],Table14[Year],Table14[[#This Row],[Year]])</f>
        <v>-3.7727338125421021E-3</v>
      </c>
      <c r="F479" s="23">
        <f>IF(B479=1997, 100, IF(COUNTIF(A$1:A478,A479)=0, "NEW", F478*(1+Table14[[#This Row],[Ávöxtun]])))</f>
        <v>126.25761792157898</v>
      </c>
      <c r="G479" s="18" cm="1">
        <f t="array" ref="G479">IFERROR(_xlfn.IFS(ISNUMBER(Table14[[#This Row],[Column3]]),Table14[[#This Row],[Column3]],Table14[[#This Row],[Column3]]="NEW",Table14[[#This Row],[Column3]]),"")</f>
        <v>126.25761792157898</v>
      </c>
      <c r="H479" s="15" cm="1">
        <f t="array" ref="H479">_xlfn.IFS(Table14[[#This Row],[Column4]]="NEW",AVERAGEIFS(Table14[Column4],Table14[Year],Table14[[#This Row],[Year]]),ISNUMBER(Table14[[#This Row],[Column4]]),Table14[[#This Row],[Column4]],Table14[[#This Row],[Column4]]="",H478*(1+Table14[[#This Row],[Ávöxtun]]))</f>
        <v>126.25761792157898</v>
      </c>
      <c r="I479" cm="1">
        <f t="array" ref="I479">_xlfn.IFS(Table14[[#This Row],[Column4]]="NEW",_xlfn.XLOOKUP(Table14[[#This Row],[Year]],$M$2:$M$27,$O$2:$O$27),ISNUMBER(Table14[[#This Row],[Column4]]),Table14[[#This Row],[Column4]],Table14[[#This Row],[Column4]]="",I478*(1+Table14[[#This Row],[Ávöxtun]]))</f>
        <v>126.25761792157898</v>
      </c>
      <c r="L479" s="33">
        <v>126.25761792157898</v>
      </c>
    </row>
    <row r="480" spans="1:12">
      <c r="A480" t="s">
        <v>109</v>
      </c>
      <c r="B480">
        <v>2009</v>
      </c>
      <c r="C480" s="16">
        <v>2.53E-2</v>
      </c>
      <c r="D480" s="1">
        <v>22965845</v>
      </c>
      <c r="E480" s="29">
        <f>Table14[[#This Row],[Ávöxtun]]*Table14[[#This Row],[Eignir]]/SUMIFS(Table14[Eignir],Table14[Year],Table14[[#This Row],[Year]])</f>
        <v>3.4828890624882987E-4</v>
      </c>
      <c r="F480" s="23">
        <f>IF(B480=1997, 100, IF(COUNTIF(A$1:A479,A480)=0, "NEW", F479*(1+Table14[[#This Row],[Ávöxtun]])))</f>
        <v>129.45193565499494</v>
      </c>
      <c r="G480" s="18" cm="1">
        <f t="array" ref="G480">IFERROR(_xlfn.IFS(ISNUMBER(Table14[[#This Row],[Column3]]),Table14[[#This Row],[Column3]],Table14[[#This Row],[Column3]]="NEW",Table14[[#This Row],[Column3]]),"")</f>
        <v>129.45193565499494</v>
      </c>
      <c r="H480" s="15" cm="1">
        <f t="array" ref="H480">_xlfn.IFS(Table14[[#This Row],[Column4]]="NEW",AVERAGEIFS(Table14[Column4],Table14[Year],Table14[[#This Row],[Year]]),ISNUMBER(Table14[[#This Row],[Column4]]),Table14[[#This Row],[Column4]],Table14[[#This Row],[Column4]]="",H479*(1+Table14[[#This Row],[Ávöxtun]]))</f>
        <v>129.45193565499494</v>
      </c>
      <c r="I480" cm="1">
        <f t="array" ref="I480">_xlfn.IFS(Table14[[#This Row],[Column4]]="NEW",_xlfn.XLOOKUP(Table14[[#This Row],[Year]],$M$2:$M$27,$O$2:$O$27),ISNUMBER(Table14[[#This Row],[Column4]]),Table14[[#This Row],[Column4]],Table14[[#This Row],[Column4]]="",I479*(1+Table14[[#This Row],[Ávöxtun]]))</f>
        <v>129.45193565499494</v>
      </c>
      <c r="L480" s="33">
        <v>129.45193565499494</v>
      </c>
    </row>
    <row r="481" spans="1:12">
      <c r="A481" t="s">
        <v>109</v>
      </c>
      <c r="B481">
        <v>2010</v>
      </c>
      <c r="C481" s="16">
        <v>1.83E-2</v>
      </c>
      <c r="D481" s="1">
        <v>23330418</v>
      </c>
      <c r="E481" s="29">
        <f>Table14[[#This Row],[Ávöxtun]]*Table14[[#This Row],[Eignir]]/SUMIFS(Table14[Eignir],Table14[Year],Table14[[#This Row],[Year]])</f>
        <v>2.3881298763025324E-4</v>
      </c>
      <c r="F481" s="23">
        <f>IF(B481=1997, 100, IF(COUNTIF(A$1:A480,A481)=0, "NEW", F480*(1+Table14[[#This Row],[Ávöxtun]])))</f>
        <v>131.82090607748134</v>
      </c>
      <c r="G481" s="18" cm="1">
        <f t="array" ref="G481">IFERROR(_xlfn.IFS(ISNUMBER(Table14[[#This Row],[Column3]]),Table14[[#This Row],[Column3]],Table14[[#This Row],[Column3]]="NEW",Table14[[#This Row],[Column3]]),"")</f>
        <v>131.82090607748134</v>
      </c>
      <c r="H481" s="15" cm="1">
        <f t="array" ref="H481">_xlfn.IFS(Table14[[#This Row],[Column4]]="NEW",AVERAGEIFS(Table14[Column4],Table14[Year],Table14[[#This Row],[Year]]),ISNUMBER(Table14[[#This Row],[Column4]]),Table14[[#This Row],[Column4]],Table14[[#This Row],[Column4]]="",H480*(1+Table14[[#This Row],[Ávöxtun]]))</f>
        <v>131.82090607748134</v>
      </c>
      <c r="I481" cm="1">
        <f t="array" ref="I481">_xlfn.IFS(Table14[[#This Row],[Column4]]="NEW",_xlfn.XLOOKUP(Table14[[#This Row],[Year]],$M$2:$M$27,$O$2:$O$27),ISNUMBER(Table14[[#This Row],[Column4]]),Table14[[#This Row],[Column4]],Table14[[#This Row],[Column4]]="",I480*(1+Table14[[#This Row],[Ávöxtun]]))</f>
        <v>131.82090607748134</v>
      </c>
      <c r="L481" s="33">
        <v>131.82090607748134</v>
      </c>
    </row>
    <row r="482" spans="1:12">
      <c r="A482" t="s">
        <v>109</v>
      </c>
      <c r="B482">
        <v>2011</v>
      </c>
      <c r="C482" s="16">
        <v>1.6E-2</v>
      </c>
      <c r="D482" s="1">
        <v>23806386</v>
      </c>
      <c r="E482" s="29">
        <f>Table14[[#This Row],[Ávöxtun]]*Table14[[#This Row],[Eignir]]/SUMIFS(Table14[Eignir],Table14[Year],Table14[[#This Row],[Year]])</f>
        <v>1.9527848562136019E-4</v>
      </c>
      <c r="F482" s="23">
        <f>IF(B482=1997, 100, IF(COUNTIF(A$1:A481,A482)=0, "NEW", F481*(1+Table14[[#This Row],[Ávöxtun]])))</f>
        <v>133.93004057472103</v>
      </c>
      <c r="G482" s="18" cm="1">
        <f t="array" ref="G482">IFERROR(_xlfn.IFS(ISNUMBER(Table14[[#This Row],[Column3]]),Table14[[#This Row],[Column3]],Table14[[#This Row],[Column3]]="NEW",Table14[[#This Row],[Column3]]),"")</f>
        <v>133.93004057472103</v>
      </c>
      <c r="H482" s="15" cm="1">
        <f t="array" ref="H482">_xlfn.IFS(Table14[[#This Row],[Column4]]="NEW",AVERAGEIFS(Table14[Column4],Table14[Year],Table14[[#This Row],[Year]]),ISNUMBER(Table14[[#This Row],[Column4]]),Table14[[#This Row],[Column4]],Table14[[#This Row],[Column4]]="",H481*(1+Table14[[#This Row],[Ávöxtun]]))</f>
        <v>133.93004057472103</v>
      </c>
      <c r="I482" cm="1">
        <f t="array" ref="I482">_xlfn.IFS(Table14[[#This Row],[Column4]]="NEW",_xlfn.XLOOKUP(Table14[[#This Row],[Year]],$M$2:$M$27,$O$2:$O$27),ISNUMBER(Table14[[#This Row],[Column4]]),Table14[[#This Row],[Column4]],Table14[[#This Row],[Column4]]="",I481*(1+Table14[[#This Row],[Ávöxtun]]))</f>
        <v>133.93004057472103</v>
      </c>
      <c r="L482" s="33">
        <v>133.93004057472103</v>
      </c>
    </row>
    <row r="483" spans="1:12">
      <c r="A483" t="s">
        <v>109</v>
      </c>
      <c r="B483">
        <v>2012</v>
      </c>
      <c r="C483" s="16">
        <v>9.6000000000000002E-2</v>
      </c>
      <c r="D483" s="1">
        <v>25622182</v>
      </c>
      <c r="E483" s="29">
        <f>Table14[[#This Row],[Ávöxtun]]*Table14[[#This Row],[Eignir]]/SUMIFS(Table14[Eignir],Table14[Year],Table14[[#This Row],[Year]])</f>
        <v>1.1166158761277678E-3</v>
      </c>
      <c r="F483" s="23">
        <f>IF(B483=1997, 100, IF(COUNTIF(A$1:A482,A483)=0, "NEW", F482*(1+Table14[[#This Row],[Ávöxtun]])))</f>
        <v>146.78732446989426</v>
      </c>
      <c r="G483" s="18" cm="1">
        <f t="array" ref="G483">IFERROR(_xlfn.IFS(ISNUMBER(Table14[[#This Row],[Column3]]),Table14[[#This Row],[Column3]],Table14[[#This Row],[Column3]]="NEW",Table14[[#This Row],[Column3]]),"")</f>
        <v>146.78732446989426</v>
      </c>
      <c r="H483" s="15" cm="1">
        <f t="array" ref="H483">_xlfn.IFS(Table14[[#This Row],[Column4]]="NEW",AVERAGEIFS(Table14[Column4],Table14[Year],Table14[[#This Row],[Year]]),ISNUMBER(Table14[[#This Row],[Column4]]),Table14[[#This Row],[Column4]],Table14[[#This Row],[Column4]]="",H482*(1+Table14[[#This Row],[Ávöxtun]]))</f>
        <v>146.78732446989426</v>
      </c>
      <c r="I483" cm="1">
        <f t="array" ref="I483">_xlfn.IFS(Table14[[#This Row],[Column4]]="NEW",_xlfn.XLOOKUP(Table14[[#This Row],[Year]],$M$2:$M$27,$O$2:$O$27),ISNUMBER(Table14[[#This Row],[Column4]]),Table14[[#This Row],[Column4]],Table14[[#This Row],[Column4]]="",I482*(1+Table14[[#This Row],[Ávöxtun]]))</f>
        <v>146.78732446989426</v>
      </c>
      <c r="L483" s="33">
        <v>146.78732446989426</v>
      </c>
    </row>
    <row r="484" spans="1:12">
      <c r="A484" t="s">
        <v>109</v>
      </c>
      <c r="B484">
        <v>2013</v>
      </c>
      <c r="C484" s="16">
        <v>7.3499999999999996E-2</v>
      </c>
      <c r="D484" s="1">
        <v>26385503</v>
      </c>
      <c r="E484" s="29">
        <f>Table14[[#This Row],[Ávöxtun]]*Table14[[#This Row],[Eignir]]/SUMIFS(Table14[Eignir],Table14[Year],Table14[[#This Row],[Year]])</f>
        <v>7.9690613970038917E-4</v>
      </c>
      <c r="F484" s="23">
        <f>IF(B484=1997, 100, IF(COUNTIF(A$1:A483,A484)=0, "NEW", F483*(1+Table14[[#This Row],[Ávöxtun]])))</f>
        <v>157.57619281843148</v>
      </c>
      <c r="G484" s="18" cm="1">
        <f t="array" ref="G484">IFERROR(_xlfn.IFS(ISNUMBER(Table14[[#This Row],[Column3]]),Table14[[#This Row],[Column3]],Table14[[#This Row],[Column3]]="NEW",Table14[[#This Row],[Column3]]),"")</f>
        <v>157.57619281843148</v>
      </c>
      <c r="H484" s="15" cm="1">
        <f t="array" ref="H484">_xlfn.IFS(Table14[[#This Row],[Column4]]="NEW",AVERAGEIFS(Table14[Column4],Table14[Year],Table14[[#This Row],[Year]]),ISNUMBER(Table14[[#This Row],[Column4]]),Table14[[#This Row],[Column4]],Table14[[#This Row],[Column4]]="",H483*(1+Table14[[#This Row],[Ávöxtun]]))</f>
        <v>157.57619281843148</v>
      </c>
      <c r="I484" cm="1">
        <f t="array" ref="I484">_xlfn.IFS(Table14[[#This Row],[Column4]]="NEW",_xlfn.XLOOKUP(Table14[[#This Row],[Year]],$M$2:$M$27,$O$2:$O$27),ISNUMBER(Table14[[#This Row],[Column4]]),Table14[[#This Row],[Column4]],Table14[[#This Row],[Column4]]="",I483*(1+Table14[[#This Row],[Ávöxtun]]))</f>
        <v>157.57619281843148</v>
      </c>
      <c r="L484" s="33">
        <v>157.57619281843148</v>
      </c>
    </row>
    <row r="485" spans="1:12">
      <c r="A485" t="s">
        <v>109</v>
      </c>
      <c r="B485">
        <v>2014</v>
      </c>
      <c r="C485" s="16">
        <v>9.3000000000000013E-2</v>
      </c>
      <c r="D485" s="1">
        <v>27645876</v>
      </c>
      <c r="E485" s="29">
        <f>Table14[[#This Row],[Ávöxtun]]*Table14[[#This Row],[Eignir]]/SUMIFS(Table14[Eignir],Table14[Year],Table14[[#This Row],[Year]])</f>
        <v>9.6910990217803498E-4</v>
      </c>
      <c r="F485" s="23">
        <f>IF(B485=1997, 100, IF(COUNTIF(A$1:A484,A485)=0, "NEW", F484*(1+Table14[[#This Row],[Ávöxtun]])))</f>
        <v>172.2307787505456</v>
      </c>
      <c r="G485" s="18" cm="1">
        <f t="array" ref="G485">IFERROR(_xlfn.IFS(ISNUMBER(Table14[[#This Row],[Column3]]),Table14[[#This Row],[Column3]],Table14[[#This Row],[Column3]]="NEW",Table14[[#This Row],[Column3]]),"")</f>
        <v>172.2307787505456</v>
      </c>
      <c r="H485" s="15" cm="1">
        <f t="array" ref="H485">_xlfn.IFS(Table14[[#This Row],[Column4]]="NEW",AVERAGEIFS(Table14[Column4],Table14[Year],Table14[[#This Row],[Year]]),ISNUMBER(Table14[[#This Row],[Column4]]),Table14[[#This Row],[Column4]],Table14[[#This Row],[Column4]]="",H484*(1+Table14[[#This Row],[Ávöxtun]]))</f>
        <v>172.2307787505456</v>
      </c>
      <c r="I485" cm="1">
        <f t="array" ref="I485">_xlfn.IFS(Table14[[#This Row],[Column4]]="NEW",_xlfn.XLOOKUP(Table14[[#This Row],[Year]],$M$2:$M$27,$O$2:$O$27),ISNUMBER(Table14[[#This Row],[Column4]]),Table14[[#This Row],[Column4]],Table14[[#This Row],[Column4]]="",I484*(1+Table14[[#This Row],[Ávöxtun]]))</f>
        <v>172.2307787505456</v>
      </c>
      <c r="L485" s="33">
        <v>172.2307787505456</v>
      </c>
    </row>
    <row r="486" spans="1:12">
      <c r="A486" t="s">
        <v>109</v>
      </c>
      <c r="B486">
        <v>2015</v>
      </c>
      <c r="C486" s="16">
        <v>5.0999999999999997E-2</v>
      </c>
      <c r="D486" s="1">
        <v>27883167</v>
      </c>
      <c r="E486" s="29">
        <f>Table14[[#This Row],[Ávöxtun]]*Table14[[#This Row],[Eignir]]/SUMIFS(Table14[Eignir],Table14[Year],Table14[[#This Row],[Year]])</f>
        <v>4.8019584352575683E-4</v>
      </c>
      <c r="F486" s="23">
        <f>IF(B486=1997, 100, IF(COUNTIF(A$1:A485,A486)=0, "NEW", F485*(1+Table14[[#This Row],[Ávöxtun]])))</f>
        <v>181.01454846682341</v>
      </c>
      <c r="G486" s="18" cm="1">
        <f t="array" ref="G486">IFERROR(_xlfn.IFS(ISNUMBER(Table14[[#This Row],[Column3]]),Table14[[#This Row],[Column3]],Table14[[#This Row],[Column3]]="NEW",Table14[[#This Row],[Column3]]),"")</f>
        <v>181.01454846682341</v>
      </c>
      <c r="H486" s="15" cm="1">
        <f t="array" ref="H486">_xlfn.IFS(Table14[[#This Row],[Column4]]="NEW",AVERAGEIFS(Table14[Column4],Table14[Year],Table14[[#This Row],[Year]]),ISNUMBER(Table14[[#This Row],[Column4]]),Table14[[#This Row],[Column4]],Table14[[#This Row],[Column4]]="",H485*(1+Table14[[#This Row],[Ávöxtun]]))</f>
        <v>181.01454846682341</v>
      </c>
      <c r="I486" cm="1">
        <f t="array" ref="I486">_xlfn.IFS(Table14[[#This Row],[Column4]]="NEW",_xlfn.XLOOKUP(Table14[[#This Row],[Year]],$M$2:$M$27,$O$2:$O$27),ISNUMBER(Table14[[#This Row],[Column4]]),Table14[[#This Row],[Column4]],Table14[[#This Row],[Column4]]="",I485*(1+Table14[[#This Row],[Ávöxtun]]))</f>
        <v>181.01454846682341</v>
      </c>
      <c r="L486" s="33">
        <v>181.01454846682341</v>
      </c>
    </row>
    <row r="487" spans="1:12">
      <c r="A487" t="s">
        <v>109</v>
      </c>
      <c r="B487">
        <v>2016</v>
      </c>
      <c r="C487" s="16">
        <v>-9.7000000000000003E-3</v>
      </c>
      <c r="D487" s="1">
        <v>26626803.609999999</v>
      </c>
      <c r="E487" s="29">
        <f>Table14[[#This Row],[Ávöxtun]]*Table14[[#This Row],[Eignir]]/SUMIFS(Table14[Eignir],Table14[Year],Table14[[#This Row],[Year]])</f>
        <v>-8.0711321626595304E-5</v>
      </c>
      <c r="F487" s="23">
        <f>IF(B487=1997, 100, IF(COUNTIF(A$1:A486,A487)=0, "NEW", F486*(1+Table14[[#This Row],[Ávöxtun]])))</f>
        <v>179.25870734669522</v>
      </c>
      <c r="G487" s="18" cm="1">
        <f t="array" ref="G487">IFERROR(_xlfn.IFS(ISNUMBER(Table14[[#This Row],[Column3]]),Table14[[#This Row],[Column3]],Table14[[#This Row],[Column3]]="NEW",Table14[[#This Row],[Column3]]),"")</f>
        <v>179.25870734669522</v>
      </c>
      <c r="H487" s="15" cm="1">
        <f t="array" ref="H487">_xlfn.IFS(Table14[[#This Row],[Column4]]="NEW",AVERAGEIFS(Table14[Column4],Table14[Year],Table14[[#This Row],[Year]]),ISNUMBER(Table14[[#This Row],[Column4]]),Table14[[#This Row],[Column4]],Table14[[#This Row],[Column4]]="",H486*(1+Table14[[#This Row],[Ávöxtun]]))</f>
        <v>179.25870734669522</v>
      </c>
      <c r="I487" cm="1">
        <f t="array" ref="I487">_xlfn.IFS(Table14[[#This Row],[Column4]]="NEW",_xlfn.XLOOKUP(Table14[[#This Row],[Year]],$M$2:$M$27,$O$2:$O$27),ISNUMBER(Table14[[#This Row],[Column4]]),Table14[[#This Row],[Column4]],Table14[[#This Row],[Column4]]="",I486*(1+Table14[[#This Row],[Ávöxtun]]))</f>
        <v>179.25870734669522</v>
      </c>
      <c r="L487" s="33">
        <v>179.25870734669522</v>
      </c>
    </row>
    <row r="488" spans="1:12">
      <c r="A488" t="s">
        <v>109</v>
      </c>
      <c r="B488">
        <v>2017</v>
      </c>
      <c r="C488" s="16">
        <v>7.2000000000000008E-2</v>
      </c>
      <c r="D488" s="1">
        <v>26839154</v>
      </c>
      <c r="E488" s="29">
        <f>Table14[[#This Row],[Ávöxtun]]*Table14[[#This Row],[Eignir]]/SUMIFS(Table14[Eignir],Table14[Year],Table14[[#This Row],[Year]])</f>
        <v>5.4294378820839444E-4</v>
      </c>
      <c r="F488" s="23">
        <f>IF(B488=1997, 100, IF(COUNTIF(A$1:A487,A488)=0, "NEW", F487*(1+Table14[[#This Row],[Ávöxtun]])))</f>
        <v>192.16533427565727</v>
      </c>
      <c r="G488" s="18" cm="1">
        <f t="array" ref="G488">IFERROR(_xlfn.IFS(ISNUMBER(Table14[[#This Row],[Column3]]),Table14[[#This Row],[Column3]],Table14[[#This Row],[Column3]]="NEW",Table14[[#This Row],[Column3]]),"")</f>
        <v>192.16533427565727</v>
      </c>
      <c r="H488" s="15" cm="1">
        <f t="array" ref="H488">_xlfn.IFS(Table14[[#This Row],[Column4]]="NEW",AVERAGEIFS(Table14[Column4],Table14[Year],Table14[[#This Row],[Year]]),ISNUMBER(Table14[[#This Row],[Column4]]),Table14[[#This Row],[Column4]],Table14[[#This Row],[Column4]]="",H487*(1+Table14[[#This Row],[Ávöxtun]]))</f>
        <v>192.16533427565727</v>
      </c>
      <c r="I488" cm="1">
        <f t="array" ref="I488">_xlfn.IFS(Table14[[#This Row],[Column4]]="NEW",_xlfn.XLOOKUP(Table14[[#This Row],[Year]],$M$2:$M$27,$O$2:$O$27),ISNUMBER(Table14[[#This Row],[Column4]]),Table14[[#This Row],[Column4]],Table14[[#This Row],[Column4]]="",I487*(1+Table14[[#This Row],[Ávöxtun]]))</f>
        <v>192.16533427565727</v>
      </c>
      <c r="L488" s="33">
        <v>192.16533427565727</v>
      </c>
    </row>
    <row r="489" spans="1:12">
      <c r="A489" t="s">
        <v>110</v>
      </c>
      <c r="B489">
        <v>1997</v>
      </c>
      <c r="C489" s="16">
        <v>0.06</v>
      </c>
      <c r="D489" s="1">
        <v>167252.48000000001</v>
      </c>
      <c r="E489" s="29">
        <f>Table14[[#This Row],[Ávöxtun]]*Table14[[#This Row],[Eignir]]/SUMIFS(Table14[Eignir],Table14[Year],Table14[[#This Row],[Year]])</f>
        <v>2.9599996131970563E-5</v>
      </c>
      <c r="F489" s="23">
        <f>IF(B489=1997, 100, IF(COUNTIF(A$1:A488,A489)=0, "NEW", F488*(1+Table14[[#This Row],[Ávöxtun]])))</f>
        <v>100</v>
      </c>
      <c r="G489" s="18" cm="1">
        <f t="array" ref="G489">IFERROR(_xlfn.IFS(ISNUMBER(Table14[[#This Row],[Column3]]),Table14[[#This Row],[Column3]],Table14[[#This Row],[Column3]]="NEW",Table14[[#This Row],[Column3]]),"")</f>
        <v>100</v>
      </c>
      <c r="H489" s="15" cm="1">
        <f t="array" ref="H489">_xlfn.IFS(Table14[[#This Row],[Column4]]="NEW",AVERAGEIFS(Table14[Column4],Table14[Year],Table14[[#This Row],[Year]]),ISNUMBER(Table14[[#This Row],[Column4]]),Table14[[#This Row],[Column4]],Table14[[#This Row],[Column4]]="",H488*(1+Table14[[#This Row],[Ávöxtun]]))</f>
        <v>100</v>
      </c>
      <c r="I489" cm="1">
        <f t="array" ref="I489">_xlfn.IFS(Table14[[#This Row],[Column4]]="NEW",_xlfn.XLOOKUP(Table14[[#This Row],[Year]],$M$2:$M$27,$O$2:$O$27),ISNUMBER(Table14[[#This Row],[Column4]]),Table14[[#This Row],[Column4]],Table14[[#This Row],[Column4]]="",I488*(1+Table14[[#This Row],[Ávöxtun]]))</f>
        <v>100</v>
      </c>
      <c r="L489" s="33">
        <v>100</v>
      </c>
    </row>
    <row r="490" spans="1:12">
      <c r="A490" t="s">
        <v>110</v>
      </c>
      <c r="B490">
        <v>1998</v>
      </c>
      <c r="C490" s="16">
        <v>0.06</v>
      </c>
      <c r="D490" s="1">
        <v>163463.51999999999</v>
      </c>
      <c r="E490" s="29">
        <f>Table14[[#This Row],[Ávöxtun]]*Table14[[#This Row],[Eignir]]/SUMIFS(Table14[Eignir],Table14[Year],Table14[[#This Row],[Year]])</f>
        <v>2.5043250560744269E-5</v>
      </c>
      <c r="F490" s="23">
        <f>IF(B490=1997, 100, IF(COUNTIF(A$1:A489,A490)=0, "NEW", F489*(1+Table14[[#This Row],[Ávöxtun]])))</f>
        <v>106</v>
      </c>
      <c r="G490" s="18" cm="1">
        <f t="array" ref="G490">IFERROR(_xlfn.IFS(ISNUMBER(Table14[[#This Row],[Column3]]),Table14[[#This Row],[Column3]],Table14[[#This Row],[Column3]]="NEW",Table14[[#This Row],[Column3]]),"")</f>
        <v>106</v>
      </c>
      <c r="H490" s="15" cm="1">
        <f t="array" ref="H490">_xlfn.IFS(Table14[[#This Row],[Column4]]="NEW",AVERAGEIFS(Table14[Column4],Table14[Year],Table14[[#This Row],[Year]]),ISNUMBER(Table14[[#This Row],[Column4]]),Table14[[#This Row],[Column4]],Table14[[#This Row],[Column4]]="",H489*(1+Table14[[#This Row],[Ávöxtun]]))</f>
        <v>106</v>
      </c>
      <c r="I490" cm="1">
        <f t="array" ref="I490">_xlfn.IFS(Table14[[#This Row],[Column4]]="NEW",_xlfn.XLOOKUP(Table14[[#This Row],[Year]],$M$2:$M$27,$O$2:$O$27),ISNUMBER(Table14[[#This Row],[Column4]]),Table14[[#This Row],[Column4]],Table14[[#This Row],[Column4]]="",I489*(1+Table14[[#This Row],[Ávöxtun]]))</f>
        <v>106</v>
      </c>
      <c r="L490" s="33">
        <v>106</v>
      </c>
    </row>
    <row r="491" spans="1:12">
      <c r="A491" t="s">
        <v>110</v>
      </c>
      <c r="B491">
        <v>1999</v>
      </c>
      <c r="C491" s="16">
        <v>0.06</v>
      </c>
      <c r="D491" s="1">
        <v>165834.60999999999</v>
      </c>
      <c r="E491" s="29">
        <f>Table14[[#This Row],[Ávöxtun]]*Table14[[#This Row],[Eignir]]/SUMIFS(Table14[Eignir],Table14[Year],Table14[[#This Row],[Year]])</f>
        <v>1.9108426637788087E-5</v>
      </c>
      <c r="F491" s="23">
        <f>IF(B491=1997, 100, IF(COUNTIF(A$1:A490,A491)=0, "NEW", F490*(1+Table14[[#This Row],[Ávöxtun]])))</f>
        <v>112.36</v>
      </c>
      <c r="G491" s="18" cm="1">
        <f t="array" ref="G491">IFERROR(_xlfn.IFS(ISNUMBER(Table14[[#This Row],[Column3]]),Table14[[#This Row],[Column3]],Table14[[#This Row],[Column3]]="NEW",Table14[[#This Row],[Column3]]),"")</f>
        <v>112.36</v>
      </c>
      <c r="H491" s="15" cm="1">
        <f t="array" ref="H491">_xlfn.IFS(Table14[[#This Row],[Column4]]="NEW",AVERAGEIFS(Table14[Column4],Table14[Year],Table14[[#This Row],[Year]]),ISNUMBER(Table14[[#This Row],[Column4]]),Table14[[#This Row],[Column4]],Table14[[#This Row],[Column4]]="",H490*(1+Table14[[#This Row],[Ávöxtun]]))</f>
        <v>112.36</v>
      </c>
      <c r="I491" cm="1">
        <f t="array" ref="I491">_xlfn.IFS(Table14[[#This Row],[Column4]]="NEW",_xlfn.XLOOKUP(Table14[[#This Row],[Year]],$M$2:$M$27,$O$2:$O$27),ISNUMBER(Table14[[#This Row],[Column4]]),Table14[[#This Row],[Column4]],Table14[[#This Row],[Column4]]="",I490*(1+Table14[[#This Row],[Ávöxtun]]))</f>
        <v>112.36</v>
      </c>
      <c r="L491" s="33">
        <v>112.36</v>
      </c>
    </row>
    <row r="492" spans="1:12">
      <c r="A492" t="s">
        <v>97</v>
      </c>
      <c r="B492">
        <v>1997</v>
      </c>
      <c r="C492" s="16">
        <v>0.06</v>
      </c>
      <c r="D492" s="1">
        <v>996815.56</v>
      </c>
      <c r="E492" s="29">
        <f>Table14[[#This Row],[Ávöxtun]]*Table14[[#This Row],[Eignir]]/SUMIFS(Table14[Eignir],Table14[Year],Table14[[#This Row],[Year]])</f>
        <v>1.7641434506853392E-4</v>
      </c>
      <c r="F492" s="23">
        <f>IF(B492=1997, 100, IF(COUNTIF(A$1:A491,A492)=0, "NEW", F491*(1+Table14[[#This Row],[Ávöxtun]])))</f>
        <v>100</v>
      </c>
      <c r="G492" s="18" cm="1">
        <f t="array" ref="G492">IFERROR(_xlfn.IFS(ISNUMBER(Table14[[#This Row],[Column3]]),Table14[[#This Row],[Column3]],Table14[[#This Row],[Column3]]="NEW",Table14[[#This Row],[Column3]]),"")</f>
        <v>100</v>
      </c>
      <c r="H492" s="15" cm="1">
        <f t="array" ref="H492">_xlfn.IFS(Table14[[#This Row],[Column4]]="NEW",AVERAGEIFS(Table14[Column4],Table14[Year],Table14[[#This Row],[Year]]),ISNUMBER(Table14[[#This Row],[Column4]]),Table14[[#This Row],[Column4]],Table14[[#This Row],[Column4]]="",H491*(1+Table14[[#This Row],[Ávöxtun]]))</f>
        <v>100</v>
      </c>
      <c r="I492" cm="1">
        <f t="array" ref="I492">_xlfn.IFS(Table14[[#This Row],[Column4]]="NEW",_xlfn.XLOOKUP(Table14[[#This Row],[Year]],$M$2:$M$27,$O$2:$O$27),ISNUMBER(Table14[[#This Row],[Column4]]),Table14[[#This Row],[Column4]],Table14[[#This Row],[Column4]]="",I491*(1+Table14[[#This Row],[Ávöxtun]]))</f>
        <v>100</v>
      </c>
      <c r="L492" s="33">
        <v>100</v>
      </c>
    </row>
    <row r="493" spans="1:12">
      <c r="A493" t="s">
        <v>97</v>
      </c>
      <c r="B493">
        <v>1998</v>
      </c>
      <c r="C493" s="16">
        <v>0.06</v>
      </c>
      <c r="D493" s="1">
        <v>1059315.1499999999</v>
      </c>
      <c r="E493" s="29">
        <f>Table14[[#This Row],[Ávöxtun]]*Table14[[#This Row],[Eignir]]/SUMIFS(Table14[Eignir],Table14[Year],Table14[[#This Row],[Year]])</f>
        <v>1.6229122390269341E-4</v>
      </c>
      <c r="F493" s="23">
        <f>IF(B493=1997, 100, IF(COUNTIF(A$1:A492,A493)=0, "NEW", F492*(1+Table14[[#This Row],[Ávöxtun]])))</f>
        <v>106</v>
      </c>
      <c r="G493" s="18" cm="1">
        <f t="array" ref="G493">IFERROR(_xlfn.IFS(ISNUMBER(Table14[[#This Row],[Column3]]),Table14[[#This Row],[Column3]],Table14[[#This Row],[Column3]]="NEW",Table14[[#This Row],[Column3]]),"")</f>
        <v>106</v>
      </c>
      <c r="H493" s="15" cm="1">
        <f t="array" ref="H493">_xlfn.IFS(Table14[[#This Row],[Column4]]="NEW",AVERAGEIFS(Table14[Column4],Table14[Year],Table14[[#This Row],[Year]]),ISNUMBER(Table14[[#This Row],[Column4]]),Table14[[#This Row],[Column4]],Table14[[#This Row],[Column4]]="",H492*(1+Table14[[#This Row],[Ávöxtun]]))</f>
        <v>106</v>
      </c>
      <c r="I493" cm="1">
        <f t="array" ref="I493">_xlfn.IFS(Table14[[#This Row],[Column4]]="NEW",_xlfn.XLOOKUP(Table14[[#This Row],[Year]],$M$2:$M$27,$O$2:$O$27),ISNUMBER(Table14[[#This Row],[Column4]]),Table14[[#This Row],[Column4]],Table14[[#This Row],[Column4]]="",I492*(1+Table14[[#This Row],[Ávöxtun]]))</f>
        <v>106</v>
      </c>
      <c r="L493" s="33">
        <v>106</v>
      </c>
    </row>
    <row r="494" spans="1:12">
      <c r="A494" t="s">
        <v>97</v>
      </c>
      <c r="B494">
        <v>1999</v>
      </c>
      <c r="C494" s="16">
        <v>0.09</v>
      </c>
      <c r="D494" s="1">
        <v>1161341.6599999999</v>
      </c>
      <c r="E494" s="29">
        <f>Table14[[#This Row],[Ávöxtun]]*Table14[[#This Row],[Eignir]]/SUMIFS(Table14[Eignir],Table14[Year],Table14[[#This Row],[Year]])</f>
        <v>2.0072479361983337E-4</v>
      </c>
      <c r="F494" s="23">
        <f>IF(B494=1997, 100, IF(COUNTIF(A$1:A493,A494)=0, "NEW", F493*(1+Table14[[#This Row],[Ávöxtun]])))</f>
        <v>115.54</v>
      </c>
      <c r="G494" s="18" cm="1">
        <f t="array" ref="G494">IFERROR(_xlfn.IFS(ISNUMBER(Table14[[#This Row],[Column3]]),Table14[[#This Row],[Column3]],Table14[[#This Row],[Column3]]="NEW",Table14[[#This Row],[Column3]]),"")</f>
        <v>115.54</v>
      </c>
      <c r="H494" s="15" cm="1">
        <f t="array" ref="H494">_xlfn.IFS(Table14[[#This Row],[Column4]]="NEW",AVERAGEIFS(Table14[Column4],Table14[Year],Table14[[#This Row],[Year]]),ISNUMBER(Table14[[#This Row],[Column4]]),Table14[[#This Row],[Column4]],Table14[[#This Row],[Column4]]="",H493*(1+Table14[[#This Row],[Ávöxtun]]))</f>
        <v>115.54</v>
      </c>
      <c r="I494" cm="1">
        <f t="array" ref="I494">_xlfn.IFS(Table14[[#This Row],[Column4]]="NEW",_xlfn.XLOOKUP(Table14[[#This Row],[Year]],$M$2:$M$27,$O$2:$O$27),ISNUMBER(Table14[[#This Row],[Column4]]),Table14[[#This Row],[Column4]],Table14[[#This Row],[Column4]]="",I493*(1+Table14[[#This Row],[Ávöxtun]]))</f>
        <v>115.54</v>
      </c>
      <c r="L494" s="33">
        <v>115.54</v>
      </c>
    </row>
    <row r="495" spans="1:12">
      <c r="A495" t="s">
        <v>97</v>
      </c>
      <c r="B495">
        <v>2000</v>
      </c>
      <c r="C495" s="16">
        <v>0.03</v>
      </c>
      <c r="D495" s="1">
        <v>1195355.19</v>
      </c>
      <c r="E495" s="29">
        <f>Table14[[#This Row],[Ávöxtun]]*Table14[[#This Row],[Eignir]]/SUMIFS(Table14[Eignir],Table14[Year],Table14[[#This Row],[Year]])</f>
        <v>5.0444752755138293E-5</v>
      </c>
      <c r="F495" s="23">
        <f>IF(B495=1997, 100, IF(COUNTIF(A$1:A494,A495)=0, "NEW", F494*(1+Table14[[#This Row],[Ávöxtun]])))</f>
        <v>119.00620000000001</v>
      </c>
      <c r="G495" s="18" cm="1">
        <f t="array" ref="G495">IFERROR(_xlfn.IFS(ISNUMBER(Table14[[#This Row],[Column3]]),Table14[[#This Row],[Column3]],Table14[[#This Row],[Column3]]="NEW",Table14[[#This Row],[Column3]]),"")</f>
        <v>119.00620000000001</v>
      </c>
      <c r="H495" s="15" cm="1">
        <f t="array" ref="H495">_xlfn.IFS(Table14[[#This Row],[Column4]]="NEW",AVERAGEIFS(Table14[Column4],Table14[Year],Table14[[#This Row],[Year]]),ISNUMBER(Table14[[#This Row],[Column4]]),Table14[[#This Row],[Column4]],Table14[[#This Row],[Column4]]="",H494*(1+Table14[[#This Row],[Ávöxtun]]))</f>
        <v>119.00620000000001</v>
      </c>
      <c r="I495" cm="1">
        <f t="array" ref="I495">_xlfn.IFS(Table14[[#This Row],[Column4]]="NEW",_xlfn.XLOOKUP(Table14[[#This Row],[Year]],$M$2:$M$27,$O$2:$O$27),ISNUMBER(Table14[[#This Row],[Column4]]),Table14[[#This Row],[Column4]],Table14[[#This Row],[Column4]]="",I494*(1+Table14[[#This Row],[Ávöxtun]]))</f>
        <v>119.00620000000001</v>
      </c>
      <c r="L495" s="33">
        <v>119.00620000000001</v>
      </c>
    </row>
    <row r="496" spans="1:12">
      <c r="A496" t="s">
        <v>97</v>
      </c>
      <c r="B496">
        <v>2001</v>
      </c>
      <c r="C496" s="16">
        <v>0.03</v>
      </c>
      <c r="D496" s="1">
        <v>1261185</v>
      </c>
      <c r="E496" s="29">
        <f>Table14[[#This Row],[Ávöxtun]]*Table14[[#This Row],[Eignir]]/SUMIFS(Table14[Eignir],Table14[Year],Table14[[#This Row],[Year]])</f>
        <v>3.2675564575950282E-5</v>
      </c>
      <c r="F496" s="23">
        <f>IF(B496=1997, 100, IF(COUNTIF(A$1:A495,A496)=0, "NEW", F495*(1+Table14[[#This Row],[Ávöxtun]])))</f>
        <v>122.57638600000001</v>
      </c>
      <c r="G496" s="18" cm="1">
        <f t="array" ref="G496">IFERROR(_xlfn.IFS(ISNUMBER(Table14[[#This Row],[Column3]]),Table14[[#This Row],[Column3]],Table14[[#This Row],[Column3]]="NEW",Table14[[#This Row],[Column3]]),"")</f>
        <v>122.57638600000001</v>
      </c>
      <c r="H496" s="15" cm="1">
        <f t="array" ref="H496">_xlfn.IFS(Table14[[#This Row],[Column4]]="NEW",AVERAGEIFS(Table14[Column4],Table14[Year],Table14[[#This Row],[Year]]),ISNUMBER(Table14[[#This Row],[Column4]]),Table14[[#This Row],[Column4]],Table14[[#This Row],[Column4]]="",H495*(1+Table14[[#This Row],[Ávöxtun]]))</f>
        <v>122.57638600000001</v>
      </c>
      <c r="I496" cm="1">
        <f t="array" ref="I496">_xlfn.IFS(Table14[[#This Row],[Column4]]="NEW",_xlfn.XLOOKUP(Table14[[#This Row],[Year]],$M$2:$M$27,$O$2:$O$27),ISNUMBER(Table14[[#This Row],[Column4]]),Table14[[#This Row],[Column4]],Table14[[#This Row],[Column4]]="",I495*(1+Table14[[#This Row],[Ávöxtun]]))</f>
        <v>122.57638600000001</v>
      </c>
      <c r="L496" s="33">
        <v>122.57638600000001</v>
      </c>
    </row>
    <row r="497" spans="1:12">
      <c r="A497" t="s">
        <v>97</v>
      </c>
      <c r="B497">
        <v>2002</v>
      </c>
      <c r="C497" s="16">
        <v>0.03</v>
      </c>
      <c r="D497" s="1">
        <v>1252986</v>
      </c>
      <c r="E497" s="29">
        <f>Table14[[#This Row],[Ávöxtun]]*Table14[[#This Row],[Eignir]]/SUMIFS(Table14[Eignir],Table14[Year],Table14[[#This Row],[Year]])</f>
        <v>5.9180889985642372E-5</v>
      </c>
      <c r="F497" s="23">
        <f>IF(B497=1997, 100, IF(COUNTIF(A$1:A496,A497)=0, "NEW", F496*(1+Table14[[#This Row],[Ávöxtun]])))</f>
        <v>126.25367758000002</v>
      </c>
      <c r="G497" s="18" cm="1">
        <f t="array" ref="G497">IFERROR(_xlfn.IFS(ISNUMBER(Table14[[#This Row],[Column3]]),Table14[[#This Row],[Column3]],Table14[[#This Row],[Column3]]="NEW",Table14[[#This Row],[Column3]]),"")</f>
        <v>126.25367758000002</v>
      </c>
      <c r="H497" s="15" cm="1">
        <f t="array" ref="H497">_xlfn.IFS(Table14[[#This Row],[Column4]]="NEW",AVERAGEIFS(Table14[Column4],Table14[Year],Table14[[#This Row],[Year]]),ISNUMBER(Table14[[#This Row],[Column4]]),Table14[[#This Row],[Column4]],Table14[[#This Row],[Column4]]="",H496*(1+Table14[[#This Row],[Ávöxtun]]))</f>
        <v>126.25367758000002</v>
      </c>
      <c r="I497" cm="1">
        <f t="array" ref="I497">_xlfn.IFS(Table14[[#This Row],[Column4]]="NEW",_xlfn.XLOOKUP(Table14[[#This Row],[Year]],$M$2:$M$27,$O$2:$O$27),ISNUMBER(Table14[[#This Row],[Column4]]),Table14[[#This Row],[Column4]],Table14[[#This Row],[Column4]]="",I496*(1+Table14[[#This Row],[Ávöxtun]]))</f>
        <v>126.25367758000002</v>
      </c>
      <c r="L497" s="33">
        <v>126.25367758000002</v>
      </c>
    </row>
    <row r="498" spans="1:12">
      <c r="A498" t="s">
        <v>97</v>
      </c>
      <c r="B498">
        <v>2003</v>
      </c>
      <c r="C498" s="16">
        <v>0.12</v>
      </c>
      <c r="D498" s="1">
        <v>1371428</v>
      </c>
      <c r="E498" s="29">
        <f>Table14[[#This Row],[Ávöxtun]]*Table14[[#This Row],[Eignir]]/SUMIFS(Table14[Eignir],Table14[Year],Table14[[#This Row],[Year]])</f>
        <v>2.1657221164894804E-4</v>
      </c>
      <c r="F498" s="23">
        <f>IF(B498=1997, 100, IF(COUNTIF(A$1:A497,A498)=0, "NEW", F497*(1+Table14[[#This Row],[Ávöxtun]])))</f>
        <v>141.40411888960003</v>
      </c>
      <c r="G498" s="18" cm="1">
        <f t="array" ref="G498">IFERROR(_xlfn.IFS(ISNUMBER(Table14[[#This Row],[Column3]]),Table14[[#This Row],[Column3]],Table14[[#This Row],[Column3]]="NEW",Table14[[#This Row],[Column3]]),"")</f>
        <v>141.40411888960003</v>
      </c>
      <c r="H498" s="15" cm="1">
        <f t="array" ref="H498">_xlfn.IFS(Table14[[#This Row],[Column4]]="NEW",AVERAGEIFS(Table14[Column4],Table14[Year],Table14[[#This Row],[Year]]),ISNUMBER(Table14[[#This Row],[Column4]]),Table14[[#This Row],[Column4]],Table14[[#This Row],[Column4]]="",H497*(1+Table14[[#This Row],[Ávöxtun]]))</f>
        <v>141.40411888960003</v>
      </c>
      <c r="I498" cm="1">
        <f t="array" ref="I498">_xlfn.IFS(Table14[[#This Row],[Column4]]="NEW",_xlfn.XLOOKUP(Table14[[#This Row],[Year]],$M$2:$M$27,$O$2:$O$27),ISNUMBER(Table14[[#This Row],[Column4]]),Table14[[#This Row],[Column4]],Table14[[#This Row],[Column4]]="",I497*(1+Table14[[#This Row],[Ávöxtun]]))</f>
        <v>141.40411888960003</v>
      </c>
      <c r="L498" s="33">
        <v>141.40411888960003</v>
      </c>
    </row>
    <row r="499" spans="1:12">
      <c r="A499" t="s">
        <v>97</v>
      </c>
      <c r="B499">
        <v>2004</v>
      </c>
      <c r="C499" s="16">
        <v>0.09</v>
      </c>
      <c r="D499" s="1">
        <v>1482603</v>
      </c>
      <c r="E499" s="29">
        <f>Table14[[#This Row],[Ávöxtun]]*Table14[[#This Row],[Eignir]]/SUMIFS(Table14[Eignir],Table14[Year],Table14[[#This Row],[Year]])</f>
        <v>1.4700740083021816E-4</v>
      </c>
      <c r="F499" s="23">
        <f>IF(B499=1997, 100, IF(COUNTIF(A$1:A498,A499)=0, "NEW", F498*(1+Table14[[#This Row],[Ávöxtun]])))</f>
        <v>154.13048958966405</v>
      </c>
      <c r="G499" s="18" cm="1">
        <f t="array" ref="G499">IFERROR(_xlfn.IFS(ISNUMBER(Table14[[#This Row],[Column3]]),Table14[[#This Row],[Column3]],Table14[[#This Row],[Column3]]="NEW",Table14[[#This Row],[Column3]]),"")</f>
        <v>154.13048958966405</v>
      </c>
      <c r="H499" s="15" cm="1">
        <f t="array" ref="H499">_xlfn.IFS(Table14[[#This Row],[Column4]]="NEW",AVERAGEIFS(Table14[Column4],Table14[Year],Table14[[#This Row],[Year]]),ISNUMBER(Table14[[#This Row],[Column4]]),Table14[[#This Row],[Column4]],Table14[[#This Row],[Column4]]="",H498*(1+Table14[[#This Row],[Ávöxtun]]))</f>
        <v>154.13048958966405</v>
      </c>
      <c r="I499" cm="1">
        <f t="array" ref="I499">_xlfn.IFS(Table14[[#This Row],[Column4]]="NEW",_xlfn.XLOOKUP(Table14[[#This Row],[Year]],$M$2:$M$27,$O$2:$O$27),ISNUMBER(Table14[[#This Row],[Column4]]),Table14[[#This Row],[Column4]],Table14[[#This Row],[Column4]]="",I498*(1+Table14[[#This Row],[Ávöxtun]]))</f>
        <v>154.13048958966405</v>
      </c>
      <c r="L499" s="33">
        <v>154.13048958966405</v>
      </c>
    </row>
    <row r="500" spans="1:12">
      <c r="A500" t="s">
        <v>97</v>
      </c>
      <c r="B500">
        <v>2005</v>
      </c>
      <c r="C500" s="16">
        <v>0.08</v>
      </c>
      <c r="D500" s="1">
        <v>1598629</v>
      </c>
      <c r="E500" s="29">
        <f>Table14[[#This Row],[Ávöxtun]]*Table14[[#This Row],[Eignir]]/SUMIFS(Table14[Eignir],Table14[Year],Table14[[#This Row],[Year]])</f>
        <v>1.1405156120576878E-4</v>
      </c>
      <c r="F500" s="23">
        <f>IF(B500=1997, 100, IF(COUNTIF(A$1:A499,A500)=0, "NEW", F499*(1+Table14[[#This Row],[Ávöxtun]])))</f>
        <v>166.46092875683718</v>
      </c>
      <c r="G500" s="18" cm="1">
        <f t="array" ref="G500">IFERROR(_xlfn.IFS(ISNUMBER(Table14[[#This Row],[Column3]]),Table14[[#This Row],[Column3]],Table14[[#This Row],[Column3]]="NEW",Table14[[#This Row],[Column3]]),"")</f>
        <v>166.46092875683718</v>
      </c>
      <c r="H500" s="15" cm="1">
        <f t="array" ref="H500">_xlfn.IFS(Table14[[#This Row],[Column4]]="NEW",AVERAGEIFS(Table14[Column4],Table14[Year],Table14[[#This Row],[Year]]),ISNUMBER(Table14[[#This Row],[Column4]]),Table14[[#This Row],[Column4]],Table14[[#This Row],[Column4]]="",H499*(1+Table14[[#This Row],[Ávöxtun]]))</f>
        <v>166.46092875683718</v>
      </c>
      <c r="I500" cm="1">
        <f t="array" ref="I500">_xlfn.IFS(Table14[[#This Row],[Column4]]="NEW",_xlfn.XLOOKUP(Table14[[#This Row],[Year]],$M$2:$M$27,$O$2:$O$27),ISNUMBER(Table14[[#This Row],[Column4]]),Table14[[#This Row],[Column4]],Table14[[#This Row],[Column4]]="",I499*(1+Table14[[#This Row],[Ávöxtun]]))</f>
        <v>166.46092875683718</v>
      </c>
      <c r="L500" s="33">
        <v>166.46092875683718</v>
      </c>
    </row>
    <row r="501" spans="1:12">
      <c r="A501" t="s">
        <v>97</v>
      </c>
      <c r="B501">
        <v>2006</v>
      </c>
      <c r="C501" s="16">
        <v>7.4900000000000008E-2</v>
      </c>
      <c r="D501" s="1">
        <v>1769815</v>
      </c>
      <c r="E501" s="29">
        <f>Table14[[#This Row],[Ávöxtun]]*Table14[[#This Row],[Eignir]]/SUMIFS(Table14[Eignir],Table14[Year],Table14[[#This Row],[Year]])</f>
        <v>9.6569895783974141E-5</v>
      </c>
      <c r="F501" s="23">
        <f>IF(B501=1997, 100, IF(COUNTIF(A$1:A500,A501)=0, "NEW", F500*(1+Table14[[#This Row],[Ávöxtun]])))</f>
        <v>178.92885232072427</v>
      </c>
      <c r="G501" s="18" cm="1">
        <f t="array" ref="G501">IFERROR(_xlfn.IFS(ISNUMBER(Table14[[#This Row],[Column3]]),Table14[[#This Row],[Column3]],Table14[[#This Row],[Column3]]="NEW",Table14[[#This Row],[Column3]]),"")</f>
        <v>178.92885232072427</v>
      </c>
      <c r="H501" s="15" cm="1">
        <f t="array" ref="H501">_xlfn.IFS(Table14[[#This Row],[Column4]]="NEW",AVERAGEIFS(Table14[Column4],Table14[Year],Table14[[#This Row],[Year]]),ISNUMBER(Table14[[#This Row],[Column4]]),Table14[[#This Row],[Column4]],Table14[[#This Row],[Column4]]="",H500*(1+Table14[[#This Row],[Ávöxtun]]))</f>
        <v>178.92885232072427</v>
      </c>
      <c r="I501" cm="1">
        <f t="array" ref="I501">_xlfn.IFS(Table14[[#This Row],[Column4]]="NEW",_xlfn.XLOOKUP(Table14[[#This Row],[Year]],$M$2:$M$27,$O$2:$O$27),ISNUMBER(Table14[[#This Row],[Column4]]),Table14[[#This Row],[Column4]],Table14[[#This Row],[Column4]]="",I500*(1+Table14[[#This Row],[Ávöxtun]]))</f>
        <v>178.92885232072427</v>
      </c>
      <c r="L501" s="33">
        <v>178.92885232072427</v>
      </c>
    </row>
    <row r="502" spans="1:12">
      <c r="A502" t="s">
        <v>98</v>
      </c>
      <c r="B502">
        <v>1997</v>
      </c>
      <c r="C502" s="16">
        <v>0.08</v>
      </c>
      <c r="D502" s="1">
        <v>12918896.17</v>
      </c>
      <c r="E502" s="29">
        <f>Table14[[#This Row],[Ávöxtun]]*Table14[[#This Row],[Eignir]]/SUMIFS(Table14[Eignir],Table14[Year],Table14[[#This Row],[Year]])</f>
        <v>3.0484791748086825E-3</v>
      </c>
      <c r="F502" s="23">
        <f>IF(B502=1997, 100, IF(COUNTIF(A$1:A501,A502)=0, "NEW", F501*(1+Table14[[#This Row],[Ávöxtun]])))</f>
        <v>100</v>
      </c>
      <c r="G502" s="18" cm="1">
        <f t="array" ref="G502">IFERROR(_xlfn.IFS(ISNUMBER(Table14[[#This Row],[Column3]]),Table14[[#This Row],[Column3]],Table14[[#This Row],[Column3]]="NEW",Table14[[#This Row],[Column3]]),"")</f>
        <v>100</v>
      </c>
      <c r="H502" s="15" cm="1">
        <f t="array" ref="H502">_xlfn.IFS(Table14[[#This Row],[Column4]]="NEW",AVERAGEIFS(Table14[Column4],Table14[Year],Table14[[#This Row],[Year]]),ISNUMBER(Table14[[#This Row],[Column4]]),Table14[[#This Row],[Column4]],Table14[[#This Row],[Column4]]="",H501*(1+Table14[[#This Row],[Ávöxtun]]))</f>
        <v>100</v>
      </c>
      <c r="I502" cm="1">
        <f t="array" ref="I502">_xlfn.IFS(Table14[[#This Row],[Column4]]="NEW",_xlfn.XLOOKUP(Table14[[#This Row],[Year]],$M$2:$M$27,$O$2:$O$27),ISNUMBER(Table14[[#This Row],[Column4]]),Table14[[#This Row],[Column4]],Table14[[#This Row],[Column4]]="",I501*(1+Table14[[#This Row],[Ávöxtun]]))</f>
        <v>100</v>
      </c>
      <c r="L502" s="33">
        <v>100</v>
      </c>
    </row>
    <row r="503" spans="1:12">
      <c r="A503" t="s">
        <v>98</v>
      </c>
      <c r="B503">
        <v>1998</v>
      </c>
      <c r="C503" s="16">
        <v>0.1</v>
      </c>
      <c r="D503" s="1">
        <v>14831105.6</v>
      </c>
      <c r="E503" s="29">
        <f>Table14[[#This Row],[Ávöxtun]]*Table14[[#This Row],[Eignir]]/SUMIFS(Table14[Eignir],Table14[Year],Table14[[#This Row],[Year]])</f>
        <v>3.7869723025832466E-3</v>
      </c>
      <c r="F503" s="23">
        <f>IF(B503=1997, 100, IF(COUNTIF(A$1:A502,A503)=0, "NEW", F502*(1+Table14[[#This Row],[Ávöxtun]])))</f>
        <v>110.00000000000001</v>
      </c>
      <c r="G503" s="18" cm="1">
        <f t="array" ref="G503">IFERROR(_xlfn.IFS(ISNUMBER(Table14[[#This Row],[Column3]]),Table14[[#This Row],[Column3]],Table14[[#This Row],[Column3]]="NEW",Table14[[#This Row],[Column3]]),"")</f>
        <v>110.00000000000001</v>
      </c>
      <c r="H503" s="15" cm="1">
        <f t="array" ref="H503">_xlfn.IFS(Table14[[#This Row],[Column4]]="NEW",AVERAGEIFS(Table14[Column4],Table14[Year],Table14[[#This Row],[Year]]),ISNUMBER(Table14[[#This Row],[Column4]]),Table14[[#This Row],[Column4]],Table14[[#This Row],[Column4]]="",H502*(1+Table14[[#This Row],[Ávöxtun]]))</f>
        <v>110.00000000000001</v>
      </c>
      <c r="I503" cm="1">
        <f t="array" ref="I503">_xlfn.IFS(Table14[[#This Row],[Column4]]="NEW",_xlfn.XLOOKUP(Table14[[#This Row],[Year]],$M$2:$M$27,$O$2:$O$27),ISNUMBER(Table14[[#This Row],[Column4]]),Table14[[#This Row],[Column4]],Table14[[#This Row],[Column4]]="",I502*(1+Table14[[#This Row],[Ávöxtun]]))</f>
        <v>110.00000000000001</v>
      </c>
      <c r="L503" s="33">
        <v>110.00000000000001</v>
      </c>
    </row>
    <row r="504" spans="1:12">
      <c r="A504" t="s">
        <v>98</v>
      </c>
      <c r="B504">
        <v>1999</v>
      </c>
      <c r="C504" s="16">
        <v>0.16</v>
      </c>
      <c r="D504" s="1">
        <v>18759203.879999999</v>
      </c>
      <c r="E504" s="29">
        <f>Table14[[#This Row],[Ávöxtun]]*Table14[[#This Row],[Eignir]]/SUMIFS(Table14[Eignir],Table14[Year],Table14[[#This Row],[Year]])</f>
        <v>5.7641183767254967E-3</v>
      </c>
      <c r="F504" s="23">
        <f>IF(B504=1997, 100, IF(COUNTIF(A$1:A503,A504)=0, "NEW", F503*(1+Table14[[#This Row],[Ávöxtun]])))</f>
        <v>127.60000000000001</v>
      </c>
      <c r="G504" s="18" cm="1">
        <f t="array" ref="G504">IFERROR(_xlfn.IFS(ISNUMBER(Table14[[#This Row],[Column3]]),Table14[[#This Row],[Column3]],Table14[[#This Row],[Column3]]="NEW",Table14[[#This Row],[Column3]]),"")</f>
        <v>127.60000000000001</v>
      </c>
      <c r="H504" s="15" cm="1">
        <f t="array" ref="H504">_xlfn.IFS(Table14[[#This Row],[Column4]]="NEW",AVERAGEIFS(Table14[Column4],Table14[Year],Table14[[#This Row],[Year]]),ISNUMBER(Table14[[#This Row],[Column4]]),Table14[[#This Row],[Column4]],Table14[[#This Row],[Column4]]="",H503*(1+Table14[[#This Row],[Ávöxtun]]))</f>
        <v>127.60000000000001</v>
      </c>
      <c r="I504" cm="1">
        <f t="array" ref="I504">_xlfn.IFS(Table14[[#This Row],[Column4]]="NEW",_xlfn.XLOOKUP(Table14[[#This Row],[Year]],$M$2:$M$27,$O$2:$O$27),ISNUMBER(Table14[[#This Row],[Column4]]),Table14[[#This Row],[Column4]],Table14[[#This Row],[Column4]]="",I503*(1+Table14[[#This Row],[Ávöxtun]]))</f>
        <v>127.60000000000001</v>
      </c>
      <c r="L504" s="33">
        <v>127.60000000000001</v>
      </c>
    </row>
    <row r="505" spans="1:12">
      <c r="A505" t="s">
        <v>98</v>
      </c>
      <c r="B505">
        <v>2000</v>
      </c>
      <c r="C505" s="16">
        <v>-0.03</v>
      </c>
      <c r="D505" s="1">
        <v>19525603.260000002</v>
      </c>
      <c r="E505" s="29">
        <f>Table14[[#This Row],[Ávöxtun]]*Table14[[#This Row],[Eignir]]/SUMIFS(Table14[Eignir],Table14[Year],Table14[[#This Row],[Year]])</f>
        <v>-8.2399293288350748E-4</v>
      </c>
      <c r="F505" s="23">
        <f>IF(B505=1997, 100, IF(COUNTIF(A$1:A504,A505)=0, "NEW", F504*(1+Table14[[#This Row],[Ávöxtun]])))</f>
        <v>123.77200000000001</v>
      </c>
      <c r="G505" s="18" cm="1">
        <f t="array" ref="G505">IFERROR(_xlfn.IFS(ISNUMBER(Table14[[#This Row],[Column3]]),Table14[[#This Row],[Column3]],Table14[[#This Row],[Column3]]="NEW",Table14[[#This Row],[Column3]]),"")</f>
        <v>123.77200000000001</v>
      </c>
      <c r="H505" s="15" cm="1">
        <f t="array" ref="H505">_xlfn.IFS(Table14[[#This Row],[Column4]]="NEW",AVERAGEIFS(Table14[Column4],Table14[Year],Table14[[#This Row],[Year]]),ISNUMBER(Table14[[#This Row],[Column4]]),Table14[[#This Row],[Column4]],Table14[[#This Row],[Column4]]="",H504*(1+Table14[[#This Row],[Ávöxtun]]))</f>
        <v>123.77200000000001</v>
      </c>
      <c r="I505" cm="1">
        <f t="array" ref="I505">_xlfn.IFS(Table14[[#This Row],[Column4]]="NEW",_xlfn.XLOOKUP(Table14[[#This Row],[Year]],$M$2:$M$27,$O$2:$O$27),ISNUMBER(Table14[[#This Row],[Column4]]),Table14[[#This Row],[Column4]],Table14[[#This Row],[Column4]]="",I504*(1+Table14[[#This Row],[Ávöxtun]]))</f>
        <v>123.77200000000001</v>
      </c>
      <c r="L505" s="33">
        <v>123.77200000000001</v>
      </c>
    </row>
    <row r="506" spans="1:12">
      <c r="A506" t="s">
        <v>98</v>
      </c>
      <c r="B506">
        <v>2001</v>
      </c>
      <c r="C506" s="16">
        <v>-0.04</v>
      </c>
      <c r="D506" s="1">
        <v>56446787</v>
      </c>
      <c r="E506" s="29">
        <f>Table14[[#This Row],[Ávöxtun]]*Table14[[#This Row],[Eignir]]/SUMIFS(Table14[Eignir],Table14[Year],Table14[[#This Row],[Year]])</f>
        <v>-1.9499445719419024E-3</v>
      </c>
      <c r="F506" s="23">
        <f>IF(B506=1997, 100, IF(COUNTIF(A$1:A505,A506)=0, "NEW", F505*(1+Table14[[#This Row],[Ávöxtun]])))</f>
        <v>118.82112000000001</v>
      </c>
      <c r="G506" s="18" cm="1">
        <f t="array" ref="G506">IFERROR(_xlfn.IFS(ISNUMBER(Table14[[#This Row],[Column3]]),Table14[[#This Row],[Column3]],Table14[[#This Row],[Column3]]="NEW",Table14[[#This Row],[Column3]]),"")</f>
        <v>118.82112000000001</v>
      </c>
      <c r="H506" s="15" cm="1">
        <f t="array" ref="H506">_xlfn.IFS(Table14[[#This Row],[Column4]]="NEW",AVERAGEIFS(Table14[Column4],Table14[Year],Table14[[#This Row],[Year]]),ISNUMBER(Table14[[#This Row],[Column4]]),Table14[[#This Row],[Column4]],Table14[[#This Row],[Column4]]="",H505*(1+Table14[[#This Row],[Ávöxtun]]))</f>
        <v>118.82112000000001</v>
      </c>
      <c r="I506" cm="1">
        <f t="array" ref="I506">_xlfn.IFS(Table14[[#This Row],[Column4]]="NEW",_xlfn.XLOOKUP(Table14[[#This Row],[Year]],$M$2:$M$27,$O$2:$O$27),ISNUMBER(Table14[[#This Row],[Column4]]),Table14[[#This Row],[Column4]],Table14[[#This Row],[Column4]]="",I505*(1+Table14[[#This Row],[Ávöxtun]]))</f>
        <v>118.82112000000001</v>
      </c>
      <c r="L506" s="33">
        <v>118.82112000000001</v>
      </c>
    </row>
    <row r="507" spans="1:12">
      <c r="A507" t="s">
        <v>98</v>
      </c>
      <c r="B507">
        <v>2002</v>
      </c>
      <c r="C507" s="16">
        <v>-0.02</v>
      </c>
      <c r="D507" s="1">
        <v>27968753</v>
      </c>
      <c r="E507" s="29">
        <f>Table14[[#This Row],[Ávöxtun]]*Table14[[#This Row],[Eignir]]/SUMIFS(Table14[Eignir],Table14[Year],Table14[[#This Row],[Year]])</f>
        <v>-8.8067794017842444E-4</v>
      </c>
      <c r="F507" s="23">
        <f>IF(B507=1997, 100, IF(COUNTIF(A$1:A506,A507)=0, "NEW", F506*(1+Table14[[#This Row],[Ávöxtun]])))</f>
        <v>116.44469760000001</v>
      </c>
      <c r="G507" s="18" cm="1">
        <f t="array" ref="G507">IFERROR(_xlfn.IFS(ISNUMBER(Table14[[#This Row],[Column3]]),Table14[[#This Row],[Column3]],Table14[[#This Row],[Column3]]="NEW",Table14[[#This Row],[Column3]]),"")</f>
        <v>116.44469760000001</v>
      </c>
      <c r="H507" s="15" cm="1">
        <f t="array" ref="H507">_xlfn.IFS(Table14[[#This Row],[Column4]]="NEW",AVERAGEIFS(Table14[Column4],Table14[Year],Table14[[#This Row],[Year]]),ISNUMBER(Table14[[#This Row],[Column4]]),Table14[[#This Row],[Column4]],Table14[[#This Row],[Column4]]="",H506*(1+Table14[[#This Row],[Ávöxtun]]))</f>
        <v>116.44469760000001</v>
      </c>
      <c r="I507" cm="1">
        <f t="array" ref="I507">_xlfn.IFS(Table14[[#This Row],[Column4]]="NEW",_xlfn.XLOOKUP(Table14[[#This Row],[Year]],$M$2:$M$27,$O$2:$O$27),ISNUMBER(Table14[[#This Row],[Column4]]),Table14[[#This Row],[Column4]],Table14[[#This Row],[Column4]]="",I506*(1+Table14[[#This Row],[Ávöxtun]]))</f>
        <v>116.44469760000001</v>
      </c>
      <c r="L507" s="33">
        <v>116.44469760000001</v>
      </c>
    </row>
    <row r="508" spans="1:12">
      <c r="A508" t="s">
        <v>98</v>
      </c>
      <c r="B508">
        <v>2003</v>
      </c>
      <c r="C508" s="16">
        <v>0.09</v>
      </c>
      <c r="D508" s="1">
        <v>32242102</v>
      </c>
      <c r="E508" s="29">
        <f>Table14[[#This Row],[Ávöxtun]]*Table14[[#This Row],[Eignir]]/SUMIFS(Table14[Eignir],Table14[Year],Table14[[#This Row],[Year]])</f>
        <v>3.8186893542812511E-3</v>
      </c>
      <c r="F508" s="23">
        <f>IF(B508=1997, 100, IF(COUNTIF(A$1:A507,A508)=0, "NEW", F507*(1+Table14[[#This Row],[Ávöxtun]])))</f>
        <v>126.92472038400003</v>
      </c>
      <c r="G508" s="18" cm="1">
        <f t="array" ref="G508">IFERROR(_xlfn.IFS(ISNUMBER(Table14[[#This Row],[Column3]]),Table14[[#This Row],[Column3]],Table14[[#This Row],[Column3]]="NEW",Table14[[#This Row],[Column3]]),"")</f>
        <v>126.92472038400003</v>
      </c>
      <c r="H508" s="15" cm="1">
        <f t="array" ref="H508">_xlfn.IFS(Table14[[#This Row],[Column4]]="NEW",AVERAGEIFS(Table14[Column4],Table14[Year],Table14[[#This Row],[Year]]),ISNUMBER(Table14[[#This Row],[Column4]]),Table14[[#This Row],[Column4]],Table14[[#This Row],[Column4]]="",H507*(1+Table14[[#This Row],[Ávöxtun]]))</f>
        <v>126.92472038400003</v>
      </c>
      <c r="I508" cm="1">
        <f t="array" ref="I508">_xlfn.IFS(Table14[[#This Row],[Column4]]="NEW",_xlfn.XLOOKUP(Table14[[#This Row],[Year]],$M$2:$M$27,$O$2:$O$27),ISNUMBER(Table14[[#This Row],[Column4]]),Table14[[#This Row],[Column4]],Table14[[#This Row],[Column4]]="",I507*(1+Table14[[#This Row],[Ávöxtun]]))</f>
        <v>126.92472038400003</v>
      </c>
      <c r="L508" s="33">
        <v>126.92472038400003</v>
      </c>
    </row>
    <row r="509" spans="1:12">
      <c r="A509" t="s">
        <v>98</v>
      </c>
      <c r="B509">
        <v>2004</v>
      </c>
      <c r="C509" s="16">
        <v>0.13</v>
      </c>
      <c r="D509" s="1">
        <v>38019390.359999999</v>
      </c>
      <c r="E509" s="29">
        <f>Table14[[#This Row],[Ávöxtun]]*Table14[[#This Row],[Eignir]]/SUMIFS(Table14[Eignir],Table14[Year],Table14[[#This Row],[Year]])</f>
        <v>5.4452812499854565E-3</v>
      </c>
      <c r="F509" s="23">
        <f>IF(B509=1997, 100, IF(COUNTIF(A$1:A508,A509)=0, "NEW", F508*(1+Table14[[#This Row],[Ávöxtun]])))</f>
        <v>143.42493403392001</v>
      </c>
      <c r="G509" s="18" cm="1">
        <f t="array" ref="G509">IFERROR(_xlfn.IFS(ISNUMBER(Table14[[#This Row],[Column3]]),Table14[[#This Row],[Column3]],Table14[[#This Row],[Column3]]="NEW",Table14[[#This Row],[Column3]]),"")</f>
        <v>143.42493403392001</v>
      </c>
      <c r="H509" s="15" cm="1">
        <f t="array" ref="H509">_xlfn.IFS(Table14[[#This Row],[Column4]]="NEW",AVERAGEIFS(Table14[Column4],Table14[Year],Table14[[#This Row],[Year]]),ISNUMBER(Table14[[#This Row],[Column4]]),Table14[[#This Row],[Column4]],Table14[[#This Row],[Column4]]="",H508*(1+Table14[[#This Row],[Ávöxtun]]))</f>
        <v>143.42493403392001</v>
      </c>
      <c r="I509" cm="1">
        <f t="array" ref="I509">_xlfn.IFS(Table14[[#This Row],[Column4]]="NEW",_xlfn.XLOOKUP(Table14[[#This Row],[Year]],$M$2:$M$27,$O$2:$O$27),ISNUMBER(Table14[[#This Row],[Column4]]),Table14[[#This Row],[Column4]],Table14[[#This Row],[Column4]]="",I508*(1+Table14[[#This Row],[Ávöxtun]]))</f>
        <v>143.42493403392001</v>
      </c>
      <c r="L509" s="33">
        <v>143.42493403392001</v>
      </c>
    </row>
    <row r="510" spans="1:12">
      <c r="A510" t="s">
        <v>98</v>
      </c>
      <c r="B510">
        <v>2005</v>
      </c>
      <c r="C510" s="16">
        <v>0.14000000000000001</v>
      </c>
      <c r="D510" s="1">
        <v>46325670</v>
      </c>
      <c r="E510" s="29">
        <f>Table14[[#This Row],[Ávöxtun]]*Table14[[#This Row],[Eignir]]/SUMIFS(Table14[Eignir],Table14[Year],Table14[[#This Row],[Year]])</f>
        <v>5.7838005115356242E-3</v>
      </c>
      <c r="F510" s="23">
        <f>IF(B510=1997, 100, IF(COUNTIF(A$1:A509,A510)=0, "NEW", F509*(1+Table14[[#This Row],[Ávöxtun]])))</f>
        <v>163.50442479866882</v>
      </c>
      <c r="G510" s="18" cm="1">
        <f t="array" ref="G510">IFERROR(_xlfn.IFS(ISNUMBER(Table14[[#This Row],[Column3]]),Table14[[#This Row],[Column3]],Table14[[#This Row],[Column3]]="NEW",Table14[[#This Row],[Column3]]),"")</f>
        <v>163.50442479866882</v>
      </c>
      <c r="H510" s="15" cm="1">
        <f t="array" ref="H510">_xlfn.IFS(Table14[[#This Row],[Column4]]="NEW",AVERAGEIFS(Table14[Column4],Table14[Year],Table14[[#This Row],[Year]]),ISNUMBER(Table14[[#This Row],[Column4]]),Table14[[#This Row],[Column4]],Table14[[#This Row],[Column4]]="",H509*(1+Table14[[#This Row],[Ávöxtun]]))</f>
        <v>163.50442479866882</v>
      </c>
      <c r="I510" cm="1">
        <f t="array" ref="I510">_xlfn.IFS(Table14[[#This Row],[Column4]]="NEW",_xlfn.XLOOKUP(Table14[[#This Row],[Year]],$M$2:$M$27,$O$2:$O$27),ISNUMBER(Table14[[#This Row],[Column4]]),Table14[[#This Row],[Column4]],Table14[[#This Row],[Column4]]="",I509*(1+Table14[[#This Row],[Ávöxtun]]))</f>
        <v>163.50442479866882</v>
      </c>
      <c r="L510" s="33">
        <v>163.50442479866882</v>
      </c>
    </row>
    <row r="511" spans="1:12">
      <c r="A511" t="s">
        <v>98</v>
      </c>
      <c r="B511">
        <v>2006</v>
      </c>
      <c r="C511" s="16">
        <v>8.6400000000000005E-2</v>
      </c>
      <c r="D511" s="1">
        <v>55126217</v>
      </c>
      <c r="E511" s="29">
        <f>Table14[[#This Row],[Ávöxtun]]*Table14[[#This Row],[Eignir]]/SUMIFS(Table14[Eignir],Table14[Year],Table14[[#This Row],[Year]])</f>
        <v>3.4697965127435354E-3</v>
      </c>
      <c r="F511" s="23">
        <f>IF(B511=1997, 100, IF(COUNTIF(A$1:A510,A511)=0, "NEW", F510*(1+Table14[[#This Row],[Ávöxtun]])))</f>
        <v>177.63120710127382</v>
      </c>
      <c r="G511" s="18" cm="1">
        <f t="array" ref="G511">IFERROR(_xlfn.IFS(ISNUMBER(Table14[[#This Row],[Column3]]),Table14[[#This Row],[Column3]],Table14[[#This Row],[Column3]]="NEW",Table14[[#This Row],[Column3]]),"")</f>
        <v>177.63120710127382</v>
      </c>
      <c r="H511" s="15" cm="1">
        <f t="array" ref="H511">_xlfn.IFS(Table14[[#This Row],[Column4]]="NEW",AVERAGEIFS(Table14[Column4],Table14[Year],Table14[[#This Row],[Year]]),ISNUMBER(Table14[[#This Row],[Column4]]),Table14[[#This Row],[Column4]],Table14[[#This Row],[Column4]]="",H510*(1+Table14[[#This Row],[Ávöxtun]]))</f>
        <v>177.63120710127382</v>
      </c>
      <c r="I511" cm="1">
        <f t="array" ref="I511">_xlfn.IFS(Table14[[#This Row],[Column4]]="NEW",_xlfn.XLOOKUP(Table14[[#This Row],[Year]],$M$2:$M$27,$O$2:$O$27),ISNUMBER(Table14[[#This Row],[Column4]]),Table14[[#This Row],[Column4]],Table14[[#This Row],[Column4]]="",I510*(1+Table14[[#This Row],[Ávöxtun]]))</f>
        <v>177.63120710127382</v>
      </c>
      <c r="L511" s="33">
        <v>177.63120710127382</v>
      </c>
    </row>
    <row r="512" spans="1:12">
      <c r="A512" t="s">
        <v>141</v>
      </c>
      <c r="B512">
        <v>1997</v>
      </c>
      <c r="C512" s="16">
        <v>0</v>
      </c>
      <c r="D512" s="1">
        <v>9495.1</v>
      </c>
      <c r="E512" s="29">
        <f>Table14[[#This Row],[Ávöxtun]]*Table14[[#This Row],[Eignir]]/SUMIFS(Table14[Eignir],Table14[Year],Table14[[#This Row],[Year]])</f>
        <v>0</v>
      </c>
      <c r="F512" s="23">
        <f>IF(B512=1997, 100, IF(COUNTIF(A$1:A511,A512)=0, "NEW", F511*(1+Table14[[#This Row],[Ávöxtun]])))</f>
        <v>100</v>
      </c>
      <c r="G512" s="18" cm="1">
        <f t="array" ref="G512">IFERROR(_xlfn.IFS(ISNUMBER(Table14[[#This Row],[Column3]]),Table14[[#This Row],[Column3]],Table14[[#This Row],[Column3]]="NEW",Table14[[#This Row],[Column3]]),"")</f>
        <v>100</v>
      </c>
      <c r="H512" s="15" cm="1">
        <f t="array" ref="H512">_xlfn.IFS(Table14[[#This Row],[Column4]]="NEW",AVERAGEIFS(Table14[Column4],Table14[Year],Table14[[#This Row],[Year]]),ISNUMBER(Table14[[#This Row],[Column4]]),Table14[[#This Row],[Column4]],Table14[[#This Row],[Column4]]="",H511*(1+Table14[[#This Row],[Ávöxtun]]))</f>
        <v>100</v>
      </c>
      <c r="I512" cm="1">
        <f t="array" ref="I512">_xlfn.IFS(Table14[[#This Row],[Column4]]="NEW",_xlfn.XLOOKUP(Table14[[#This Row],[Year]],$M$2:$M$27,$O$2:$O$27),ISNUMBER(Table14[[#This Row],[Column4]]),Table14[[#This Row],[Column4]],Table14[[#This Row],[Column4]]="",I511*(1+Table14[[#This Row],[Ávöxtun]]))</f>
        <v>100</v>
      </c>
      <c r="L512" s="33">
        <v>100</v>
      </c>
    </row>
    <row r="513" spans="1:12">
      <c r="A513" t="s">
        <v>141</v>
      </c>
      <c r="B513">
        <v>1998</v>
      </c>
      <c r="C513" s="16">
        <v>0</v>
      </c>
      <c r="D513" s="1">
        <v>6062.53</v>
      </c>
      <c r="E513" s="29">
        <f>Table14[[#This Row],[Ávöxtun]]*Table14[[#This Row],[Eignir]]/SUMIFS(Table14[Eignir],Table14[Year],Table14[[#This Row],[Year]])</f>
        <v>0</v>
      </c>
      <c r="F513" s="23">
        <f>IF(B513=1997, 100, IF(COUNTIF(A$1:A512,A513)=0, "NEW", F512*(1+Table14[[#This Row],[Ávöxtun]])))</f>
        <v>100</v>
      </c>
      <c r="G513" s="18" cm="1">
        <f t="array" ref="G513">IFERROR(_xlfn.IFS(ISNUMBER(Table14[[#This Row],[Column3]]),Table14[[#This Row],[Column3]],Table14[[#This Row],[Column3]]="NEW",Table14[[#This Row],[Column3]]),"")</f>
        <v>100</v>
      </c>
      <c r="H513" s="15" cm="1">
        <f t="array" ref="H513">_xlfn.IFS(Table14[[#This Row],[Column4]]="NEW",AVERAGEIFS(Table14[Column4],Table14[Year],Table14[[#This Row],[Year]]),ISNUMBER(Table14[[#This Row],[Column4]]),Table14[[#This Row],[Column4]],Table14[[#This Row],[Column4]]="",H512*(1+Table14[[#This Row],[Ávöxtun]]))</f>
        <v>100</v>
      </c>
      <c r="I513" cm="1">
        <f t="array" ref="I513">_xlfn.IFS(Table14[[#This Row],[Column4]]="NEW",_xlfn.XLOOKUP(Table14[[#This Row],[Year]],$M$2:$M$27,$O$2:$O$27),ISNUMBER(Table14[[#This Row],[Column4]]),Table14[[#This Row],[Column4]],Table14[[#This Row],[Column4]]="",I512*(1+Table14[[#This Row],[Ávöxtun]]))</f>
        <v>100</v>
      </c>
      <c r="L513" s="33">
        <v>100</v>
      </c>
    </row>
    <row r="514" spans="1:12">
      <c r="A514" t="s">
        <v>99</v>
      </c>
      <c r="B514">
        <v>1997</v>
      </c>
      <c r="C514" s="16">
        <v>0.05</v>
      </c>
      <c r="D514" s="1">
        <v>1267436.26</v>
      </c>
      <c r="E514" s="29">
        <f>Table14[[#This Row],[Ávöxtun]]*Table14[[#This Row],[Eignir]]/SUMIFS(Table14[Eignir],Table14[Year],Table14[[#This Row],[Year]])</f>
        <v>1.8692352819680777E-4</v>
      </c>
      <c r="F514" s="23">
        <f>IF(B514=1997, 100, IF(COUNTIF(A$1:A513,A514)=0, "NEW", F513*(1+Table14[[#This Row],[Ávöxtun]])))</f>
        <v>100</v>
      </c>
      <c r="G514" s="18" cm="1">
        <f t="array" ref="G514">IFERROR(_xlfn.IFS(ISNUMBER(Table14[[#This Row],[Column3]]),Table14[[#This Row],[Column3]],Table14[[#This Row],[Column3]]="NEW",Table14[[#This Row],[Column3]]),"")</f>
        <v>100</v>
      </c>
      <c r="H514" s="15" cm="1">
        <f t="array" ref="H514">_xlfn.IFS(Table14[[#This Row],[Column4]]="NEW",AVERAGEIFS(Table14[Column4],Table14[Year],Table14[[#This Row],[Year]]),ISNUMBER(Table14[[#This Row],[Column4]]),Table14[[#This Row],[Column4]],Table14[[#This Row],[Column4]]="",H513*(1+Table14[[#This Row],[Ávöxtun]]))</f>
        <v>100</v>
      </c>
      <c r="I514" cm="1">
        <f t="array" ref="I514">_xlfn.IFS(Table14[[#This Row],[Column4]]="NEW",_xlfn.XLOOKUP(Table14[[#This Row],[Year]],$M$2:$M$27,$O$2:$O$27),ISNUMBER(Table14[[#This Row],[Column4]]),Table14[[#This Row],[Column4]],Table14[[#This Row],[Column4]]="",I513*(1+Table14[[#This Row],[Ávöxtun]]))</f>
        <v>100</v>
      </c>
      <c r="L514" s="33">
        <v>100</v>
      </c>
    </row>
    <row r="515" spans="1:12">
      <c r="A515" t="s">
        <v>99</v>
      </c>
      <c r="B515">
        <v>1998</v>
      </c>
      <c r="C515" s="16">
        <v>0.06</v>
      </c>
      <c r="D515" s="1">
        <v>1417601.36</v>
      </c>
      <c r="E515" s="29">
        <f>Table14[[#This Row],[Ávöxtun]]*Table14[[#This Row],[Eignir]]/SUMIFS(Table14[Eignir],Table14[Year],Table14[[#This Row],[Year]])</f>
        <v>2.1718207251215346E-4</v>
      </c>
      <c r="F515" s="23">
        <f>IF(B515=1997, 100, IF(COUNTIF(A$1:A514,A515)=0, "NEW", F514*(1+Table14[[#This Row],[Ávöxtun]])))</f>
        <v>106</v>
      </c>
      <c r="G515" s="18" cm="1">
        <f t="array" ref="G515">IFERROR(_xlfn.IFS(ISNUMBER(Table14[[#This Row],[Column3]]),Table14[[#This Row],[Column3]],Table14[[#This Row],[Column3]]="NEW",Table14[[#This Row],[Column3]]),"")</f>
        <v>106</v>
      </c>
      <c r="H515" s="15" cm="1">
        <f t="array" ref="H515">_xlfn.IFS(Table14[[#This Row],[Column4]]="NEW",AVERAGEIFS(Table14[Column4],Table14[Year],Table14[[#This Row],[Year]]),ISNUMBER(Table14[[#This Row],[Column4]]),Table14[[#This Row],[Column4]],Table14[[#This Row],[Column4]]="",H514*(1+Table14[[#This Row],[Ávöxtun]]))</f>
        <v>106</v>
      </c>
      <c r="I515" cm="1">
        <f t="array" ref="I515">_xlfn.IFS(Table14[[#This Row],[Column4]]="NEW",_xlfn.XLOOKUP(Table14[[#This Row],[Year]],$M$2:$M$27,$O$2:$O$27),ISNUMBER(Table14[[#This Row],[Column4]]),Table14[[#This Row],[Column4]],Table14[[#This Row],[Column4]]="",I514*(1+Table14[[#This Row],[Ávöxtun]]))</f>
        <v>106</v>
      </c>
      <c r="L515" s="33">
        <v>106</v>
      </c>
    </row>
    <row r="516" spans="1:12">
      <c r="A516" t="s">
        <v>99</v>
      </c>
      <c r="B516">
        <v>1999</v>
      </c>
      <c r="C516" s="16">
        <v>0.05</v>
      </c>
      <c r="D516" s="1">
        <v>1646109.34</v>
      </c>
      <c r="E516" s="29">
        <f>Table14[[#This Row],[Ávöxtun]]*Table14[[#This Row],[Eignir]]/SUMIFS(Table14[Eignir],Table14[Year],Table14[[#This Row],[Year]])</f>
        <v>1.5806189653438333E-4</v>
      </c>
      <c r="F516" s="23">
        <f>IF(B516=1997, 100, IF(COUNTIF(A$1:A515,A516)=0, "NEW", F515*(1+Table14[[#This Row],[Ávöxtun]])))</f>
        <v>111.30000000000001</v>
      </c>
      <c r="G516" s="18" cm="1">
        <f t="array" ref="G516">IFERROR(_xlfn.IFS(ISNUMBER(Table14[[#This Row],[Column3]]),Table14[[#This Row],[Column3]],Table14[[#This Row],[Column3]]="NEW",Table14[[#This Row],[Column3]]),"")</f>
        <v>111.30000000000001</v>
      </c>
      <c r="H516" s="15" cm="1">
        <f t="array" ref="H516">_xlfn.IFS(Table14[[#This Row],[Column4]]="NEW",AVERAGEIFS(Table14[Column4],Table14[Year],Table14[[#This Row],[Year]]),ISNUMBER(Table14[[#This Row],[Column4]]),Table14[[#This Row],[Column4]],Table14[[#This Row],[Column4]]="",H515*(1+Table14[[#This Row],[Ávöxtun]]))</f>
        <v>111.30000000000001</v>
      </c>
      <c r="I516" cm="1">
        <f t="array" ref="I516">_xlfn.IFS(Table14[[#This Row],[Column4]]="NEW",_xlfn.XLOOKUP(Table14[[#This Row],[Year]],$M$2:$M$27,$O$2:$O$27),ISNUMBER(Table14[[#This Row],[Column4]]),Table14[[#This Row],[Column4]],Table14[[#This Row],[Column4]]="",I515*(1+Table14[[#This Row],[Ávöxtun]]))</f>
        <v>111.30000000000001</v>
      </c>
      <c r="L516" s="33">
        <v>111.30000000000001</v>
      </c>
    </row>
    <row r="517" spans="1:12">
      <c r="A517" t="s">
        <v>99</v>
      </c>
      <c r="B517">
        <v>2000</v>
      </c>
      <c r="C517" s="16">
        <v>0.03</v>
      </c>
      <c r="D517" s="1">
        <v>1875408.81</v>
      </c>
      <c r="E517" s="29">
        <f>Table14[[#This Row],[Ávöxtun]]*Table14[[#This Row],[Eignir]]/SUMIFS(Table14[Eignir],Table14[Year],Table14[[#This Row],[Year]])</f>
        <v>7.91434500194525E-5</v>
      </c>
      <c r="F517" s="23">
        <f>IF(B517=1997, 100, IF(COUNTIF(A$1:A516,A517)=0, "NEW", F516*(1+Table14[[#This Row],[Ávöxtun]])))</f>
        <v>114.63900000000001</v>
      </c>
      <c r="G517" s="18" cm="1">
        <f t="array" ref="G517">IFERROR(_xlfn.IFS(ISNUMBER(Table14[[#This Row],[Column3]]),Table14[[#This Row],[Column3]],Table14[[#This Row],[Column3]]="NEW",Table14[[#This Row],[Column3]]),"")</f>
        <v>114.63900000000001</v>
      </c>
      <c r="H517" s="15" cm="1">
        <f t="array" ref="H517">_xlfn.IFS(Table14[[#This Row],[Column4]]="NEW",AVERAGEIFS(Table14[Column4],Table14[Year],Table14[[#This Row],[Year]]),ISNUMBER(Table14[[#This Row],[Column4]]),Table14[[#This Row],[Column4]],Table14[[#This Row],[Column4]]="",H516*(1+Table14[[#This Row],[Ávöxtun]]))</f>
        <v>114.63900000000001</v>
      </c>
      <c r="I517" cm="1">
        <f t="array" ref="I517">_xlfn.IFS(Table14[[#This Row],[Column4]]="NEW",_xlfn.XLOOKUP(Table14[[#This Row],[Year]],$M$2:$M$27,$O$2:$O$27),ISNUMBER(Table14[[#This Row],[Column4]]),Table14[[#This Row],[Column4]],Table14[[#This Row],[Column4]]="",I516*(1+Table14[[#This Row],[Ávöxtun]]))</f>
        <v>114.63900000000001</v>
      </c>
      <c r="L517" s="33">
        <v>114.63900000000001</v>
      </c>
    </row>
    <row r="518" spans="1:12">
      <c r="A518" t="s">
        <v>99</v>
      </c>
      <c r="B518">
        <v>2001</v>
      </c>
      <c r="C518" s="16">
        <v>0.04</v>
      </c>
      <c r="D518" s="1">
        <v>2207701</v>
      </c>
      <c r="E518" s="29">
        <f>Table14[[#This Row],[Ávöxtun]]*Table14[[#This Row],[Eignir]]/SUMIFS(Table14[Eignir],Table14[Year],Table14[[#This Row],[Year]])</f>
        <v>7.6264652254178972E-5</v>
      </c>
      <c r="F518" s="23">
        <f>IF(B518=1997, 100, IF(COUNTIF(A$1:A517,A518)=0, "NEW", F517*(1+Table14[[#This Row],[Ávöxtun]])))</f>
        <v>119.22456000000001</v>
      </c>
      <c r="G518" s="18" cm="1">
        <f t="array" ref="G518">IFERROR(_xlfn.IFS(ISNUMBER(Table14[[#This Row],[Column3]]),Table14[[#This Row],[Column3]],Table14[[#This Row],[Column3]]="NEW",Table14[[#This Row],[Column3]]),"")</f>
        <v>119.22456000000001</v>
      </c>
      <c r="H518" s="15" cm="1">
        <f t="array" ref="H518">_xlfn.IFS(Table14[[#This Row],[Column4]]="NEW",AVERAGEIFS(Table14[Column4],Table14[Year],Table14[[#This Row],[Year]]),ISNUMBER(Table14[[#This Row],[Column4]]),Table14[[#This Row],[Column4]],Table14[[#This Row],[Column4]]="",H517*(1+Table14[[#This Row],[Ávöxtun]]))</f>
        <v>119.22456000000001</v>
      </c>
      <c r="I518" cm="1">
        <f t="array" ref="I518">_xlfn.IFS(Table14[[#This Row],[Column4]]="NEW",_xlfn.XLOOKUP(Table14[[#This Row],[Year]],$M$2:$M$27,$O$2:$O$27),ISNUMBER(Table14[[#This Row],[Column4]]),Table14[[#This Row],[Column4]],Table14[[#This Row],[Column4]]="",I517*(1+Table14[[#This Row],[Ávöxtun]]))</f>
        <v>119.22456000000001</v>
      </c>
      <c r="L518" s="33">
        <v>119.22456000000001</v>
      </c>
    </row>
    <row r="519" spans="1:12">
      <c r="A519" t="s">
        <v>99</v>
      </c>
      <c r="B519">
        <v>2002</v>
      </c>
      <c r="C519" s="16">
        <v>0.04</v>
      </c>
      <c r="D519" s="1">
        <v>2384937.79</v>
      </c>
      <c r="E519" s="29">
        <f>Table14[[#This Row],[Ávöxtun]]*Table14[[#This Row],[Eignir]]/SUMIFS(Table14[Eignir],Table14[Year],Table14[[#This Row],[Year]])</f>
        <v>1.501934748646737E-4</v>
      </c>
      <c r="F519" s="23">
        <f>IF(B519=1997, 100, IF(COUNTIF(A$1:A518,A519)=0, "NEW", F518*(1+Table14[[#This Row],[Ávöxtun]])))</f>
        <v>123.99354240000001</v>
      </c>
      <c r="G519" s="18" cm="1">
        <f t="array" ref="G519">IFERROR(_xlfn.IFS(ISNUMBER(Table14[[#This Row],[Column3]]),Table14[[#This Row],[Column3]],Table14[[#This Row],[Column3]]="NEW",Table14[[#This Row],[Column3]]),"")</f>
        <v>123.99354240000001</v>
      </c>
      <c r="H519" s="15" cm="1">
        <f t="array" ref="H519">_xlfn.IFS(Table14[[#This Row],[Column4]]="NEW",AVERAGEIFS(Table14[Column4],Table14[Year],Table14[[#This Row],[Year]]),ISNUMBER(Table14[[#This Row],[Column4]]),Table14[[#This Row],[Column4]],Table14[[#This Row],[Column4]]="",H518*(1+Table14[[#This Row],[Ávöxtun]]))</f>
        <v>123.99354240000001</v>
      </c>
      <c r="I519" cm="1">
        <f t="array" ref="I519">_xlfn.IFS(Table14[[#This Row],[Column4]]="NEW",_xlfn.XLOOKUP(Table14[[#This Row],[Year]],$M$2:$M$27,$O$2:$O$27),ISNUMBER(Table14[[#This Row],[Column4]]),Table14[[#This Row],[Column4]],Table14[[#This Row],[Column4]]="",I518*(1+Table14[[#This Row],[Ávöxtun]]))</f>
        <v>123.99354240000001</v>
      </c>
      <c r="L519" s="33">
        <v>123.99354240000001</v>
      </c>
    </row>
    <row r="520" spans="1:12">
      <c r="A520" t="s">
        <v>99</v>
      </c>
      <c r="B520">
        <v>2003</v>
      </c>
      <c r="C520" s="16">
        <v>7.0000000000000007E-2</v>
      </c>
      <c r="D520" s="1">
        <v>2672915</v>
      </c>
      <c r="E520" s="29">
        <f>Table14[[#This Row],[Ávöxtun]]*Table14[[#This Row],[Eignir]]/SUMIFS(Table14[Eignir],Table14[Year],Table14[[#This Row],[Year]])</f>
        <v>2.4622472535303449E-4</v>
      </c>
      <c r="F520" s="23">
        <f>IF(B520=1997, 100, IF(COUNTIF(A$1:A519,A520)=0, "NEW", F519*(1+Table14[[#This Row],[Ávöxtun]])))</f>
        <v>132.673090368</v>
      </c>
      <c r="G520" s="18" cm="1">
        <f t="array" ref="G520">IFERROR(_xlfn.IFS(ISNUMBER(Table14[[#This Row],[Column3]]),Table14[[#This Row],[Column3]],Table14[[#This Row],[Column3]]="NEW",Table14[[#This Row],[Column3]]),"")</f>
        <v>132.673090368</v>
      </c>
      <c r="H520" s="15" cm="1">
        <f t="array" ref="H520">_xlfn.IFS(Table14[[#This Row],[Column4]]="NEW",AVERAGEIFS(Table14[Column4],Table14[Year],Table14[[#This Row],[Year]]),ISNUMBER(Table14[[#This Row],[Column4]]),Table14[[#This Row],[Column4]],Table14[[#This Row],[Column4]]="",H519*(1+Table14[[#This Row],[Ávöxtun]]))</f>
        <v>132.673090368</v>
      </c>
      <c r="I520" cm="1">
        <f t="array" ref="I520">_xlfn.IFS(Table14[[#This Row],[Column4]]="NEW",_xlfn.XLOOKUP(Table14[[#This Row],[Year]],$M$2:$M$27,$O$2:$O$27),ISNUMBER(Table14[[#This Row],[Column4]]),Table14[[#This Row],[Column4]],Table14[[#This Row],[Column4]]="",I519*(1+Table14[[#This Row],[Ávöxtun]]))</f>
        <v>132.673090368</v>
      </c>
      <c r="L520" s="33">
        <v>132.673090368</v>
      </c>
    </row>
    <row r="521" spans="1:12">
      <c r="A521" t="s">
        <v>99</v>
      </c>
      <c r="B521">
        <v>2004</v>
      </c>
      <c r="C521" s="16">
        <v>0.05</v>
      </c>
      <c r="D521" s="1">
        <v>2960624</v>
      </c>
      <c r="E521" s="29">
        <f>Table14[[#This Row],[Ávöxtun]]*Table14[[#This Row],[Eignir]]/SUMIFS(Table14[Eignir],Table14[Year],Table14[[#This Row],[Year]])</f>
        <v>1.6308915208797706E-4</v>
      </c>
      <c r="F521" s="23">
        <f>IF(B521=1997, 100, IF(COUNTIF(A$1:A520,A521)=0, "NEW", F520*(1+Table14[[#This Row],[Ávöxtun]])))</f>
        <v>139.3067448864</v>
      </c>
      <c r="G521" s="18" cm="1">
        <f t="array" ref="G521">IFERROR(_xlfn.IFS(ISNUMBER(Table14[[#This Row],[Column3]]),Table14[[#This Row],[Column3]],Table14[[#This Row],[Column3]]="NEW",Table14[[#This Row],[Column3]]),"")</f>
        <v>139.3067448864</v>
      </c>
      <c r="H521" s="15" cm="1">
        <f t="array" ref="H521">_xlfn.IFS(Table14[[#This Row],[Column4]]="NEW",AVERAGEIFS(Table14[Column4],Table14[Year],Table14[[#This Row],[Year]]),ISNUMBER(Table14[[#This Row],[Column4]]),Table14[[#This Row],[Column4]],Table14[[#This Row],[Column4]]="",H520*(1+Table14[[#This Row],[Ávöxtun]]))</f>
        <v>139.3067448864</v>
      </c>
      <c r="I521" cm="1">
        <f t="array" ref="I521">_xlfn.IFS(Table14[[#This Row],[Column4]]="NEW",_xlfn.XLOOKUP(Table14[[#This Row],[Year]],$M$2:$M$27,$O$2:$O$27),ISNUMBER(Table14[[#This Row],[Column4]]),Table14[[#This Row],[Column4]],Table14[[#This Row],[Column4]]="",I520*(1+Table14[[#This Row],[Ávöxtun]]))</f>
        <v>139.3067448864</v>
      </c>
      <c r="L521" s="33">
        <v>139.3067448864</v>
      </c>
    </row>
    <row r="522" spans="1:12">
      <c r="A522" t="s">
        <v>99</v>
      </c>
      <c r="B522">
        <v>2005</v>
      </c>
      <c r="C522" s="16">
        <v>0.06</v>
      </c>
      <c r="D522" s="1">
        <v>3332256</v>
      </c>
      <c r="E522" s="29">
        <f>Table14[[#This Row],[Ávöxtun]]*Table14[[#This Row],[Eignir]]/SUMIFS(Table14[Eignir],Table14[Year],Table14[[#This Row],[Year]])</f>
        <v>1.7830074980059018E-4</v>
      </c>
      <c r="F522" s="23">
        <f>IF(B522=1997, 100, IF(COUNTIF(A$1:A521,A522)=0, "NEW", F521*(1+Table14[[#This Row],[Ávöxtun]])))</f>
        <v>147.66514957958401</v>
      </c>
      <c r="G522" s="18" cm="1">
        <f t="array" ref="G522">IFERROR(_xlfn.IFS(ISNUMBER(Table14[[#This Row],[Column3]]),Table14[[#This Row],[Column3]],Table14[[#This Row],[Column3]]="NEW",Table14[[#This Row],[Column3]]),"")</f>
        <v>147.66514957958401</v>
      </c>
      <c r="H522" s="15" cm="1">
        <f t="array" ref="H522">_xlfn.IFS(Table14[[#This Row],[Column4]]="NEW",AVERAGEIFS(Table14[Column4],Table14[Year],Table14[[#This Row],[Year]]),ISNUMBER(Table14[[#This Row],[Column4]]),Table14[[#This Row],[Column4]],Table14[[#This Row],[Column4]]="",H521*(1+Table14[[#This Row],[Ávöxtun]]))</f>
        <v>147.66514957958401</v>
      </c>
      <c r="I522" cm="1">
        <f t="array" ref="I522">_xlfn.IFS(Table14[[#This Row],[Column4]]="NEW",_xlfn.XLOOKUP(Table14[[#This Row],[Year]],$M$2:$M$27,$O$2:$O$27),ISNUMBER(Table14[[#This Row],[Column4]]),Table14[[#This Row],[Column4]],Table14[[#This Row],[Column4]]="",I521*(1+Table14[[#This Row],[Ávöxtun]]))</f>
        <v>147.66514957958401</v>
      </c>
      <c r="L522" s="33">
        <v>147.66514957958401</v>
      </c>
    </row>
    <row r="523" spans="1:12">
      <c r="A523" t="s">
        <v>99</v>
      </c>
      <c r="B523">
        <v>2006</v>
      </c>
      <c r="C523" s="16">
        <v>6.7599999999999993E-2</v>
      </c>
      <c r="D523" s="1">
        <v>3883469</v>
      </c>
      <c r="E523" s="29">
        <f>Table14[[#This Row],[Ávöxtun]]*Table14[[#This Row],[Eignir]]/SUMIFS(Table14[Eignir],Table14[Year],Table14[[#This Row],[Year]])</f>
        <v>1.9124875298289694E-4</v>
      </c>
      <c r="F523" s="23">
        <f>IF(B523=1997, 100, IF(COUNTIF(A$1:A522,A523)=0, "NEW", F522*(1+Table14[[#This Row],[Ávöxtun]])))</f>
        <v>157.6473136911639</v>
      </c>
      <c r="G523" s="18" cm="1">
        <f t="array" ref="G523">IFERROR(_xlfn.IFS(ISNUMBER(Table14[[#This Row],[Column3]]),Table14[[#This Row],[Column3]],Table14[[#This Row],[Column3]]="NEW",Table14[[#This Row],[Column3]]),"")</f>
        <v>157.6473136911639</v>
      </c>
      <c r="H523" s="15" cm="1">
        <f t="array" ref="H523">_xlfn.IFS(Table14[[#This Row],[Column4]]="NEW",AVERAGEIFS(Table14[Column4],Table14[Year],Table14[[#This Row],[Year]]),ISNUMBER(Table14[[#This Row],[Column4]]),Table14[[#This Row],[Column4]],Table14[[#This Row],[Column4]]="",H522*(1+Table14[[#This Row],[Ávöxtun]]))</f>
        <v>157.6473136911639</v>
      </c>
      <c r="I523" cm="1">
        <f t="array" ref="I523">_xlfn.IFS(Table14[[#This Row],[Column4]]="NEW",_xlfn.XLOOKUP(Table14[[#This Row],[Year]],$M$2:$M$27,$O$2:$O$27),ISNUMBER(Table14[[#This Row],[Column4]]),Table14[[#This Row],[Column4]],Table14[[#This Row],[Column4]]="",I522*(1+Table14[[#This Row],[Ávöxtun]]))</f>
        <v>157.6473136911639</v>
      </c>
      <c r="L523" s="33">
        <v>157.6473136911639</v>
      </c>
    </row>
    <row r="524" spans="1:12">
      <c r="A524" t="s">
        <v>99</v>
      </c>
      <c r="B524">
        <v>2007</v>
      </c>
      <c r="C524" s="16">
        <v>0.01</v>
      </c>
      <c r="D524" s="1">
        <v>4277591</v>
      </c>
      <c r="E524" s="29">
        <f>Table14[[#This Row],[Ávöxtun]]*Table14[[#This Row],[Eignir]]/SUMIFS(Table14[Eignir],Table14[Year],Table14[[#This Row],[Year]])</f>
        <v>2.7661464449883607E-5</v>
      </c>
      <c r="F524" s="23">
        <f>IF(B524=1997, 100, IF(COUNTIF(A$1:A523,A524)=0, "NEW", F523*(1+Table14[[#This Row],[Ávöxtun]])))</f>
        <v>159.22378682807553</v>
      </c>
      <c r="G524" s="18" cm="1">
        <f t="array" ref="G524">IFERROR(_xlfn.IFS(ISNUMBER(Table14[[#This Row],[Column3]]),Table14[[#This Row],[Column3]],Table14[[#This Row],[Column3]]="NEW",Table14[[#This Row],[Column3]]),"")</f>
        <v>159.22378682807553</v>
      </c>
      <c r="H524" s="15" cm="1">
        <f t="array" ref="H524">_xlfn.IFS(Table14[[#This Row],[Column4]]="NEW",AVERAGEIFS(Table14[Column4],Table14[Year],Table14[[#This Row],[Year]]),ISNUMBER(Table14[[#This Row],[Column4]]),Table14[[#This Row],[Column4]],Table14[[#This Row],[Column4]]="",H523*(1+Table14[[#This Row],[Ávöxtun]]))</f>
        <v>159.22378682807553</v>
      </c>
      <c r="I524" cm="1">
        <f t="array" ref="I524">_xlfn.IFS(Table14[[#This Row],[Column4]]="NEW",_xlfn.XLOOKUP(Table14[[#This Row],[Year]],$M$2:$M$27,$O$2:$O$27),ISNUMBER(Table14[[#This Row],[Column4]]),Table14[[#This Row],[Column4]],Table14[[#This Row],[Column4]]="",I523*(1+Table14[[#This Row],[Ávöxtun]]))</f>
        <v>159.22378682807553</v>
      </c>
      <c r="L524" s="33">
        <v>159.22378682807553</v>
      </c>
    </row>
    <row r="525" spans="1:12">
      <c r="A525" t="s">
        <v>99</v>
      </c>
      <c r="B525">
        <v>2008</v>
      </c>
      <c r="C525" s="16">
        <v>-0.1283</v>
      </c>
      <c r="D525" s="1">
        <v>4479466</v>
      </c>
      <c r="E525" s="29">
        <f>Table14[[#This Row],[Ávöxtun]]*Table14[[#This Row],[Eignir]]/SUMIFS(Table14[Eignir],Table14[Year],Table14[[#This Row],[Year]])</f>
        <v>-3.8382997159944464E-4</v>
      </c>
      <c r="F525" s="23">
        <f>IF(B525=1997, 100, IF(COUNTIF(A$1:A524,A525)=0, "NEW", F524*(1+Table14[[#This Row],[Ávöxtun]])))</f>
        <v>138.79537497803344</v>
      </c>
      <c r="G525" s="18" cm="1">
        <f t="array" ref="G525">IFERROR(_xlfn.IFS(ISNUMBER(Table14[[#This Row],[Column3]]),Table14[[#This Row],[Column3]],Table14[[#This Row],[Column3]]="NEW",Table14[[#This Row],[Column3]]),"")</f>
        <v>138.79537497803344</v>
      </c>
      <c r="H525" s="15" cm="1">
        <f t="array" ref="H525">_xlfn.IFS(Table14[[#This Row],[Column4]]="NEW",AVERAGEIFS(Table14[Column4],Table14[Year],Table14[[#This Row],[Year]]),ISNUMBER(Table14[[#This Row],[Column4]]),Table14[[#This Row],[Column4]],Table14[[#This Row],[Column4]]="",H524*(1+Table14[[#This Row],[Ávöxtun]]))</f>
        <v>138.79537497803344</v>
      </c>
      <c r="I525" cm="1">
        <f t="array" ref="I525">_xlfn.IFS(Table14[[#This Row],[Column4]]="NEW",_xlfn.XLOOKUP(Table14[[#This Row],[Year]],$M$2:$M$27,$O$2:$O$27),ISNUMBER(Table14[[#This Row],[Column4]]),Table14[[#This Row],[Column4]],Table14[[#This Row],[Column4]]="",I524*(1+Table14[[#This Row],[Ávöxtun]]))</f>
        <v>138.79537497803344</v>
      </c>
      <c r="L525" s="33">
        <v>138.79537497803344</v>
      </c>
    </row>
    <row r="526" spans="1:12">
      <c r="A526" t="s">
        <v>99</v>
      </c>
      <c r="B526">
        <v>2009</v>
      </c>
      <c r="C526" s="16">
        <v>-1.9800000000000002E-2</v>
      </c>
      <c r="D526" s="1">
        <v>4892437</v>
      </c>
      <c r="E526" s="29">
        <f>Table14[[#This Row],[Ávöxtun]]*Table14[[#This Row],[Eignir]]/SUMIFS(Table14[Eignir],Table14[Year],Table14[[#This Row],[Year]])</f>
        <v>-5.8066697039779916E-5</v>
      </c>
      <c r="F526" s="23">
        <f>IF(B526=1997, 100, IF(COUNTIF(A$1:A525,A526)=0, "NEW", F525*(1+Table14[[#This Row],[Ávöxtun]])))</f>
        <v>136.04722655346836</v>
      </c>
      <c r="G526" s="18" cm="1">
        <f t="array" ref="G526">IFERROR(_xlfn.IFS(ISNUMBER(Table14[[#This Row],[Column3]]),Table14[[#This Row],[Column3]],Table14[[#This Row],[Column3]]="NEW",Table14[[#This Row],[Column3]]),"")</f>
        <v>136.04722655346836</v>
      </c>
      <c r="H526" s="15" cm="1">
        <f t="array" ref="H526">_xlfn.IFS(Table14[[#This Row],[Column4]]="NEW",AVERAGEIFS(Table14[Column4],Table14[Year],Table14[[#This Row],[Year]]),ISNUMBER(Table14[[#This Row],[Column4]]),Table14[[#This Row],[Column4]],Table14[[#This Row],[Column4]]="",H525*(1+Table14[[#This Row],[Ávöxtun]]))</f>
        <v>136.04722655346836</v>
      </c>
      <c r="I526" cm="1">
        <f t="array" ref="I526">_xlfn.IFS(Table14[[#This Row],[Column4]]="NEW",_xlfn.XLOOKUP(Table14[[#This Row],[Year]],$M$2:$M$27,$O$2:$O$27),ISNUMBER(Table14[[#This Row],[Column4]]),Table14[[#This Row],[Column4]],Table14[[#This Row],[Column4]]="",I525*(1+Table14[[#This Row],[Ávöxtun]]))</f>
        <v>136.04722655346836</v>
      </c>
      <c r="L526" s="33">
        <v>136.04722655346836</v>
      </c>
    </row>
    <row r="527" spans="1:12">
      <c r="A527" t="s">
        <v>99</v>
      </c>
      <c r="B527">
        <v>2010</v>
      </c>
      <c r="C527" s="16">
        <v>9.2600000000000002E-2</v>
      </c>
      <c r="D527" s="1">
        <v>5619868</v>
      </c>
      <c r="E527" s="29">
        <f>Table14[[#This Row],[Ávöxtun]]*Table14[[#This Row],[Eignir]]/SUMIFS(Table14[Eignir],Table14[Year],Table14[[#This Row],[Year]])</f>
        <v>2.9108607746278507E-4</v>
      </c>
      <c r="F527" s="23">
        <f>IF(B527=1997, 100, IF(COUNTIF(A$1:A526,A527)=0, "NEW", F526*(1+Table14[[#This Row],[Ávöxtun]])))</f>
        <v>148.64519973231953</v>
      </c>
      <c r="G527" s="18" cm="1">
        <f t="array" ref="G527">IFERROR(_xlfn.IFS(ISNUMBER(Table14[[#This Row],[Column3]]),Table14[[#This Row],[Column3]],Table14[[#This Row],[Column3]]="NEW",Table14[[#This Row],[Column3]]),"")</f>
        <v>148.64519973231953</v>
      </c>
      <c r="H527" s="15" cm="1">
        <f t="array" ref="H527">_xlfn.IFS(Table14[[#This Row],[Column4]]="NEW",AVERAGEIFS(Table14[Column4],Table14[Year],Table14[[#This Row],[Year]]),ISNUMBER(Table14[[#This Row],[Column4]]),Table14[[#This Row],[Column4]],Table14[[#This Row],[Column4]]="",H526*(1+Table14[[#This Row],[Ávöxtun]]))</f>
        <v>148.64519973231953</v>
      </c>
      <c r="I527" cm="1">
        <f t="array" ref="I527">_xlfn.IFS(Table14[[#This Row],[Column4]]="NEW",_xlfn.XLOOKUP(Table14[[#This Row],[Year]],$M$2:$M$27,$O$2:$O$27),ISNUMBER(Table14[[#This Row],[Column4]]),Table14[[#This Row],[Column4]],Table14[[#This Row],[Column4]]="",I526*(1+Table14[[#This Row],[Ávöxtun]]))</f>
        <v>148.64519973231953</v>
      </c>
      <c r="L527" s="33">
        <v>148.64519973231953</v>
      </c>
    </row>
    <row r="528" spans="1:12">
      <c r="A528" t="s">
        <v>99</v>
      </c>
      <c r="B528">
        <v>2011</v>
      </c>
      <c r="C528" s="16">
        <v>3.2000000000000001E-2</v>
      </c>
      <c r="D528" s="1">
        <v>6244872</v>
      </c>
      <c r="E528" s="29">
        <f>Table14[[#This Row],[Ávöxtun]]*Table14[[#This Row],[Eignir]]/SUMIFS(Table14[Eignir],Table14[Year],Table14[[#This Row],[Year]])</f>
        <v>1.0245059011134531E-4</v>
      </c>
      <c r="F528" s="23">
        <f>IF(B528=1997, 100, IF(COUNTIF(A$1:A527,A528)=0, "NEW", F527*(1+Table14[[#This Row],[Ávöxtun]])))</f>
        <v>153.40184612375376</v>
      </c>
      <c r="G528" s="18" cm="1">
        <f t="array" ref="G528">IFERROR(_xlfn.IFS(ISNUMBER(Table14[[#This Row],[Column3]]),Table14[[#This Row],[Column3]],Table14[[#This Row],[Column3]]="NEW",Table14[[#This Row],[Column3]]),"")</f>
        <v>153.40184612375376</v>
      </c>
      <c r="H528" s="15" cm="1">
        <f t="array" ref="H528">_xlfn.IFS(Table14[[#This Row],[Column4]]="NEW",AVERAGEIFS(Table14[Column4],Table14[Year],Table14[[#This Row],[Year]]),ISNUMBER(Table14[[#This Row],[Column4]]),Table14[[#This Row],[Column4]],Table14[[#This Row],[Column4]]="",H527*(1+Table14[[#This Row],[Ávöxtun]]))</f>
        <v>153.40184612375376</v>
      </c>
      <c r="I528" cm="1">
        <f t="array" ref="I528">_xlfn.IFS(Table14[[#This Row],[Column4]]="NEW",_xlfn.XLOOKUP(Table14[[#This Row],[Year]],$M$2:$M$27,$O$2:$O$27),ISNUMBER(Table14[[#This Row],[Column4]]),Table14[[#This Row],[Column4]],Table14[[#This Row],[Column4]]="",I527*(1+Table14[[#This Row],[Ávöxtun]]))</f>
        <v>153.40184612375376</v>
      </c>
      <c r="L528" s="33">
        <v>153.40184612375376</v>
      </c>
    </row>
    <row r="529" spans="1:12">
      <c r="A529" t="s">
        <v>99</v>
      </c>
      <c r="B529">
        <v>2012</v>
      </c>
      <c r="C529" s="16">
        <v>5.2999999999999999E-2</v>
      </c>
      <c r="D529" s="1">
        <v>7019544</v>
      </c>
      <c r="E529" s="29">
        <f>Table14[[#This Row],[Ávöxtun]]*Table14[[#This Row],[Eignir]]/SUMIFS(Table14[Eignir],Table14[Year],Table14[[#This Row],[Year]])</f>
        <v>1.6888894540171735E-4</v>
      </c>
      <c r="F529" s="23">
        <f>IF(B529=1997, 100, IF(COUNTIF(A$1:A528,A529)=0, "NEW", F528*(1+Table14[[#This Row],[Ávöxtun]])))</f>
        <v>161.53214396831271</v>
      </c>
      <c r="G529" s="18" cm="1">
        <f t="array" ref="G529">IFERROR(_xlfn.IFS(ISNUMBER(Table14[[#This Row],[Column3]]),Table14[[#This Row],[Column3]],Table14[[#This Row],[Column3]]="NEW",Table14[[#This Row],[Column3]]),"")</f>
        <v>161.53214396831271</v>
      </c>
      <c r="H529" s="15" cm="1">
        <f t="array" ref="H529">_xlfn.IFS(Table14[[#This Row],[Column4]]="NEW",AVERAGEIFS(Table14[Column4],Table14[Year],Table14[[#This Row],[Year]]),ISNUMBER(Table14[[#This Row],[Column4]]),Table14[[#This Row],[Column4]],Table14[[#This Row],[Column4]]="",H528*(1+Table14[[#This Row],[Ávöxtun]]))</f>
        <v>161.53214396831271</v>
      </c>
      <c r="I529" cm="1">
        <f t="array" ref="I529">_xlfn.IFS(Table14[[#This Row],[Column4]]="NEW",_xlfn.XLOOKUP(Table14[[#This Row],[Year]],$M$2:$M$27,$O$2:$O$27),ISNUMBER(Table14[[#This Row],[Column4]]),Table14[[#This Row],[Column4]],Table14[[#This Row],[Column4]]="",I528*(1+Table14[[#This Row],[Ávöxtun]]))</f>
        <v>161.53214396831271</v>
      </c>
      <c r="L529" s="33">
        <v>161.53214396831271</v>
      </c>
    </row>
    <row r="530" spans="1:12">
      <c r="A530" t="s">
        <v>99</v>
      </c>
      <c r="B530">
        <v>2013</v>
      </c>
      <c r="C530" s="16">
        <v>4.4000000000000004E-2</v>
      </c>
      <c r="D530" s="1">
        <v>7781988</v>
      </c>
      <c r="E530" s="29">
        <f>Table14[[#This Row],[Ávöxtun]]*Table14[[#This Row],[Eignir]]/SUMIFS(Table14[Eignir],Table14[Year],Table14[[#This Row],[Year]])</f>
        <v>1.4070116365525053E-4</v>
      </c>
      <c r="F530" s="23">
        <f>IF(B530=1997, 100, IF(COUNTIF(A$1:A529,A530)=0, "NEW", F529*(1+Table14[[#This Row],[Ávöxtun]])))</f>
        <v>168.63955830291849</v>
      </c>
      <c r="G530" s="18" cm="1">
        <f t="array" ref="G530">IFERROR(_xlfn.IFS(ISNUMBER(Table14[[#This Row],[Column3]]),Table14[[#This Row],[Column3]],Table14[[#This Row],[Column3]]="NEW",Table14[[#This Row],[Column3]]),"")</f>
        <v>168.63955830291849</v>
      </c>
      <c r="H530" s="15" cm="1">
        <f t="array" ref="H530">_xlfn.IFS(Table14[[#This Row],[Column4]]="NEW",AVERAGEIFS(Table14[Column4],Table14[Year],Table14[[#This Row],[Year]]),ISNUMBER(Table14[[#This Row],[Column4]]),Table14[[#This Row],[Column4]],Table14[[#This Row],[Column4]]="",H529*(1+Table14[[#This Row],[Ávöxtun]]))</f>
        <v>168.63955830291849</v>
      </c>
      <c r="I530" cm="1">
        <f t="array" ref="I530">_xlfn.IFS(Table14[[#This Row],[Column4]]="NEW",_xlfn.XLOOKUP(Table14[[#This Row],[Year]],$M$2:$M$27,$O$2:$O$27),ISNUMBER(Table14[[#This Row],[Column4]]),Table14[[#This Row],[Column4]],Table14[[#This Row],[Column4]]="",I529*(1+Table14[[#This Row],[Ávöxtun]]))</f>
        <v>168.63955830291849</v>
      </c>
      <c r="L530" s="33">
        <v>168.63955830291849</v>
      </c>
    </row>
    <row r="531" spans="1:12">
      <c r="A531" t="s">
        <v>99</v>
      </c>
      <c r="B531">
        <v>2014</v>
      </c>
      <c r="C531" s="16">
        <v>4.2000000000000003E-2</v>
      </c>
      <c r="D531" s="1">
        <v>8384042</v>
      </c>
      <c r="E531" s="29">
        <f>Table14[[#This Row],[Ávöxtun]]*Table14[[#This Row],[Eignir]]/SUMIFS(Table14[Eignir],Table14[Year],Table14[[#This Row],[Year]])</f>
        <v>1.3272797315484048E-4</v>
      </c>
      <c r="F531" s="23">
        <f>IF(B531=1997, 100, IF(COUNTIF(A$1:A530,A531)=0, "NEW", F530*(1+Table14[[#This Row],[Ávöxtun]])))</f>
        <v>175.72241975164107</v>
      </c>
      <c r="G531" s="18" cm="1">
        <f t="array" ref="G531">IFERROR(_xlfn.IFS(ISNUMBER(Table14[[#This Row],[Column3]]),Table14[[#This Row],[Column3]],Table14[[#This Row],[Column3]]="NEW",Table14[[#This Row],[Column3]]),"")</f>
        <v>175.72241975164107</v>
      </c>
      <c r="H531" s="15" cm="1">
        <f t="array" ref="H531">_xlfn.IFS(Table14[[#This Row],[Column4]]="NEW",AVERAGEIFS(Table14[Column4],Table14[Year],Table14[[#This Row],[Year]]),ISNUMBER(Table14[[#This Row],[Column4]]),Table14[[#This Row],[Column4]],Table14[[#This Row],[Column4]]="",H530*(1+Table14[[#This Row],[Ávöxtun]]))</f>
        <v>175.72241975164107</v>
      </c>
      <c r="I531" cm="1">
        <f t="array" ref="I531">_xlfn.IFS(Table14[[#This Row],[Column4]]="NEW",_xlfn.XLOOKUP(Table14[[#This Row],[Year]],$M$2:$M$27,$O$2:$O$27),ISNUMBER(Table14[[#This Row],[Column4]]),Table14[[#This Row],[Column4]],Table14[[#This Row],[Column4]]="",I530*(1+Table14[[#This Row],[Ávöxtun]]))</f>
        <v>175.72241975164107</v>
      </c>
      <c r="L531" s="33">
        <v>175.72241975164107</v>
      </c>
    </row>
    <row r="532" spans="1:12">
      <c r="A532" t="s">
        <v>99</v>
      </c>
      <c r="B532">
        <v>2015</v>
      </c>
      <c r="C532" s="16">
        <v>6.7000000000000004E-2</v>
      </c>
      <c r="D532" s="1">
        <v>9355308</v>
      </c>
      <c r="E532" s="29">
        <f>Table14[[#This Row],[Ávöxtun]]*Table14[[#This Row],[Eignir]]/SUMIFS(Table14[Eignir],Table14[Year],Table14[[#This Row],[Year]])</f>
        <v>2.1166010802602927E-4</v>
      </c>
      <c r="F532" s="23">
        <f>IF(B532=1997, 100, IF(COUNTIF(A$1:A531,A532)=0, "NEW", F531*(1+Table14[[#This Row],[Ávöxtun]])))</f>
        <v>187.49582187500101</v>
      </c>
      <c r="G532" s="18" cm="1">
        <f t="array" ref="G532">IFERROR(_xlfn.IFS(ISNUMBER(Table14[[#This Row],[Column3]]),Table14[[#This Row],[Column3]],Table14[[#This Row],[Column3]]="NEW",Table14[[#This Row],[Column3]]),"")</f>
        <v>187.49582187500101</v>
      </c>
      <c r="H532" s="15" cm="1">
        <f t="array" ref="H532">_xlfn.IFS(Table14[[#This Row],[Column4]]="NEW",AVERAGEIFS(Table14[Column4],Table14[Year],Table14[[#This Row],[Year]]),ISNUMBER(Table14[[#This Row],[Column4]]),Table14[[#This Row],[Column4]],Table14[[#This Row],[Column4]]="",H531*(1+Table14[[#This Row],[Ávöxtun]]))</f>
        <v>187.49582187500101</v>
      </c>
      <c r="I532" cm="1">
        <f t="array" ref="I532">_xlfn.IFS(Table14[[#This Row],[Column4]]="NEW",_xlfn.XLOOKUP(Table14[[#This Row],[Year]],$M$2:$M$27,$O$2:$O$27),ISNUMBER(Table14[[#This Row],[Column4]]),Table14[[#This Row],[Column4]],Table14[[#This Row],[Column4]]="",I531*(1+Table14[[#This Row],[Ávöxtun]]))</f>
        <v>187.49582187500101</v>
      </c>
      <c r="L532" s="33">
        <v>187.49582187500101</v>
      </c>
    </row>
    <row r="533" spans="1:12">
      <c r="A533" t="s">
        <v>99</v>
      </c>
      <c r="B533">
        <v>2016</v>
      </c>
      <c r="C533" s="16">
        <v>7.000000000000001E-4</v>
      </c>
      <c r="D533" s="1">
        <v>10148760</v>
      </c>
      <c r="E533" s="29">
        <f>Table14[[#This Row],[Ávöxtun]]*Table14[[#This Row],[Eignir]]/SUMIFS(Table14[Eignir],Table14[Year],Table14[[#This Row],[Year]])</f>
        <v>2.2200088810286977E-6</v>
      </c>
      <c r="F533" s="23">
        <f>IF(B533=1997, 100, IF(COUNTIF(A$1:A532,A533)=0, "NEW", F532*(1+Table14[[#This Row],[Ávöxtun]])))</f>
        <v>187.62706895031349</v>
      </c>
      <c r="G533" s="18" cm="1">
        <f t="array" ref="G533">IFERROR(_xlfn.IFS(ISNUMBER(Table14[[#This Row],[Column3]]),Table14[[#This Row],[Column3]],Table14[[#This Row],[Column3]]="NEW",Table14[[#This Row],[Column3]]),"")</f>
        <v>187.62706895031349</v>
      </c>
      <c r="H533" s="15" cm="1">
        <f t="array" ref="H533">_xlfn.IFS(Table14[[#This Row],[Column4]]="NEW",AVERAGEIFS(Table14[Column4],Table14[Year],Table14[[#This Row],[Year]]),ISNUMBER(Table14[[#This Row],[Column4]]),Table14[[#This Row],[Column4]],Table14[[#This Row],[Column4]]="",H532*(1+Table14[[#This Row],[Ávöxtun]]))</f>
        <v>187.62706895031349</v>
      </c>
      <c r="I533" cm="1">
        <f t="array" ref="I533">_xlfn.IFS(Table14[[#This Row],[Column4]]="NEW",_xlfn.XLOOKUP(Table14[[#This Row],[Year]],$M$2:$M$27,$O$2:$O$27),ISNUMBER(Table14[[#This Row],[Column4]]),Table14[[#This Row],[Column4]],Table14[[#This Row],[Column4]]="",I532*(1+Table14[[#This Row],[Ávöxtun]]))</f>
        <v>187.62706895031349</v>
      </c>
      <c r="L533" s="33">
        <v>187.62706895031349</v>
      </c>
    </row>
    <row r="534" spans="1:12">
      <c r="A534" t="s">
        <v>99</v>
      </c>
      <c r="B534">
        <v>2017</v>
      </c>
      <c r="C534" s="16">
        <v>5.7000000000000002E-2</v>
      </c>
      <c r="D534" s="1">
        <v>11270032</v>
      </c>
      <c r="E534" s="29">
        <f>Table14[[#This Row],[Ávöxtun]]*Table14[[#This Row],[Eignir]]/SUMIFS(Table14[Eignir],Table14[Year],Table14[[#This Row],[Year]])</f>
        <v>1.8049017037895257E-4</v>
      </c>
      <c r="F534" s="23">
        <f>IF(B534=1997, 100, IF(COUNTIF(A$1:A533,A534)=0, "NEW", F533*(1+Table14[[#This Row],[Ávöxtun]])))</f>
        <v>198.32181188048133</v>
      </c>
      <c r="G534" s="18" cm="1">
        <f t="array" ref="G534">IFERROR(_xlfn.IFS(ISNUMBER(Table14[[#This Row],[Column3]]),Table14[[#This Row],[Column3]],Table14[[#This Row],[Column3]]="NEW",Table14[[#This Row],[Column3]]),"")</f>
        <v>198.32181188048133</v>
      </c>
      <c r="H534" s="15" cm="1">
        <f t="array" ref="H534">_xlfn.IFS(Table14[[#This Row],[Column4]]="NEW",AVERAGEIFS(Table14[Column4],Table14[Year],Table14[[#This Row],[Year]]),ISNUMBER(Table14[[#This Row],[Column4]]),Table14[[#This Row],[Column4]],Table14[[#This Row],[Column4]]="",H533*(1+Table14[[#This Row],[Ávöxtun]]))</f>
        <v>198.32181188048133</v>
      </c>
      <c r="I534" cm="1">
        <f t="array" ref="I534">_xlfn.IFS(Table14[[#This Row],[Column4]]="NEW",_xlfn.XLOOKUP(Table14[[#This Row],[Year]],$M$2:$M$27,$O$2:$O$27),ISNUMBER(Table14[[#This Row],[Column4]]),Table14[[#This Row],[Column4]],Table14[[#This Row],[Column4]]="",I533*(1+Table14[[#This Row],[Ávöxtun]]))</f>
        <v>198.32181188048133</v>
      </c>
      <c r="L534" s="33">
        <v>198.32181188048133</v>
      </c>
    </row>
    <row r="535" spans="1:12">
      <c r="A535" t="s">
        <v>99</v>
      </c>
      <c r="B535">
        <v>2018</v>
      </c>
      <c r="C535" s="16">
        <v>2.6000000000000002E-2</v>
      </c>
      <c r="D535" s="1">
        <v>12420748</v>
      </c>
      <c r="E535" s="29">
        <f>Table14[[#This Row],[Ávöxtun]]*Table14[[#This Row],[Eignir]]/SUMIFS(Table14[Eignir],Table14[Year],Table14[[#This Row],[Year]])</f>
        <v>8.4576353599594129E-5</v>
      </c>
      <c r="F535" s="23">
        <f>IF(B535=1997, 100, IF(COUNTIF(A$1:A534,A535)=0, "NEW", F534*(1+Table14[[#This Row],[Ávöxtun]])))</f>
        <v>203.47817898937384</v>
      </c>
      <c r="G535" s="18" cm="1">
        <f t="array" ref="G535">IFERROR(_xlfn.IFS(ISNUMBER(Table14[[#This Row],[Column3]]),Table14[[#This Row],[Column3]],Table14[[#This Row],[Column3]]="NEW",Table14[[#This Row],[Column3]]),"")</f>
        <v>203.47817898937384</v>
      </c>
      <c r="H535" s="15" cm="1">
        <f t="array" ref="H535">_xlfn.IFS(Table14[[#This Row],[Column4]]="NEW",AVERAGEIFS(Table14[Column4],Table14[Year],Table14[[#This Row],[Year]]),ISNUMBER(Table14[[#This Row],[Column4]]),Table14[[#This Row],[Column4]],Table14[[#This Row],[Column4]]="",H534*(1+Table14[[#This Row],[Ávöxtun]]))</f>
        <v>203.47817898937384</v>
      </c>
      <c r="I535" cm="1">
        <f t="array" ref="I535">_xlfn.IFS(Table14[[#This Row],[Column4]]="NEW",_xlfn.XLOOKUP(Table14[[#This Row],[Year]],$M$2:$M$27,$O$2:$O$27),ISNUMBER(Table14[[#This Row],[Column4]]),Table14[[#This Row],[Column4]],Table14[[#This Row],[Column4]]="",I534*(1+Table14[[#This Row],[Ávöxtun]]))</f>
        <v>203.47817898937384</v>
      </c>
      <c r="L535" s="33">
        <v>203.47817898937384</v>
      </c>
    </row>
    <row r="536" spans="1:12">
      <c r="A536" t="s">
        <v>99</v>
      </c>
      <c r="B536">
        <v>2019</v>
      </c>
      <c r="C536" s="16">
        <v>7.7200000000000005E-2</v>
      </c>
      <c r="D536" s="1">
        <v>14311168</v>
      </c>
      <c r="E536" s="29">
        <f>Table14[[#This Row],[Ávöxtun]]*Table14[[#This Row],[Eignir]]/SUMIFS(Table14[Eignir],Table14[Year],Table14[[#This Row],[Year]])</f>
        <v>2.4957134561866663E-4</v>
      </c>
      <c r="F536" s="23">
        <f>IF(B536=1997, 100, IF(COUNTIF(A$1:A535,A536)=0, "NEW", F535*(1+Table14[[#This Row],[Ávöxtun]])))</f>
        <v>219.18669440735349</v>
      </c>
      <c r="G536" s="18" cm="1">
        <f t="array" ref="G536">IFERROR(_xlfn.IFS(ISNUMBER(Table14[[#This Row],[Column3]]),Table14[[#This Row],[Column3]],Table14[[#This Row],[Column3]]="NEW",Table14[[#This Row],[Column3]]),"")</f>
        <v>219.18669440735349</v>
      </c>
      <c r="H536" s="15" cm="1">
        <f t="array" ref="H536">_xlfn.IFS(Table14[[#This Row],[Column4]]="NEW",AVERAGEIFS(Table14[Column4],Table14[Year],Table14[[#This Row],[Year]]),ISNUMBER(Table14[[#This Row],[Column4]]),Table14[[#This Row],[Column4]],Table14[[#This Row],[Column4]]="",H535*(1+Table14[[#This Row],[Ávöxtun]]))</f>
        <v>219.18669440735349</v>
      </c>
      <c r="I536" cm="1">
        <f t="array" ref="I536">_xlfn.IFS(Table14[[#This Row],[Column4]]="NEW",_xlfn.XLOOKUP(Table14[[#This Row],[Year]],$M$2:$M$27,$O$2:$O$27),ISNUMBER(Table14[[#This Row],[Column4]]),Table14[[#This Row],[Column4]],Table14[[#This Row],[Column4]]="",I535*(1+Table14[[#This Row],[Ávöxtun]]))</f>
        <v>219.18669440735349</v>
      </c>
      <c r="L536" s="33">
        <v>219.18669440735349</v>
      </c>
    </row>
    <row r="537" spans="1:12">
      <c r="A537" t="s">
        <v>99</v>
      </c>
      <c r="B537">
        <v>2020</v>
      </c>
      <c r="C537" s="16">
        <v>7.0800000000000002E-2</v>
      </c>
      <c r="D537" s="1">
        <v>16282896</v>
      </c>
      <c r="E537" s="29">
        <f>Table14[[#This Row],[Ávöxtun]]*Table14[[#This Row],[Eignir]]/SUMIFS(Table14[Eignir],Table14[Year],Table14[[#This Row],[Year]])</f>
        <v>2.2443366840661143E-4</v>
      </c>
      <c r="F537" s="23">
        <f>IF(B537=1997, 100, IF(COUNTIF(A$1:A536,A537)=0, "NEW", F536*(1+Table14[[#This Row],[Ávöxtun]])))</f>
        <v>234.70511237139411</v>
      </c>
      <c r="G537" s="18" cm="1">
        <f t="array" ref="G537">IFERROR(_xlfn.IFS(ISNUMBER(Table14[[#This Row],[Column3]]),Table14[[#This Row],[Column3]],Table14[[#This Row],[Column3]]="NEW",Table14[[#This Row],[Column3]]),"")</f>
        <v>234.70511237139411</v>
      </c>
      <c r="H537" s="15" cm="1">
        <f t="array" ref="H537">_xlfn.IFS(Table14[[#This Row],[Column4]]="NEW",AVERAGEIFS(Table14[Column4],Table14[Year],Table14[[#This Row],[Year]]),ISNUMBER(Table14[[#This Row],[Column4]]),Table14[[#This Row],[Column4]],Table14[[#This Row],[Column4]]="",H536*(1+Table14[[#This Row],[Ávöxtun]]))</f>
        <v>234.70511237139411</v>
      </c>
      <c r="I537" cm="1">
        <f t="array" ref="I537">_xlfn.IFS(Table14[[#This Row],[Column4]]="NEW",_xlfn.XLOOKUP(Table14[[#This Row],[Year]],$M$2:$M$27,$O$2:$O$27),ISNUMBER(Table14[[#This Row],[Column4]]),Table14[[#This Row],[Column4]],Table14[[#This Row],[Column4]]="",I536*(1+Table14[[#This Row],[Ávöxtun]]))</f>
        <v>234.70511237139411</v>
      </c>
      <c r="L537" s="33">
        <v>234.70511237139411</v>
      </c>
    </row>
    <row r="538" spans="1:12">
      <c r="A538" t="s">
        <v>99</v>
      </c>
      <c r="B538">
        <v>2021</v>
      </c>
      <c r="C538" s="16">
        <v>8.0600000000000005E-2</v>
      </c>
      <c r="D538" s="1">
        <v>18966050</v>
      </c>
      <c r="E538" s="29">
        <f>Table14[[#This Row],[Ávöxtun]]*Table14[[#This Row],[Eignir]]/SUMIFS(Table14[Eignir],Table14[Year],Table14[[#This Row],[Year]])</f>
        <v>2.5311103280315715E-4</v>
      </c>
      <c r="F538" s="23">
        <f>IF(B538=1997, 100, IF(COUNTIF(A$1:A537,A538)=0, "NEW", F537*(1+Table14[[#This Row],[Ávöxtun]])))</f>
        <v>253.62234442852846</v>
      </c>
      <c r="G538" s="18" cm="1">
        <f t="array" ref="G538">IFERROR(_xlfn.IFS(ISNUMBER(Table14[[#This Row],[Column3]]),Table14[[#This Row],[Column3]],Table14[[#This Row],[Column3]]="NEW",Table14[[#This Row],[Column3]]),"")</f>
        <v>253.62234442852846</v>
      </c>
      <c r="H538" s="15" cm="1">
        <f t="array" ref="H538">_xlfn.IFS(Table14[[#This Row],[Column4]]="NEW",AVERAGEIFS(Table14[Column4],Table14[Year],Table14[[#This Row],[Year]]),ISNUMBER(Table14[[#This Row],[Column4]]),Table14[[#This Row],[Column4]],Table14[[#This Row],[Column4]]="",H537*(1+Table14[[#This Row],[Ávöxtun]]))</f>
        <v>253.62234442852846</v>
      </c>
      <c r="I538" cm="1">
        <f t="array" ref="I538">_xlfn.IFS(Table14[[#This Row],[Column4]]="NEW",_xlfn.XLOOKUP(Table14[[#This Row],[Year]],$M$2:$M$27,$O$2:$O$27),ISNUMBER(Table14[[#This Row],[Column4]]),Table14[[#This Row],[Column4]],Table14[[#This Row],[Column4]]="",I537*(1+Table14[[#This Row],[Ávöxtun]]))</f>
        <v>253.62234442852846</v>
      </c>
      <c r="L538" s="33">
        <v>253.62234442852846</v>
      </c>
    </row>
    <row r="539" spans="1:12">
      <c r="A539" t="s">
        <v>111</v>
      </c>
      <c r="B539">
        <v>1997</v>
      </c>
      <c r="C539" s="16">
        <v>7.0000000000000007E-2</v>
      </c>
      <c r="D539" s="1">
        <v>28695766.84</v>
      </c>
      <c r="E539" s="29">
        <f>Table14[[#This Row],[Ávöxtun]]*Table14[[#This Row],[Eignir]]/SUMIFS(Table14[Eignir],Table14[Year],Table14[[#This Row],[Year]])</f>
        <v>5.9249366708697968E-3</v>
      </c>
      <c r="F539" s="23">
        <f>IF(B539=1997, 100, IF(COUNTIF(A$1:A538,A539)=0, "NEW", F538*(1+Table14[[#This Row],[Ávöxtun]])))</f>
        <v>100</v>
      </c>
      <c r="G539" s="18" cm="1">
        <f t="array" ref="G539">IFERROR(_xlfn.IFS(ISNUMBER(Table14[[#This Row],[Column3]]),Table14[[#This Row],[Column3]],Table14[[#This Row],[Column3]]="NEW",Table14[[#This Row],[Column3]]),"")</f>
        <v>100</v>
      </c>
      <c r="H539" s="15" cm="1">
        <f t="array" ref="H539">_xlfn.IFS(Table14[[#This Row],[Column4]]="NEW",AVERAGEIFS(Table14[Column4],Table14[Year],Table14[[#This Row],[Year]]),ISNUMBER(Table14[[#This Row],[Column4]]),Table14[[#This Row],[Column4]],Table14[[#This Row],[Column4]]="",H538*(1+Table14[[#This Row],[Ávöxtun]]))</f>
        <v>100</v>
      </c>
      <c r="I539" cm="1">
        <f t="array" ref="I539">_xlfn.IFS(Table14[[#This Row],[Column4]]="NEW",_xlfn.XLOOKUP(Table14[[#This Row],[Year]],$M$2:$M$27,$O$2:$O$27),ISNUMBER(Table14[[#This Row],[Column4]]),Table14[[#This Row],[Column4]],Table14[[#This Row],[Column4]]="",I538*(1+Table14[[#This Row],[Ávöxtun]]))</f>
        <v>100</v>
      </c>
      <c r="L539" s="33">
        <v>100</v>
      </c>
    </row>
    <row r="540" spans="1:12">
      <c r="A540" t="s">
        <v>111</v>
      </c>
      <c r="B540">
        <v>1998</v>
      </c>
      <c r="C540" s="16">
        <v>0.08</v>
      </c>
      <c r="D540" s="1">
        <v>32170922.469999999</v>
      </c>
      <c r="E540" s="29">
        <f>Table14[[#This Row],[Ávöxtun]]*Table14[[#This Row],[Eignir]]/SUMIFS(Table14[Eignir],Table14[Year],Table14[[#This Row],[Year]])</f>
        <v>6.5716148547923774E-3</v>
      </c>
      <c r="F540" s="23">
        <f>IF(B540=1997, 100, IF(COUNTIF(A$1:A539,A540)=0, "NEW", F539*(1+Table14[[#This Row],[Ávöxtun]])))</f>
        <v>108</v>
      </c>
      <c r="G540" s="18" cm="1">
        <f t="array" ref="G540">IFERROR(_xlfn.IFS(ISNUMBER(Table14[[#This Row],[Column3]]),Table14[[#This Row],[Column3]],Table14[[#This Row],[Column3]]="NEW",Table14[[#This Row],[Column3]]),"")</f>
        <v>108</v>
      </c>
      <c r="H540" s="15" cm="1">
        <f t="array" ref="H540">_xlfn.IFS(Table14[[#This Row],[Column4]]="NEW",AVERAGEIFS(Table14[Column4],Table14[Year],Table14[[#This Row],[Year]]),ISNUMBER(Table14[[#This Row],[Column4]]),Table14[[#This Row],[Column4]],Table14[[#This Row],[Column4]]="",H539*(1+Table14[[#This Row],[Ávöxtun]]))</f>
        <v>108</v>
      </c>
      <c r="I540" cm="1">
        <f t="array" ref="I540">_xlfn.IFS(Table14[[#This Row],[Column4]]="NEW",_xlfn.XLOOKUP(Table14[[#This Row],[Year]],$M$2:$M$27,$O$2:$O$27),ISNUMBER(Table14[[#This Row],[Column4]]),Table14[[#This Row],[Column4]],Table14[[#This Row],[Column4]]="",I539*(1+Table14[[#This Row],[Ávöxtun]]))</f>
        <v>108</v>
      </c>
      <c r="L540" s="33">
        <v>108</v>
      </c>
    </row>
    <row r="541" spans="1:12">
      <c r="A541" t="s">
        <v>111</v>
      </c>
      <c r="B541">
        <v>1999</v>
      </c>
      <c r="C541" s="16">
        <v>0.12</v>
      </c>
      <c r="D541" s="1">
        <v>38967903.960000001</v>
      </c>
      <c r="E541" s="29">
        <f>Table14[[#This Row],[Ávöxtun]]*Table14[[#This Row],[Eignir]]/SUMIFS(Table14[Eignir],Table14[Year],Table14[[#This Row],[Year]])</f>
        <v>8.9802163016276526E-3</v>
      </c>
      <c r="F541" s="23">
        <f>IF(B541=1997, 100, IF(COUNTIF(A$1:A540,A541)=0, "NEW", F540*(1+Table14[[#This Row],[Ávöxtun]])))</f>
        <v>120.96000000000001</v>
      </c>
      <c r="G541" s="18" cm="1">
        <f t="array" ref="G541">IFERROR(_xlfn.IFS(ISNUMBER(Table14[[#This Row],[Column3]]),Table14[[#This Row],[Column3]],Table14[[#This Row],[Column3]]="NEW",Table14[[#This Row],[Column3]]),"")</f>
        <v>120.96000000000001</v>
      </c>
      <c r="H541" s="15" cm="1">
        <f t="array" ref="H541">_xlfn.IFS(Table14[[#This Row],[Column4]]="NEW",AVERAGEIFS(Table14[Column4],Table14[Year],Table14[[#This Row],[Year]]),ISNUMBER(Table14[[#This Row],[Column4]]),Table14[[#This Row],[Column4]],Table14[[#This Row],[Column4]]="",H540*(1+Table14[[#This Row],[Ávöxtun]]))</f>
        <v>120.96000000000001</v>
      </c>
      <c r="I541" cm="1">
        <f t="array" ref="I541">_xlfn.IFS(Table14[[#This Row],[Column4]]="NEW",_xlfn.XLOOKUP(Table14[[#This Row],[Year]],$M$2:$M$27,$O$2:$O$27),ISNUMBER(Table14[[#This Row],[Column4]]),Table14[[#This Row],[Column4]],Table14[[#This Row],[Column4]]="",I540*(1+Table14[[#This Row],[Ávöxtun]]))</f>
        <v>120.96000000000001</v>
      </c>
      <c r="L541" s="33">
        <v>120.96000000000001</v>
      </c>
    </row>
    <row r="542" spans="1:12">
      <c r="A542" t="s">
        <v>111</v>
      </c>
      <c r="B542">
        <v>2000</v>
      </c>
      <c r="C542" s="16">
        <v>-0.01</v>
      </c>
      <c r="D542" s="1">
        <v>41515181.030000001</v>
      </c>
      <c r="E542" s="29">
        <f>Table14[[#This Row],[Ávöxtun]]*Table14[[#This Row],[Eignir]]/SUMIFS(Table14[Eignir],Table14[Year],Table14[[#This Row],[Year]])</f>
        <v>-5.839890547910862E-4</v>
      </c>
      <c r="F542" s="23">
        <f>IF(B542=1997, 100, IF(COUNTIF(A$1:A541,A542)=0, "NEW", F541*(1+Table14[[#This Row],[Ávöxtun]])))</f>
        <v>119.75040000000001</v>
      </c>
      <c r="G542" s="18" cm="1">
        <f t="array" ref="G542">IFERROR(_xlfn.IFS(ISNUMBER(Table14[[#This Row],[Column3]]),Table14[[#This Row],[Column3]],Table14[[#This Row],[Column3]]="NEW",Table14[[#This Row],[Column3]]),"")</f>
        <v>119.75040000000001</v>
      </c>
      <c r="H542" s="15" cm="1">
        <f t="array" ref="H542">_xlfn.IFS(Table14[[#This Row],[Column4]]="NEW",AVERAGEIFS(Table14[Column4],Table14[Year],Table14[[#This Row],[Year]]),ISNUMBER(Table14[[#This Row],[Column4]]),Table14[[#This Row],[Column4]],Table14[[#This Row],[Column4]]="",H541*(1+Table14[[#This Row],[Ávöxtun]]))</f>
        <v>119.75040000000001</v>
      </c>
      <c r="I542" cm="1">
        <f t="array" ref="I542">_xlfn.IFS(Table14[[#This Row],[Column4]]="NEW",_xlfn.XLOOKUP(Table14[[#This Row],[Year]],$M$2:$M$27,$O$2:$O$27),ISNUMBER(Table14[[#This Row],[Column4]]),Table14[[#This Row],[Column4]],Table14[[#This Row],[Column4]]="",I541*(1+Table14[[#This Row],[Ávöxtun]]))</f>
        <v>119.75040000000001</v>
      </c>
      <c r="L542" s="33">
        <v>119.75040000000001</v>
      </c>
    </row>
    <row r="543" spans="1:12">
      <c r="A543" t="s">
        <v>111</v>
      </c>
      <c r="B543">
        <v>2001</v>
      </c>
      <c r="C543" s="16">
        <v>-0.03</v>
      </c>
      <c r="D543" s="1">
        <v>90003599</v>
      </c>
      <c r="E543" s="29">
        <f>Table14[[#This Row],[Ávöxtun]]*Table14[[#This Row],[Eignir]]/SUMIFS(Table14[Eignir],Table14[Year],Table14[[#This Row],[Year]])</f>
        <v>-2.3318691636773623E-3</v>
      </c>
      <c r="F543" s="23">
        <f>IF(B543=1997, 100, IF(COUNTIF(A$1:A542,A543)=0, "NEW", F542*(1+Table14[[#This Row],[Ávöxtun]])))</f>
        <v>116.15788800000001</v>
      </c>
      <c r="G543" s="18" cm="1">
        <f t="array" ref="G543">IFERROR(_xlfn.IFS(ISNUMBER(Table14[[#This Row],[Column3]]),Table14[[#This Row],[Column3]],Table14[[#This Row],[Column3]]="NEW",Table14[[#This Row],[Column3]]),"")</f>
        <v>116.15788800000001</v>
      </c>
      <c r="H543" s="15" cm="1">
        <f t="array" ref="H543">_xlfn.IFS(Table14[[#This Row],[Column4]]="NEW",AVERAGEIFS(Table14[Column4],Table14[Year],Table14[[#This Row],[Year]]),ISNUMBER(Table14[[#This Row],[Column4]]),Table14[[#This Row],[Column4]],Table14[[#This Row],[Column4]]="",H542*(1+Table14[[#This Row],[Ávöxtun]]))</f>
        <v>116.15788800000001</v>
      </c>
      <c r="I543" cm="1">
        <f t="array" ref="I543">_xlfn.IFS(Table14[[#This Row],[Column4]]="NEW",_xlfn.XLOOKUP(Table14[[#This Row],[Year]],$M$2:$M$27,$O$2:$O$27),ISNUMBER(Table14[[#This Row],[Column4]]),Table14[[#This Row],[Column4]],Table14[[#This Row],[Column4]]="",I542*(1+Table14[[#This Row],[Ávöxtun]]))</f>
        <v>116.15788800000001</v>
      </c>
      <c r="L543" s="33">
        <v>116.15788800000001</v>
      </c>
    </row>
    <row r="544" spans="1:12">
      <c r="A544" t="s">
        <v>111</v>
      </c>
      <c r="B544">
        <v>2002</v>
      </c>
      <c r="C544" s="16">
        <v>0</v>
      </c>
      <c r="D544" s="1">
        <v>47018568</v>
      </c>
      <c r="E544" s="29">
        <f>Table14[[#This Row],[Ávöxtun]]*Table14[[#This Row],[Eignir]]/SUMIFS(Table14[Eignir],Table14[Year],Table14[[#This Row],[Year]])</f>
        <v>0</v>
      </c>
      <c r="F544" s="23">
        <f>IF(B544=1997, 100, IF(COUNTIF(A$1:A543,A544)=0, "NEW", F543*(1+Table14[[#This Row],[Ávöxtun]])))</f>
        <v>116.15788800000001</v>
      </c>
      <c r="G544" s="18" cm="1">
        <f t="array" ref="G544">IFERROR(_xlfn.IFS(ISNUMBER(Table14[[#This Row],[Column3]]),Table14[[#This Row],[Column3]],Table14[[#This Row],[Column3]]="NEW",Table14[[#This Row],[Column3]]),"")</f>
        <v>116.15788800000001</v>
      </c>
      <c r="H544" s="15" cm="1">
        <f t="array" ref="H544">_xlfn.IFS(Table14[[#This Row],[Column4]]="NEW",AVERAGEIFS(Table14[Column4],Table14[Year],Table14[[#This Row],[Year]]),ISNUMBER(Table14[[#This Row],[Column4]]),Table14[[#This Row],[Column4]],Table14[[#This Row],[Column4]]="",H543*(1+Table14[[#This Row],[Ávöxtun]]))</f>
        <v>116.15788800000001</v>
      </c>
      <c r="I544" cm="1">
        <f t="array" ref="I544">_xlfn.IFS(Table14[[#This Row],[Column4]]="NEW",_xlfn.XLOOKUP(Table14[[#This Row],[Year]],$M$2:$M$27,$O$2:$O$27),ISNUMBER(Table14[[#This Row],[Column4]]),Table14[[#This Row],[Column4]],Table14[[#This Row],[Column4]]="",I543*(1+Table14[[#This Row],[Ávöxtun]]))</f>
        <v>116.15788800000001</v>
      </c>
      <c r="L544" s="33">
        <v>116.15788800000001</v>
      </c>
    </row>
    <row r="545" spans="1:12">
      <c r="A545" t="s">
        <v>111</v>
      </c>
      <c r="B545">
        <v>2003</v>
      </c>
      <c r="C545" s="16">
        <v>0.15</v>
      </c>
      <c r="D545" s="1">
        <v>56142043</v>
      </c>
      <c r="E545" s="29">
        <f>Table14[[#This Row],[Ávöxtun]]*Table14[[#This Row],[Eignir]]/SUMIFS(Table14[Eignir],Table14[Year],Table14[[#This Row],[Year]])</f>
        <v>1.1082250051588874E-2</v>
      </c>
      <c r="F545" s="23">
        <f>IF(B545=1997, 100, IF(COUNTIF(A$1:A544,A545)=0, "NEW", F544*(1+Table14[[#This Row],[Ávöxtun]])))</f>
        <v>133.58157120000001</v>
      </c>
      <c r="G545" s="18" cm="1">
        <f t="array" ref="G545">IFERROR(_xlfn.IFS(ISNUMBER(Table14[[#This Row],[Column3]]),Table14[[#This Row],[Column3]],Table14[[#This Row],[Column3]]="NEW",Table14[[#This Row],[Column3]]),"")</f>
        <v>133.58157120000001</v>
      </c>
      <c r="H545" s="15" cm="1">
        <f t="array" ref="H545">_xlfn.IFS(Table14[[#This Row],[Column4]]="NEW",AVERAGEIFS(Table14[Column4],Table14[Year],Table14[[#This Row],[Year]]),ISNUMBER(Table14[[#This Row],[Column4]]),Table14[[#This Row],[Column4]],Table14[[#This Row],[Column4]]="",H544*(1+Table14[[#This Row],[Ávöxtun]]))</f>
        <v>133.58157120000001</v>
      </c>
      <c r="I545" cm="1">
        <f t="array" ref="I545">_xlfn.IFS(Table14[[#This Row],[Column4]]="NEW",_xlfn.XLOOKUP(Table14[[#This Row],[Year]],$M$2:$M$27,$O$2:$O$27),ISNUMBER(Table14[[#This Row],[Column4]]),Table14[[#This Row],[Column4]],Table14[[#This Row],[Column4]]="",I544*(1+Table14[[#This Row],[Ávöxtun]]))</f>
        <v>133.58157120000001</v>
      </c>
      <c r="L545" s="33">
        <v>133.58157120000001</v>
      </c>
    </row>
    <row r="546" spans="1:12">
      <c r="A546" t="s">
        <v>111</v>
      </c>
      <c r="B546">
        <v>2004</v>
      </c>
      <c r="C546" s="16">
        <v>0.16</v>
      </c>
      <c r="D546" s="1">
        <v>68288832</v>
      </c>
      <c r="E546" s="29">
        <f>Table14[[#This Row],[Ávöxtun]]*Table14[[#This Row],[Eignir]]/SUMIFS(Table14[Eignir],Table14[Year],Table14[[#This Row],[Year]])</f>
        <v>1.2037643640484779E-2</v>
      </c>
      <c r="F546" s="23">
        <f>IF(B546=1997, 100, IF(COUNTIF(A$1:A545,A546)=0, "NEW", F545*(1+Table14[[#This Row],[Ávöxtun]])))</f>
        <v>154.95462259199999</v>
      </c>
      <c r="G546" s="18" cm="1">
        <f t="array" ref="G546">IFERROR(_xlfn.IFS(ISNUMBER(Table14[[#This Row],[Column3]]),Table14[[#This Row],[Column3]],Table14[[#This Row],[Column3]]="NEW",Table14[[#This Row],[Column3]]),"")</f>
        <v>154.95462259199999</v>
      </c>
      <c r="H546" s="15" cm="1">
        <f t="array" ref="H546">_xlfn.IFS(Table14[[#This Row],[Column4]]="NEW",AVERAGEIFS(Table14[Column4],Table14[Year],Table14[[#This Row],[Year]]),ISNUMBER(Table14[[#This Row],[Column4]]),Table14[[#This Row],[Column4]],Table14[[#This Row],[Column4]]="",H545*(1+Table14[[#This Row],[Ávöxtun]]))</f>
        <v>154.95462259199999</v>
      </c>
      <c r="I546" cm="1">
        <f t="array" ref="I546">_xlfn.IFS(Table14[[#This Row],[Column4]]="NEW",_xlfn.XLOOKUP(Table14[[#This Row],[Year]],$M$2:$M$27,$O$2:$O$27),ISNUMBER(Table14[[#This Row],[Column4]]),Table14[[#This Row],[Column4]],Table14[[#This Row],[Column4]]="",I545*(1+Table14[[#This Row],[Ávöxtun]]))</f>
        <v>154.95462259199999</v>
      </c>
      <c r="L546" s="33">
        <v>154.95462259199999</v>
      </c>
    </row>
    <row r="547" spans="1:12">
      <c r="A547" t="s">
        <v>112</v>
      </c>
      <c r="B547">
        <v>1997</v>
      </c>
      <c r="C547" s="16">
        <v>0.05</v>
      </c>
      <c r="D547" s="1">
        <v>38314</v>
      </c>
      <c r="E547" s="29">
        <f>Table14[[#This Row],[Ávöxtun]]*Table14[[#This Row],[Eignir]]/SUMIFS(Table14[Eignir],Table14[Year],Table14[[#This Row],[Year]])</f>
        <v>5.6506100427744528E-6</v>
      </c>
      <c r="F547" s="23">
        <f>IF(B547=1997, 100, IF(COUNTIF(A$1:A546,A547)=0, "NEW", F546*(1+Table14[[#This Row],[Ávöxtun]])))</f>
        <v>100</v>
      </c>
      <c r="G547" s="18" cm="1">
        <f t="array" ref="G547">IFERROR(_xlfn.IFS(ISNUMBER(Table14[[#This Row],[Column3]]),Table14[[#This Row],[Column3]],Table14[[#This Row],[Column3]]="NEW",Table14[[#This Row],[Column3]]),"")</f>
        <v>100</v>
      </c>
      <c r="H547" s="15" cm="1">
        <f t="array" ref="H547">_xlfn.IFS(Table14[[#This Row],[Column4]]="NEW",AVERAGEIFS(Table14[Column4],Table14[Year],Table14[[#This Row],[Year]]),ISNUMBER(Table14[[#This Row],[Column4]]),Table14[[#This Row],[Column4]],Table14[[#This Row],[Column4]]="",H546*(1+Table14[[#This Row],[Ávöxtun]]))</f>
        <v>100</v>
      </c>
      <c r="I547" cm="1">
        <f t="array" ref="I547">_xlfn.IFS(Table14[[#This Row],[Column4]]="NEW",_xlfn.XLOOKUP(Table14[[#This Row],[Year]],$M$2:$M$27,$O$2:$O$27),ISNUMBER(Table14[[#This Row],[Column4]]),Table14[[#This Row],[Column4]],Table14[[#This Row],[Column4]]="",I546*(1+Table14[[#This Row],[Ávöxtun]]))</f>
        <v>100</v>
      </c>
      <c r="L547" s="33">
        <v>100</v>
      </c>
    </row>
    <row r="548" spans="1:12">
      <c r="A548" t="s">
        <v>112</v>
      </c>
      <c r="B548">
        <v>1998</v>
      </c>
      <c r="C548" s="16">
        <v>0.05</v>
      </c>
      <c r="D548" s="1">
        <v>37913.39</v>
      </c>
      <c r="E548" s="29">
        <f>Table14[[#This Row],[Ávöxtun]]*Table14[[#This Row],[Eignir]]/SUMIFS(Table14[Eignir],Table14[Year],Table14[[#This Row],[Year]])</f>
        <v>4.8403996876347721E-6</v>
      </c>
      <c r="F548" s="23">
        <f>IF(B548=1997, 100, IF(COUNTIF(A$1:A547,A548)=0, "NEW", F547*(1+Table14[[#This Row],[Ávöxtun]])))</f>
        <v>105</v>
      </c>
      <c r="G548" s="18" cm="1">
        <f t="array" ref="G548">IFERROR(_xlfn.IFS(ISNUMBER(Table14[[#This Row],[Column3]]),Table14[[#This Row],[Column3]],Table14[[#This Row],[Column3]]="NEW",Table14[[#This Row],[Column3]]),"")</f>
        <v>105</v>
      </c>
      <c r="H548" s="15" cm="1">
        <f t="array" ref="H548">_xlfn.IFS(Table14[[#This Row],[Column4]]="NEW",AVERAGEIFS(Table14[Column4],Table14[Year],Table14[[#This Row],[Year]]),ISNUMBER(Table14[[#This Row],[Column4]]),Table14[[#This Row],[Column4]],Table14[[#This Row],[Column4]]="",H547*(1+Table14[[#This Row],[Ávöxtun]]))</f>
        <v>105</v>
      </c>
      <c r="I548" cm="1">
        <f t="array" ref="I548">_xlfn.IFS(Table14[[#This Row],[Column4]]="NEW",_xlfn.XLOOKUP(Table14[[#This Row],[Year]],$M$2:$M$27,$O$2:$O$27),ISNUMBER(Table14[[#This Row],[Column4]]),Table14[[#This Row],[Column4]],Table14[[#This Row],[Column4]]="",I547*(1+Table14[[#This Row],[Ávöxtun]]))</f>
        <v>105</v>
      </c>
      <c r="L548" s="33">
        <v>105</v>
      </c>
    </row>
    <row r="549" spans="1:12">
      <c r="A549" t="s">
        <v>112</v>
      </c>
      <c r="B549">
        <v>1999</v>
      </c>
      <c r="C549" s="16">
        <v>0.06</v>
      </c>
      <c r="D549" s="1">
        <v>39726.46</v>
      </c>
      <c r="E549" s="29">
        <f>Table14[[#This Row],[Ávöxtun]]*Table14[[#This Row],[Eignir]]/SUMIFS(Table14[Eignir],Table14[Year],Table14[[#This Row],[Year]])</f>
        <v>4.5775133820920914E-6</v>
      </c>
      <c r="F549" s="23">
        <f>IF(B549=1997, 100, IF(COUNTIF(A$1:A548,A549)=0, "NEW", F548*(1+Table14[[#This Row],[Ávöxtun]])))</f>
        <v>111.30000000000001</v>
      </c>
      <c r="G549" s="18" cm="1">
        <f t="array" ref="G549">IFERROR(_xlfn.IFS(ISNUMBER(Table14[[#This Row],[Column3]]),Table14[[#This Row],[Column3]],Table14[[#This Row],[Column3]]="NEW",Table14[[#This Row],[Column3]]),"")</f>
        <v>111.30000000000001</v>
      </c>
      <c r="H549" s="15" cm="1">
        <f t="array" ref="H549">_xlfn.IFS(Table14[[#This Row],[Column4]]="NEW",AVERAGEIFS(Table14[Column4],Table14[Year],Table14[[#This Row],[Year]]),ISNUMBER(Table14[[#This Row],[Column4]]),Table14[[#This Row],[Column4]],Table14[[#This Row],[Column4]]="",H548*(1+Table14[[#This Row],[Ávöxtun]]))</f>
        <v>111.30000000000001</v>
      </c>
      <c r="I549" cm="1">
        <f t="array" ref="I549">_xlfn.IFS(Table14[[#This Row],[Column4]]="NEW",_xlfn.XLOOKUP(Table14[[#This Row],[Year]],$M$2:$M$27,$O$2:$O$27),ISNUMBER(Table14[[#This Row],[Column4]]),Table14[[#This Row],[Column4]],Table14[[#This Row],[Column4]]="",I548*(1+Table14[[#This Row],[Ávöxtun]]))</f>
        <v>111.30000000000001</v>
      </c>
      <c r="L549" s="33">
        <v>111.30000000000001</v>
      </c>
    </row>
    <row r="550" spans="1:12">
      <c r="A550" t="s">
        <v>113</v>
      </c>
      <c r="B550">
        <v>1997</v>
      </c>
      <c r="C550" s="16">
        <v>0.05</v>
      </c>
      <c r="D550" s="1">
        <v>777612.59</v>
      </c>
      <c r="E550" s="29">
        <f>Table14[[#This Row],[Ávöxtun]]*Table14[[#This Row],[Eignir]]/SUMIFS(Table14[Eignir],Table14[Year],Table14[[#This Row],[Year]])</f>
        <v>1.1468354936685946E-4</v>
      </c>
      <c r="F550" s="23">
        <f>IF(B550=1997, 100, IF(COUNTIF(A$1:A549,A550)=0, "NEW", F549*(1+Table14[[#This Row],[Ávöxtun]])))</f>
        <v>100</v>
      </c>
      <c r="G550" s="18" cm="1">
        <f t="array" ref="G550">IFERROR(_xlfn.IFS(ISNUMBER(Table14[[#This Row],[Column3]]),Table14[[#This Row],[Column3]],Table14[[#This Row],[Column3]]="NEW",Table14[[#This Row],[Column3]]),"")</f>
        <v>100</v>
      </c>
      <c r="H550" s="15" cm="1">
        <f t="array" ref="H550">_xlfn.IFS(Table14[[#This Row],[Column4]]="NEW",AVERAGEIFS(Table14[Column4],Table14[Year],Table14[[#This Row],[Year]]),ISNUMBER(Table14[[#This Row],[Column4]]),Table14[[#This Row],[Column4]],Table14[[#This Row],[Column4]]="",H549*(1+Table14[[#This Row],[Ávöxtun]]))</f>
        <v>100</v>
      </c>
      <c r="I550" cm="1">
        <f t="array" ref="I550">_xlfn.IFS(Table14[[#This Row],[Column4]]="NEW",_xlfn.XLOOKUP(Table14[[#This Row],[Year]],$M$2:$M$27,$O$2:$O$27),ISNUMBER(Table14[[#This Row],[Column4]]),Table14[[#This Row],[Column4]],Table14[[#This Row],[Column4]]="",I549*(1+Table14[[#This Row],[Ávöxtun]]))</f>
        <v>100</v>
      </c>
      <c r="L550" s="33">
        <v>100</v>
      </c>
    </row>
    <row r="551" spans="1:12">
      <c r="A551" t="s">
        <v>113</v>
      </c>
      <c r="B551">
        <v>1998</v>
      </c>
      <c r="C551" s="16">
        <v>7.0000000000000007E-2</v>
      </c>
      <c r="D551" s="1">
        <v>853427.34</v>
      </c>
      <c r="E551" s="29">
        <f>Table14[[#This Row],[Ávöxtun]]*Table14[[#This Row],[Eignir]]/SUMIFS(Table14[Eignir],Table14[Year],Table14[[#This Row],[Year]])</f>
        <v>1.5253980722739285E-4</v>
      </c>
      <c r="F551" s="23">
        <f>IF(B551=1997, 100, IF(COUNTIF(A$1:A550,A551)=0, "NEW", F550*(1+Table14[[#This Row],[Ávöxtun]])))</f>
        <v>107</v>
      </c>
      <c r="G551" s="18" cm="1">
        <f t="array" ref="G551">IFERROR(_xlfn.IFS(ISNUMBER(Table14[[#This Row],[Column3]]),Table14[[#This Row],[Column3]],Table14[[#This Row],[Column3]]="NEW",Table14[[#This Row],[Column3]]),"")</f>
        <v>107</v>
      </c>
      <c r="H551" s="15" cm="1">
        <f t="array" ref="H551">_xlfn.IFS(Table14[[#This Row],[Column4]]="NEW",AVERAGEIFS(Table14[Column4],Table14[Year],Table14[[#This Row],[Year]]),ISNUMBER(Table14[[#This Row],[Column4]]),Table14[[#This Row],[Column4]],Table14[[#This Row],[Column4]]="",H550*(1+Table14[[#This Row],[Ávöxtun]]))</f>
        <v>107</v>
      </c>
      <c r="I551" cm="1">
        <f t="array" ref="I551">_xlfn.IFS(Table14[[#This Row],[Column4]]="NEW",_xlfn.XLOOKUP(Table14[[#This Row],[Year]],$M$2:$M$27,$O$2:$O$27),ISNUMBER(Table14[[#This Row],[Column4]]),Table14[[#This Row],[Column4]],Table14[[#This Row],[Column4]]="",I550*(1+Table14[[#This Row],[Ávöxtun]]))</f>
        <v>107</v>
      </c>
      <c r="L551" s="33">
        <v>107</v>
      </c>
    </row>
    <row r="552" spans="1:12">
      <c r="A552" t="s">
        <v>113</v>
      </c>
      <c r="B552">
        <v>1999</v>
      </c>
      <c r="C552" s="16">
        <v>0.09</v>
      </c>
      <c r="D552" s="1">
        <v>989697.96</v>
      </c>
      <c r="E552" s="29">
        <f>Table14[[#This Row],[Ávöxtun]]*Table14[[#This Row],[Eignir]]/SUMIFS(Table14[Eignir],Table14[Year],Table14[[#This Row],[Year]])</f>
        <v>1.7105811804509803E-4</v>
      </c>
      <c r="F552" s="23">
        <f>IF(B552=1997, 100, IF(COUNTIF(A$1:A551,A552)=0, "NEW", F551*(1+Table14[[#This Row],[Ávöxtun]])))</f>
        <v>116.63000000000001</v>
      </c>
      <c r="G552" s="18" cm="1">
        <f t="array" ref="G552">IFERROR(_xlfn.IFS(ISNUMBER(Table14[[#This Row],[Column3]]),Table14[[#This Row],[Column3]],Table14[[#This Row],[Column3]]="NEW",Table14[[#This Row],[Column3]]),"")</f>
        <v>116.63000000000001</v>
      </c>
      <c r="H552" s="15" cm="1">
        <f t="array" ref="H552">_xlfn.IFS(Table14[[#This Row],[Column4]]="NEW",AVERAGEIFS(Table14[Column4],Table14[Year],Table14[[#This Row],[Year]]),ISNUMBER(Table14[[#This Row],[Column4]]),Table14[[#This Row],[Column4]],Table14[[#This Row],[Column4]]="",H551*(1+Table14[[#This Row],[Ávöxtun]]))</f>
        <v>116.63000000000001</v>
      </c>
      <c r="I552" cm="1">
        <f t="array" ref="I552">_xlfn.IFS(Table14[[#This Row],[Column4]]="NEW",_xlfn.XLOOKUP(Table14[[#This Row],[Year]],$M$2:$M$27,$O$2:$O$27),ISNUMBER(Table14[[#This Row],[Column4]]),Table14[[#This Row],[Column4]],Table14[[#This Row],[Column4]]="",I551*(1+Table14[[#This Row],[Ávöxtun]]))</f>
        <v>116.63000000000001</v>
      </c>
      <c r="L552" s="33">
        <v>116.63000000000001</v>
      </c>
    </row>
    <row r="553" spans="1:12">
      <c r="A553" t="s">
        <v>113</v>
      </c>
      <c r="B553">
        <v>2000</v>
      </c>
      <c r="C553" s="16">
        <v>0.03</v>
      </c>
      <c r="D553" s="1">
        <v>1066448.1299999999</v>
      </c>
      <c r="E553" s="29">
        <f>Table14[[#This Row],[Ávöxtun]]*Table14[[#This Row],[Eignir]]/SUMIFS(Table14[Eignir],Table14[Year],Table14[[#This Row],[Year]])</f>
        <v>4.5004792461753212E-5</v>
      </c>
      <c r="F553" s="23">
        <f>IF(B553=1997, 100, IF(COUNTIF(A$1:A552,A553)=0, "NEW", F552*(1+Table14[[#This Row],[Ávöxtun]])))</f>
        <v>120.12890000000002</v>
      </c>
      <c r="G553" s="18" cm="1">
        <f t="array" ref="G553">IFERROR(_xlfn.IFS(ISNUMBER(Table14[[#This Row],[Column3]]),Table14[[#This Row],[Column3]],Table14[[#This Row],[Column3]]="NEW",Table14[[#This Row],[Column3]]),"")</f>
        <v>120.12890000000002</v>
      </c>
      <c r="H553" s="15" cm="1">
        <f t="array" ref="H553">_xlfn.IFS(Table14[[#This Row],[Column4]]="NEW",AVERAGEIFS(Table14[Column4],Table14[Year],Table14[[#This Row],[Year]]),ISNUMBER(Table14[[#This Row],[Column4]]),Table14[[#This Row],[Column4]],Table14[[#This Row],[Column4]]="",H552*(1+Table14[[#This Row],[Ávöxtun]]))</f>
        <v>120.12890000000002</v>
      </c>
      <c r="I553" cm="1">
        <f t="array" ref="I553">_xlfn.IFS(Table14[[#This Row],[Column4]]="NEW",_xlfn.XLOOKUP(Table14[[#This Row],[Year]],$M$2:$M$27,$O$2:$O$27),ISNUMBER(Table14[[#This Row],[Column4]]),Table14[[#This Row],[Column4]],Table14[[#This Row],[Column4]]="",I552*(1+Table14[[#This Row],[Ávöxtun]]))</f>
        <v>120.12890000000002</v>
      </c>
      <c r="L553" s="33">
        <v>120.12890000000002</v>
      </c>
    </row>
    <row r="554" spans="1:12">
      <c r="A554" t="s">
        <v>113</v>
      </c>
      <c r="B554">
        <v>2001</v>
      </c>
      <c r="C554" s="16">
        <v>0</v>
      </c>
      <c r="D554" s="1">
        <v>1133696.6499999999</v>
      </c>
      <c r="E554" s="29">
        <f>Table14[[#This Row],[Ávöxtun]]*Table14[[#This Row],[Eignir]]/SUMIFS(Table14[Eignir],Table14[Year],Table14[[#This Row],[Year]])</f>
        <v>0</v>
      </c>
      <c r="F554" s="23">
        <f>IF(B554=1997, 100, IF(COUNTIF(A$1:A553,A554)=0, "NEW", F553*(1+Table14[[#This Row],[Ávöxtun]])))</f>
        <v>120.12890000000002</v>
      </c>
      <c r="G554" s="18" cm="1">
        <f t="array" ref="G554">IFERROR(_xlfn.IFS(ISNUMBER(Table14[[#This Row],[Column3]]),Table14[[#This Row],[Column3]],Table14[[#This Row],[Column3]]="NEW",Table14[[#This Row],[Column3]]),"")</f>
        <v>120.12890000000002</v>
      </c>
      <c r="H554" s="15" cm="1">
        <f t="array" ref="H554">_xlfn.IFS(Table14[[#This Row],[Column4]]="NEW",AVERAGEIFS(Table14[Column4],Table14[Year],Table14[[#This Row],[Year]]),ISNUMBER(Table14[[#This Row],[Column4]]),Table14[[#This Row],[Column4]],Table14[[#This Row],[Column4]]="",H553*(1+Table14[[#This Row],[Ávöxtun]]))</f>
        <v>120.12890000000002</v>
      </c>
      <c r="I554" cm="1">
        <f t="array" ref="I554">_xlfn.IFS(Table14[[#This Row],[Column4]]="NEW",_xlfn.XLOOKUP(Table14[[#This Row],[Year]],$M$2:$M$27,$O$2:$O$27),ISNUMBER(Table14[[#This Row],[Column4]]),Table14[[#This Row],[Column4]],Table14[[#This Row],[Column4]]="",I553*(1+Table14[[#This Row],[Ávöxtun]]))</f>
        <v>120.12890000000002</v>
      </c>
      <c r="L554" s="33">
        <v>120.12890000000002</v>
      </c>
    </row>
    <row r="555" spans="1:12">
      <c r="A555" t="s">
        <v>113</v>
      </c>
      <c r="B555">
        <v>2002</v>
      </c>
      <c r="C555" s="16">
        <v>-0.02</v>
      </c>
      <c r="D555" s="1">
        <v>1104587.3999999999</v>
      </c>
      <c r="E555" s="29">
        <f>Table14[[#This Row],[Ávöxtun]]*Table14[[#This Row],[Eignir]]/SUMIFS(Table14[Eignir],Table14[Year],Table14[[#This Row],[Year]])</f>
        <v>-3.4781162970656621E-5</v>
      </c>
      <c r="F555" s="23">
        <f>IF(B555=1997, 100, IF(COUNTIF(A$1:A554,A555)=0, "NEW", F554*(1+Table14[[#This Row],[Ávöxtun]])))</f>
        <v>117.72632200000001</v>
      </c>
      <c r="G555" s="18" cm="1">
        <f t="array" ref="G555">IFERROR(_xlfn.IFS(ISNUMBER(Table14[[#This Row],[Column3]]),Table14[[#This Row],[Column3]],Table14[[#This Row],[Column3]]="NEW",Table14[[#This Row],[Column3]]),"")</f>
        <v>117.72632200000001</v>
      </c>
      <c r="H555" s="15" cm="1">
        <f t="array" ref="H555">_xlfn.IFS(Table14[[#This Row],[Column4]]="NEW",AVERAGEIFS(Table14[Column4],Table14[Year],Table14[[#This Row],[Year]]),ISNUMBER(Table14[[#This Row],[Column4]]),Table14[[#This Row],[Column4]],Table14[[#This Row],[Column4]]="",H554*(1+Table14[[#This Row],[Ávöxtun]]))</f>
        <v>117.72632200000001</v>
      </c>
      <c r="I555" cm="1">
        <f t="array" ref="I555">_xlfn.IFS(Table14[[#This Row],[Column4]]="NEW",_xlfn.XLOOKUP(Table14[[#This Row],[Year]],$M$2:$M$27,$O$2:$O$27),ISNUMBER(Table14[[#This Row],[Column4]]),Table14[[#This Row],[Column4]],Table14[[#This Row],[Column4]]="",I554*(1+Table14[[#This Row],[Ávöxtun]]))</f>
        <v>117.72632200000001</v>
      </c>
      <c r="L555" s="33">
        <v>117.72632200000001</v>
      </c>
    </row>
    <row r="556" spans="1:12">
      <c r="A556" t="s">
        <v>113</v>
      </c>
      <c r="B556">
        <v>2003</v>
      </c>
      <c r="C556" s="16">
        <v>0.08</v>
      </c>
      <c r="D556" s="1">
        <v>1184785</v>
      </c>
      <c r="E556" s="29">
        <f>Table14[[#This Row],[Ávöxtun]]*Table14[[#This Row],[Eignir]]/SUMIFS(Table14[Eignir],Table14[Year],Table14[[#This Row],[Year]])</f>
        <v>1.2473203491956264E-4</v>
      </c>
      <c r="F556" s="23">
        <f>IF(B556=1997, 100, IF(COUNTIF(A$1:A555,A556)=0, "NEW", F555*(1+Table14[[#This Row],[Ávöxtun]])))</f>
        <v>127.14442776000001</v>
      </c>
      <c r="G556" s="18" cm="1">
        <f t="array" ref="G556">IFERROR(_xlfn.IFS(ISNUMBER(Table14[[#This Row],[Column3]]),Table14[[#This Row],[Column3]],Table14[[#This Row],[Column3]]="NEW",Table14[[#This Row],[Column3]]),"")</f>
        <v>127.14442776000001</v>
      </c>
      <c r="H556" s="15" cm="1">
        <f t="array" ref="H556">_xlfn.IFS(Table14[[#This Row],[Column4]]="NEW",AVERAGEIFS(Table14[Column4],Table14[Year],Table14[[#This Row],[Year]]),ISNUMBER(Table14[[#This Row],[Column4]]),Table14[[#This Row],[Column4]],Table14[[#This Row],[Column4]]="",H555*(1+Table14[[#This Row],[Ávöxtun]]))</f>
        <v>127.14442776000001</v>
      </c>
      <c r="I556" cm="1">
        <f t="array" ref="I556">_xlfn.IFS(Table14[[#This Row],[Column4]]="NEW",_xlfn.XLOOKUP(Table14[[#This Row],[Year]],$M$2:$M$27,$O$2:$O$27),ISNUMBER(Table14[[#This Row],[Column4]]),Table14[[#This Row],[Column4]],Table14[[#This Row],[Column4]]="",I555*(1+Table14[[#This Row],[Ávöxtun]]))</f>
        <v>127.14442776000001</v>
      </c>
      <c r="L556" s="33">
        <v>127.14442776000001</v>
      </c>
    </row>
    <row r="557" spans="1:12">
      <c r="A557" t="s">
        <v>113</v>
      </c>
      <c r="B557">
        <v>2004</v>
      </c>
      <c r="C557" s="16">
        <v>0.11</v>
      </c>
      <c r="D557" s="1">
        <v>1311725</v>
      </c>
      <c r="E557" s="29">
        <f>Table14[[#This Row],[Ávöxtun]]*Table14[[#This Row],[Eignir]]/SUMIFS(Table14[Eignir],Table14[Year],Table14[[#This Row],[Year]])</f>
        <v>1.5896711627336795E-4</v>
      </c>
      <c r="F557" s="23">
        <f>IF(B557=1997, 100, IF(COUNTIF(A$1:A556,A557)=0, "NEW", F556*(1+Table14[[#This Row],[Ávöxtun]])))</f>
        <v>141.13031481360002</v>
      </c>
      <c r="G557" s="18" cm="1">
        <f t="array" ref="G557">IFERROR(_xlfn.IFS(ISNUMBER(Table14[[#This Row],[Column3]]),Table14[[#This Row],[Column3]],Table14[[#This Row],[Column3]]="NEW",Table14[[#This Row],[Column3]]),"")</f>
        <v>141.13031481360002</v>
      </c>
      <c r="H557" s="15" cm="1">
        <f t="array" ref="H557">_xlfn.IFS(Table14[[#This Row],[Column4]]="NEW",AVERAGEIFS(Table14[Column4],Table14[Year],Table14[[#This Row],[Year]]),ISNUMBER(Table14[[#This Row],[Column4]]),Table14[[#This Row],[Column4]],Table14[[#This Row],[Column4]]="",H556*(1+Table14[[#This Row],[Ávöxtun]]))</f>
        <v>141.13031481360002</v>
      </c>
      <c r="I557" cm="1">
        <f t="array" ref="I557">_xlfn.IFS(Table14[[#This Row],[Column4]]="NEW",_xlfn.XLOOKUP(Table14[[#This Row],[Year]],$M$2:$M$27,$O$2:$O$27),ISNUMBER(Table14[[#This Row],[Column4]]),Table14[[#This Row],[Column4]],Table14[[#This Row],[Column4]]="",I556*(1+Table14[[#This Row],[Ávöxtun]]))</f>
        <v>141.13031481360002</v>
      </c>
      <c r="L557" s="33">
        <v>141.13031481360002</v>
      </c>
    </row>
    <row r="558" spans="1:12">
      <c r="A558" t="s">
        <v>113</v>
      </c>
      <c r="B558">
        <v>2005</v>
      </c>
      <c r="C558" s="16">
        <v>0.1</v>
      </c>
      <c r="D558" s="1">
        <v>2147153</v>
      </c>
      <c r="E558" s="29">
        <f>Table14[[#This Row],[Ávöxtun]]*Table14[[#This Row],[Eignir]]/SUMIFS(Table14[Eignir],Table14[Year],Table14[[#This Row],[Year]])</f>
        <v>1.9148138170085904E-4</v>
      </c>
      <c r="F558" s="23">
        <f>IF(B558=1997, 100, IF(COUNTIF(A$1:A557,A558)=0, "NEW", F557*(1+Table14[[#This Row],[Ávöxtun]])))</f>
        <v>155.24334629496005</v>
      </c>
      <c r="G558" s="18" cm="1">
        <f t="array" ref="G558">IFERROR(_xlfn.IFS(ISNUMBER(Table14[[#This Row],[Column3]]),Table14[[#This Row],[Column3]],Table14[[#This Row],[Column3]]="NEW",Table14[[#This Row],[Column3]]),"")</f>
        <v>155.24334629496005</v>
      </c>
      <c r="H558" s="15" cm="1">
        <f t="array" ref="H558">_xlfn.IFS(Table14[[#This Row],[Column4]]="NEW",AVERAGEIFS(Table14[Column4],Table14[Year],Table14[[#This Row],[Year]]),ISNUMBER(Table14[[#This Row],[Column4]]),Table14[[#This Row],[Column4]],Table14[[#This Row],[Column4]]="",H557*(1+Table14[[#This Row],[Ávöxtun]]))</f>
        <v>155.24334629496005</v>
      </c>
      <c r="I558" cm="1">
        <f t="array" ref="I558">_xlfn.IFS(Table14[[#This Row],[Column4]]="NEW",_xlfn.XLOOKUP(Table14[[#This Row],[Year]],$M$2:$M$27,$O$2:$O$27),ISNUMBER(Table14[[#This Row],[Column4]]),Table14[[#This Row],[Column4]],Table14[[#This Row],[Column4]]="",I557*(1+Table14[[#This Row],[Ávöxtun]]))</f>
        <v>155.24334629496005</v>
      </c>
      <c r="L558" s="33">
        <v>155.24334629496005</v>
      </c>
    </row>
    <row r="559" spans="1:12">
      <c r="A559" t="s">
        <v>113</v>
      </c>
      <c r="B559">
        <v>2006</v>
      </c>
      <c r="C559" s="16">
        <v>7.0599999999999996E-2</v>
      </c>
      <c r="D559" s="1">
        <v>2382635</v>
      </c>
      <c r="E559" s="29">
        <f>Table14[[#This Row],[Ávöxtun]]*Table14[[#This Row],[Eignir]]/SUMIFS(Table14[Eignir],Table14[Year],Table14[[#This Row],[Year]])</f>
        <v>1.22544631884048E-4</v>
      </c>
      <c r="F559" s="23">
        <f>IF(B559=1997, 100, IF(COUNTIF(A$1:A558,A559)=0, "NEW", F558*(1+Table14[[#This Row],[Ávöxtun]])))</f>
        <v>166.20352654338421</v>
      </c>
      <c r="G559" s="18" cm="1">
        <f t="array" ref="G559">IFERROR(_xlfn.IFS(ISNUMBER(Table14[[#This Row],[Column3]]),Table14[[#This Row],[Column3]],Table14[[#This Row],[Column3]]="NEW",Table14[[#This Row],[Column3]]),"")</f>
        <v>166.20352654338421</v>
      </c>
      <c r="H559" s="15" cm="1">
        <f t="array" ref="H559">_xlfn.IFS(Table14[[#This Row],[Column4]]="NEW",AVERAGEIFS(Table14[Column4],Table14[Year],Table14[[#This Row],[Year]]),ISNUMBER(Table14[[#This Row],[Column4]]),Table14[[#This Row],[Column4]],Table14[[#This Row],[Column4]]="",H558*(1+Table14[[#This Row],[Ávöxtun]]))</f>
        <v>166.20352654338421</v>
      </c>
      <c r="I559" cm="1">
        <f t="array" ref="I559">_xlfn.IFS(Table14[[#This Row],[Column4]]="NEW",_xlfn.XLOOKUP(Table14[[#This Row],[Year]],$M$2:$M$27,$O$2:$O$27),ISNUMBER(Table14[[#This Row],[Column4]]),Table14[[#This Row],[Column4]],Table14[[#This Row],[Column4]]="",I558*(1+Table14[[#This Row],[Ávöxtun]]))</f>
        <v>166.20352654338421</v>
      </c>
      <c r="L559" s="33">
        <v>166.20352654338421</v>
      </c>
    </row>
    <row r="560" spans="1:12">
      <c r="A560" t="s">
        <v>113</v>
      </c>
      <c r="B560">
        <v>2007</v>
      </c>
      <c r="C560" s="16">
        <v>4.02E-2</v>
      </c>
      <c r="D560" s="1">
        <v>5935385</v>
      </c>
      <c r="E560" s="29">
        <f>Table14[[#This Row],[Ávöxtun]]*Table14[[#This Row],[Eignir]]/SUMIFS(Table14[Eignir],Table14[Year],Table14[[#This Row],[Year]])</f>
        <v>1.5429464703824348E-4</v>
      </c>
      <c r="F560" s="23">
        <f>IF(B560=1997, 100, IF(COUNTIF(A$1:A559,A560)=0, "NEW", F559*(1+Table14[[#This Row],[Ávöxtun]])))</f>
        <v>172.88490831042827</v>
      </c>
      <c r="G560" s="18" cm="1">
        <f t="array" ref="G560">IFERROR(_xlfn.IFS(ISNUMBER(Table14[[#This Row],[Column3]]),Table14[[#This Row],[Column3]],Table14[[#This Row],[Column3]]="NEW",Table14[[#This Row],[Column3]]),"")</f>
        <v>172.88490831042827</v>
      </c>
      <c r="H560" s="15" cm="1">
        <f t="array" ref="H560">_xlfn.IFS(Table14[[#This Row],[Column4]]="NEW",AVERAGEIFS(Table14[Column4],Table14[Year],Table14[[#This Row],[Year]]),ISNUMBER(Table14[[#This Row],[Column4]]),Table14[[#This Row],[Column4]],Table14[[#This Row],[Column4]]="",H559*(1+Table14[[#This Row],[Ávöxtun]]))</f>
        <v>172.88490831042827</v>
      </c>
      <c r="I560" cm="1">
        <f t="array" ref="I560">_xlfn.IFS(Table14[[#This Row],[Column4]]="NEW",_xlfn.XLOOKUP(Table14[[#This Row],[Year]],$M$2:$M$27,$O$2:$O$27),ISNUMBER(Table14[[#This Row],[Column4]]),Table14[[#This Row],[Column4]],Table14[[#This Row],[Column4]]="",I559*(1+Table14[[#This Row],[Ávöxtun]]))</f>
        <v>172.88490831042827</v>
      </c>
      <c r="L560" s="33">
        <v>172.88490831042827</v>
      </c>
    </row>
    <row r="561" spans="1:12">
      <c r="A561" t="s">
        <v>113</v>
      </c>
      <c r="B561">
        <v>2008</v>
      </c>
      <c r="C561" s="16">
        <v>-5.6000000000000008E-3</v>
      </c>
      <c r="D561" s="1">
        <v>6904779</v>
      </c>
      <c r="E561" s="29">
        <f>Table14[[#This Row],[Ávöxtun]]*Table14[[#This Row],[Eignir]]/SUMIFS(Table14[Eignir],Table14[Year],Table14[[#This Row],[Year]])</f>
        <v>-2.5824016628901566E-5</v>
      </c>
      <c r="F561" s="23">
        <f>IF(B561=1997, 100, IF(COUNTIF(A$1:A560,A561)=0, "NEW", F560*(1+Table14[[#This Row],[Ávöxtun]])))</f>
        <v>171.91675282388988</v>
      </c>
      <c r="G561" s="18" cm="1">
        <f t="array" ref="G561">IFERROR(_xlfn.IFS(ISNUMBER(Table14[[#This Row],[Column3]]),Table14[[#This Row],[Column3]],Table14[[#This Row],[Column3]]="NEW",Table14[[#This Row],[Column3]]),"")</f>
        <v>171.91675282388988</v>
      </c>
      <c r="H561" s="15" cm="1">
        <f t="array" ref="H561">_xlfn.IFS(Table14[[#This Row],[Column4]]="NEW",AVERAGEIFS(Table14[Column4],Table14[Year],Table14[[#This Row],[Year]]),ISNUMBER(Table14[[#This Row],[Column4]]),Table14[[#This Row],[Column4]],Table14[[#This Row],[Column4]]="",H560*(1+Table14[[#This Row],[Ávöxtun]]))</f>
        <v>171.91675282388988</v>
      </c>
      <c r="I561" cm="1">
        <f t="array" ref="I561">_xlfn.IFS(Table14[[#This Row],[Column4]]="NEW",_xlfn.XLOOKUP(Table14[[#This Row],[Year]],$M$2:$M$27,$O$2:$O$27),ISNUMBER(Table14[[#This Row],[Column4]]),Table14[[#This Row],[Column4]],Table14[[#This Row],[Column4]]="",I560*(1+Table14[[#This Row],[Ávöxtun]]))</f>
        <v>171.91675282388988</v>
      </c>
      <c r="L561" s="33">
        <v>171.91675282388988</v>
      </c>
    </row>
    <row r="562" spans="1:12">
      <c r="A562" t="s">
        <v>113</v>
      </c>
      <c r="B562">
        <v>2009</v>
      </c>
      <c r="C562" s="16">
        <v>3.1300000000000001E-2</v>
      </c>
      <c r="D562" s="1">
        <v>7588249</v>
      </c>
      <c r="E562" s="29">
        <f>Table14[[#This Row],[Ávöxtun]]*Table14[[#This Row],[Eignir]]/SUMIFS(Table14[Eignir],Table14[Year],Table14[[#This Row],[Year]])</f>
        <v>1.4237134955949753E-4</v>
      </c>
      <c r="F562" s="23">
        <f>IF(B562=1997, 100, IF(COUNTIF(A$1:A561,A562)=0, "NEW", F561*(1+Table14[[#This Row],[Ávöxtun]])))</f>
        <v>177.29774718727765</v>
      </c>
      <c r="G562" s="18" cm="1">
        <f t="array" ref="G562">IFERROR(_xlfn.IFS(ISNUMBER(Table14[[#This Row],[Column3]]),Table14[[#This Row],[Column3]],Table14[[#This Row],[Column3]]="NEW",Table14[[#This Row],[Column3]]),"")</f>
        <v>177.29774718727765</v>
      </c>
      <c r="H562" s="15" cm="1">
        <f t="array" ref="H562">_xlfn.IFS(Table14[[#This Row],[Column4]]="NEW",AVERAGEIFS(Table14[Column4],Table14[Year],Table14[[#This Row],[Year]]),ISNUMBER(Table14[[#This Row],[Column4]]),Table14[[#This Row],[Column4]],Table14[[#This Row],[Column4]]="",H561*(1+Table14[[#This Row],[Ávöxtun]]))</f>
        <v>177.29774718727765</v>
      </c>
      <c r="I562" cm="1">
        <f t="array" ref="I562">_xlfn.IFS(Table14[[#This Row],[Column4]]="NEW",_xlfn.XLOOKUP(Table14[[#This Row],[Year]],$M$2:$M$27,$O$2:$O$27),ISNUMBER(Table14[[#This Row],[Column4]]),Table14[[#This Row],[Column4]],Table14[[#This Row],[Column4]]="",I561*(1+Table14[[#This Row],[Ávöxtun]]))</f>
        <v>177.29774718727765</v>
      </c>
      <c r="L562" s="33">
        <v>177.29774718727765</v>
      </c>
    </row>
    <row r="563" spans="1:12">
      <c r="A563" t="s">
        <v>113</v>
      </c>
      <c r="B563">
        <v>2010</v>
      </c>
      <c r="C563" s="16">
        <v>3.2500000000000001E-2</v>
      </c>
      <c r="D563" s="1">
        <v>7866337</v>
      </c>
      <c r="E563" s="29">
        <f>Table14[[#This Row],[Ávöxtun]]*Table14[[#This Row],[Eignir]]/SUMIFS(Table14[Eignir],Table14[Year],Table14[[#This Row],[Year]])</f>
        <v>1.430013841490124E-4</v>
      </c>
      <c r="F563" s="23">
        <f>IF(B563=1997, 100, IF(COUNTIF(A$1:A562,A563)=0, "NEW", F562*(1+Table14[[#This Row],[Ávöxtun]])))</f>
        <v>183.05992397086416</v>
      </c>
      <c r="G563" s="18" cm="1">
        <f t="array" ref="G563">IFERROR(_xlfn.IFS(ISNUMBER(Table14[[#This Row],[Column3]]),Table14[[#This Row],[Column3]],Table14[[#This Row],[Column3]]="NEW",Table14[[#This Row],[Column3]]),"")</f>
        <v>183.05992397086416</v>
      </c>
      <c r="H563" s="15" cm="1">
        <f t="array" ref="H563">_xlfn.IFS(Table14[[#This Row],[Column4]]="NEW",AVERAGEIFS(Table14[Column4],Table14[Year],Table14[[#This Row],[Year]]),ISNUMBER(Table14[[#This Row],[Column4]]),Table14[[#This Row],[Column4]],Table14[[#This Row],[Column4]]="",H562*(1+Table14[[#This Row],[Ávöxtun]]))</f>
        <v>183.05992397086416</v>
      </c>
      <c r="I563" cm="1">
        <f t="array" ref="I563">_xlfn.IFS(Table14[[#This Row],[Column4]]="NEW",_xlfn.XLOOKUP(Table14[[#This Row],[Year]],$M$2:$M$27,$O$2:$O$27),ISNUMBER(Table14[[#This Row],[Column4]]),Table14[[#This Row],[Column4]],Table14[[#This Row],[Column4]]="",I562*(1+Table14[[#This Row],[Ávöxtun]]))</f>
        <v>183.05992397086416</v>
      </c>
      <c r="L563" s="33">
        <v>183.05992397086416</v>
      </c>
    </row>
    <row r="564" spans="1:12">
      <c r="A564" t="s">
        <v>113</v>
      </c>
      <c r="B564">
        <v>2011</v>
      </c>
      <c r="C564" s="16">
        <v>0.03</v>
      </c>
      <c r="D564" s="1">
        <v>8325781</v>
      </c>
      <c r="E564" s="29">
        <f>Table14[[#This Row],[Ávöxtun]]*Table14[[#This Row],[Eignir]]/SUMIFS(Table14[Eignir],Table14[Year],Table14[[#This Row],[Year]])</f>
        <v>1.2805224079069795E-4</v>
      </c>
      <c r="F564" s="23">
        <f>IF(B564=1997, 100, IF(COUNTIF(A$1:A563,A564)=0, "NEW", F563*(1+Table14[[#This Row],[Ávöxtun]])))</f>
        <v>188.5517216899901</v>
      </c>
      <c r="G564" s="18" cm="1">
        <f t="array" ref="G564">IFERROR(_xlfn.IFS(ISNUMBER(Table14[[#This Row],[Column3]]),Table14[[#This Row],[Column3]],Table14[[#This Row],[Column3]]="NEW",Table14[[#This Row],[Column3]]),"")</f>
        <v>188.5517216899901</v>
      </c>
      <c r="H564" s="15" cm="1">
        <f t="array" ref="H564">_xlfn.IFS(Table14[[#This Row],[Column4]]="NEW",AVERAGEIFS(Table14[Column4],Table14[Year],Table14[[#This Row],[Year]]),ISNUMBER(Table14[[#This Row],[Column4]]),Table14[[#This Row],[Column4]],Table14[[#This Row],[Column4]]="",H563*(1+Table14[[#This Row],[Ávöxtun]]))</f>
        <v>188.5517216899901</v>
      </c>
      <c r="I564" cm="1">
        <f t="array" ref="I564">_xlfn.IFS(Table14[[#This Row],[Column4]]="NEW",_xlfn.XLOOKUP(Table14[[#This Row],[Year]],$M$2:$M$27,$O$2:$O$27),ISNUMBER(Table14[[#This Row],[Column4]]),Table14[[#This Row],[Column4]],Table14[[#This Row],[Column4]]="",I563*(1+Table14[[#This Row],[Ávöxtun]]))</f>
        <v>188.5517216899901</v>
      </c>
      <c r="L564" s="33">
        <v>188.5517216899901</v>
      </c>
    </row>
    <row r="565" spans="1:12">
      <c r="A565" t="s">
        <v>113</v>
      </c>
      <c r="B565">
        <v>2012</v>
      </c>
      <c r="C565" s="16">
        <v>0.03</v>
      </c>
      <c r="D565" s="1">
        <v>8693781</v>
      </c>
      <c r="E565" s="29">
        <f>Table14[[#This Row],[Ávöxtun]]*Table14[[#This Row],[Eignir]]/SUMIFS(Table14[Eignir],Table14[Year],Table14[[#This Row],[Year]])</f>
        <v>1.1839855559747436E-4</v>
      </c>
      <c r="F565" s="23">
        <f>IF(B565=1997, 100, IF(COUNTIF(A$1:A564,A565)=0, "NEW", F564*(1+Table14[[#This Row],[Ávöxtun]])))</f>
        <v>194.2082733406898</v>
      </c>
      <c r="G565" s="18" cm="1">
        <f t="array" ref="G565">IFERROR(_xlfn.IFS(ISNUMBER(Table14[[#This Row],[Column3]]),Table14[[#This Row],[Column3]],Table14[[#This Row],[Column3]]="NEW",Table14[[#This Row],[Column3]]),"")</f>
        <v>194.2082733406898</v>
      </c>
      <c r="H565" s="15" cm="1">
        <f t="array" ref="H565">_xlfn.IFS(Table14[[#This Row],[Column4]]="NEW",AVERAGEIFS(Table14[Column4],Table14[Year],Table14[[#This Row],[Year]]),ISNUMBER(Table14[[#This Row],[Column4]]),Table14[[#This Row],[Column4]],Table14[[#This Row],[Column4]]="",H564*(1+Table14[[#This Row],[Ávöxtun]]))</f>
        <v>194.2082733406898</v>
      </c>
      <c r="I565" cm="1">
        <f t="array" ref="I565">_xlfn.IFS(Table14[[#This Row],[Column4]]="NEW",_xlfn.XLOOKUP(Table14[[#This Row],[Year]],$M$2:$M$27,$O$2:$O$27),ISNUMBER(Table14[[#This Row],[Column4]]),Table14[[#This Row],[Column4]],Table14[[#This Row],[Column4]]="",I564*(1+Table14[[#This Row],[Ávöxtun]]))</f>
        <v>194.2082733406898</v>
      </c>
      <c r="L565" s="33">
        <v>194.2082733406898</v>
      </c>
    </row>
    <row r="566" spans="1:12">
      <c r="A566" t="s">
        <v>113</v>
      </c>
      <c r="B566">
        <v>2013</v>
      </c>
      <c r="C566" s="16">
        <v>7.2000000000000008E-2</v>
      </c>
      <c r="D566" s="1">
        <v>9128704</v>
      </c>
      <c r="E566" s="29">
        <f>Table14[[#This Row],[Ávöxtun]]*Table14[[#This Row],[Eignir]]/SUMIFS(Table14[Eignir],Table14[Year],Table14[[#This Row],[Year]])</f>
        <v>2.7008227154994008E-4</v>
      </c>
      <c r="F566" s="23">
        <f>IF(B566=1997, 100, IF(COUNTIF(A$1:A565,A566)=0, "NEW", F565*(1+Table14[[#This Row],[Ávöxtun]])))</f>
        <v>208.19126902121948</v>
      </c>
      <c r="G566" s="18" cm="1">
        <f t="array" ref="G566">IFERROR(_xlfn.IFS(ISNUMBER(Table14[[#This Row],[Column3]]),Table14[[#This Row],[Column3]],Table14[[#This Row],[Column3]]="NEW",Table14[[#This Row],[Column3]]),"")</f>
        <v>208.19126902121948</v>
      </c>
      <c r="H566" s="15" cm="1">
        <f t="array" ref="H566">_xlfn.IFS(Table14[[#This Row],[Column4]]="NEW",AVERAGEIFS(Table14[Column4],Table14[Year],Table14[[#This Row],[Year]]),ISNUMBER(Table14[[#This Row],[Column4]]),Table14[[#This Row],[Column4]],Table14[[#This Row],[Column4]]="",H565*(1+Table14[[#This Row],[Ávöxtun]]))</f>
        <v>208.19126902121948</v>
      </c>
      <c r="I566" cm="1">
        <f t="array" ref="I566">_xlfn.IFS(Table14[[#This Row],[Column4]]="NEW",_xlfn.XLOOKUP(Table14[[#This Row],[Year]],$M$2:$M$27,$O$2:$O$27),ISNUMBER(Table14[[#This Row],[Column4]]),Table14[[#This Row],[Column4]],Table14[[#This Row],[Column4]]="",I565*(1+Table14[[#This Row],[Ávöxtun]]))</f>
        <v>208.19126902121948</v>
      </c>
      <c r="L566" s="33">
        <v>208.19126902121948</v>
      </c>
    </row>
    <row r="567" spans="1:12">
      <c r="A567" t="s">
        <v>113</v>
      </c>
      <c r="B567">
        <v>2014</v>
      </c>
      <c r="C567" s="16">
        <v>0.05</v>
      </c>
      <c r="D567" s="1">
        <v>9397602</v>
      </c>
      <c r="E567" s="29">
        <f>Table14[[#This Row],[Ávöxtun]]*Table14[[#This Row],[Eignir]]/SUMIFS(Table14[Eignir],Table14[Year],Table14[[#This Row],[Year]])</f>
        <v>1.7711150738962742E-4</v>
      </c>
      <c r="F567" s="23">
        <f>IF(B567=1997, 100, IF(COUNTIF(A$1:A566,A567)=0, "NEW", F566*(1+Table14[[#This Row],[Ávöxtun]])))</f>
        <v>218.60083247228047</v>
      </c>
      <c r="G567" s="18" cm="1">
        <f t="array" ref="G567">IFERROR(_xlfn.IFS(ISNUMBER(Table14[[#This Row],[Column3]]),Table14[[#This Row],[Column3]],Table14[[#This Row],[Column3]]="NEW",Table14[[#This Row],[Column3]]),"")</f>
        <v>218.60083247228047</v>
      </c>
      <c r="H567" s="15" cm="1">
        <f t="array" ref="H567">_xlfn.IFS(Table14[[#This Row],[Column4]]="NEW",AVERAGEIFS(Table14[Column4],Table14[Year],Table14[[#This Row],[Year]]),ISNUMBER(Table14[[#This Row],[Column4]]),Table14[[#This Row],[Column4]],Table14[[#This Row],[Column4]]="",H566*(1+Table14[[#This Row],[Ávöxtun]]))</f>
        <v>218.60083247228047</v>
      </c>
      <c r="I567" cm="1">
        <f t="array" ref="I567">_xlfn.IFS(Table14[[#This Row],[Column4]]="NEW",_xlfn.XLOOKUP(Table14[[#This Row],[Year]],$M$2:$M$27,$O$2:$O$27),ISNUMBER(Table14[[#This Row],[Column4]]),Table14[[#This Row],[Column4]],Table14[[#This Row],[Column4]]="",I566*(1+Table14[[#This Row],[Ávöxtun]]))</f>
        <v>218.60083247228047</v>
      </c>
      <c r="L567" s="33">
        <v>218.60083247228047</v>
      </c>
    </row>
    <row r="568" spans="1:12">
      <c r="A568" t="s">
        <v>113</v>
      </c>
      <c r="B568">
        <v>2015</v>
      </c>
      <c r="C568" s="16">
        <v>0.09</v>
      </c>
      <c r="D568" s="1">
        <v>10346055</v>
      </c>
      <c r="E568" s="29">
        <f>Table14[[#This Row],[Ávöxtun]]*Table14[[#This Row],[Eignir]]/SUMIFS(Table14[Eignir],Table14[Year],Table14[[#This Row],[Year]])</f>
        <v>3.1442959250112994E-4</v>
      </c>
      <c r="F568" s="23">
        <f>IF(B568=1997, 100, IF(COUNTIF(A$1:A567,A568)=0, "NEW", F567*(1+Table14[[#This Row],[Ávöxtun]])))</f>
        <v>238.27490739478574</v>
      </c>
      <c r="G568" s="18" cm="1">
        <f t="array" ref="G568">IFERROR(_xlfn.IFS(ISNUMBER(Table14[[#This Row],[Column3]]),Table14[[#This Row],[Column3]],Table14[[#This Row],[Column3]]="NEW",Table14[[#This Row],[Column3]]),"")</f>
        <v>238.27490739478574</v>
      </c>
      <c r="H568" s="15" cm="1">
        <f t="array" ref="H568">_xlfn.IFS(Table14[[#This Row],[Column4]]="NEW",AVERAGEIFS(Table14[Column4],Table14[Year],Table14[[#This Row],[Year]]),ISNUMBER(Table14[[#This Row],[Column4]]),Table14[[#This Row],[Column4]],Table14[[#This Row],[Column4]]="",H567*(1+Table14[[#This Row],[Ávöxtun]]))</f>
        <v>238.27490739478574</v>
      </c>
      <c r="I568" cm="1">
        <f t="array" ref="I568">_xlfn.IFS(Table14[[#This Row],[Column4]]="NEW",_xlfn.XLOOKUP(Table14[[#This Row],[Year]],$M$2:$M$27,$O$2:$O$27),ISNUMBER(Table14[[#This Row],[Column4]]),Table14[[#This Row],[Column4]],Table14[[#This Row],[Column4]]="",I567*(1+Table14[[#This Row],[Ávöxtun]]))</f>
        <v>238.27490739478574</v>
      </c>
      <c r="L568" s="33">
        <v>238.27490739478574</v>
      </c>
    </row>
    <row r="569" spans="1:12">
      <c r="A569" t="s">
        <v>113</v>
      </c>
      <c r="B569">
        <v>2016</v>
      </c>
      <c r="C569" s="16">
        <v>2.2499999999999999E-2</v>
      </c>
      <c r="D569" s="1">
        <v>10443166.810000001</v>
      </c>
      <c r="E569" s="29">
        <f>Table14[[#This Row],[Ávöxtun]]*Table14[[#This Row],[Eignir]]/SUMIFS(Table14[Eignir],Table14[Year],Table14[[#This Row],[Year]])</f>
        <v>7.3427446019576063E-5</v>
      </c>
      <c r="F569" s="23">
        <f>IF(B569=1997, 100, IF(COUNTIF(A$1:A568,A569)=0, "NEW", F568*(1+Table14[[#This Row],[Ávöxtun]])))</f>
        <v>243.63609281116842</v>
      </c>
      <c r="G569" s="18" cm="1">
        <f t="array" ref="G569">IFERROR(_xlfn.IFS(ISNUMBER(Table14[[#This Row],[Column3]]),Table14[[#This Row],[Column3]],Table14[[#This Row],[Column3]]="NEW",Table14[[#This Row],[Column3]]),"")</f>
        <v>243.63609281116842</v>
      </c>
      <c r="H569" s="15" cm="1">
        <f t="array" ref="H569">_xlfn.IFS(Table14[[#This Row],[Column4]]="NEW",AVERAGEIFS(Table14[Column4],Table14[Year],Table14[[#This Row],[Year]]),ISNUMBER(Table14[[#This Row],[Column4]]),Table14[[#This Row],[Column4]],Table14[[#This Row],[Column4]]="",H568*(1+Table14[[#This Row],[Ávöxtun]]))</f>
        <v>243.63609281116842</v>
      </c>
      <c r="I569" cm="1">
        <f t="array" ref="I569">_xlfn.IFS(Table14[[#This Row],[Column4]]="NEW",_xlfn.XLOOKUP(Table14[[#This Row],[Year]],$M$2:$M$27,$O$2:$O$27),ISNUMBER(Table14[[#This Row],[Column4]]),Table14[[#This Row],[Column4]],Table14[[#This Row],[Column4]]="",I568*(1+Table14[[#This Row],[Ávöxtun]]))</f>
        <v>243.63609281116842</v>
      </c>
      <c r="L569" s="33">
        <v>243.63609281116842</v>
      </c>
    </row>
    <row r="570" spans="1:12">
      <c r="A570" t="s">
        <v>113</v>
      </c>
      <c r="B570">
        <v>2017</v>
      </c>
      <c r="C570" s="16">
        <v>3.4000000000000002E-2</v>
      </c>
      <c r="D570" s="1">
        <v>11991979</v>
      </c>
      <c r="E570" s="29">
        <f>Table14[[#This Row],[Ávöxtun]]*Table14[[#This Row],[Eignir]]/SUMIFS(Table14[Eignir],Table14[Year],Table14[[#This Row],[Year]])</f>
        <v>1.1455744698003492E-4</v>
      </c>
      <c r="F570" s="23">
        <f>IF(B570=1997, 100, IF(COUNTIF(A$1:A569,A570)=0, "NEW", F569*(1+Table14[[#This Row],[Ávöxtun]])))</f>
        <v>251.91971996674815</v>
      </c>
      <c r="G570" s="18" cm="1">
        <f t="array" ref="G570">IFERROR(_xlfn.IFS(ISNUMBER(Table14[[#This Row],[Column3]]),Table14[[#This Row],[Column3]],Table14[[#This Row],[Column3]]="NEW",Table14[[#This Row],[Column3]]),"")</f>
        <v>251.91971996674815</v>
      </c>
      <c r="H570" s="15" cm="1">
        <f t="array" ref="H570">_xlfn.IFS(Table14[[#This Row],[Column4]]="NEW",AVERAGEIFS(Table14[Column4],Table14[Year],Table14[[#This Row],[Year]]),ISNUMBER(Table14[[#This Row],[Column4]]),Table14[[#This Row],[Column4]],Table14[[#This Row],[Column4]]="",H569*(1+Table14[[#This Row],[Ávöxtun]]))</f>
        <v>251.91971996674815</v>
      </c>
      <c r="I570" cm="1">
        <f t="array" ref="I570">_xlfn.IFS(Table14[[#This Row],[Column4]]="NEW",_xlfn.XLOOKUP(Table14[[#This Row],[Year]],$M$2:$M$27,$O$2:$O$27),ISNUMBER(Table14[[#This Row],[Column4]]),Table14[[#This Row],[Column4]],Table14[[#This Row],[Column4]]="",I569*(1+Table14[[#This Row],[Ávöxtun]]))</f>
        <v>251.91971996674815</v>
      </c>
      <c r="L570" s="33">
        <v>251.91971996674815</v>
      </c>
    </row>
    <row r="571" spans="1:12">
      <c r="A571" t="s">
        <v>113</v>
      </c>
      <c r="B571">
        <v>2018</v>
      </c>
      <c r="C571" s="16">
        <v>6.9999999999999993E-3</v>
      </c>
      <c r="D571" s="1">
        <v>12025984</v>
      </c>
      <c r="E571" s="29">
        <f>Table14[[#This Row],[Ávöxtun]]*Table14[[#This Row],[Eignir]]/SUMIFS(Table14[Eignir],Table14[Year],Table14[[#This Row],[Year]])</f>
        <v>2.2046848628320653E-5</v>
      </c>
      <c r="F571" s="23">
        <f>IF(B571=1997, 100, IF(COUNTIF(A$1:A570,A571)=0, "NEW", F570*(1+Table14[[#This Row],[Ávöxtun]])))</f>
        <v>253.68315800651536</v>
      </c>
      <c r="G571" s="18" cm="1">
        <f t="array" ref="G571">IFERROR(_xlfn.IFS(ISNUMBER(Table14[[#This Row],[Column3]]),Table14[[#This Row],[Column3]],Table14[[#This Row],[Column3]]="NEW",Table14[[#This Row],[Column3]]),"")</f>
        <v>253.68315800651536</v>
      </c>
      <c r="H571" s="15" cm="1">
        <f t="array" ref="H571">_xlfn.IFS(Table14[[#This Row],[Column4]]="NEW",AVERAGEIFS(Table14[Column4],Table14[Year],Table14[[#This Row],[Year]]),ISNUMBER(Table14[[#This Row],[Column4]]),Table14[[#This Row],[Column4]],Table14[[#This Row],[Column4]]="",H570*(1+Table14[[#This Row],[Ávöxtun]]))</f>
        <v>253.68315800651536</v>
      </c>
      <c r="I571" cm="1">
        <f t="array" ref="I571">_xlfn.IFS(Table14[[#This Row],[Column4]]="NEW",_xlfn.XLOOKUP(Table14[[#This Row],[Year]],$M$2:$M$27,$O$2:$O$27),ISNUMBER(Table14[[#This Row],[Column4]]),Table14[[#This Row],[Column4]],Table14[[#This Row],[Column4]]="",I570*(1+Table14[[#This Row],[Ávöxtun]]))</f>
        <v>253.68315800651536</v>
      </c>
      <c r="L571" s="33">
        <v>253.68315800651536</v>
      </c>
    </row>
    <row r="572" spans="1:12">
      <c r="A572" t="s">
        <v>113</v>
      </c>
      <c r="B572">
        <v>2019</v>
      </c>
      <c r="C572" s="16">
        <v>6.7000000000000004E-2</v>
      </c>
      <c r="D572" s="1">
        <v>12726848.77</v>
      </c>
      <c r="E572" s="29">
        <f>Table14[[#This Row],[Ávöxtun]]*Table14[[#This Row],[Eignir]]/SUMIFS(Table14[Eignir],Table14[Year],Table14[[#This Row],[Year]])</f>
        <v>1.9261851332056176E-4</v>
      </c>
      <c r="F572" s="23">
        <f>IF(B572=1997, 100, IF(COUNTIF(A$1:A571,A572)=0, "NEW", F571*(1+Table14[[#This Row],[Ávöxtun]])))</f>
        <v>270.67992959295185</v>
      </c>
      <c r="G572" s="18" cm="1">
        <f t="array" ref="G572">IFERROR(_xlfn.IFS(ISNUMBER(Table14[[#This Row],[Column3]]),Table14[[#This Row],[Column3]],Table14[[#This Row],[Column3]]="NEW",Table14[[#This Row],[Column3]]),"")</f>
        <v>270.67992959295185</v>
      </c>
      <c r="H572" s="15" cm="1">
        <f t="array" ref="H572">_xlfn.IFS(Table14[[#This Row],[Column4]]="NEW",AVERAGEIFS(Table14[Column4],Table14[Year],Table14[[#This Row],[Year]]),ISNUMBER(Table14[[#This Row],[Column4]]),Table14[[#This Row],[Column4]],Table14[[#This Row],[Column4]]="",H571*(1+Table14[[#This Row],[Ávöxtun]]))</f>
        <v>270.67992959295185</v>
      </c>
      <c r="I572" cm="1">
        <f t="array" ref="I572">_xlfn.IFS(Table14[[#This Row],[Column4]]="NEW",_xlfn.XLOOKUP(Table14[[#This Row],[Year]],$M$2:$M$27,$O$2:$O$27),ISNUMBER(Table14[[#This Row],[Column4]]),Table14[[#This Row],[Column4]],Table14[[#This Row],[Column4]]="",I571*(1+Table14[[#This Row],[Ávöxtun]]))</f>
        <v>270.67992959295185</v>
      </c>
      <c r="L572" s="33">
        <v>270.67992959295185</v>
      </c>
    </row>
    <row r="573" spans="1:12">
      <c r="A573" t="s">
        <v>113</v>
      </c>
      <c r="B573">
        <v>2020</v>
      </c>
      <c r="C573" s="16">
        <v>7.4200000000000002E-2</v>
      </c>
      <c r="D573" s="1">
        <v>13505036.48</v>
      </c>
      <c r="E573" s="29">
        <f>Table14[[#This Row],[Ávöxtun]]*Table14[[#This Row],[Eignir]]/SUMIFS(Table14[Eignir],Table14[Year],Table14[[#This Row],[Year]])</f>
        <v>1.9508450156564109E-4</v>
      </c>
      <c r="F573" s="23">
        <f>IF(B573=1997, 100, IF(COUNTIF(A$1:A572,A573)=0, "NEW", F572*(1+Table14[[#This Row],[Ávöxtun]])))</f>
        <v>290.7643803687489</v>
      </c>
      <c r="G573" s="18" cm="1">
        <f t="array" ref="G573">IFERROR(_xlfn.IFS(ISNUMBER(Table14[[#This Row],[Column3]]),Table14[[#This Row],[Column3]],Table14[[#This Row],[Column3]]="NEW",Table14[[#This Row],[Column3]]),"")</f>
        <v>290.7643803687489</v>
      </c>
      <c r="H573" s="15" cm="1">
        <f t="array" ref="H573">_xlfn.IFS(Table14[[#This Row],[Column4]]="NEW",AVERAGEIFS(Table14[Column4],Table14[Year],Table14[[#This Row],[Year]]),ISNUMBER(Table14[[#This Row],[Column4]]),Table14[[#This Row],[Column4]],Table14[[#This Row],[Column4]]="",H572*(1+Table14[[#This Row],[Ávöxtun]]))</f>
        <v>290.7643803687489</v>
      </c>
      <c r="I573" cm="1">
        <f t="array" ref="I573">_xlfn.IFS(Table14[[#This Row],[Column4]]="NEW",_xlfn.XLOOKUP(Table14[[#This Row],[Year]],$M$2:$M$27,$O$2:$O$27),ISNUMBER(Table14[[#This Row],[Column4]]),Table14[[#This Row],[Column4]],Table14[[#This Row],[Column4]]="",I572*(1+Table14[[#This Row],[Ávöxtun]]))</f>
        <v>290.7643803687489</v>
      </c>
      <c r="L573" s="33">
        <v>290.7643803687489</v>
      </c>
    </row>
    <row r="574" spans="1:12">
      <c r="A574" t="s">
        <v>113</v>
      </c>
      <c r="B574">
        <v>2021</v>
      </c>
      <c r="C574" s="16">
        <v>0.08</v>
      </c>
      <c r="D574" s="1">
        <v>14586205.210000001</v>
      </c>
      <c r="E574" s="29">
        <f>Table14[[#This Row],[Ávöxtun]]*Table14[[#This Row],[Eignir]]/SUMIFS(Table14[Eignir],Table14[Year],Table14[[#This Row],[Year]])</f>
        <v>1.932108224688719E-4</v>
      </c>
      <c r="F574" s="23">
        <f>IF(B574=1997, 100, IF(COUNTIF(A$1:A573,A574)=0, "NEW", F573*(1+Table14[[#This Row],[Ávöxtun]])))</f>
        <v>314.02553079824884</v>
      </c>
      <c r="G574" s="18" cm="1">
        <f t="array" ref="G574">IFERROR(_xlfn.IFS(ISNUMBER(Table14[[#This Row],[Column3]]),Table14[[#This Row],[Column3]],Table14[[#This Row],[Column3]]="NEW",Table14[[#This Row],[Column3]]),"")</f>
        <v>314.02553079824884</v>
      </c>
      <c r="H574" s="15" cm="1">
        <f t="array" ref="H574">_xlfn.IFS(Table14[[#This Row],[Column4]]="NEW",AVERAGEIFS(Table14[Column4],Table14[Year],Table14[[#This Row],[Year]]),ISNUMBER(Table14[[#This Row],[Column4]]),Table14[[#This Row],[Column4]],Table14[[#This Row],[Column4]]="",H573*(1+Table14[[#This Row],[Ávöxtun]]))</f>
        <v>314.02553079824884</v>
      </c>
      <c r="I574" cm="1">
        <f t="array" ref="I574">_xlfn.IFS(Table14[[#This Row],[Column4]]="NEW",_xlfn.XLOOKUP(Table14[[#This Row],[Year]],$M$2:$M$27,$O$2:$O$27),ISNUMBER(Table14[[#This Row],[Column4]]),Table14[[#This Row],[Column4]],Table14[[#This Row],[Column4]]="",I573*(1+Table14[[#This Row],[Ávöxtun]]))</f>
        <v>314.02553079824884</v>
      </c>
      <c r="L574" s="33">
        <v>314.02553079824884</v>
      </c>
    </row>
    <row r="575" spans="1:12">
      <c r="A575" t="s">
        <v>114</v>
      </c>
      <c r="B575">
        <v>1997</v>
      </c>
      <c r="C575" s="16">
        <v>0.02</v>
      </c>
      <c r="D575" s="1">
        <v>4701050</v>
      </c>
      <c r="E575" s="29">
        <f>Table14[[#This Row],[Ávöxtun]]*Table14[[#This Row],[Eignir]]/SUMIFS(Table14[Eignir],Table14[Year],Table14[[#This Row],[Year]])</f>
        <v>2.7732735127196161E-4</v>
      </c>
      <c r="F575" s="23">
        <f>IF(B575=1997, 100, IF(COUNTIF(A$1:A574,A575)=0, "NEW", F574*(1+Table14[[#This Row],[Ávöxtun]])))</f>
        <v>100</v>
      </c>
      <c r="G575" s="18" cm="1">
        <f t="array" ref="G575">IFERROR(_xlfn.IFS(ISNUMBER(Table14[[#This Row],[Column3]]),Table14[[#This Row],[Column3]],Table14[[#This Row],[Column3]]="NEW",Table14[[#This Row],[Column3]]),"")</f>
        <v>100</v>
      </c>
      <c r="H575" s="15" cm="1">
        <f t="array" ref="H575">_xlfn.IFS(Table14[[#This Row],[Column4]]="NEW",AVERAGEIFS(Table14[Column4],Table14[Year],Table14[[#This Row],[Year]]),ISNUMBER(Table14[[#This Row],[Column4]]),Table14[[#This Row],[Column4]],Table14[[#This Row],[Column4]]="",H574*(1+Table14[[#This Row],[Ávöxtun]]))</f>
        <v>100</v>
      </c>
      <c r="I575" cm="1">
        <f t="array" ref="I575">_xlfn.IFS(Table14[[#This Row],[Column4]]="NEW",_xlfn.XLOOKUP(Table14[[#This Row],[Year]],$M$2:$M$27,$O$2:$O$27),ISNUMBER(Table14[[#This Row],[Column4]]),Table14[[#This Row],[Column4]],Table14[[#This Row],[Column4]]="",I574*(1+Table14[[#This Row],[Ávöxtun]]))</f>
        <v>100</v>
      </c>
      <c r="L575" s="33">
        <v>100</v>
      </c>
    </row>
    <row r="576" spans="1:12">
      <c r="A576" t="s">
        <v>114</v>
      </c>
      <c r="B576">
        <v>1998</v>
      </c>
      <c r="C576" s="16">
        <v>0.1</v>
      </c>
      <c r="D576" s="1">
        <v>5380107.6100000003</v>
      </c>
      <c r="E576" s="29">
        <f>Table14[[#This Row],[Ávöxtun]]*Table14[[#This Row],[Eignir]]/SUMIFS(Table14[Eignir],Table14[Year],Table14[[#This Row],[Year]])</f>
        <v>1.3737558785898839E-3</v>
      </c>
      <c r="F576" s="23">
        <f>IF(B576=1997, 100, IF(COUNTIF(A$1:A575,A576)=0, "NEW", F575*(1+Table14[[#This Row],[Ávöxtun]])))</f>
        <v>110.00000000000001</v>
      </c>
      <c r="G576" s="18" cm="1">
        <f t="array" ref="G576">IFERROR(_xlfn.IFS(ISNUMBER(Table14[[#This Row],[Column3]]),Table14[[#This Row],[Column3]],Table14[[#This Row],[Column3]]="NEW",Table14[[#This Row],[Column3]]),"")</f>
        <v>110.00000000000001</v>
      </c>
      <c r="H576" s="15" cm="1">
        <f t="array" ref="H576">_xlfn.IFS(Table14[[#This Row],[Column4]]="NEW",AVERAGEIFS(Table14[Column4],Table14[Year],Table14[[#This Row],[Year]]),ISNUMBER(Table14[[#This Row],[Column4]]),Table14[[#This Row],[Column4]],Table14[[#This Row],[Column4]]="",H575*(1+Table14[[#This Row],[Ávöxtun]]))</f>
        <v>110.00000000000001</v>
      </c>
      <c r="I576" cm="1">
        <f t="array" ref="I576">_xlfn.IFS(Table14[[#This Row],[Column4]]="NEW",_xlfn.XLOOKUP(Table14[[#This Row],[Year]],$M$2:$M$27,$O$2:$O$27),ISNUMBER(Table14[[#This Row],[Column4]]),Table14[[#This Row],[Column4]],Table14[[#This Row],[Column4]]="",I575*(1+Table14[[#This Row],[Ávöxtun]]))</f>
        <v>110.00000000000001</v>
      </c>
      <c r="L576" s="33">
        <v>110.00000000000001</v>
      </c>
    </row>
    <row r="577" spans="1:12">
      <c r="A577" t="s">
        <v>114</v>
      </c>
      <c r="B577">
        <v>1999</v>
      </c>
      <c r="C577" s="16">
        <v>0.14000000000000001</v>
      </c>
      <c r="D577" s="1">
        <v>5992910.3499999996</v>
      </c>
      <c r="E577" s="29">
        <f>Table14[[#This Row],[Ávöxtun]]*Table14[[#This Row],[Eignir]]/SUMIFS(Table14[Eignir],Table14[Year],Table14[[#This Row],[Year]])</f>
        <v>1.6112551623747532E-3</v>
      </c>
      <c r="F577" s="23">
        <f>IF(B577=1997, 100, IF(COUNTIF(A$1:A576,A577)=0, "NEW", F576*(1+Table14[[#This Row],[Ávöxtun]])))</f>
        <v>125.40000000000003</v>
      </c>
      <c r="G577" s="18" cm="1">
        <f t="array" ref="G577">IFERROR(_xlfn.IFS(ISNUMBER(Table14[[#This Row],[Column3]]),Table14[[#This Row],[Column3]],Table14[[#This Row],[Column3]]="NEW",Table14[[#This Row],[Column3]]),"")</f>
        <v>125.40000000000003</v>
      </c>
      <c r="H577" s="15" cm="1">
        <f t="array" ref="H577">_xlfn.IFS(Table14[[#This Row],[Column4]]="NEW",AVERAGEIFS(Table14[Column4],Table14[Year],Table14[[#This Row],[Year]]),ISNUMBER(Table14[[#This Row],[Column4]]),Table14[[#This Row],[Column4]],Table14[[#This Row],[Column4]]="",H576*(1+Table14[[#This Row],[Ávöxtun]]))</f>
        <v>125.40000000000003</v>
      </c>
      <c r="I577" cm="1">
        <f t="array" ref="I577">_xlfn.IFS(Table14[[#This Row],[Column4]]="NEW",_xlfn.XLOOKUP(Table14[[#This Row],[Year]],$M$2:$M$27,$O$2:$O$27),ISNUMBER(Table14[[#This Row],[Column4]]),Table14[[#This Row],[Column4]],Table14[[#This Row],[Column4]]="",I576*(1+Table14[[#This Row],[Ávöxtun]]))</f>
        <v>125.40000000000003</v>
      </c>
      <c r="L577" s="33">
        <v>125.40000000000003</v>
      </c>
    </row>
    <row r="578" spans="1:12">
      <c r="A578" t="s">
        <v>114</v>
      </c>
      <c r="B578">
        <v>2000</v>
      </c>
      <c r="C578" s="16">
        <v>-0.01</v>
      </c>
      <c r="D578" s="1">
        <v>6122434.2400000002</v>
      </c>
      <c r="E578" s="29">
        <f>Table14[[#This Row],[Ávöxtun]]*Table14[[#This Row],[Eignir]]/SUMIFS(Table14[Eignir],Table14[Year],Table14[[#This Row],[Year]])</f>
        <v>-8.6123545559261221E-5</v>
      </c>
      <c r="F578" s="23">
        <f>IF(B578=1997, 100, IF(COUNTIF(A$1:A577,A578)=0, "NEW", F577*(1+Table14[[#This Row],[Ávöxtun]])))</f>
        <v>124.14600000000003</v>
      </c>
      <c r="G578" s="18" cm="1">
        <f t="array" ref="G578">IFERROR(_xlfn.IFS(ISNUMBER(Table14[[#This Row],[Column3]]),Table14[[#This Row],[Column3]],Table14[[#This Row],[Column3]]="NEW",Table14[[#This Row],[Column3]]),"")</f>
        <v>124.14600000000003</v>
      </c>
      <c r="H578" s="15" cm="1">
        <f t="array" ref="H578">_xlfn.IFS(Table14[[#This Row],[Column4]]="NEW",AVERAGEIFS(Table14[Column4],Table14[Year],Table14[[#This Row],[Year]]),ISNUMBER(Table14[[#This Row],[Column4]]),Table14[[#This Row],[Column4]],Table14[[#This Row],[Column4]]="",H577*(1+Table14[[#This Row],[Ávöxtun]]))</f>
        <v>124.14600000000003</v>
      </c>
      <c r="I578" cm="1">
        <f t="array" ref="I578">_xlfn.IFS(Table14[[#This Row],[Column4]]="NEW",_xlfn.XLOOKUP(Table14[[#This Row],[Year]],$M$2:$M$27,$O$2:$O$27),ISNUMBER(Table14[[#This Row],[Column4]]),Table14[[#This Row],[Column4]],Table14[[#This Row],[Column4]]="",I577*(1+Table14[[#This Row],[Ávöxtun]]))</f>
        <v>124.14600000000003</v>
      </c>
      <c r="L578" s="33">
        <v>124.14600000000003</v>
      </c>
    </row>
    <row r="579" spans="1:12">
      <c r="A579" t="s">
        <v>114</v>
      </c>
      <c r="B579">
        <v>2001</v>
      </c>
      <c r="C579" s="16">
        <v>-0.02</v>
      </c>
      <c r="D579" s="1">
        <v>6362109.0599999996</v>
      </c>
      <c r="E579" s="29">
        <f>Table14[[#This Row],[Ávöxtun]]*Table14[[#This Row],[Eignir]]/SUMIFS(Table14[Eignir],Table14[Year],Table14[[#This Row],[Year]])</f>
        <v>-1.0988898294290336E-4</v>
      </c>
      <c r="F579" s="23">
        <f>IF(B579=1997, 100, IF(COUNTIF(A$1:A578,A579)=0, "NEW", F578*(1+Table14[[#This Row],[Ávöxtun]])))</f>
        <v>121.66308000000002</v>
      </c>
      <c r="G579" s="18" cm="1">
        <f t="array" ref="G579">IFERROR(_xlfn.IFS(ISNUMBER(Table14[[#This Row],[Column3]]),Table14[[#This Row],[Column3]],Table14[[#This Row],[Column3]]="NEW",Table14[[#This Row],[Column3]]),"")</f>
        <v>121.66308000000002</v>
      </c>
      <c r="H579" s="15" cm="1">
        <f t="array" ref="H579">_xlfn.IFS(Table14[[#This Row],[Column4]]="NEW",AVERAGEIFS(Table14[Column4],Table14[Year],Table14[[#This Row],[Year]]),ISNUMBER(Table14[[#This Row],[Column4]]),Table14[[#This Row],[Column4]],Table14[[#This Row],[Column4]]="",H578*(1+Table14[[#This Row],[Ávöxtun]]))</f>
        <v>121.66308000000002</v>
      </c>
      <c r="I579" cm="1">
        <f t="array" ref="I579">_xlfn.IFS(Table14[[#This Row],[Column4]]="NEW",_xlfn.XLOOKUP(Table14[[#This Row],[Year]],$M$2:$M$27,$O$2:$O$27),ISNUMBER(Table14[[#This Row],[Column4]]),Table14[[#This Row],[Column4]],Table14[[#This Row],[Column4]]="",I578*(1+Table14[[#This Row],[Ávöxtun]]))</f>
        <v>121.66308000000002</v>
      </c>
      <c r="L579" s="33">
        <v>121.66308000000002</v>
      </c>
    </row>
    <row r="580" spans="1:12">
      <c r="A580" t="s">
        <v>114</v>
      </c>
      <c r="B580">
        <v>2002</v>
      </c>
      <c r="C580" s="16">
        <v>0.05</v>
      </c>
      <c r="D580" s="1">
        <v>6712815.9199999999</v>
      </c>
      <c r="E580" s="29">
        <f>Table14[[#This Row],[Ávöxtun]]*Table14[[#This Row],[Eignir]]/SUMIFS(Table14[Eignir],Table14[Year],Table14[[#This Row],[Year]])</f>
        <v>5.2843157659035922E-4</v>
      </c>
      <c r="F580" s="23">
        <f>IF(B580=1997, 100, IF(COUNTIF(A$1:A579,A580)=0, "NEW", F579*(1+Table14[[#This Row],[Ávöxtun]])))</f>
        <v>127.74623400000003</v>
      </c>
      <c r="G580" s="18" cm="1">
        <f t="array" ref="G580">IFERROR(_xlfn.IFS(ISNUMBER(Table14[[#This Row],[Column3]]),Table14[[#This Row],[Column3]],Table14[[#This Row],[Column3]]="NEW",Table14[[#This Row],[Column3]]),"")</f>
        <v>127.74623400000003</v>
      </c>
      <c r="H580" s="15" cm="1">
        <f t="array" ref="H580">_xlfn.IFS(Table14[[#This Row],[Column4]]="NEW",AVERAGEIFS(Table14[Column4],Table14[Year],Table14[[#This Row],[Year]]),ISNUMBER(Table14[[#This Row],[Column4]]),Table14[[#This Row],[Column4]],Table14[[#This Row],[Column4]]="",H579*(1+Table14[[#This Row],[Ávöxtun]]))</f>
        <v>127.74623400000003</v>
      </c>
      <c r="I580" cm="1">
        <f t="array" ref="I580">_xlfn.IFS(Table14[[#This Row],[Column4]]="NEW",_xlfn.XLOOKUP(Table14[[#This Row],[Year]],$M$2:$M$27,$O$2:$O$27),ISNUMBER(Table14[[#This Row],[Column4]]),Table14[[#This Row],[Column4]],Table14[[#This Row],[Column4]]="",I579*(1+Table14[[#This Row],[Ávöxtun]]))</f>
        <v>127.74623400000003</v>
      </c>
      <c r="L580" s="33">
        <v>127.74623400000003</v>
      </c>
    </row>
    <row r="581" spans="1:12">
      <c r="A581" t="s">
        <v>114</v>
      </c>
      <c r="B581">
        <v>2003</v>
      </c>
      <c r="C581" s="16">
        <v>0.11</v>
      </c>
      <c r="D581" s="1">
        <v>7503172</v>
      </c>
      <c r="E581" s="29">
        <f>Table14[[#This Row],[Ávöxtun]]*Table14[[#This Row],[Eignir]]/SUMIFS(Table14[Eignir],Table14[Year],Table14[[#This Row],[Year]])</f>
        <v>1.0861406321638874E-3</v>
      </c>
      <c r="F581" s="23">
        <f>IF(B581=1997, 100, IF(COUNTIF(A$1:A580,A581)=0, "NEW", F580*(1+Table14[[#This Row],[Ávöxtun]])))</f>
        <v>141.79831974000004</v>
      </c>
      <c r="G581" s="18" cm="1">
        <f t="array" ref="G581">IFERROR(_xlfn.IFS(ISNUMBER(Table14[[#This Row],[Column3]]),Table14[[#This Row],[Column3]],Table14[[#This Row],[Column3]]="NEW",Table14[[#This Row],[Column3]]),"")</f>
        <v>141.79831974000004</v>
      </c>
      <c r="H581" s="15" cm="1">
        <f t="array" ref="H581">_xlfn.IFS(Table14[[#This Row],[Column4]]="NEW",AVERAGEIFS(Table14[Column4],Table14[Year],Table14[[#This Row],[Year]]),ISNUMBER(Table14[[#This Row],[Column4]]),Table14[[#This Row],[Column4]],Table14[[#This Row],[Column4]]="",H580*(1+Table14[[#This Row],[Ávöxtun]]))</f>
        <v>141.79831974000004</v>
      </c>
      <c r="I581" cm="1">
        <f t="array" ref="I581">_xlfn.IFS(Table14[[#This Row],[Column4]]="NEW",_xlfn.XLOOKUP(Table14[[#This Row],[Year]],$M$2:$M$27,$O$2:$O$27),ISNUMBER(Table14[[#This Row],[Column4]]),Table14[[#This Row],[Column4]],Table14[[#This Row],[Column4]]="",I580*(1+Table14[[#This Row],[Ávöxtun]]))</f>
        <v>141.79831974000004</v>
      </c>
      <c r="L581" s="33">
        <v>141.79831974000004</v>
      </c>
    </row>
    <row r="582" spans="1:12">
      <c r="A582" t="s">
        <v>114</v>
      </c>
      <c r="B582">
        <v>2004</v>
      </c>
      <c r="C582" s="16">
        <v>0.19</v>
      </c>
      <c r="D582" s="1">
        <v>9080552.8100000005</v>
      </c>
      <c r="E582" s="29">
        <f>Table14[[#This Row],[Ávöxtun]]*Table14[[#This Row],[Eignir]]/SUMIFS(Table14[Eignir],Table14[Year],Table14[[#This Row],[Year]])</f>
        <v>1.9008056076818235E-3</v>
      </c>
      <c r="F582" s="23">
        <f>IF(B582=1997, 100, IF(COUNTIF(A$1:A581,A582)=0, "NEW", F581*(1+Table14[[#This Row],[Ávöxtun]])))</f>
        <v>168.74000049060004</v>
      </c>
      <c r="G582" s="18" cm="1">
        <f t="array" ref="G582">IFERROR(_xlfn.IFS(ISNUMBER(Table14[[#This Row],[Column3]]),Table14[[#This Row],[Column3]],Table14[[#This Row],[Column3]]="NEW",Table14[[#This Row],[Column3]]),"")</f>
        <v>168.74000049060004</v>
      </c>
      <c r="H582" s="15" cm="1">
        <f t="array" ref="H582">_xlfn.IFS(Table14[[#This Row],[Column4]]="NEW",AVERAGEIFS(Table14[Column4],Table14[Year],Table14[[#This Row],[Year]]),ISNUMBER(Table14[[#This Row],[Column4]]),Table14[[#This Row],[Column4]],Table14[[#This Row],[Column4]]="",H581*(1+Table14[[#This Row],[Ávöxtun]]))</f>
        <v>168.74000049060004</v>
      </c>
      <c r="I582" cm="1">
        <f t="array" ref="I582">_xlfn.IFS(Table14[[#This Row],[Column4]]="NEW",_xlfn.XLOOKUP(Table14[[#This Row],[Year]],$M$2:$M$27,$O$2:$O$27),ISNUMBER(Table14[[#This Row],[Column4]]),Table14[[#This Row],[Column4]],Table14[[#This Row],[Column4]]="",I581*(1+Table14[[#This Row],[Ávöxtun]]))</f>
        <v>168.74000049060004</v>
      </c>
      <c r="L582" s="33">
        <v>168.74000049060004</v>
      </c>
    </row>
    <row r="583" spans="1:12">
      <c r="A583" t="s">
        <v>114</v>
      </c>
      <c r="B583">
        <v>2005</v>
      </c>
      <c r="C583" s="16">
        <v>0.16</v>
      </c>
      <c r="D583" s="1">
        <v>10695930</v>
      </c>
      <c r="E583" s="29">
        <f>Table14[[#This Row],[Ávöxtun]]*Table14[[#This Row],[Eignir]]/SUMIFS(Table14[Eignir],Table14[Year],Table14[[#This Row],[Year]])</f>
        <v>1.5261671282675573E-3</v>
      </c>
      <c r="F583" s="23">
        <f>IF(B583=1997, 100, IF(COUNTIF(A$1:A582,A583)=0, "NEW", F582*(1+Table14[[#This Row],[Ávöxtun]])))</f>
        <v>195.73840056909603</v>
      </c>
      <c r="G583" s="18" cm="1">
        <f t="array" ref="G583">IFERROR(_xlfn.IFS(ISNUMBER(Table14[[#This Row],[Column3]]),Table14[[#This Row],[Column3]],Table14[[#This Row],[Column3]]="NEW",Table14[[#This Row],[Column3]]),"")</f>
        <v>195.73840056909603</v>
      </c>
      <c r="H583" s="15" cm="1">
        <f t="array" ref="H583">_xlfn.IFS(Table14[[#This Row],[Column4]]="NEW",AVERAGEIFS(Table14[Column4],Table14[Year],Table14[[#This Row],[Year]]),ISNUMBER(Table14[[#This Row],[Column4]]),Table14[[#This Row],[Column4]],Table14[[#This Row],[Column4]]="",H582*(1+Table14[[#This Row],[Ávöxtun]]))</f>
        <v>195.73840056909603</v>
      </c>
      <c r="I583" cm="1">
        <f t="array" ref="I583">_xlfn.IFS(Table14[[#This Row],[Column4]]="NEW",_xlfn.XLOOKUP(Table14[[#This Row],[Year]],$M$2:$M$27,$O$2:$O$27),ISNUMBER(Table14[[#This Row],[Column4]]),Table14[[#This Row],[Column4]],Table14[[#This Row],[Column4]]="",I582*(1+Table14[[#This Row],[Ávöxtun]]))</f>
        <v>195.73840056909603</v>
      </c>
      <c r="L583" s="33">
        <v>195.73840056909603</v>
      </c>
    </row>
    <row r="584" spans="1:12">
      <c r="A584" t="s">
        <v>114</v>
      </c>
      <c r="B584">
        <v>2006</v>
      </c>
      <c r="C584" s="16">
        <v>6.4600000000000005E-2</v>
      </c>
      <c r="D584" s="1">
        <v>11972512</v>
      </c>
      <c r="E584" s="29">
        <f>Table14[[#This Row],[Ávöxtun]]*Table14[[#This Row],[Eignir]]/SUMIFS(Table14[Eignir],Table14[Year],Table14[[#This Row],[Year]])</f>
        <v>5.6344285034445581E-4</v>
      </c>
      <c r="F584" s="23">
        <f>IF(B584=1997, 100, IF(COUNTIF(A$1:A583,A584)=0, "NEW", F583*(1+Table14[[#This Row],[Ávöxtun]])))</f>
        <v>208.38310124585962</v>
      </c>
      <c r="G584" s="18" cm="1">
        <f t="array" ref="G584">IFERROR(_xlfn.IFS(ISNUMBER(Table14[[#This Row],[Column3]]),Table14[[#This Row],[Column3]],Table14[[#This Row],[Column3]]="NEW",Table14[[#This Row],[Column3]]),"")</f>
        <v>208.38310124585962</v>
      </c>
      <c r="H584" s="15" cm="1">
        <f t="array" ref="H584">_xlfn.IFS(Table14[[#This Row],[Column4]]="NEW",AVERAGEIFS(Table14[Column4],Table14[Year],Table14[[#This Row],[Year]]),ISNUMBER(Table14[[#This Row],[Column4]]),Table14[[#This Row],[Column4]],Table14[[#This Row],[Column4]]="",H583*(1+Table14[[#This Row],[Ávöxtun]]))</f>
        <v>208.38310124585962</v>
      </c>
      <c r="I584" cm="1">
        <f t="array" ref="I584">_xlfn.IFS(Table14[[#This Row],[Column4]]="NEW",_xlfn.XLOOKUP(Table14[[#This Row],[Year]],$M$2:$M$27,$O$2:$O$27),ISNUMBER(Table14[[#This Row],[Column4]]),Table14[[#This Row],[Column4]],Table14[[#This Row],[Column4]]="",I583*(1+Table14[[#This Row],[Ávöxtun]]))</f>
        <v>208.38310124585962</v>
      </c>
      <c r="L584" s="33">
        <v>208.38310124585962</v>
      </c>
    </row>
    <row r="585" spans="1:12">
      <c r="A585" t="s">
        <v>114</v>
      </c>
      <c r="B585">
        <v>2007</v>
      </c>
      <c r="C585" s="16">
        <v>5.8200000000000002E-2</v>
      </c>
      <c r="D585" s="1">
        <v>12974259</v>
      </c>
      <c r="E585" s="29">
        <f>Table14[[#This Row],[Ávöxtun]]*Table14[[#This Row],[Eignir]]/SUMIFS(Table14[Eignir],Table14[Year],Table14[[#This Row],[Year]])</f>
        <v>4.8829408043357106E-4</v>
      </c>
      <c r="F585" s="23">
        <f>IF(B585=1997, 100, IF(COUNTIF(A$1:A584,A585)=0, "NEW", F584*(1+Table14[[#This Row],[Ávöxtun]])))</f>
        <v>220.51099773836864</v>
      </c>
      <c r="G585" s="18" cm="1">
        <f t="array" ref="G585">IFERROR(_xlfn.IFS(ISNUMBER(Table14[[#This Row],[Column3]]),Table14[[#This Row],[Column3]],Table14[[#This Row],[Column3]]="NEW",Table14[[#This Row],[Column3]]),"")</f>
        <v>220.51099773836864</v>
      </c>
      <c r="H585" s="15" cm="1">
        <f t="array" ref="H585">_xlfn.IFS(Table14[[#This Row],[Column4]]="NEW",AVERAGEIFS(Table14[Column4],Table14[Year],Table14[[#This Row],[Year]]),ISNUMBER(Table14[[#This Row],[Column4]]),Table14[[#This Row],[Column4]],Table14[[#This Row],[Column4]]="",H584*(1+Table14[[#This Row],[Ávöxtun]]))</f>
        <v>220.51099773836864</v>
      </c>
      <c r="I585" cm="1">
        <f t="array" ref="I585">_xlfn.IFS(Table14[[#This Row],[Column4]]="NEW",_xlfn.XLOOKUP(Table14[[#This Row],[Year]],$M$2:$M$27,$O$2:$O$27),ISNUMBER(Table14[[#This Row],[Column4]]),Table14[[#This Row],[Column4]],Table14[[#This Row],[Column4]]="",I584*(1+Table14[[#This Row],[Ávöxtun]]))</f>
        <v>220.51099773836864</v>
      </c>
      <c r="L585" s="33">
        <v>220.51099773836864</v>
      </c>
    </row>
    <row r="586" spans="1:12">
      <c r="A586" t="s">
        <v>114</v>
      </c>
      <c r="B586">
        <v>2008</v>
      </c>
      <c r="C586" s="16">
        <v>-4.5899999999999996E-2</v>
      </c>
      <c r="D586" s="1">
        <v>13978654</v>
      </c>
      <c r="E586" s="29">
        <f>Table14[[#This Row],[Ávöxtun]]*Table14[[#This Row],[Eignir]]/SUMIFS(Table14[Eignir],Table14[Year],Table14[[#This Row],[Year]])</f>
        <v>-4.2851302167894596E-4</v>
      </c>
      <c r="F586" s="23">
        <f>IF(B586=1997, 100, IF(COUNTIF(A$1:A585,A586)=0, "NEW", F585*(1+Table14[[#This Row],[Ávöxtun]])))</f>
        <v>210.38954294217751</v>
      </c>
      <c r="G586" s="18" cm="1">
        <f t="array" ref="G586">IFERROR(_xlfn.IFS(ISNUMBER(Table14[[#This Row],[Column3]]),Table14[[#This Row],[Column3]],Table14[[#This Row],[Column3]]="NEW",Table14[[#This Row],[Column3]]),"")</f>
        <v>210.38954294217751</v>
      </c>
      <c r="H586" s="15" cm="1">
        <f t="array" ref="H586">_xlfn.IFS(Table14[[#This Row],[Column4]]="NEW",AVERAGEIFS(Table14[Column4],Table14[Year],Table14[[#This Row],[Year]]),ISNUMBER(Table14[[#This Row],[Column4]]),Table14[[#This Row],[Column4]],Table14[[#This Row],[Column4]]="",H585*(1+Table14[[#This Row],[Ávöxtun]]))</f>
        <v>210.38954294217751</v>
      </c>
      <c r="I586" cm="1">
        <f t="array" ref="I586">_xlfn.IFS(Table14[[#This Row],[Column4]]="NEW",_xlfn.XLOOKUP(Table14[[#This Row],[Year]],$M$2:$M$27,$O$2:$O$27),ISNUMBER(Table14[[#This Row],[Column4]]),Table14[[#This Row],[Column4]],Table14[[#This Row],[Column4]]="",I585*(1+Table14[[#This Row],[Ávöxtun]]))</f>
        <v>210.38954294217751</v>
      </c>
      <c r="L586" s="33">
        <v>210.38954294217751</v>
      </c>
    </row>
    <row r="587" spans="1:12">
      <c r="A587" t="s">
        <v>114</v>
      </c>
      <c r="B587">
        <v>2009</v>
      </c>
      <c r="C587" s="16">
        <v>4.4800000000000006E-2</v>
      </c>
      <c r="D587" s="1">
        <v>15428962</v>
      </c>
      <c r="E587" s="29">
        <f>Table14[[#This Row],[Ávöxtun]]*Table14[[#This Row],[Eignir]]/SUMIFS(Table14[Eignir],Table14[Year],Table14[[#This Row],[Year]])</f>
        <v>4.1433480293963853E-4</v>
      </c>
      <c r="F587" s="23">
        <f>IF(B587=1997, 100, IF(COUNTIF(A$1:A586,A587)=0, "NEW", F586*(1+Table14[[#This Row],[Ávöxtun]])))</f>
        <v>219.81499446598707</v>
      </c>
      <c r="G587" s="18" cm="1">
        <f t="array" ref="G587">IFERROR(_xlfn.IFS(ISNUMBER(Table14[[#This Row],[Column3]]),Table14[[#This Row],[Column3]],Table14[[#This Row],[Column3]]="NEW",Table14[[#This Row],[Column3]]),"")</f>
        <v>219.81499446598707</v>
      </c>
      <c r="H587" s="15" cm="1">
        <f t="array" ref="H587">_xlfn.IFS(Table14[[#This Row],[Column4]]="NEW",AVERAGEIFS(Table14[Column4],Table14[Year],Table14[[#This Row],[Year]]),ISNUMBER(Table14[[#This Row],[Column4]]),Table14[[#This Row],[Column4]],Table14[[#This Row],[Column4]]="",H586*(1+Table14[[#This Row],[Ávöxtun]]))</f>
        <v>219.81499446598707</v>
      </c>
      <c r="I587" cm="1">
        <f t="array" ref="I587">_xlfn.IFS(Table14[[#This Row],[Column4]]="NEW",_xlfn.XLOOKUP(Table14[[#This Row],[Year]],$M$2:$M$27,$O$2:$O$27),ISNUMBER(Table14[[#This Row],[Column4]]),Table14[[#This Row],[Column4]],Table14[[#This Row],[Column4]]="",I586*(1+Table14[[#This Row],[Ávöxtun]]))</f>
        <v>219.81499446598707</v>
      </c>
      <c r="L587" s="33">
        <v>219.81499446598707</v>
      </c>
    </row>
    <row r="588" spans="1:12">
      <c r="A588" t="s">
        <v>114</v>
      </c>
      <c r="B588">
        <v>2010</v>
      </c>
      <c r="C588" s="16">
        <v>5.0099999999999999E-2</v>
      </c>
      <c r="D588" s="1">
        <v>16108136</v>
      </c>
      <c r="E588" s="29">
        <f>Table14[[#This Row],[Ávöxtun]]*Table14[[#This Row],[Eignir]]/SUMIFS(Table14[Eignir],Table14[Year],Table14[[#This Row],[Year]])</f>
        <v>4.5140601910073982E-4</v>
      </c>
      <c r="F588" s="23">
        <f>IF(B588=1997, 100, IF(COUNTIF(A$1:A587,A588)=0, "NEW", F587*(1+Table14[[#This Row],[Ávöxtun]])))</f>
        <v>230.82772568873304</v>
      </c>
      <c r="G588" s="18" cm="1">
        <f t="array" ref="G588">IFERROR(_xlfn.IFS(ISNUMBER(Table14[[#This Row],[Column3]]),Table14[[#This Row],[Column3]],Table14[[#This Row],[Column3]]="NEW",Table14[[#This Row],[Column3]]),"")</f>
        <v>230.82772568873304</v>
      </c>
      <c r="H588" s="15" cm="1">
        <f t="array" ref="H588">_xlfn.IFS(Table14[[#This Row],[Column4]]="NEW",AVERAGEIFS(Table14[Column4],Table14[Year],Table14[[#This Row],[Year]]),ISNUMBER(Table14[[#This Row],[Column4]]),Table14[[#This Row],[Column4]],Table14[[#This Row],[Column4]]="",H587*(1+Table14[[#This Row],[Ávöxtun]]))</f>
        <v>230.82772568873304</v>
      </c>
      <c r="I588" cm="1">
        <f t="array" ref="I588">_xlfn.IFS(Table14[[#This Row],[Column4]]="NEW",_xlfn.XLOOKUP(Table14[[#This Row],[Year]],$M$2:$M$27,$O$2:$O$27),ISNUMBER(Table14[[#This Row],[Column4]]),Table14[[#This Row],[Column4]],Table14[[#This Row],[Column4]]="",I587*(1+Table14[[#This Row],[Ávöxtun]]))</f>
        <v>230.82772568873304</v>
      </c>
      <c r="L588" s="33">
        <v>230.82772568873304</v>
      </c>
    </row>
    <row r="589" spans="1:12">
      <c r="A589" t="s">
        <v>114</v>
      </c>
      <c r="B589">
        <v>2011</v>
      </c>
      <c r="C589" s="16">
        <v>4.7E-2</v>
      </c>
      <c r="D589" s="1">
        <v>17134433</v>
      </c>
      <c r="E589" s="29">
        <f>Table14[[#This Row],[Ávöxtun]]*Table14[[#This Row],[Eignir]]/SUMIFS(Table14[Eignir],Table14[Year],Table14[[#This Row],[Year]])</f>
        <v>4.1286544928105371E-4</v>
      </c>
      <c r="F589" s="23">
        <f>IF(B589=1997, 100, IF(COUNTIF(A$1:A588,A589)=0, "NEW", F588*(1+Table14[[#This Row],[Ávöxtun]])))</f>
        <v>241.67662879610347</v>
      </c>
      <c r="G589" s="18" cm="1">
        <f t="array" ref="G589">IFERROR(_xlfn.IFS(ISNUMBER(Table14[[#This Row],[Column3]]),Table14[[#This Row],[Column3]],Table14[[#This Row],[Column3]]="NEW",Table14[[#This Row],[Column3]]),"")</f>
        <v>241.67662879610347</v>
      </c>
      <c r="H589" s="15" cm="1">
        <f t="array" ref="H589">_xlfn.IFS(Table14[[#This Row],[Column4]]="NEW",AVERAGEIFS(Table14[Column4],Table14[Year],Table14[[#This Row],[Year]]),ISNUMBER(Table14[[#This Row],[Column4]]),Table14[[#This Row],[Column4]],Table14[[#This Row],[Column4]]="",H588*(1+Table14[[#This Row],[Ávöxtun]]))</f>
        <v>241.67662879610347</v>
      </c>
      <c r="I589" cm="1">
        <f t="array" ref="I589">_xlfn.IFS(Table14[[#This Row],[Column4]]="NEW",_xlfn.XLOOKUP(Table14[[#This Row],[Year]],$M$2:$M$27,$O$2:$O$27),ISNUMBER(Table14[[#This Row],[Column4]]),Table14[[#This Row],[Column4]],Table14[[#This Row],[Column4]]="",I588*(1+Table14[[#This Row],[Ávöxtun]]))</f>
        <v>241.67662879610347</v>
      </c>
      <c r="L589" s="33">
        <v>241.67662879610347</v>
      </c>
    </row>
    <row r="590" spans="1:12">
      <c r="A590" t="s">
        <v>114</v>
      </c>
      <c r="B590">
        <v>2012</v>
      </c>
      <c r="C590" s="16">
        <v>5.9000000000000004E-2</v>
      </c>
      <c r="D590" s="1">
        <v>18234471</v>
      </c>
      <c r="E590" s="29">
        <f>Table14[[#This Row],[Ávöxtun]]*Table14[[#This Row],[Eignir]]/SUMIFS(Table14[Eignir],Table14[Year],Table14[[#This Row],[Year]])</f>
        <v>4.8838423190308118E-4</v>
      </c>
      <c r="F590" s="23">
        <f>IF(B590=1997, 100, IF(COUNTIF(A$1:A589,A590)=0, "NEW", F589*(1+Table14[[#This Row],[Ávöxtun]])))</f>
        <v>255.93554989507356</v>
      </c>
      <c r="G590" s="18" cm="1">
        <f t="array" ref="G590">IFERROR(_xlfn.IFS(ISNUMBER(Table14[[#This Row],[Column3]]),Table14[[#This Row],[Column3]],Table14[[#This Row],[Column3]]="NEW",Table14[[#This Row],[Column3]]),"")</f>
        <v>255.93554989507356</v>
      </c>
      <c r="H590" s="15" cm="1">
        <f t="array" ref="H590">_xlfn.IFS(Table14[[#This Row],[Column4]]="NEW",AVERAGEIFS(Table14[Column4],Table14[Year],Table14[[#This Row],[Year]]),ISNUMBER(Table14[[#This Row],[Column4]]),Table14[[#This Row],[Column4]],Table14[[#This Row],[Column4]]="",H589*(1+Table14[[#This Row],[Ávöxtun]]))</f>
        <v>255.93554989507356</v>
      </c>
      <c r="I590" cm="1">
        <f t="array" ref="I590">_xlfn.IFS(Table14[[#This Row],[Column4]]="NEW",_xlfn.XLOOKUP(Table14[[#This Row],[Year]],$M$2:$M$27,$O$2:$O$27),ISNUMBER(Table14[[#This Row],[Column4]]),Table14[[#This Row],[Column4]],Table14[[#This Row],[Column4]]="",I589*(1+Table14[[#This Row],[Ávöxtun]]))</f>
        <v>255.93554989507356</v>
      </c>
      <c r="L590" s="33">
        <v>255.93554989507356</v>
      </c>
    </row>
    <row r="591" spans="1:12">
      <c r="A591" t="s">
        <v>114</v>
      </c>
      <c r="B591">
        <v>2013</v>
      </c>
      <c r="C591" s="16">
        <v>8.3000000000000004E-2</v>
      </c>
      <c r="D591" s="1">
        <v>19591955</v>
      </c>
      <c r="E591" s="29">
        <f>Table14[[#This Row],[Ávöxtun]]*Table14[[#This Row],[Eignir]]/SUMIFS(Table14[Eignir],Table14[Year],Table14[[#This Row],[Year]])</f>
        <v>6.6820592613366873E-4</v>
      </c>
      <c r="F591" s="23">
        <f>IF(B591=1997, 100, IF(COUNTIF(A$1:A590,A591)=0, "NEW", F590*(1+Table14[[#This Row],[Ávöxtun]])))</f>
        <v>277.17820053636467</v>
      </c>
      <c r="G591" s="18" cm="1">
        <f t="array" ref="G591">IFERROR(_xlfn.IFS(ISNUMBER(Table14[[#This Row],[Column3]]),Table14[[#This Row],[Column3]],Table14[[#This Row],[Column3]]="NEW",Table14[[#This Row],[Column3]]),"")</f>
        <v>277.17820053636467</v>
      </c>
      <c r="H591" s="15" cm="1">
        <f t="array" ref="H591">_xlfn.IFS(Table14[[#This Row],[Column4]]="NEW",AVERAGEIFS(Table14[Column4],Table14[Year],Table14[[#This Row],[Year]]),ISNUMBER(Table14[[#This Row],[Column4]]),Table14[[#This Row],[Column4]],Table14[[#This Row],[Column4]]="",H590*(1+Table14[[#This Row],[Ávöxtun]]))</f>
        <v>277.17820053636467</v>
      </c>
      <c r="I591" cm="1">
        <f t="array" ref="I591">_xlfn.IFS(Table14[[#This Row],[Column4]]="NEW",_xlfn.XLOOKUP(Table14[[#This Row],[Year]],$M$2:$M$27,$O$2:$O$27),ISNUMBER(Table14[[#This Row],[Column4]]),Table14[[#This Row],[Column4]],Table14[[#This Row],[Column4]]="",I590*(1+Table14[[#This Row],[Ávöxtun]]))</f>
        <v>277.17820053636467</v>
      </c>
      <c r="L591" s="33">
        <v>277.17820053636467</v>
      </c>
    </row>
    <row r="592" spans="1:12">
      <c r="A592" t="s">
        <v>114</v>
      </c>
      <c r="B592">
        <v>2014</v>
      </c>
      <c r="C592" s="16">
        <v>5.4000000000000006E-2</v>
      </c>
      <c r="D592" s="1">
        <v>19894069</v>
      </c>
      <c r="E592" s="29">
        <f>Table14[[#This Row],[Ávöxtun]]*Table14[[#This Row],[Eignir]]/SUMIFS(Table14[Eignir],Table14[Year],Table14[[#This Row],[Year]])</f>
        <v>4.0492734557172333E-4</v>
      </c>
      <c r="F592" s="23">
        <f>IF(B592=1997, 100, IF(COUNTIF(A$1:A591,A592)=0, "NEW", F591*(1+Table14[[#This Row],[Ávöxtun]])))</f>
        <v>292.1458233653284</v>
      </c>
      <c r="G592" s="18" cm="1">
        <f t="array" ref="G592">IFERROR(_xlfn.IFS(ISNUMBER(Table14[[#This Row],[Column3]]),Table14[[#This Row],[Column3]],Table14[[#This Row],[Column3]]="NEW",Table14[[#This Row],[Column3]]),"")</f>
        <v>292.1458233653284</v>
      </c>
      <c r="H592" s="15" cm="1">
        <f t="array" ref="H592">_xlfn.IFS(Table14[[#This Row],[Column4]]="NEW",AVERAGEIFS(Table14[Column4],Table14[Year],Table14[[#This Row],[Year]]),ISNUMBER(Table14[[#This Row],[Column4]]),Table14[[#This Row],[Column4]],Table14[[#This Row],[Column4]]="",H591*(1+Table14[[#This Row],[Ávöxtun]]))</f>
        <v>292.1458233653284</v>
      </c>
      <c r="I592" cm="1">
        <f t="array" ref="I592">_xlfn.IFS(Table14[[#This Row],[Column4]]="NEW",_xlfn.XLOOKUP(Table14[[#This Row],[Year]],$M$2:$M$27,$O$2:$O$27),ISNUMBER(Table14[[#This Row],[Column4]]),Table14[[#This Row],[Column4]],Table14[[#This Row],[Column4]]="",I591*(1+Table14[[#This Row],[Ávöxtun]]))</f>
        <v>292.1458233653284</v>
      </c>
      <c r="L592" s="33">
        <v>292.1458233653284</v>
      </c>
    </row>
    <row r="593" spans="1:12">
      <c r="A593" t="s">
        <v>114</v>
      </c>
      <c r="B593">
        <v>2015</v>
      </c>
      <c r="C593" s="16">
        <v>9.9000000000000005E-2</v>
      </c>
      <c r="D593" s="1">
        <v>21260118</v>
      </c>
      <c r="E593" s="29">
        <f>Table14[[#This Row],[Ávöxtun]]*Table14[[#This Row],[Eignir]]/SUMIFS(Table14[Eignir],Table14[Year],Table14[[#This Row],[Year]])</f>
        <v>7.1073382687338624E-4</v>
      </c>
      <c r="F593" s="23">
        <f>IF(B593=1997, 100, IF(COUNTIF(A$1:A592,A593)=0, "NEW", F592*(1+Table14[[#This Row],[Ávöxtun]])))</f>
        <v>321.06825987849589</v>
      </c>
      <c r="G593" s="18" cm="1">
        <f t="array" ref="G593">IFERROR(_xlfn.IFS(ISNUMBER(Table14[[#This Row],[Column3]]),Table14[[#This Row],[Column3]],Table14[[#This Row],[Column3]]="NEW",Table14[[#This Row],[Column3]]),"")</f>
        <v>321.06825987849589</v>
      </c>
      <c r="H593" s="15" cm="1">
        <f t="array" ref="H593">_xlfn.IFS(Table14[[#This Row],[Column4]]="NEW",AVERAGEIFS(Table14[Column4],Table14[Year],Table14[[#This Row],[Year]]),ISNUMBER(Table14[[#This Row],[Column4]]),Table14[[#This Row],[Column4]],Table14[[#This Row],[Column4]]="",H592*(1+Table14[[#This Row],[Ávöxtun]]))</f>
        <v>321.06825987849589</v>
      </c>
      <c r="I593" cm="1">
        <f t="array" ref="I593">_xlfn.IFS(Table14[[#This Row],[Column4]]="NEW",_xlfn.XLOOKUP(Table14[[#This Row],[Year]],$M$2:$M$27,$O$2:$O$27),ISNUMBER(Table14[[#This Row],[Column4]]),Table14[[#This Row],[Column4]],Table14[[#This Row],[Column4]]="",I592*(1+Table14[[#This Row],[Ávöxtun]]))</f>
        <v>321.06825987849589</v>
      </c>
      <c r="L593" s="33">
        <v>321.06825987849589</v>
      </c>
    </row>
    <row r="594" spans="1:12">
      <c r="A594" t="s">
        <v>114</v>
      </c>
      <c r="B594">
        <v>2016</v>
      </c>
      <c r="C594" s="16">
        <v>4.8999999999999998E-3</v>
      </c>
      <c r="D594" s="1">
        <v>22254498</v>
      </c>
      <c r="E594" s="29">
        <f>Table14[[#This Row],[Ávöxtun]]*Table14[[#This Row],[Eignir]]/SUMIFS(Table14[Eignir],Table14[Year],Table14[[#This Row],[Year]])</f>
        <v>3.407670320510562E-5</v>
      </c>
      <c r="F594" s="23">
        <f>IF(B594=1997, 100, IF(COUNTIF(A$1:A593,A594)=0, "NEW", F593*(1+Table14[[#This Row],[Ávöxtun]])))</f>
        <v>322.64149435190052</v>
      </c>
      <c r="G594" s="18" cm="1">
        <f t="array" ref="G594">IFERROR(_xlfn.IFS(ISNUMBER(Table14[[#This Row],[Column3]]),Table14[[#This Row],[Column3]],Table14[[#This Row],[Column3]]="NEW",Table14[[#This Row],[Column3]]),"")</f>
        <v>322.64149435190052</v>
      </c>
      <c r="H594" s="15" cm="1">
        <f t="array" ref="H594">_xlfn.IFS(Table14[[#This Row],[Column4]]="NEW",AVERAGEIFS(Table14[Column4],Table14[Year],Table14[[#This Row],[Year]]),ISNUMBER(Table14[[#This Row],[Column4]]),Table14[[#This Row],[Column4]],Table14[[#This Row],[Column4]]="",H593*(1+Table14[[#This Row],[Ávöxtun]]))</f>
        <v>322.64149435190052</v>
      </c>
      <c r="I594" cm="1">
        <f t="array" ref="I594">_xlfn.IFS(Table14[[#This Row],[Column4]]="NEW",_xlfn.XLOOKUP(Table14[[#This Row],[Year]],$M$2:$M$27,$O$2:$O$27),ISNUMBER(Table14[[#This Row],[Column4]]),Table14[[#This Row],[Column4]],Table14[[#This Row],[Column4]]="",I593*(1+Table14[[#This Row],[Ávöxtun]]))</f>
        <v>322.64149435190052</v>
      </c>
      <c r="L594" s="33">
        <v>322.64149435190052</v>
      </c>
    </row>
    <row r="595" spans="1:12">
      <c r="A595" t="s">
        <v>114</v>
      </c>
      <c r="B595">
        <v>2017</v>
      </c>
      <c r="C595" s="16">
        <v>7.2000000000000008E-2</v>
      </c>
      <c r="D595" s="1">
        <v>22978501</v>
      </c>
      <c r="E595" s="29">
        <f>Table14[[#This Row],[Ávöxtun]]*Table14[[#This Row],[Eignir]]/SUMIFS(Table14[Eignir],Table14[Year],Table14[[#This Row],[Year]])</f>
        <v>4.6484454689929415E-4</v>
      </c>
      <c r="F595" s="23">
        <f>IF(B595=1997, 100, IF(COUNTIF(A$1:A594,A595)=0, "NEW", F594*(1+Table14[[#This Row],[Ávöxtun]])))</f>
        <v>345.87168194523736</v>
      </c>
      <c r="G595" s="18" cm="1">
        <f t="array" ref="G595">IFERROR(_xlfn.IFS(ISNUMBER(Table14[[#This Row],[Column3]]),Table14[[#This Row],[Column3]],Table14[[#This Row],[Column3]]="NEW",Table14[[#This Row],[Column3]]),"")</f>
        <v>345.87168194523736</v>
      </c>
      <c r="H595" s="15" cm="1">
        <f t="array" ref="H595">_xlfn.IFS(Table14[[#This Row],[Column4]]="NEW",AVERAGEIFS(Table14[Column4],Table14[Year],Table14[[#This Row],[Year]]),ISNUMBER(Table14[[#This Row],[Column4]]),Table14[[#This Row],[Column4]],Table14[[#This Row],[Column4]]="",H594*(1+Table14[[#This Row],[Ávöxtun]]))</f>
        <v>345.87168194523736</v>
      </c>
      <c r="I595" cm="1">
        <f t="array" ref="I595">_xlfn.IFS(Table14[[#This Row],[Column4]]="NEW",_xlfn.XLOOKUP(Table14[[#This Row],[Year]],$M$2:$M$27,$O$2:$O$27),ISNUMBER(Table14[[#This Row],[Column4]]),Table14[[#This Row],[Column4]],Table14[[#This Row],[Column4]]="",I594*(1+Table14[[#This Row],[Ávöxtun]]))</f>
        <v>345.87168194523736</v>
      </c>
      <c r="L595" s="33">
        <v>345.87168194523736</v>
      </c>
    </row>
    <row r="596" spans="1:12">
      <c r="A596" t="s">
        <v>114</v>
      </c>
      <c r="B596">
        <v>2018</v>
      </c>
      <c r="C596" s="16">
        <v>5.7000000000000002E-2</v>
      </c>
      <c r="D596" s="1">
        <v>23788914</v>
      </c>
      <c r="E596" s="29">
        <f>Table14[[#This Row],[Ávöxtun]]*Table14[[#This Row],[Eignir]]/SUMIFS(Table14[Eignir],Table14[Year],Table14[[#This Row],[Year]])</f>
        <v>3.5512179771304093E-4</v>
      </c>
      <c r="F596" s="23">
        <f>IF(B596=1997, 100, IF(COUNTIF(A$1:A595,A596)=0, "NEW", F595*(1+Table14[[#This Row],[Ávöxtun]])))</f>
        <v>365.58636781611585</v>
      </c>
      <c r="G596" s="18" cm="1">
        <f t="array" ref="G596">IFERROR(_xlfn.IFS(ISNUMBER(Table14[[#This Row],[Column3]]),Table14[[#This Row],[Column3]],Table14[[#This Row],[Column3]]="NEW",Table14[[#This Row],[Column3]]),"")</f>
        <v>365.58636781611585</v>
      </c>
      <c r="H596" s="15" cm="1">
        <f t="array" ref="H596">_xlfn.IFS(Table14[[#This Row],[Column4]]="NEW",AVERAGEIFS(Table14[Column4],Table14[Year],Table14[[#This Row],[Year]]),ISNUMBER(Table14[[#This Row],[Column4]]),Table14[[#This Row],[Column4]],Table14[[#This Row],[Column4]]="",H595*(1+Table14[[#This Row],[Ávöxtun]]))</f>
        <v>365.58636781611585</v>
      </c>
      <c r="I596" cm="1">
        <f t="array" ref="I596">_xlfn.IFS(Table14[[#This Row],[Column4]]="NEW",_xlfn.XLOOKUP(Table14[[#This Row],[Year]],$M$2:$M$27,$O$2:$O$27),ISNUMBER(Table14[[#This Row],[Column4]]),Table14[[#This Row],[Column4]],Table14[[#This Row],[Column4]]="",I595*(1+Table14[[#This Row],[Ávöxtun]]))</f>
        <v>365.58636781611585</v>
      </c>
      <c r="L596" s="33">
        <v>365.58636781611585</v>
      </c>
    </row>
    <row r="597" spans="1:12">
      <c r="A597" t="s">
        <v>114</v>
      </c>
      <c r="B597">
        <v>2019</v>
      </c>
      <c r="C597" s="16">
        <v>8.43E-2</v>
      </c>
      <c r="D597" s="1">
        <v>25135579</v>
      </c>
      <c r="E597" s="29">
        <f>Table14[[#This Row],[Ávöxtun]]*Table14[[#This Row],[Eignir]]/SUMIFS(Table14[Eignir],Table14[Year],Table14[[#This Row],[Year]])</f>
        <v>4.7865082150199946E-4</v>
      </c>
      <c r="F597" s="23">
        <f>IF(B597=1997, 100, IF(COUNTIF(A$1:A596,A597)=0, "NEW", F596*(1+Table14[[#This Row],[Ávöxtun]])))</f>
        <v>396.40529862301446</v>
      </c>
      <c r="G597" s="18" cm="1">
        <f t="array" ref="G597">IFERROR(_xlfn.IFS(ISNUMBER(Table14[[#This Row],[Column3]]),Table14[[#This Row],[Column3]],Table14[[#This Row],[Column3]]="NEW",Table14[[#This Row],[Column3]]),"")</f>
        <v>396.40529862301446</v>
      </c>
      <c r="H597" s="15" cm="1">
        <f t="array" ref="H597">_xlfn.IFS(Table14[[#This Row],[Column4]]="NEW",AVERAGEIFS(Table14[Column4],Table14[Year],Table14[[#This Row],[Year]]),ISNUMBER(Table14[[#This Row],[Column4]]),Table14[[#This Row],[Column4]],Table14[[#This Row],[Column4]]="",H596*(1+Table14[[#This Row],[Ávöxtun]]))</f>
        <v>396.40529862301446</v>
      </c>
      <c r="I597" cm="1">
        <f t="array" ref="I597">_xlfn.IFS(Table14[[#This Row],[Column4]]="NEW",_xlfn.XLOOKUP(Table14[[#This Row],[Year]],$M$2:$M$27,$O$2:$O$27),ISNUMBER(Table14[[#This Row],[Column4]]),Table14[[#This Row],[Column4]],Table14[[#This Row],[Column4]]="",I596*(1+Table14[[#This Row],[Ávöxtun]]))</f>
        <v>396.40529862301446</v>
      </c>
      <c r="L597" s="33">
        <v>396.40529862301446</v>
      </c>
    </row>
    <row r="598" spans="1:12">
      <c r="A598" t="s">
        <v>114</v>
      </c>
      <c r="B598">
        <v>2020</v>
      </c>
      <c r="C598" s="16">
        <v>5.67E-2</v>
      </c>
      <c r="D598" s="1">
        <v>26074050</v>
      </c>
      <c r="E598" s="29">
        <f>Table14[[#This Row],[Ávöxtun]]*Table14[[#This Row],[Eignir]]/SUMIFS(Table14[Eignir],Table14[Year],Table14[[#This Row],[Year]])</f>
        <v>2.8781581520655267E-4</v>
      </c>
      <c r="F598" s="23">
        <f>IF(B598=1997, 100, IF(COUNTIF(A$1:A597,A598)=0, "NEW", F597*(1+Table14[[#This Row],[Ávöxtun]])))</f>
        <v>418.88147905493935</v>
      </c>
      <c r="G598" s="18" cm="1">
        <f t="array" ref="G598">IFERROR(_xlfn.IFS(ISNUMBER(Table14[[#This Row],[Column3]]),Table14[[#This Row],[Column3]],Table14[[#This Row],[Column3]]="NEW",Table14[[#This Row],[Column3]]),"")</f>
        <v>418.88147905493935</v>
      </c>
      <c r="H598" s="15" cm="1">
        <f t="array" ref="H598">_xlfn.IFS(Table14[[#This Row],[Column4]]="NEW",AVERAGEIFS(Table14[Column4],Table14[Year],Table14[[#This Row],[Year]]),ISNUMBER(Table14[[#This Row],[Column4]]),Table14[[#This Row],[Column4]],Table14[[#This Row],[Column4]]="",H597*(1+Table14[[#This Row],[Ávöxtun]]))</f>
        <v>418.88147905493935</v>
      </c>
      <c r="I598" cm="1">
        <f t="array" ref="I598">_xlfn.IFS(Table14[[#This Row],[Column4]]="NEW",_xlfn.XLOOKUP(Table14[[#This Row],[Year]],$M$2:$M$27,$O$2:$O$27),ISNUMBER(Table14[[#This Row],[Column4]]),Table14[[#This Row],[Column4]],Table14[[#This Row],[Column4]]="",I597*(1+Table14[[#This Row],[Ávöxtun]]))</f>
        <v>418.88147905493935</v>
      </c>
      <c r="L598" s="33">
        <v>418.88147905493935</v>
      </c>
    </row>
    <row r="599" spans="1:12">
      <c r="A599" t="s">
        <v>114</v>
      </c>
      <c r="B599">
        <v>2021</v>
      </c>
      <c r="C599" s="16">
        <v>8.2500000000000004E-2</v>
      </c>
      <c r="D599" s="1">
        <v>27981992</v>
      </c>
      <c r="E599" s="29">
        <f>Table14[[#This Row],[Ávöxtun]]*Table14[[#This Row],[Eignir]]/SUMIFS(Table14[Eignir],Table14[Year],Table14[[#This Row],[Year]])</f>
        <v>3.8223611615480029E-4</v>
      </c>
      <c r="F599" s="23">
        <f>IF(B599=1997, 100, IF(COUNTIF(A$1:A598,A599)=0, "NEW", F598*(1+Table14[[#This Row],[Ávöxtun]])))</f>
        <v>453.43920107697187</v>
      </c>
      <c r="G599" s="18" cm="1">
        <f t="array" ref="G599">IFERROR(_xlfn.IFS(ISNUMBER(Table14[[#This Row],[Column3]]),Table14[[#This Row],[Column3]],Table14[[#This Row],[Column3]]="NEW",Table14[[#This Row],[Column3]]),"")</f>
        <v>453.43920107697187</v>
      </c>
      <c r="H599" s="15" cm="1">
        <f t="array" ref="H599">_xlfn.IFS(Table14[[#This Row],[Column4]]="NEW",AVERAGEIFS(Table14[Column4],Table14[Year],Table14[[#This Row],[Year]]),ISNUMBER(Table14[[#This Row],[Column4]]),Table14[[#This Row],[Column4]],Table14[[#This Row],[Column4]]="",H598*(1+Table14[[#This Row],[Ávöxtun]]))</f>
        <v>453.43920107697187</v>
      </c>
      <c r="I599" cm="1">
        <f t="array" ref="I599">_xlfn.IFS(Table14[[#This Row],[Column4]]="NEW",_xlfn.XLOOKUP(Table14[[#This Row],[Year]],$M$2:$M$27,$O$2:$O$27),ISNUMBER(Table14[[#This Row],[Column4]]),Table14[[#This Row],[Column4]],Table14[[#This Row],[Column4]]="",I598*(1+Table14[[#This Row],[Ávöxtun]]))</f>
        <v>453.43920107697187</v>
      </c>
      <c r="L599" s="33">
        <v>453.43920107697187</v>
      </c>
    </row>
    <row r="600" spans="1:12">
      <c r="A600" t="s">
        <v>115</v>
      </c>
      <c r="B600">
        <v>1997</v>
      </c>
      <c r="C600" s="16">
        <v>0.09</v>
      </c>
      <c r="D600" s="1">
        <v>975253.13</v>
      </c>
      <c r="E600" s="29">
        <f>Table14[[#This Row],[Ávöxtun]]*Table14[[#This Row],[Eignir]]/SUMIFS(Table14[Eignir],Table14[Year],Table14[[#This Row],[Year]])</f>
        <v>2.5889740656484295E-4</v>
      </c>
      <c r="F600" s="23">
        <f>IF(B600=1997, 100, IF(COUNTIF(A$1:A599,A600)=0, "NEW", F599*(1+Table14[[#This Row],[Ávöxtun]])))</f>
        <v>100</v>
      </c>
      <c r="G600" s="18" cm="1">
        <f t="array" ref="G600">IFERROR(_xlfn.IFS(ISNUMBER(Table14[[#This Row],[Column3]]),Table14[[#This Row],[Column3]],Table14[[#This Row],[Column3]]="NEW",Table14[[#This Row],[Column3]]),"")</f>
        <v>100</v>
      </c>
      <c r="H600" s="15" cm="1">
        <f t="array" ref="H600">_xlfn.IFS(Table14[[#This Row],[Column4]]="NEW",AVERAGEIFS(Table14[Column4],Table14[Year],Table14[[#This Row],[Year]]),ISNUMBER(Table14[[#This Row],[Column4]]),Table14[[#This Row],[Column4]],Table14[[#This Row],[Column4]]="",H599*(1+Table14[[#This Row],[Ávöxtun]]))</f>
        <v>100</v>
      </c>
      <c r="I600" cm="1">
        <f t="array" ref="I600">_xlfn.IFS(Table14[[#This Row],[Column4]]="NEW",_xlfn.XLOOKUP(Table14[[#This Row],[Year]],$M$2:$M$27,$O$2:$O$27),ISNUMBER(Table14[[#This Row],[Column4]]),Table14[[#This Row],[Column4]],Table14[[#This Row],[Column4]]="",I599*(1+Table14[[#This Row],[Ávöxtun]]))</f>
        <v>100</v>
      </c>
      <c r="L600" s="33">
        <v>100</v>
      </c>
    </row>
    <row r="601" spans="1:12">
      <c r="A601" t="s">
        <v>115</v>
      </c>
      <c r="B601">
        <v>1998</v>
      </c>
      <c r="C601" s="16">
        <v>0.08</v>
      </c>
      <c r="D601" s="1">
        <v>1083974.23</v>
      </c>
      <c r="E601" s="29">
        <f>Table14[[#This Row],[Ávöxtun]]*Table14[[#This Row],[Eignir]]/SUMIFS(Table14[Eignir],Table14[Year],Table14[[#This Row],[Year]])</f>
        <v>2.214254551986469E-4</v>
      </c>
      <c r="F601" s="23">
        <f>IF(B601=1997, 100, IF(COUNTIF(A$1:A600,A601)=0, "NEW", F600*(1+Table14[[#This Row],[Ávöxtun]])))</f>
        <v>108</v>
      </c>
      <c r="G601" s="18" cm="1">
        <f t="array" ref="G601">IFERROR(_xlfn.IFS(ISNUMBER(Table14[[#This Row],[Column3]]),Table14[[#This Row],[Column3]],Table14[[#This Row],[Column3]]="NEW",Table14[[#This Row],[Column3]]),"")</f>
        <v>108</v>
      </c>
      <c r="H601" s="15" cm="1">
        <f t="array" ref="H601">_xlfn.IFS(Table14[[#This Row],[Column4]]="NEW",AVERAGEIFS(Table14[Column4],Table14[Year],Table14[[#This Row],[Year]]),ISNUMBER(Table14[[#This Row],[Column4]]),Table14[[#This Row],[Column4]],Table14[[#This Row],[Column4]]="",H600*(1+Table14[[#This Row],[Ávöxtun]]))</f>
        <v>108</v>
      </c>
      <c r="I601" cm="1">
        <f t="array" ref="I601">_xlfn.IFS(Table14[[#This Row],[Column4]]="NEW",_xlfn.XLOOKUP(Table14[[#This Row],[Year]],$M$2:$M$27,$O$2:$O$27),ISNUMBER(Table14[[#This Row],[Column4]]),Table14[[#This Row],[Column4]],Table14[[#This Row],[Column4]]="",I600*(1+Table14[[#This Row],[Ávöxtun]]))</f>
        <v>108</v>
      </c>
      <c r="L601" s="33">
        <v>108</v>
      </c>
    </row>
    <row r="602" spans="1:12">
      <c r="A602" t="s">
        <v>115</v>
      </c>
      <c r="B602">
        <v>1999</v>
      </c>
      <c r="C602" s="16">
        <v>0.08</v>
      </c>
      <c r="D602" s="1">
        <v>1288151.7</v>
      </c>
      <c r="E602" s="29">
        <f>Table14[[#This Row],[Ávöxtun]]*Table14[[#This Row],[Eignir]]/SUMIFS(Table14[Eignir],Table14[Year],Table14[[#This Row],[Year]])</f>
        <v>1.9790442423562457E-4</v>
      </c>
      <c r="F602" s="23">
        <f>IF(B602=1997, 100, IF(COUNTIF(A$1:A601,A602)=0, "NEW", F601*(1+Table14[[#This Row],[Ávöxtun]])))</f>
        <v>116.64000000000001</v>
      </c>
      <c r="G602" s="18" cm="1">
        <f t="array" ref="G602">IFERROR(_xlfn.IFS(ISNUMBER(Table14[[#This Row],[Column3]]),Table14[[#This Row],[Column3]],Table14[[#This Row],[Column3]]="NEW",Table14[[#This Row],[Column3]]),"")</f>
        <v>116.64000000000001</v>
      </c>
      <c r="H602" s="15" cm="1">
        <f t="array" ref="H602">_xlfn.IFS(Table14[[#This Row],[Column4]]="NEW",AVERAGEIFS(Table14[Column4],Table14[Year],Table14[[#This Row],[Year]]),ISNUMBER(Table14[[#This Row],[Column4]]),Table14[[#This Row],[Column4]],Table14[[#This Row],[Column4]]="",H601*(1+Table14[[#This Row],[Ávöxtun]]))</f>
        <v>116.64000000000001</v>
      </c>
      <c r="I602" cm="1">
        <f t="array" ref="I602">_xlfn.IFS(Table14[[#This Row],[Column4]]="NEW",_xlfn.XLOOKUP(Table14[[#This Row],[Year]],$M$2:$M$27,$O$2:$O$27),ISNUMBER(Table14[[#This Row],[Column4]]),Table14[[#This Row],[Column4]],Table14[[#This Row],[Column4]]="",I601*(1+Table14[[#This Row],[Ávöxtun]]))</f>
        <v>116.64000000000001</v>
      </c>
      <c r="L602" s="33">
        <v>116.64000000000001</v>
      </c>
    </row>
    <row r="603" spans="1:12">
      <c r="A603" t="s">
        <v>115</v>
      </c>
      <c r="B603">
        <v>2000</v>
      </c>
      <c r="C603" s="16">
        <v>0.02</v>
      </c>
      <c r="D603" s="1">
        <v>1378605.76</v>
      </c>
      <c r="E603" s="29">
        <f>Table14[[#This Row],[Ávöxtun]]*Table14[[#This Row],[Eignir]]/SUMIFS(Table14[Eignir],Table14[Year],Table14[[#This Row],[Year]])</f>
        <v>3.8785362594476778E-5</v>
      </c>
      <c r="F603" s="23">
        <f>IF(B603=1997, 100, IF(COUNTIF(A$1:A602,A603)=0, "NEW", F602*(1+Table14[[#This Row],[Ávöxtun]])))</f>
        <v>118.97280000000002</v>
      </c>
      <c r="G603" s="18" cm="1">
        <f t="array" ref="G603">IFERROR(_xlfn.IFS(ISNUMBER(Table14[[#This Row],[Column3]]),Table14[[#This Row],[Column3]],Table14[[#This Row],[Column3]]="NEW",Table14[[#This Row],[Column3]]),"")</f>
        <v>118.97280000000002</v>
      </c>
      <c r="H603" s="15" cm="1">
        <f t="array" ref="H603">_xlfn.IFS(Table14[[#This Row],[Column4]]="NEW",AVERAGEIFS(Table14[Column4],Table14[Year],Table14[[#This Row],[Year]]),ISNUMBER(Table14[[#This Row],[Column4]]),Table14[[#This Row],[Column4]],Table14[[#This Row],[Column4]]="",H602*(1+Table14[[#This Row],[Ávöxtun]]))</f>
        <v>118.97280000000002</v>
      </c>
      <c r="I603" cm="1">
        <f t="array" ref="I603">_xlfn.IFS(Table14[[#This Row],[Column4]]="NEW",_xlfn.XLOOKUP(Table14[[#This Row],[Year]],$M$2:$M$27,$O$2:$O$27),ISNUMBER(Table14[[#This Row],[Column4]]),Table14[[#This Row],[Column4]],Table14[[#This Row],[Column4]]="",I602*(1+Table14[[#This Row],[Ávöxtun]]))</f>
        <v>118.97280000000002</v>
      </c>
      <c r="L603" s="33">
        <v>118.97280000000002</v>
      </c>
    </row>
    <row r="604" spans="1:12">
      <c r="A604" t="s">
        <v>115</v>
      </c>
      <c r="B604">
        <v>2001</v>
      </c>
      <c r="C604" s="16">
        <v>0.01</v>
      </c>
      <c r="D604" s="1">
        <v>1489801</v>
      </c>
      <c r="E604" s="29">
        <f>Table14[[#This Row],[Ávöxtun]]*Table14[[#This Row],[Eignir]]/SUMIFS(Table14[Eignir],Table14[Year],Table14[[#This Row],[Year]])</f>
        <v>1.286622998233548E-5</v>
      </c>
      <c r="F604" s="23">
        <f>IF(B604=1997, 100, IF(COUNTIF(A$1:A603,A604)=0, "NEW", F603*(1+Table14[[#This Row],[Ávöxtun]])))</f>
        <v>120.16252800000002</v>
      </c>
      <c r="G604" s="18" cm="1">
        <f t="array" ref="G604">IFERROR(_xlfn.IFS(ISNUMBER(Table14[[#This Row],[Column3]]),Table14[[#This Row],[Column3]],Table14[[#This Row],[Column3]]="NEW",Table14[[#This Row],[Column3]]),"")</f>
        <v>120.16252800000002</v>
      </c>
      <c r="H604" s="15" cm="1">
        <f t="array" ref="H604">_xlfn.IFS(Table14[[#This Row],[Column4]]="NEW",AVERAGEIFS(Table14[Column4],Table14[Year],Table14[[#This Row],[Year]]),ISNUMBER(Table14[[#This Row],[Column4]]),Table14[[#This Row],[Column4]],Table14[[#This Row],[Column4]]="",H603*(1+Table14[[#This Row],[Ávöxtun]]))</f>
        <v>120.16252800000002</v>
      </c>
      <c r="I604" cm="1">
        <f t="array" ref="I604">_xlfn.IFS(Table14[[#This Row],[Column4]]="NEW",_xlfn.XLOOKUP(Table14[[#This Row],[Year]],$M$2:$M$27,$O$2:$O$27),ISNUMBER(Table14[[#This Row],[Column4]]),Table14[[#This Row],[Column4]],Table14[[#This Row],[Column4]]="",I603*(1+Table14[[#This Row],[Ávöxtun]]))</f>
        <v>120.16252800000002</v>
      </c>
      <c r="L604" s="33">
        <v>120.16252800000002</v>
      </c>
    </row>
    <row r="605" spans="1:12">
      <c r="A605" t="s">
        <v>115</v>
      </c>
      <c r="B605">
        <v>2002</v>
      </c>
      <c r="C605" s="16">
        <v>-0.08</v>
      </c>
      <c r="D605" s="1">
        <v>1410548.76</v>
      </c>
      <c r="E605" s="29">
        <f>Table14[[#This Row],[Ávöxtun]]*Table14[[#This Row],[Eignir]]/SUMIFS(Table14[Eignir],Table14[Year],Table14[[#This Row],[Year]])</f>
        <v>-1.7766100283098509E-4</v>
      </c>
      <c r="F605" s="23">
        <f>IF(B605=1997, 100, IF(COUNTIF(A$1:A604,A605)=0, "NEW", F604*(1+Table14[[#This Row],[Ávöxtun]])))</f>
        <v>110.54952576000002</v>
      </c>
      <c r="G605" s="18" cm="1">
        <f t="array" ref="G605">IFERROR(_xlfn.IFS(ISNUMBER(Table14[[#This Row],[Column3]]),Table14[[#This Row],[Column3]],Table14[[#This Row],[Column3]]="NEW",Table14[[#This Row],[Column3]]),"")</f>
        <v>110.54952576000002</v>
      </c>
      <c r="H605" s="15" cm="1">
        <f t="array" ref="H605">_xlfn.IFS(Table14[[#This Row],[Column4]]="NEW",AVERAGEIFS(Table14[Column4],Table14[Year],Table14[[#This Row],[Year]]),ISNUMBER(Table14[[#This Row],[Column4]]),Table14[[#This Row],[Column4]],Table14[[#This Row],[Column4]]="",H604*(1+Table14[[#This Row],[Ávöxtun]]))</f>
        <v>110.54952576000002</v>
      </c>
      <c r="I605" cm="1">
        <f t="array" ref="I605">_xlfn.IFS(Table14[[#This Row],[Column4]]="NEW",_xlfn.XLOOKUP(Table14[[#This Row],[Year]],$M$2:$M$27,$O$2:$O$27),ISNUMBER(Table14[[#This Row],[Column4]]),Table14[[#This Row],[Column4]],Table14[[#This Row],[Column4]]="",I604*(1+Table14[[#This Row],[Ávöxtun]]))</f>
        <v>110.54952576000002</v>
      </c>
      <c r="L605" s="33">
        <v>110.54952576000002</v>
      </c>
    </row>
    <row r="606" spans="1:12">
      <c r="A606" t="s">
        <v>115</v>
      </c>
      <c r="B606">
        <v>2003</v>
      </c>
      <c r="C606" s="16">
        <v>0.11</v>
      </c>
      <c r="D606" s="1">
        <v>1605874</v>
      </c>
      <c r="E606" s="29">
        <f>Table14[[#This Row],[Ávöxtun]]*Table14[[#This Row],[Eignir]]/SUMIFS(Table14[Eignir],Table14[Year],Table14[[#This Row],[Year]])</f>
        <v>2.3246235079451072E-4</v>
      </c>
      <c r="F606" s="23">
        <f>IF(B606=1997, 100, IF(COUNTIF(A$1:A605,A606)=0, "NEW", F605*(1+Table14[[#This Row],[Ávöxtun]])))</f>
        <v>122.70997359360004</v>
      </c>
      <c r="G606" s="18" cm="1">
        <f t="array" ref="G606">IFERROR(_xlfn.IFS(ISNUMBER(Table14[[#This Row],[Column3]]),Table14[[#This Row],[Column3]],Table14[[#This Row],[Column3]]="NEW",Table14[[#This Row],[Column3]]),"")</f>
        <v>122.70997359360004</v>
      </c>
      <c r="H606" s="15" cm="1">
        <f t="array" ref="H606">_xlfn.IFS(Table14[[#This Row],[Column4]]="NEW",AVERAGEIFS(Table14[Column4],Table14[Year],Table14[[#This Row],[Year]]),ISNUMBER(Table14[[#This Row],[Column4]]),Table14[[#This Row],[Column4]],Table14[[#This Row],[Column4]]="",H605*(1+Table14[[#This Row],[Ávöxtun]]))</f>
        <v>122.70997359360004</v>
      </c>
      <c r="I606" cm="1">
        <f t="array" ref="I606">_xlfn.IFS(Table14[[#This Row],[Column4]]="NEW",_xlfn.XLOOKUP(Table14[[#This Row],[Year]],$M$2:$M$27,$O$2:$O$27),ISNUMBER(Table14[[#This Row],[Column4]]),Table14[[#This Row],[Column4]],Table14[[#This Row],[Column4]]="",I605*(1+Table14[[#This Row],[Ávöxtun]]))</f>
        <v>122.70997359360004</v>
      </c>
      <c r="L606" s="33">
        <v>122.70997359360004</v>
      </c>
    </row>
    <row r="607" spans="1:12">
      <c r="A607" t="s">
        <v>115</v>
      </c>
      <c r="B607">
        <v>2004</v>
      </c>
      <c r="C607" s="16">
        <v>0.05</v>
      </c>
      <c r="D607" s="1">
        <v>1751356.54</v>
      </c>
      <c r="E607" s="29">
        <f>Table14[[#This Row],[Ávöxtun]]*Table14[[#This Row],[Eignir]]/SUMIFS(Table14[Eignir],Table14[Year],Table14[[#This Row],[Year]])</f>
        <v>9.6475355571100314E-5</v>
      </c>
      <c r="F607" s="23">
        <f>IF(B607=1997, 100, IF(COUNTIF(A$1:A606,A607)=0, "NEW", F606*(1+Table14[[#This Row],[Ávöxtun]])))</f>
        <v>128.84547227328005</v>
      </c>
      <c r="G607" s="18" cm="1">
        <f t="array" ref="G607">IFERROR(_xlfn.IFS(ISNUMBER(Table14[[#This Row],[Column3]]),Table14[[#This Row],[Column3]],Table14[[#This Row],[Column3]]="NEW",Table14[[#This Row],[Column3]]),"")</f>
        <v>128.84547227328005</v>
      </c>
      <c r="H607" s="15" cm="1">
        <f t="array" ref="H607">_xlfn.IFS(Table14[[#This Row],[Column4]]="NEW",AVERAGEIFS(Table14[Column4],Table14[Year],Table14[[#This Row],[Year]]),ISNUMBER(Table14[[#This Row],[Column4]]),Table14[[#This Row],[Column4]],Table14[[#This Row],[Column4]]="",H606*(1+Table14[[#This Row],[Ávöxtun]]))</f>
        <v>128.84547227328005</v>
      </c>
      <c r="I607" cm="1">
        <f t="array" ref="I607">_xlfn.IFS(Table14[[#This Row],[Column4]]="NEW",_xlfn.XLOOKUP(Table14[[#This Row],[Year]],$M$2:$M$27,$O$2:$O$27),ISNUMBER(Table14[[#This Row],[Column4]]),Table14[[#This Row],[Column4]],Table14[[#This Row],[Column4]]="",I606*(1+Table14[[#This Row],[Ávöxtun]]))</f>
        <v>128.84547227328005</v>
      </c>
      <c r="L607" s="33">
        <v>128.84547227328005</v>
      </c>
    </row>
    <row r="608" spans="1:12">
      <c r="A608" t="s">
        <v>115</v>
      </c>
      <c r="B608">
        <v>2005</v>
      </c>
      <c r="C608" s="16">
        <v>0.15</v>
      </c>
      <c r="D608" s="1">
        <v>2080882</v>
      </c>
      <c r="E608" s="29">
        <f>Table14[[#This Row],[Ávöxtun]]*Table14[[#This Row],[Eignir]]/SUMIFS(Table14[Eignir],Table14[Year],Table14[[#This Row],[Year]])</f>
        <v>2.7835708064337774E-4</v>
      </c>
      <c r="F608" s="23">
        <f>IF(B608=1997, 100, IF(COUNTIF(A$1:A607,A608)=0, "NEW", F607*(1+Table14[[#This Row],[Ávöxtun]])))</f>
        <v>148.17229311427204</v>
      </c>
      <c r="G608" s="18" cm="1">
        <f t="array" ref="G608">IFERROR(_xlfn.IFS(ISNUMBER(Table14[[#This Row],[Column3]]),Table14[[#This Row],[Column3]],Table14[[#This Row],[Column3]]="NEW",Table14[[#This Row],[Column3]]),"")</f>
        <v>148.17229311427204</v>
      </c>
      <c r="H608" s="15" cm="1">
        <f t="array" ref="H608">_xlfn.IFS(Table14[[#This Row],[Column4]]="NEW",AVERAGEIFS(Table14[Column4],Table14[Year],Table14[[#This Row],[Year]]),ISNUMBER(Table14[[#This Row],[Column4]]),Table14[[#This Row],[Column4]],Table14[[#This Row],[Column4]]="",H607*(1+Table14[[#This Row],[Ávöxtun]]))</f>
        <v>148.17229311427204</v>
      </c>
      <c r="I608" cm="1">
        <f t="array" ref="I608">_xlfn.IFS(Table14[[#This Row],[Column4]]="NEW",_xlfn.XLOOKUP(Table14[[#This Row],[Year]],$M$2:$M$27,$O$2:$O$27),ISNUMBER(Table14[[#This Row],[Column4]]),Table14[[#This Row],[Column4]],Table14[[#This Row],[Column4]]="",I607*(1+Table14[[#This Row],[Ávöxtun]]))</f>
        <v>148.17229311427204</v>
      </c>
      <c r="L608" s="33">
        <v>148.17229311427204</v>
      </c>
    </row>
    <row r="609" spans="1:12">
      <c r="A609" t="s">
        <v>115</v>
      </c>
      <c r="B609">
        <v>2006</v>
      </c>
      <c r="C609" s="16">
        <v>8.6500000000000007E-2</v>
      </c>
      <c r="D609" s="1">
        <v>2432593</v>
      </c>
      <c r="E609" s="29">
        <f>Table14[[#This Row],[Ávöxtun]]*Table14[[#This Row],[Eignir]]/SUMIFS(Table14[Eignir],Table14[Year],Table14[[#This Row],[Year]])</f>
        <v>1.5329134455973882E-4</v>
      </c>
      <c r="F609" s="23">
        <f>IF(B609=1997, 100, IF(COUNTIF(A$1:A608,A609)=0, "NEW", F608*(1+Table14[[#This Row],[Ávöxtun]])))</f>
        <v>160.98919646865656</v>
      </c>
      <c r="G609" s="18" cm="1">
        <f t="array" ref="G609">IFERROR(_xlfn.IFS(ISNUMBER(Table14[[#This Row],[Column3]]),Table14[[#This Row],[Column3]],Table14[[#This Row],[Column3]]="NEW",Table14[[#This Row],[Column3]]),"")</f>
        <v>160.98919646865656</v>
      </c>
      <c r="H609" s="15" cm="1">
        <f t="array" ref="H609">_xlfn.IFS(Table14[[#This Row],[Column4]]="NEW",AVERAGEIFS(Table14[Column4],Table14[Year],Table14[[#This Row],[Year]]),ISNUMBER(Table14[[#This Row],[Column4]]),Table14[[#This Row],[Column4]],Table14[[#This Row],[Column4]]="",H608*(1+Table14[[#This Row],[Ávöxtun]]))</f>
        <v>160.98919646865656</v>
      </c>
      <c r="I609" cm="1">
        <f t="array" ref="I609">_xlfn.IFS(Table14[[#This Row],[Column4]]="NEW",_xlfn.XLOOKUP(Table14[[#This Row],[Year]],$M$2:$M$27,$O$2:$O$27),ISNUMBER(Table14[[#This Row],[Column4]]),Table14[[#This Row],[Column4]],Table14[[#This Row],[Column4]]="",I608*(1+Table14[[#This Row],[Ávöxtun]]))</f>
        <v>160.98919646865656</v>
      </c>
      <c r="L609" s="33">
        <v>160.98919646865656</v>
      </c>
    </row>
    <row r="610" spans="1:12">
      <c r="A610" t="s">
        <v>115</v>
      </c>
      <c r="B610">
        <v>2007</v>
      </c>
      <c r="C610" s="16">
        <v>-4.3E-3</v>
      </c>
      <c r="D610" s="1">
        <v>2526379</v>
      </c>
      <c r="E610" s="29">
        <f>Table14[[#This Row],[Ávöxtun]]*Table14[[#This Row],[Eignir]]/SUMIFS(Table14[Eignir],Table14[Year],Table14[[#This Row],[Year]])</f>
        <v>-7.0249440502927869E-6</v>
      </c>
      <c r="F610" s="23">
        <f>IF(B610=1997, 100, IF(COUNTIF(A$1:A609,A610)=0, "NEW", F609*(1+Table14[[#This Row],[Ávöxtun]])))</f>
        <v>160.29694292384133</v>
      </c>
      <c r="G610" s="18" cm="1">
        <f t="array" ref="G610">IFERROR(_xlfn.IFS(ISNUMBER(Table14[[#This Row],[Column3]]),Table14[[#This Row],[Column3]],Table14[[#This Row],[Column3]]="NEW",Table14[[#This Row],[Column3]]),"")</f>
        <v>160.29694292384133</v>
      </c>
      <c r="H610" s="15" cm="1">
        <f t="array" ref="H610">_xlfn.IFS(Table14[[#This Row],[Column4]]="NEW",AVERAGEIFS(Table14[Column4],Table14[Year],Table14[[#This Row],[Year]]),ISNUMBER(Table14[[#This Row],[Column4]]),Table14[[#This Row],[Column4]],Table14[[#This Row],[Column4]]="",H609*(1+Table14[[#This Row],[Ávöxtun]]))</f>
        <v>160.29694292384133</v>
      </c>
      <c r="I610" cm="1">
        <f t="array" ref="I610">_xlfn.IFS(Table14[[#This Row],[Column4]]="NEW",_xlfn.XLOOKUP(Table14[[#This Row],[Year]],$M$2:$M$27,$O$2:$O$27),ISNUMBER(Table14[[#This Row],[Column4]]),Table14[[#This Row],[Column4]],Table14[[#This Row],[Column4]]="",I609*(1+Table14[[#This Row],[Ávöxtun]]))</f>
        <v>160.29694292384133</v>
      </c>
      <c r="L610" s="33">
        <v>160.29694292384133</v>
      </c>
    </row>
    <row r="611" spans="1:12">
      <c r="A611" t="s">
        <v>115</v>
      </c>
      <c r="B611">
        <v>2008</v>
      </c>
      <c r="C611" s="16">
        <v>-0.15720000000000001</v>
      </c>
      <c r="D611" s="1">
        <v>2463773</v>
      </c>
      <c r="E611" s="29">
        <f>Table14[[#This Row],[Ávöxtun]]*Table14[[#This Row],[Eignir]]/SUMIFS(Table14[Eignir],Table14[Year],Table14[[#This Row],[Year]])</f>
        <v>-2.5866592196798567E-4</v>
      </c>
      <c r="F611" s="23">
        <f>IF(B611=1997, 100, IF(COUNTIF(A$1:A610,A611)=0, "NEW", F610*(1+Table14[[#This Row],[Ávöxtun]])))</f>
        <v>135.09826349621346</v>
      </c>
      <c r="G611" s="18" cm="1">
        <f t="array" ref="G611">IFERROR(_xlfn.IFS(ISNUMBER(Table14[[#This Row],[Column3]]),Table14[[#This Row],[Column3]],Table14[[#This Row],[Column3]]="NEW",Table14[[#This Row],[Column3]]),"")</f>
        <v>135.09826349621346</v>
      </c>
      <c r="H611" s="15" cm="1">
        <f t="array" ref="H611">_xlfn.IFS(Table14[[#This Row],[Column4]]="NEW",AVERAGEIFS(Table14[Column4],Table14[Year],Table14[[#This Row],[Year]]),ISNUMBER(Table14[[#This Row],[Column4]]),Table14[[#This Row],[Column4]],Table14[[#This Row],[Column4]]="",H610*(1+Table14[[#This Row],[Ávöxtun]]))</f>
        <v>135.09826349621346</v>
      </c>
      <c r="I611" cm="1">
        <f t="array" ref="I611">_xlfn.IFS(Table14[[#This Row],[Column4]]="NEW",_xlfn.XLOOKUP(Table14[[#This Row],[Year]],$M$2:$M$27,$O$2:$O$27),ISNUMBER(Table14[[#This Row],[Column4]]),Table14[[#This Row],[Column4]],Table14[[#This Row],[Column4]]="",I610*(1+Table14[[#This Row],[Ávöxtun]]))</f>
        <v>135.09826349621346</v>
      </c>
      <c r="L611" s="33">
        <v>135.09826349621346</v>
      </c>
    </row>
    <row r="612" spans="1:12">
      <c r="A612" t="s">
        <v>115</v>
      </c>
      <c r="B612">
        <v>2009</v>
      </c>
      <c r="C612" s="16">
        <v>6.8099999999999994E-2</v>
      </c>
      <c r="D612" s="1">
        <v>2836191</v>
      </c>
      <c r="E612" s="29">
        <f>Table14[[#This Row],[Ávöxtun]]*Table14[[#This Row],[Eignir]]/SUMIFS(Table14[Eignir],Table14[Year],Table14[[#This Row],[Year]])</f>
        <v>1.1577619634846522E-4</v>
      </c>
      <c r="F612" s="23">
        <f>IF(B612=1997, 100, IF(COUNTIF(A$1:A611,A612)=0, "NEW", F611*(1+Table14[[#This Row],[Ávöxtun]])))</f>
        <v>144.2984552403056</v>
      </c>
      <c r="G612" s="18" cm="1">
        <f t="array" ref="G612">IFERROR(_xlfn.IFS(ISNUMBER(Table14[[#This Row],[Column3]]),Table14[[#This Row],[Column3]],Table14[[#This Row],[Column3]]="NEW",Table14[[#This Row],[Column3]]),"")</f>
        <v>144.2984552403056</v>
      </c>
      <c r="H612" s="15" cm="1">
        <f t="array" ref="H612">_xlfn.IFS(Table14[[#This Row],[Column4]]="NEW",AVERAGEIFS(Table14[Column4],Table14[Year],Table14[[#This Row],[Year]]),ISNUMBER(Table14[[#This Row],[Column4]]),Table14[[#This Row],[Column4]],Table14[[#This Row],[Column4]]="",H611*(1+Table14[[#This Row],[Ávöxtun]]))</f>
        <v>144.2984552403056</v>
      </c>
      <c r="I612" cm="1">
        <f t="array" ref="I612">_xlfn.IFS(Table14[[#This Row],[Column4]]="NEW",_xlfn.XLOOKUP(Table14[[#This Row],[Year]],$M$2:$M$27,$O$2:$O$27),ISNUMBER(Table14[[#This Row],[Column4]]),Table14[[#This Row],[Column4]],Table14[[#This Row],[Column4]]="",I611*(1+Table14[[#This Row],[Ávöxtun]]))</f>
        <v>144.2984552403056</v>
      </c>
      <c r="L612" s="33">
        <v>144.2984552403056</v>
      </c>
    </row>
    <row r="613" spans="1:12">
      <c r="A613" t="s">
        <v>115</v>
      </c>
      <c r="B613">
        <v>2010</v>
      </c>
      <c r="C613" s="16">
        <v>4.7E-2</v>
      </c>
      <c r="D613" s="1">
        <v>2978896</v>
      </c>
      <c r="E613" s="29">
        <f>Table14[[#This Row],[Ávöxtun]]*Table14[[#This Row],[Eignir]]/SUMIFS(Table14[Eignir],Table14[Year],Table14[[#This Row],[Year]])</f>
        <v>7.8313661826786334E-5</v>
      </c>
      <c r="F613" s="23">
        <f>IF(B613=1997, 100, IF(COUNTIF(A$1:A612,A613)=0, "NEW", F612*(1+Table14[[#This Row],[Ávöxtun]])))</f>
        <v>151.08048263659995</v>
      </c>
      <c r="G613" s="18" cm="1">
        <f t="array" ref="G613">IFERROR(_xlfn.IFS(ISNUMBER(Table14[[#This Row],[Column3]]),Table14[[#This Row],[Column3]],Table14[[#This Row],[Column3]]="NEW",Table14[[#This Row],[Column3]]),"")</f>
        <v>151.08048263659995</v>
      </c>
      <c r="H613" s="15" cm="1">
        <f t="array" ref="H613">_xlfn.IFS(Table14[[#This Row],[Column4]]="NEW",AVERAGEIFS(Table14[Column4],Table14[Year],Table14[[#This Row],[Year]]),ISNUMBER(Table14[[#This Row],[Column4]]),Table14[[#This Row],[Column4]],Table14[[#This Row],[Column4]]="",H612*(1+Table14[[#This Row],[Ávöxtun]]))</f>
        <v>151.08048263659995</v>
      </c>
      <c r="I613" cm="1">
        <f t="array" ref="I613">_xlfn.IFS(Table14[[#This Row],[Column4]]="NEW",_xlfn.XLOOKUP(Table14[[#This Row],[Year]],$M$2:$M$27,$O$2:$O$27),ISNUMBER(Table14[[#This Row],[Column4]]),Table14[[#This Row],[Column4]],Table14[[#This Row],[Column4]]="",I612*(1+Table14[[#This Row],[Ávöxtun]]))</f>
        <v>151.08048263659995</v>
      </c>
      <c r="L613" s="33">
        <v>151.08048263659995</v>
      </c>
    </row>
    <row r="614" spans="1:12">
      <c r="A614" t="s">
        <v>115</v>
      </c>
      <c r="B614">
        <v>2011</v>
      </c>
      <c r="C614" s="16">
        <v>-1E-3</v>
      </c>
      <c r="D614" s="1">
        <v>3116577</v>
      </c>
      <c r="E614" s="29">
        <f>Table14[[#This Row],[Ávöxtun]]*Table14[[#This Row],[Eignir]]/SUMIFS(Table14[Eignir],Table14[Year],Table14[[#This Row],[Year]])</f>
        <v>-1.5977867159319192E-6</v>
      </c>
      <c r="F614" s="23">
        <f>IF(B614=1997, 100, IF(COUNTIF(A$1:A613,A614)=0, "NEW", F613*(1+Table14[[#This Row],[Ávöxtun]])))</f>
        <v>150.92940215396337</v>
      </c>
      <c r="G614" s="18" cm="1">
        <f t="array" ref="G614">IFERROR(_xlfn.IFS(ISNUMBER(Table14[[#This Row],[Column3]]),Table14[[#This Row],[Column3]],Table14[[#This Row],[Column3]]="NEW",Table14[[#This Row],[Column3]]),"")</f>
        <v>150.92940215396337</v>
      </c>
      <c r="H614" s="15" cm="1">
        <f t="array" ref="H614">_xlfn.IFS(Table14[[#This Row],[Column4]]="NEW",AVERAGEIFS(Table14[Column4],Table14[Year],Table14[[#This Row],[Year]]),ISNUMBER(Table14[[#This Row],[Column4]]),Table14[[#This Row],[Column4]],Table14[[#This Row],[Column4]]="",H613*(1+Table14[[#This Row],[Ávöxtun]]))</f>
        <v>150.92940215396337</v>
      </c>
      <c r="I614" cm="1">
        <f t="array" ref="I614">_xlfn.IFS(Table14[[#This Row],[Column4]]="NEW",_xlfn.XLOOKUP(Table14[[#This Row],[Year]],$M$2:$M$27,$O$2:$O$27),ISNUMBER(Table14[[#This Row],[Column4]]),Table14[[#This Row],[Column4]],Table14[[#This Row],[Column4]]="",I613*(1+Table14[[#This Row],[Ávöxtun]]))</f>
        <v>150.92940215396337</v>
      </c>
      <c r="L614" s="33">
        <v>150.92940215396337</v>
      </c>
    </row>
    <row r="615" spans="1:12">
      <c r="A615" t="s">
        <v>115</v>
      </c>
      <c r="B615">
        <v>2012</v>
      </c>
      <c r="C615" s="16">
        <v>6.4000000000000001E-2</v>
      </c>
      <c r="D615" s="1">
        <v>3444445</v>
      </c>
      <c r="E615" s="29">
        <f>Table14[[#This Row],[Ávöxtun]]*Table14[[#This Row],[Eignir]]/SUMIFS(Table14[Eignir],Table14[Year],Table14[[#This Row],[Year]])</f>
        <v>1.0007271489599414E-4</v>
      </c>
      <c r="F615" s="23">
        <f>IF(B615=1997, 100, IF(COUNTIF(A$1:A614,A615)=0, "NEW", F614*(1+Table14[[#This Row],[Ávöxtun]])))</f>
        <v>160.58888389181703</v>
      </c>
      <c r="G615" s="18" cm="1">
        <f t="array" ref="G615">IFERROR(_xlfn.IFS(ISNUMBER(Table14[[#This Row],[Column3]]),Table14[[#This Row],[Column3]],Table14[[#This Row],[Column3]]="NEW",Table14[[#This Row],[Column3]]),"")</f>
        <v>160.58888389181703</v>
      </c>
      <c r="H615" s="15" cm="1">
        <f t="array" ref="H615">_xlfn.IFS(Table14[[#This Row],[Column4]]="NEW",AVERAGEIFS(Table14[Column4],Table14[Year],Table14[[#This Row],[Year]]),ISNUMBER(Table14[[#This Row],[Column4]]),Table14[[#This Row],[Column4]],Table14[[#This Row],[Column4]]="",H614*(1+Table14[[#This Row],[Ávöxtun]]))</f>
        <v>160.58888389181703</v>
      </c>
      <c r="I615" cm="1">
        <f t="array" ref="I615">_xlfn.IFS(Table14[[#This Row],[Column4]]="NEW",_xlfn.XLOOKUP(Table14[[#This Row],[Year]],$M$2:$M$27,$O$2:$O$27),ISNUMBER(Table14[[#This Row],[Column4]]),Table14[[#This Row],[Column4]],Table14[[#This Row],[Column4]]="",I614*(1+Table14[[#This Row],[Ávöxtun]]))</f>
        <v>160.58888389181703</v>
      </c>
      <c r="L615" s="33">
        <v>160.58888389181703</v>
      </c>
    </row>
    <row r="616" spans="1:12">
      <c r="A616" t="s">
        <v>115</v>
      </c>
      <c r="B616">
        <v>2013</v>
      </c>
      <c r="C616" s="16">
        <v>6.5000000000000002E-2</v>
      </c>
      <c r="D616" s="1">
        <v>3765002</v>
      </c>
      <c r="E616" s="29">
        <f>Table14[[#This Row],[Ávöxtun]]*Table14[[#This Row],[Eignir]]/SUMIFS(Table14[Eignir],Table14[Year],Table14[[#This Row],[Year]])</f>
        <v>1.0056179663825345E-4</v>
      </c>
      <c r="F616" s="23">
        <f>IF(B616=1997, 100, IF(COUNTIF(A$1:A615,A616)=0, "NEW", F615*(1+Table14[[#This Row],[Ávöxtun]])))</f>
        <v>171.02716134478513</v>
      </c>
      <c r="G616" s="18" cm="1">
        <f t="array" ref="G616">IFERROR(_xlfn.IFS(ISNUMBER(Table14[[#This Row],[Column3]]),Table14[[#This Row],[Column3]],Table14[[#This Row],[Column3]]="NEW",Table14[[#This Row],[Column3]]),"")</f>
        <v>171.02716134478513</v>
      </c>
      <c r="H616" s="15" cm="1">
        <f t="array" ref="H616">_xlfn.IFS(Table14[[#This Row],[Column4]]="NEW",AVERAGEIFS(Table14[Column4],Table14[Year],Table14[[#This Row],[Year]]),ISNUMBER(Table14[[#This Row],[Column4]]),Table14[[#This Row],[Column4]],Table14[[#This Row],[Column4]]="",H615*(1+Table14[[#This Row],[Ávöxtun]]))</f>
        <v>171.02716134478513</v>
      </c>
      <c r="I616" cm="1">
        <f t="array" ref="I616">_xlfn.IFS(Table14[[#This Row],[Column4]]="NEW",_xlfn.XLOOKUP(Table14[[#This Row],[Year]],$M$2:$M$27,$O$2:$O$27),ISNUMBER(Table14[[#This Row],[Column4]]),Table14[[#This Row],[Column4]],Table14[[#This Row],[Column4]]="",I615*(1+Table14[[#This Row],[Ávöxtun]]))</f>
        <v>171.02716134478513</v>
      </c>
      <c r="L616" s="33">
        <v>171.02716134478513</v>
      </c>
    </row>
    <row r="617" spans="1:12">
      <c r="A617" t="s">
        <v>115</v>
      </c>
      <c r="B617">
        <v>2014</v>
      </c>
      <c r="C617" s="16">
        <v>4.2999999999999997E-2</v>
      </c>
      <c r="D617" s="1">
        <v>3930260</v>
      </c>
      <c r="E617" s="29">
        <f>Table14[[#This Row],[Ávöxtun]]*Table14[[#This Row],[Eignir]]/SUMIFS(Table14[Eignir],Table14[Year],Table14[[#This Row],[Year]])</f>
        <v>6.3701471376263332E-5</v>
      </c>
      <c r="F617" s="23">
        <f>IF(B617=1997, 100, IF(COUNTIF(A$1:A616,A617)=0, "NEW", F616*(1+Table14[[#This Row],[Ávöxtun]])))</f>
        <v>178.38132928261086</v>
      </c>
      <c r="G617" s="18" cm="1">
        <f t="array" ref="G617">IFERROR(_xlfn.IFS(ISNUMBER(Table14[[#This Row],[Column3]]),Table14[[#This Row],[Column3]],Table14[[#This Row],[Column3]]="NEW",Table14[[#This Row],[Column3]]),"")</f>
        <v>178.38132928261086</v>
      </c>
      <c r="H617" s="15" cm="1">
        <f t="array" ref="H617">_xlfn.IFS(Table14[[#This Row],[Column4]]="NEW",AVERAGEIFS(Table14[Column4],Table14[Year],Table14[[#This Row],[Year]]),ISNUMBER(Table14[[#This Row],[Column4]]),Table14[[#This Row],[Column4]],Table14[[#This Row],[Column4]]="",H616*(1+Table14[[#This Row],[Ávöxtun]]))</f>
        <v>178.38132928261086</v>
      </c>
      <c r="I617" cm="1">
        <f t="array" ref="I617">_xlfn.IFS(Table14[[#This Row],[Column4]]="NEW",_xlfn.XLOOKUP(Table14[[#This Row],[Year]],$M$2:$M$27,$O$2:$O$27),ISNUMBER(Table14[[#This Row],[Column4]]),Table14[[#This Row],[Column4]],Table14[[#This Row],[Column4]]="",I616*(1+Table14[[#This Row],[Ávöxtun]]))</f>
        <v>178.38132928261086</v>
      </c>
      <c r="L617" s="33">
        <v>178.38132928261086</v>
      </c>
    </row>
    <row r="618" spans="1:12">
      <c r="A618" t="s">
        <v>115</v>
      </c>
      <c r="B618">
        <v>2015</v>
      </c>
      <c r="C618" s="16">
        <v>5.9000000000000004E-2</v>
      </c>
      <c r="D618" s="1">
        <v>4186603</v>
      </c>
      <c r="E618" s="29">
        <f>Table14[[#This Row],[Ávöxtun]]*Table14[[#This Row],[Eignir]]/SUMIFS(Table14[Eignir],Table14[Year],Table14[[#This Row],[Year]])</f>
        <v>8.3410344050071354E-5</v>
      </c>
      <c r="F618" s="23">
        <f>IF(B618=1997, 100, IF(COUNTIF(A$1:A617,A618)=0, "NEW", F617*(1+Table14[[#This Row],[Ávöxtun]])))</f>
        <v>188.90582771028488</v>
      </c>
      <c r="G618" s="18" cm="1">
        <f t="array" ref="G618">IFERROR(_xlfn.IFS(ISNUMBER(Table14[[#This Row],[Column3]]),Table14[[#This Row],[Column3]],Table14[[#This Row],[Column3]]="NEW",Table14[[#This Row],[Column3]]),"")</f>
        <v>188.90582771028488</v>
      </c>
      <c r="H618" s="15" cm="1">
        <f t="array" ref="H618">_xlfn.IFS(Table14[[#This Row],[Column4]]="NEW",AVERAGEIFS(Table14[Column4],Table14[Year],Table14[[#This Row],[Year]]),ISNUMBER(Table14[[#This Row],[Column4]]),Table14[[#This Row],[Column4]],Table14[[#This Row],[Column4]]="",H617*(1+Table14[[#This Row],[Ávöxtun]]))</f>
        <v>188.90582771028488</v>
      </c>
      <c r="I618" cm="1">
        <f t="array" ref="I618">_xlfn.IFS(Table14[[#This Row],[Column4]]="NEW",_xlfn.XLOOKUP(Table14[[#This Row],[Year]],$M$2:$M$27,$O$2:$O$27),ISNUMBER(Table14[[#This Row],[Column4]]),Table14[[#This Row],[Column4]],Table14[[#This Row],[Column4]]="",I617*(1+Table14[[#This Row],[Ávöxtun]]))</f>
        <v>188.90582771028488</v>
      </c>
      <c r="L618" s="33">
        <v>188.90582771028488</v>
      </c>
    </row>
    <row r="619" spans="1:12">
      <c r="A619" t="s">
        <v>115</v>
      </c>
      <c r="B619">
        <v>2016</v>
      </c>
      <c r="C619" s="16">
        <v>1E-3</v>
      </c>
      <c r="D619" s="1">
        <v>4393064.0599999996</v>
      </c>
      <c r="E619" s="29">
        <f>Table14[[#This Row],[Ávöxtun]]*Table14[[#This Row],[Eignir]]/SUMIFS(Table14[Eignir],Table14[Year],Table14[[#This Row],[Year]])</f>
        <v>1.3728125023757985E-6</v>
      </c>
      <c r="F619" s="23">
        <f>IF(B619=1997, 100, IF(COUNTIF(A$1:A618,A619)=0, "NEW", F618*(1+Table14[[#This Row],[Ávöxtun]])))</f>
        <v>189.09473353799515</v>
      </c>
      <c r="G619" s="18" cm="1">
        <f t="array" ref="G619">IFERROR(_xlfn.IFS(ISNUMBER(Table14[[#This Row],[Column3]]),Table14[[#This Row],[Column3]],Table14[[#This Row],[Column3]]="NEW",Table14[[#This Row],[Column3]]),"")</f>
        <v>189.09473353799515</v>
      </c>
      <c r="H619" s="15" cm="1">
        <f t="array" ref="H619">_xlfn.IFS(Table14[[#This Row],[Column4]]="NEW",AVERAGEIFS(Table14[Column4],Table14[Year],Table14[[#This Row],[Year]]),ISNUMBER(Table14[[#This Row],[Column4]]),Table14[[#This Row],[Column4]],Table14[[#This Row],[Column4]]="",H618*(1+Table14[[#This Row],[Ávöxtun]]))</f>
        <v>189.09473353799515</v>
      </c>
      <c r="I619" cm="1">
        <f t="array" ref="I619">_xlfn.IFS(Table14[[#This Row],[Column4]]="NEW",_xlfn.XLOOKUP(Table14[[#This Row],[Year]],$M$2:$M$27,$O$2:$O$27),ISNUMBER(Table14[[#This Row],[Column4]]),Table14[[#This Row],[Column4]],Table14[[#This Row],[Column4]]="",I618*(1+Table14[[#This Row],[Ávöxtun]]))</f>
        <v>189.09473353799515</v>
      </c>
      <c r="L619" s="33">
        <v>189.09473353799515</v>
      </c>
    </row>
    <row r="620" spans="1:12">
      <c r="A620" t="s">
        <v>115</v>
      </c>
      <c r="B620">
        <v>2017</v>
      </c>
      <c r="C620" s="16">
        <v>4.9000000000000002E-2</v>
      </c>
      <c r="D620" s="1">
        <v>4576944</v>
      </c>
      <c r="E620" s="29">
        <f>Table14[[#This Row],[Ávöxtun]]*Table14[[#This Row],[Eignir]]/SUMIFS(Table14[Eignir],Table14[Year],Table14[[#This Row],[Year]])</f>
        <v>6.3012285032399971E-5</v>
      </c>
      <c r="F620" s="23">
        <f>IF(B620=1997, 100, IF(COUNTIF(A$1:A619,A620)=0, "NEW", F619*(1+Table14[[#This Row],[Ávöxtun]])))</f>
        <v>198.3603754813569</v>
      </c>
      <c r="G620" s="18" cm="1">
        <f t="array" ref="G620">IFERROR(_xlfn.IFS(ISNUMBER(Table14[[#This Row],[Column3]]),Table14[[#This Row],[Column3]],Table14[[#This Row],[Column3]]="NEW",Table14[[#This Row],[Column3]]),"")</f>
        <v>198.3603754813569</v>
      </c>
      <c r="H620" s="15" cm="1">
        <f t="array" ref="H620">_xlfn.IFS(Table14[[#This Row],[Column4]]="NEW",AVERAGEIFS(Table14[Column4],Table14[Year],Table14[[#This Row],[Year]]),ISNUMBER(Table14[[#This Row],[Column4]]),Table14[[#This Row],[Column4]],Table14[[#This Row],[Column4]]="",H619*(1+Table14[[#This Row],[Ávöxtun]]))</f>
        <v>198.3603754813569</v>
      </c>
      <c r="I620" cm="1">
        <f t="array" ref="I620">_xlfn.IFS(Table14[[#This Row],[Column4]]="NEW",_xlfn.XLOOKUP(Table14[[#This Row],[Year]],$M$2:$M$27,$O$2:$O$27),ISNUMBER(Table14[[#This Row],[Column4]]),Table14[[#This Row],[Column4]],Table14[[#This Row],[Column4]]="",I619*(1+Table14[[#This Row],[Ávöxtun]]))</f>
        <v>198.3603754813569</v>
      </c>
      <c r="L620" s="33">
        <v>198.3603754813569</v>
      </c>
    </row>
    <row r="621" spans="1:12">
      <c r="A621" t="s">
        <v>116</v>
      </c>
      <c r="B621">
        <v>1997</v>
      </c>
      <c r="C621" s="16">
        <v>0.04</v>
      </c>
      <c r="D621" s="1">
        <v>2451806.02</v>
      </c>
      <c r="E621" s="29">
        <f>Table14[[#This Row],[Ávöxtun]]*Table14[[#This Row],[Eignir]]/SUMIFS(Table14[Eignir],Table14[Year],Table14[[#This Row],[Year]])</f>
        <v>2.8927702081843422E-4</v>
      </c>
      <c r="F621" s="23">
        <f>IF(B621=1997, 100, IF(COUNTIF(A$1:A620,A621)=0, "NEW", F620*(1+Table14[[#This Row],[Ávöxtun]])))</f>
        <v>100</v>
      </c>
      <c r="G621" s="18" cm="1">
        <f t="array" ref="G621">IFERROR(_xlfn.IFS(ISNUMBER(Table14[[#This Row],[Column3]]),Table14[[#This Row],[Column3]],Table14[[#This Row],[Column3]]="NEW",Table14[[#This Row],[Column3]]),"")</f>
        <v>100</v>
      </c>
      <c r="H621" s="15" cm="1">
        <f t="array" ref="H621">_xlfn.IFS(Table14[[#This Row],[Column4]]="NEW",AVERAGEIFS(Table14[Column4],Table14[Year],Table14[[#This Row],[Year]]),ISNUMBER(Table14[[#This Row],[Column4]]),Table14[[#This Row],[Column4]],Table14[[#This Row],[Column4]]="",H620*(1+Table14[[#This Row],[Ávöxtun]]))</f>
        <v>100</v>
      </c>
      <c r="I621" cm="1">
        <f t="array" ref="I621">_xlfn.IFS(Table14[[#This Row],[Column4]]="NEW",_xlfn.XLOOKUP(Table14[[#This Row],[Year]],$M$2:$M$27,$O$2:$O$27),ISNUMBER(Table14[[#This Row],[Column4]]),Table14[[#This Row],[Column4]],Table14[[#This Row],[Column4]]="",I620*(1+Table14[[#This Row],[Ávöxtun]]))</f>
        <v>100</v>
      </c>
      <c r="L621" s="33">
        <v>100</v>
      </c>
    </row>
    <row r="622" spans="1:12">
      <c r="A622" t="s">
        <v>116</v>
      </c>
      <c r="B622">
        <v>1998</v>
      </c>
      <c r="C622" s="16">
        <v>0.05</v>
      </c>
      <c r="D622" s="1">
        <v>2688130.09</v>
      </c>
      <c r="E622" s="29">
        <f>Table14[[#This Row],[Ávöxtun]]*Table14[[#This Row],[Eignir]]/SUMIFS(Table14[Eignir],Table14[Year],Table14[[#This Row],[Year]])</f>
        <v>3.4319336909618563E-4</v>
      </c>
      <c r="F622" s="23">
        <f>IF(B622=1997, 100, IF(COUNTIF(A$1:A621,A622)=0, "NEW", F621*(1+Table14[[#This Row],[Ávöxtun]])))</f>
        <v>105</v>
      </c>
      <c r="G622" s="18" cm="1">
        <f t="array" ref="G622">IFERROR(_xlfn.IFS(ISNUMBER(Table14[[#This Row],[Column3]]),Table14[[#This Row],[Column3]],Table14[[#This Row],[Column3]]="NEW",Table14[[#This Row],[Column3]]),"")</f>
        <v>105</v>
      </c>
      <c r="H622" s="15" cm="1">
        <f t="array" ref="H622">_xlfn.IFS(Table14[[#This Row],[Column4]]="NEW",AVERAGEIFS(Table14[Column4],Table14[Year],Table14[[#This Row],[Year]]),ISNUMBER(Table14[[#This Row],[Column4]]),Table14[[#This Row],[Column4]],Table14[[#This Row],[Column4]]="",H621*(1+Table14[[#This Row],[Ávöxtun]]))</f>
        <v>105</v>
      </c>
      <c r="I622" cm="1">
        <f t="array" ref="I622">_xlfn.IFS(Table14[[#This Row],[Column4]]="NEW",_xlfn.XLOOKUP(Table14[[#This Row],[Year]],$M$2:$M$27,$O$2:$O$27),ISNUMBER(Table14[[#This Row],[Column4]]),Table14[[#This Row],[Column4]],Table14[[#This Row],[Column4]]="",I621*(1+Table14[[#This Row],[Ávöxtun]]))</f>
        <v>105</v>
      </c>
      <c r="L622" s="33">
        <v>105</v>
      </c>
    </row>
    <row r="623" spans="1:12">
      <c r="A623" t="s">
        <v>116</v>
      </c>
      <c r="B623">
        <v>1999</v>
      </c>
      <c r="C623" s="16">
        <v>0.04</v>
      </c>
      <c r="D623" s="1">
        <v>3050516.32</v>
      </c>
      <c r="E623" s="29">
        <f>Table14[[#This Row],[Ávöxtun]]*Table14[[#This Row],[Eignir]]/SUMIFS(Table14[Eignir],Table14[Year],Table14[[#This Row],[Year]])</f>
        <v>2.3433213492284188E-4</v>
      </c>
      <c r="F623" s="23">
        <f>IF(B623=1997, 100, IF(COUNTIF(A$1:A622,A623)=0, "NEW", F622*(1+Table14[[#This Row],[Ávöxtun]])))</f>
        <v>109.2</v>
      </c>
      <c r="G623" s="18" cm="1">
        <f t="array" ref="G623">IFERROR(_xlfn.IFS(ISNUMBER(Table14[[#This Row],[Column3]]),Table14[[#This Row],[Column3]],Table14[[#This Row],[Column3]]="NEW",Table14[[#This Row],[Column3]]),"")</f>
        <v>109.2</v>
      </c>
      <c r="H623" s="15" cm="1">
        <f t="array" ref="H623">_xlfn.IFS(Table14[[#This Row],[Column4]]="NEW",AVERAGEIFS(Table14[Column4],Table14[Year],Table14[[#This Row],[Year]]),ISNUMBER(Table14[[#This Row],[Column4]]),Table14[[#This Row],[Column4]],Table14[[#This Row],[Column4]]="",H622*(1+Table14[[#This Row],[Ávöxtun]]))</f>
        <v>109.2</v>
      </c>
      <c r="I623" cm="1">
        <f t="array" ref="I623">_xlfn.IFS(Table14[[#This Row],[Column4]]="NEW",_xlfn.XLOOKUP(Table14[[#This Row],[Year]],$M$2:$M$27,$O$2:$O$27),ISNUMBER(Table14[[#This Row],[Column4]]),Table14[[#This Row],[Column4]],Table14[[#This Row],[Column4]]="",I622*(1+Table14[[#This Row],[Ávöxtun]]))</f>
        <v>109.2</v>
      </c>
      <c r="L623" s="33">
        <v>109.2</v>
      </c>
    </row>
    <row r="624" spans="1:12">
      <c r="A624" t="s">
        <v>116</v>
      </c>
      <c r="B624">
        <v>2000</v>
      </c>
      <c r="C624" s="16">
        <v>0</v>
      </c>
      <c r="D624" s="1">
        <v>3034334.64</v>
      </c>
      <c r="E624" s="29">
        <f>Table14[[#This Row],[Ávöxtun]]*Table14[[#This Row],[Eignir]]/SUMIFS(Table14[Eignir],Table14[Year],Table14[[#This Row],[Year]])</f>
        <v>0</v>
      </c>
      <c r="F624" s="23">
        <f>IF(B624=1997, 100, IF(COUNTIF(A$1:A623,A624)=0, "NEW", F623*(1+Table14[[#This Row],[Ávöxtun]])))</f>
        <v>109.2</v>
      </c>
      <c r="G624" s="18" cm="1">
        <f t="array" ref="G624">IFERROR(_xlfn.IFS(ISNUMBER(Table14[[#This Row],[Column3]]),Table14[[#This Row],[Column3]],Table14[[#This Row],[Column3]]="NEW",Table14[[#This Row],[Column3]]),"")</f>
        <v>109.2</v>
      </c>
      <c r="H624" s="15" cm="1">
        <f t="array" ref="H624">_xlfn.IFS(Table14[[#This Row],[Column4]]="NEW",AVERAGEIFS(Table14[Column4],Table14[Year],Table14[[#This Row],[Year]]),ISNUMBER(Table14[[#This Row],[Column4]]),Table14[[#This Row],[Column4]],Table14[[#This Row],[Column4]]="",H623*(1+Table14[[#This Row],[Ávöxtun]]))</f>
        <v>109.2</v>
      </c>
      <c r="I624" cm="1">
        <f t="array" ref="I624">_xlfn.IFS(Table14[[#This Row],[Column4]]="NEW",_xlfn.XLOOKUP(Table14[[#This Row],[Year]],$M$2:$M$27,$O$2:$O$27),ISNUMBER(Table14[[#This Row],[Column4]]),Table14[[#This Row],[Column4]],Table14[[#This Row],[Column4]]="",I623*(1+Table14[[#This Row],[Ávöxtun]]))</f>
        <v>109.2</v>
      </c>
      <c r="L624" s="33">
        <v>109.2</v>
      </c>
    </row>
    <row r="625" spans="1:12">
      <c r="A625" t="s">
        <v>116</v>
      </c>
      <c r="B625">
        <v>2001</v>
      </c>
      <c r="C625" s="16">
        <v>0.01</v>
      </c>
      <c r="D625" s="1">
        <v>3277978.02</v>
      </c>
      <c r="E625" s="29">
        <f>Table14[[#This Row],[Ávöxtun]]*Table14[[#This Row],[Eignir]]/SUMIFS(Table14[Eignir],Table14[Year],Table14[[#This Row],[Year]])</f>
        <v>2.8309297068776763E-5</v>
      </c>
      <c r="F625" s="23">
        <f>IF(B625=1997, 100, IF(COUNTIF(A$1:A624,A625)=0, "NEW", F624*(1+Table14[[#This Row],[Ávöxtun]])))</f>
        <v>110.292</v>
      </c>
      <c r="G625" s="18" cm="1">
        <f t="array" ref="G625">IFERROR(_xlfn.IFS(ISNUMBER(Table14[[#This Row],[Column3]]),Table14[[#This Row],[Column3]],Table14[[#This Row],[Column3]]="NEW",Table14[[#This Row],[Column3]]),"")</f>
        <v>110.292</v>
      </c>
      <c r="H625" s="15" cm="1">
        <f t="array" ref="H625">_xlfn.IFS(Table14[[#This Row],[Column4]]="NEW",AVERAGEIFS(Table14[Column4],Table14[Year],Table14[[#This Row],[Year]]),ISNUMBER(Table14[[#This Row],[Column4]]),Table14[[#This Row],[Column4]],Table14[[#This Row],[Column4]]="",H624*(1+Table14[[#This Row],[Ávöxtun]]))</f>
        <v>110.292</v>
      </c>
      <c r="I625" cm="1">
        <f t="array" ref="I625">_xlfn.IFS(Table14[[#This Row],[Column4]]="NEW",_xlfn.XLOOKUP(Table14[[#This Row],[Year]],$M$2:$M$27,$O$2:$O$27),ISNUMBER(Table14[[#This Row],[Column4]]),Table14[[#This Row],[Column4]],Table14[[#This Row],[Column4]]="",I624*(1+Table14[[#This Row],[Ávöxtun]]))</f>
        <v>110.292</v>
      </c>
      <c r="L625" s="33">
        <v>110.292</v>
      </c>
    </row>
    <row r="626" spans="1:12">
      <c r="A626" t="s">
        <v>116</v>
      </c>
      <c r="B626">
        <v>2002</v>
      </c>
      <c r="C626" s="16">
        <v>0.03</v>
      </c>
      <c r="D626" s="1">
        <v>3592096</v>
      </c>
      <c r="E626" s="29">
        <f>Table14[[#This Row],[Ávöxtun]]*Table14[[#This Row],[Eignir]]/SUMIFS(Table14[Eignir],Table14[Year],Table14[[#This Row],[Year]])</f>
        <v>1.6966146325167719E-4</v>
      </c>
      <c r="F626" s="23">
        <f>IF(B626=1997, 100, IF(COUNTIF(A$1:A625,A626)=0, "NEW", F625*(1+Table14[[#This Row],[Ávöxtun]])))</f>
        <v>113.60076000000001</v>
      </c>
      <c r="G626" s="18" cm="1">
        <f t="array" ref="G626">IFERROR(_xlfn.IFS(ISNUMBER(Table14[[#This Row],[Column3]]),Table14[[#This Row],[Column3]],Table14[[#This Row],[Column3]]="NEW",Table14[[#This Row],[Column3]]),"")</f>
        <v>113.60076000000001</v>
      </c>
      <c r="H626" s="15" cm="1">
        <f t="array" ref="H626">_xlfn.IFS(Table14[[#This Row],[Column4]]="NEW",AVERAGEIFS(Table14[Column4],Table14[Year],Table14[[#This Row],[Year]]),ISNUMBER(Table14[[#This Row],[Column4]]),Table14[[#This Row],[Column4]],Table14[[#This Row],[Column4]]="",H625*(1+Table14[[#This Row],[Ávöxtun]]))</f>
        <v>113.60076000000001</v>
      </c>
      <c r="I626" cm="1">
        <f t="array" ref="I626">_xlfn.IFS(Table14[[#This Row],[Column4]]="NEW",_xlfn.XLOOKUP(Table14[[#This Row],[Year]],$M$2:$M$27,$O$2:$O$27),ISNUMBER(Table14[[#This Row],[Column4]]),Table14[[#This Row],[Column4]],Table14[[#This Row],[Column4]]="",I625*(1+Table14[[#This Row],[Ávöxtun]]))</f>
        <v>113.60076000000001</v>
      </c>
      <c r="L626" s="33">
        <v>113.60076000000001</v>
      </c>
    </row>
    <row r="627" spans="1:12">
      <c r="A627" t="s">
        <v>116</v>
      </c>
      <c r="B627">
        <v>2003</v>
      </c>
      <c r="C627" s="16">
        <v>0.11</v>
      </c>
      <c r="D627" s="1">
        <v>10117276</v>
      </c>
      <c r="E627" s="29">
        <f>Table14[[#This Row],[Ávöxtun]]*Table14[[#This Row],[Eignir]]/SUMIFS(Table14[Eignir],Table14[Year],Table14[[#This Row],[Year]])</f>
        <v>1.4645518655865182E-3</v>
      </c>
      <c r="F627" s="23">
        <f>IF(B627=1997, 100, IF(COUNTIF(A$1:A626,A627)=0, "NEW", F626*(1+Table14[[#This Row],[Ávöxtun]])))</f>
        <v>126.09684360000001</v>
      </c>
      <c r="G627" s="18" cm="1">
        <f t="array" ref="G627">IFERROR(_xlfn.IFS(ISNUMBER(Table14[[#This Row],[Column3]]),Table14[[#This Row],[Column3]],Table14[[#This Row],[Column3]]="NEW",Table14[[#This Row],[Column3]]),"")</f>
        <v>126.09684360000001</v>
      </c>
      <c r="H627" s="15" cm="1">
        <f t="array" ref="H627">_xlfn.IFS(Table14[[#This Row],[Column4]]="NEW",AVERAGEIFS(Table14[Column4],Table14[Year],Table14[[#This Row],[Year]]),ISNUMBER(Table14[[#This Row],[Column4]]),Table14[[#This Row],[Column4]],Table14[[#This Row],[Column4]]="",H626*(1+Table14[[#This Row],[Ávöxtun]]))</f>
        <v>126.09684360000001</v>
      </c>
      <c r="I627" cm="1">
        <f t="array" ref="I627">_xlfn.IFS(Table14[[#This Row],[Column4]]="NEW",_xlfn.XLOOKUP(Table14[[#This Row],[Year]],$M$2:$M$27,$O$2:$O$27),ISNUMBER(Table14[[#This Row],[Column4]]),Table14[[#This Row],[Column4]],Table14[[#This Row],[Column4]]="",I626*(1+Table14[[#This Row],[Ávöxtun]]))</f>
        <v>126.09684360000001</v>
      </c>
      <c r="L627" s="33">
        <v>126.09684360000001</v>
      </c>
    </row>
    <row r="628" spans="1:12">
      <c r="A628" t="s">
        <v>116</v>
      </c>
      <c r="B628">
        <v>2004</v>
      </c>
      <c r="C628" s="16">
        <v>0.03</v>
      </c>
      <c r="D628" s="1">
        <v>11048612.449999999</v>
      </c>
      <c r="E628" s="29">
        <f>Table14[[#This Row],[Ávöxtun]]*Table14[[#This Row],[Eignir]]/SUMIFS(Table14[Eignir],Table14[Year],Table14[[#This Row],[Year]])</f>
        <v>3.6517480832807544E-4</v>
      </c>
      <c r="F628" s="23">
        <f>IF(B628=1997, 100, IF(COUNTIF(A$1:A627,A628)=0, "NEW", F627*(1+Table14[[#This Row],[Ávöxtun]])))</f>
        <v>129.87974890800001</v>
      </c>
      <c r="G628" s="18" cm="1">
        <f t="array" ref="G628">IFERROR(_xlfn.IFS(ISNUMBER(Table14[[#This Row],[Column3]]),Table14[[#This Row],[Column3]],Table14[[#This Row],[Column3]]="NEW",Table14[[#This Row],[Column3]]),"")</f>
        <v>129.87974890800001</v>
      </c>
      <c r="H628" s="15" cm="1">
        <f t="array" ref="H628">_xlfn.IFS(Table14[[#This Row],[Column4]]="NEW",AVERAGEIFS(Table14[Column4],Table14[Year],Table14[[#This Row],[Year]]),ISNUMBER(Table14[[#This Row],[Column4]]),Table14[[#This Row],[Column4]],Table14[[#This Row],[Column4]]="",H627*(1+Table14[[#This Row],[Ávöxtun]]))</f>
        <v>129.87974890800001</v>
      </c>
      <c r="I628" cm="1">
        <f t="array" ref="I628">_xlfn.IFS(Table14[[#This Row],[Column4]]="NEW",_xlfn.XLOOKUP(Table14[[#This Row],[Year]],$M$2:$M$27,$O$2:$O$27),ISNUMBER(Table14[[#This Row],[Column4]]),Table14[[#This Row],[Column4]],Table14[[#This Row],[Column4]]="",I627*(1+Table14[[#This Row],[Ávöxtun]]))</f>
        <v>129.87974890800001</v>
      </c>
      <c r="L628" s="33">
        <v>129.87974890800001</v>
      </c>
    </row>
    <row r="629" spans="1:12">
      <c r="A629" t="s">
        <v>116</v>
      </c>
      <c r="B629">
        <v>2005</v>
      </c>
      <c r="C629" s="16">
        <v>0.03</v>
      </c>
      <c r="D629" s="1">
        <v>11576018</v>
      </c>
      <c r="E629" s="29">
        <f>Table14[[#This Row],[Ávöxtun]]*Table14[[#This Row],[Eignir]]/SUMIFS(Table14[Eignir],Table14[Year],Table14[[#This Row],[Year]])</f>
        <v>3.0970199905186278E-4</v>
      </c>
      <c r="F629" s="23">
        <f>IF(B629=1997, 100, IF(COUNTIF(A$1:A628,A629)=0, "NEW", F628*(1+Table14[[#This Row],[Ávöxtun]])))</f>
        <v>133.77614137524</v>
      </c>
      <c r="G629" s="18" cm="1">
        <f t="array" ref="G629">IFERROR(_xlfn.IFS(ISNUMBER(Table14[[#This Row],[Column3]]),Table14[[#This Row],[Column3]],Table14[[#This Row],[Column3]]="NEW",Table14[[#This Row],[Column3]]),"")</f>
        <v>133.77614137524</v>
      </c>
      <c r="H629" s="15" cm="1">
        <f t="array" ref="H629">_xlfn.IFS(Table14[[#This Row],[Column4]]="NEW",AVERAGEIFS(Table14[Column4],Table14[Year],Table14[[#This Row],[Year]]),ISNUMBER(Table14[[#This Row],[Column4]]),Table14[[#This Row],[Column4]],Table14[[#This Row],[Column4]]="",H628*(1+Table14[[#This Row],[Ávöxtun]]))</f>
        <v>133.77614137524</v>
      </c>
      <c r="I629" cm="1">
        <f t="array" ref="I629">_xlfn.IFS(Table14[[#This Row],[Column4]]="NEW",_xlfn.XLOOKUP(Table14[[#This Row],[Year]],$M$2:$M$27,$O$2:$O$27),ISNUMBER(Table14[[#This Row],[Column4]]),Table14[[#This Row],[Column4]],Table14[[#This Row],[Column4]]="",I628*(1+Table14[[#This Row],[Ávöxtun]]))</f>
        <v>133.77614137524</v>
      </c>
      <c r="L629" s="33">
        <v>133.77614137524</v>
      </c>
    </row>
    <row r="630" spans="1:12">
      <c r="A630" t="s">
        <v>116</v>
      </c>
      <c r="B630">
        <v>2006</v>
      </c>
      <c r="C630" s="16">
        <v>3.8100000000000002E-2</v>
      </c>
      <c r="D630" s="1">
        <v>13262544</v>
      </c>
      <c r="E630" s="29">
        <f>Table14[[#This Row],[Ávöxtun]]*Table14[[#This Row],[Eignir]]/SUMIFS(Table14[Eignir],Table14[Year],Table14[[#This Row],[Year]])</f>
        <v>3.6811531557447906E-4</v>
      </c>
      <c r="F630" s="23">
        <f>IF(B630=1997, 100, IF(COUNTIF(A$1:A629,A630)=0, "NEW", F629*(1+Table14[[#This Row],[Ávöxtun]])))</f>
        <v>138.87301236163665</v>
      </c>
      <c r="G630" s="18" cm="1">
        <f t="array" ref="G630">IFERROR(_xlfn.IFS(ISNUMBER(Table14[[#This Row],[Column3]]),Table14[[#This Row],[Column3]],Table14[[#This Row],[Column3]]="NEW",Table14[[#This Row],[Column3]]),"")</f>
        <v>138.87301236163665</v>
      </c>
      <c r="H630" s="15" cm="1">
        <f t="array" ref="H630">_xlfn.IFS(Table14[[#This Row],[Column4]]="NEW",AVERAGEIFS(Table14[Column4],Table14[Year],Table14[[#This Row],[Year]]),ISNUMBER(Table14[[#This Row],[Column4]]),Table14[[#This Row],[Column4]],Table14[[#This Row],[Column4]]="",H629*(1+Table14[[#This Row],[Ávöxtun]]))</f>
        <v>138.87301236163665</v>
      </c>
      <c r="I630" cm="1">
        <f t="array" ref="I630">_xlfn.IFS(Table14[[#This Row],[Column4]]="NEW",_xlfn.XLOOKUP(Table14[[#This Row],[Year]],$M$2:$M$27,$O$2:$O$27),ISNUMBER(Table14[[#This Row],[Column4]]),Table14[[#This Row],[Column4]],Table14[[#This Row],[Column4]]="",I629*(1+Table14[[#This Row],[Ávöxtun]]))</f>
        <v>138.87301236163665</v>
      </c>
      <c r="L630" s="33">
        <v>138.87301236163665</v>
      </c>
    </row>
    <row r="631" spans="1:12">
      <c r="A631" t="s">
        <v>116</v>
      </c>
      <c r="B631">
        <v>2007</v>
      </c>
      <c r="C631" s="16">
        <v>8.4900000000000003E-2</v>
      </c>
      <c r="D631" s="1">
        <v>40330382</v>
      </c>
      <c r="E631" s="29">
        <f>Table14[[#This Row],[Ávöxtun]]*Table14[[#This Row],[Eignir]]/SUMIFS(Table14[Eignir],Table14[Year],Table14[[#This Row],[Year]])</f>
        <v>2.2141953644558318E-3</v>
      </c>
      <c r="F631" s="23">
        <f>IF(B631=1997, 100, IF(COUNTIF(A$1:A630,A631)=0, "NEW", F630*(1+Table14[[#This Row],[Ávöxtun]])))</f>
        <v>150.6633311111396</v>
      </c>
      <c r="G631" s="18" cm="1">
        <f t="array" ref="G631">IFERROR(_xlfn.IFS(ISNUMBER(Table14[[#This Row],[Column3]]),Table14[[#This Row],[Column3]],Table14[[#This Row],[Column3]]="NEW",Table14[[#This Row],[Column3]]),"")</f>
        <v>150.6633311111396</v>
      </c>
      <c r="H631" s="15" cm="1">
        <f t="array" ref="H631">_xlfn.IFS(Table14[[#This Row],[Column4]]="NEW",AVERAGEIFS(Table14[Column4],Table14[Year],Table14[[#This Row],[Year]]),ISNUMBER(Table14[[#This Row],[Column4]]),Table14[[#This Row],[Column4]],Table14[[#This Row],[Column4]]="",H630*(1+Table14[[#This Row],[Ávöxtun]]))</f>
        <v>150.6633311111396</v>
      </c>
      <c r="I631" cm="1">
        <f t="array" ref="I631">_xlfn.IFS(Table14[[#This Row],[Column4]]="NEW",_xlfn.XLOOKUP(Table14[[#This Row],[Year]],$M$2:$M$27,$O$2:$O$27),ISNUMBER(Table14[[#This Row],[Column4]]),Table14[[#This Row],[Column4]],Table14[[#This Row],[Column4]]="",I630*(1+Table14[[#This Row],[Ávöxtun]]))</f>
        <v>150.6633311111396</v>
      </c>
      <c r="L631" s="33">
        <v>150.6633311111396</v>
      </c>
    </row>
    <row r="632" spans="1:12">
      <c r="A632" t="s">
        <v>116</v>
      </c>
      <c r="B632">
        <v>2008</v>
      </c>
      <c r="C632" s="16">
        <v>2.29E-2</v>
      </c>
      <c r="D632" s="1">
        <v>47366446</v>
      </c>
      <c r="E632" s="29">
        <f>Table14[[#This Row],[Ávöxtun]]*Table14[[#This Row],[Eignir]]/SUMIFS(Table14[Eignir],Table14[Year],Table14[[#This Row],[Year]])</f>
        <v>7.2442305802338555E-4</v>
      </c>
      <c r="F632" s="23">
        <f>IF(B632=1997, 100, IF(COUNTIF(A$1:A631,A632)=0, "NEW", F631*(1+Table14[[#This Row],[Ávöxtun]])))</f>
        <v>154.11352139358468</v>
      </c>
      <c r="G632" s="18" cm="1">
        <f t="array" ref="G632">IFERROR(_xlfn.IFS(ISNUMBER(Table14[[#This Row],[Column3]]),Table14[[#This Row],[Column3]],Table14[[#This Row],[Column3]]="NEW",Table14[[#This Row],[Column3]]),"")</f>
        <v>154.11352139358468</v>
      </c>
      <c r="H632" s="15" cm="1">
        <f t="array" ref="H632">_xlfn.IFS(Table14[[#This Row],[Column4]]="NEW",AVERAGEIFS(Table14[Column4],Table14[Year],Table14[[#This Row],[Year]]),ISNUMBER(Table14[[#This Row],[Column4]]),Table14[[#This Row],[Column4]],Table14[[#This Row],[Column4]]="",H631*(1+Table14[[#This Row],[Ávöxtun]]))</f>
        <v>154.11352139358468</v>
      </c>
      <c r="I632" cm="1">
        <f t="array" ref="I632">_xlfn.IFS(Table14[[#This Row],[Column4]]="NEW",_xlfn.XLOOKUP(Table14[[#This Row],[Year]],$M$2:$M$27,$O$2:$O$27),ISNUMBER(Table14[[#This Row],[Column4]]),Table14[[#This Row],[Column4]],Table14[[#This Row],[Column4]]="",I631*(1+Table14[[#This Row],[Ávöxtun]]))</f>
        <v>154.11352139358468</v>
      </c>
      <c r="L632" s="33">
        <v>154.11352139358468</v>
      </c>
    </row>
    <row r="633" spans="1:12">
      <c r="A633" t="s">
        <v>116</v>
      </c>
      <c r="B633">
        <v>2009</v>
      </c>
      <c r="C633" s="16">
        <v>3.5799999999999998E-2</v>
      </c>
      <c r="D633" s="1">
        <v>52548263</v>
      </c>
      <c r="E633" s="29">
        <f>Table14[[#This Row],[Ávöxtun]]*Table14[[#This Row],[Eignir]]/SUMIFS(Table14[Eignir],Table14[Year],Table14[[#This Row],[Year]])</f>
        <v>1.1276597581581903E-3</v>
      </c>
      <c r="F633" s="23">
        <f>IF(B633=1997, 100, IF(COUNTIF(A$1:A632,A633)=0, "NEW", F632*(1+Table14[[#This Row],[Ávöxtun]])))</f>
        <v>159.63078545947502</v>
      </c>
      <c r="G633" s="18" cm="1">
        <f t="array" ref="G633">IFERROR(_xlfn.IFS(ISNUMBER(Table14[[#This Row],[Column3]]),Table14[[#This Row],[Column3]],Table14[[#This Row],[Column3]]="NEW",Table14[[#This Row],[Column3]]),"")</f>
        <v>159.63078545947502</v>
      </c>
      <c r="H633" s="15" cm="1">
        <f t="array" ref="H633">_xlfn.IFS(Table14[[#This Row],[Column4]]="NEW",AVERAGEIFS(Table14[Column4],Table14[Year],Table14[[#This Row],[Year]]),ISNUMBER(Table14[[#This Row],[Column4]]),Table14[[#This Row],[Column4]],Table14[[#This Row],[Column4]]="",H632*(1+Table14[[#This Row],[Ávöxtun]]))</f>
        <v>159.63078545947502</v>
      </c>
      <c r="I633" cm="1">
        <f t="array" ref="I633">_xlfn.IFS(Table14[[#This Row],[Column4]]="NEW",_xlfn.XLOOKUP(Table14[[#This Row],[Year]],$M$2:$M$27,$O$2:$O$27),ISNUMBER(Table14[[#This Row],[Column4]]),Table14[[#This Row],[Column4]],Table14[[#This Row],[Column4]]="",I632*(1+Table14[[#This Row],[Ávöxtun]]))</f>
        <v>159.63078545947502</v>
      </c>
      <c r="L633" s="33">
        <v>159.63078545947502</v>
      </c>
    </row>
    <row r="634" spans="1:12">
      <c r="A634" t="s">
        <v>116</v>
      </c>
      <c r="B634">
        <v>2010</v>
      </c>
      <c r="C634" s="16">
        <v>2.3900000000000001E-2</v>
      </c>
      <c r="D634" s="1">
        <v>54413020</v>
      </c>
      <c r="E634" s="29">
        <f>Table14[[#This Row],[Ávöxtun]]*Table14[[#This Row],[Eignir]]/SUMIFS(Table14[Eignir],Table14[Year],Table14[[#This Row],[Year]])</f>
        <v>7.2741970871926663E-4</v>
      </c>
      <c r="F634" s="23">
        <f>IF(B634=1997, 100, IF(COUNTIF(A$1:A633,A634)=0, "NEW", F633*(1+Table14[[#This Row],[Ávöxtun]])))</f>
        <v>163.44596123195649</v>
      </c>
      <c r="G634" s="18" cm="1">
        <f t="array" ref="G634">IFERROR(_xlfn.IFS(ISNUMBER(Table14[[#This Row],[Column3]]),Table14[[#This Row],[Column3]],Table14[[#This Row],[Column3]]="NEW",Table14[[#This Row],[Column3]]),"")</f>
        <v>163.44596123195649</v>
      </c>
      <c r="H634" s="15" cm="1">
        <f t="array" ref="H634">_xlfn.IFS(Table14[[#This Row],[Column4]]="NEW",AVERAGEIFS(Table14[Column4],Table14[Year],Table14[[#This Row],[Year]]),ISNUMBER(Table14[[#This Row],[Column4]]),Table14[[#This Row],[Column4]],Table14[[#This Row],[Column4]]="",H633*(1+Table14[[#This Row],[Ávöxtun]]))</f>
        <v>163.44596123195649</v>
      </c>
      <c r="I634" cm="1">
        <f t="array" ref="I634">_xlfn.IFS(Table14[[#This Row],[Column4]]="NEW",_xlfn.XLOOKUP(Table14[[#This Row],[Year]],$M$2:$M$27,$O$2:$O$27),ISNUMBER(Table14[[#This Row],[Column4]]),Table14[[#This Row],[Column4]],Table14[[#This Row],[Column4]]="",I633*(1+Table14[[#This Row],[Ávöxtun]]))</f>
        <v>163.44596123195649</v>
      </c>
      <c r="L634" s="33">
        <v>163.44596123195649</v>
      </c>
    </row>
    <row r="635" spans="1:12">
      <c r="A635" t="s">
        <v>116</v>
      </c>
      <c r="B635">
        <v>2011</v>
      </c>
      <c r="C635" s="16">
        <v>3.2000000000000001E-2</v>
      </c>
      <c r="D635" s="1">
        <v>58321251</v>
      </c>
      <c r="E635" s="29">
        <f>Table14[[#This Row],[Ávöxtun]]*Table14[[#This Row],[Eignir]]/SUMIFS(Table14[Eignir],Table14[Year],Table14[[#This Row],[Year]])</f>
        <v>9.5679248205277675E-4</v>
      </c>
      <c r="F635" s="23">
        <f>IF(B635=1997, 100, IF(COUNTIF(A$1:A634,A635)=0, "NEW", F634*(1+Table14[[#This Row],[Ávöxtun]])))</f>
        <v>168.6762319913791</v>
      </c>
      <c r="G635" s="18" cm="1">
        <f t="array" ref="G635">IFERROR(_xlfn.IFS(ISNUMBER(Table14[[#This Row],[Column3]]),Table14[[#This Row],[Column3]],Table14[[#This Row],[Column3]]="NEW",Table14[[#This Row],[Column3]]),"")</f>
        <v>168.6762319913791</v>
      </c>
      <c r="H635" s="15" cm="1">
        <f t="array" ref="H635">_xlfn.IFS(Table14[[#This Row],[Column4]]="NEW",AVERAGEIFS(Table14[Column4],Table14[Year],Table14[[#This Row],[Year]]),ISNUMBER(Table14[[#This Row],[Column4]]),Table14[[#This Row],[Column4]],Table14[[#This Row],[Column4]]="",H634*(1+Table14[[#This Row],[Ávöxtun]]))</f>
        <v>168.6762319913791</v>
      </c>
      <c r="I635" cm="1">
        <f t="array" ref="I635">_xlfn.IFS(Table14[[#This Row],[Column4]]="NEW",_xlfn.XLOOKUP(Table14[[#This Row],[Year]],$M$2:$M$27,$O$2:$O$27),ISNUMBER(Table14[[#This Row],[Column4]]),Table14[[#This Row],[Column4]],Table14[[#This Row],[Column4]]="",I634*(1+Table14[[#This Row],[Ávöxtun]]))</f>
        <v>168.6762319913791</v>
      </c>
      <c r="L635" s="33">
        <v>168.6762319913791</v>
      </c>
    </row>
    <row r="636" spans="1:12">
      <c r="A636" t="s">
        <v>116</v>
      </c>
      <c r="B636">
        <v>2012</v>
      </c>
      <c r="C636" s="16">
        <v>3.4000000000000002E-2</v>
      </c>
      <c r="D636" s="1">
        <v>62007525</v>
      </c>
      <c r="E636" s="29">
        <f>Table14[[#This Row],[Ávöxtun]]*Table14[[#This Row],[Eignir]]/SUMIFS(Table14[Eignir],Table14[Year],Table14[[#This Row],[Year]])</f>
        <v>9.5706132720974372E-4</v>
      </c>
      <c r="F636" s="23">
        <f>IF(B636=1997, 100, IF(COUNTIF(A$1:A635,A636)=0, "NEW", F635*(1+Table14[[#This Row],[Ávöxtun]])))</f>
        <v>174.41122387908598</v>
      </c>
      <c r="G636" s="18" cm="1">
        <f t="array" ref="G636">IFERROR(_xlfn.IFS(ISNUMBER(Table14[[#This Row],[Column3]]),Table14[[#This Row],[Column3]],Table14[[#This Row],[Column3]]="NEW",Table14[[#This Row],[Column3]]),"")</f>
        <v>174.41122387908598</v>
      </c>
      <c r="H636" s="15" cm="1">
        <f t="array" ref="H636">_xlfn.IFS(Table14[[#This Row],[Column4]]="NEW",AVERAGEIFS(Table14[Column4],Table14[Year],Table14[[#This Row],[Year]]),ISNUMBER(Table14[[#This Row],[Column4]]),Table14[[#This Row],[Column4]],Table14[[#This Row],[Column4]]="",H635*(1+Table14[[#This Row],[Ávöxtun]]))</f>
        <v>174.41122387908598</v>
      </c>
      <c r="I636" cm="1">
        <f t="array" ref="I636">_xlfn.IFS(Table14[[#This Row],[Column4]]="NEW",_xlfn.XLOOKUP(Table14[[#This Row],[Year]],$M$2:$M$27,$O$2:$O$27),ISNUMBER(Table14[[#This Row],[Column4]]),Table14[[#This Row],[Column4]],Table14[[#This Row],[Column4]]="",I635*(1+Table14[[#This Row],[Ávöxtun]]))</f>
        <v>174.41122387908598</v>
      </c>
      <c r="L636" s="33">
        <v>174.41122387908598</v>
      </c>
    </row>
    <row r="637" spans="1:12">
      <c r="A637" t="s">
        <v>116</v>
      </c>
      <c r="B637">
        <v>2013</v>
      </c>
      <c r="C637" s="16">
        <v>4.2000000000000003E-2</v>
      </c>
      <c r="D637" s="1">
        <v>65939023</v>
      </c>
      <c r="E637" s="29">
        <f>Table14[[#This Row],[Ávöxtun]]*Table14[[#This Row],[Eignir]]/SUMIFS(Table14[Eignir],Table14[Year],Table14[[#This Row],[Year]])</f>
        <v>1.1380104613733248E-3</v>
      </c>
      <c r="F637" s="23">
        <f>IF(B637=1997, 100, IF(COUNTIF(A$1:A636,A637)=0, "NEW", F636*(1+Table14[[#This Row],[Ávöxtun]])))</f>
        <v>181.73649528200761</v>
      </c>
      <c r="G637" s="18" cm="1">
        <f t="array" ref="G637">IFERROR(_xlfn.IFS(ISNUMBER(Table14[[#This Row],[Column3]]),Table14[[#This Row],[Column3]],Table14[[#This Row],[Column3]]="NEW",Table14[[#This Row],[Column3]]),"")</f>
        <v>181.73649528200761</v>
      </c>
      <c r="H637" s="15" cm="1">
        <f t="array" ref="H637">_xlfn.IFS(Table14[[#This Row],[Column4]]="NEW",AVERAGEIFS(Table14[Column4],Table14[Year],Table14[[#This Row],[Year]]),ISNUMBER(Table14[[#This Row],[Column4]]),Table14[[#This Row],[Column4]],Table14[[#This Row],[Column4]]="",H636*(1+Table14[[#This Row],[Ávöxtun]]))</f>
        <v>181.73649528200761</v>
      </c>
      <c r="I637" cm="1">
        <f t="array" ref="I637">_xlfn.IFS(Table14[[#This Row],[Column4]]="NEW",_xlfn.XLOOKUP(Table14[[#This Row],[Year]],$M$2:$M$27,$O$2:$O$27),ISNUMBER(Table14[[#This Row],[Column4]]),Table14[[#This Row],[Column4]],Table14[[#This Row],[Column4]]="",I636*(1+Table14[[#This Row],[Ávöxtun]]))</f>
        <v>181.73649528200761</v>
      </c>
      <c r="L637" s="33">
        <v>181.73649528200761</v>
      </c>
    </row>
    <row r="638" spans="1:12">
      <c r="A638" t="s">
        <v>116</v>
      </c>
      <c r="B638">
        <v>2014</v>
      </c>
      <c r="C638" s="16">
        <v>4.0999999999999995E-2</v>
      </c>
      <c r="D638" s="1">
        <v>68136259</v>
      </c>
      <c r="E638" s="29">
        <f>Table14[[#This Row],[Ávöxtun]]*Table14[[#This Row],[Eignir]]/SUMIFS(Table14[Eignir],Table14[Year],Table14[[#This Row],[Year]])</f>
        <v>1.05298423388133E-3</v>
      </c>
      <c r="F638" s="23">
        <f>IF(B638=1997, 100, IF(COUNTIF(A$1:A637,A638)=0, "NEW", F637*(1+Table14[[#This Row],[Ávöxtun]])))</f>
        <v>189.18769158856992</v>
      </c>
      <c r="G638" s="18" cm="1">
        <f t="array" ref="G638">IFERROR(_xlfn.IFS(ISNUMBER(Table14[[#This Row],[Column3]]),Table14[[#This Row],[Column3]],Table14[[#This Row],[Column3]]="NEW",Table14[[#This Row],[Column3]]),"")</f>
        <v>189.18769158856992</v>
      </c>
      <c r="H638" s="15" cm="1">
        <f t="array" ref="H638">_xlfn.IFS(Table14[[#This Row],[Column4]]="NEW",AVERAGEIFS(Table14[Column4],Table14[Year],Table14[[#This Row],[Year]]),ISNUMBER(Table14[[#This Row],[Column4]]),Table14[[#This Row],[Column4]],Table14[[#This Row],[Column4]]="",H637*(1+Table14[[#This Row],[Ávöxtun]]))</f>
        <v>189.18769158856992</v>
      </c>
      <c r="I638" cm="1">
        <f t="array" ref="I638">_xlfn.IFS(Table14[[#This Row],[Column4]]="NEW",_xlfn.XLOOKUP(Table14[[#This Row],[Year]],$M$2:$M$27,$O$2:$O$27),ISNUMBER(Table14[[#This Row],[Column4]]),Table14[[#This Row],[Column4]],Table14[[#This Row],[Column4]]="",I637*(1+Table14[[#This Row],[Ávöxtun]]))</f>
        <v>189.18769158856992</v>
      </c>
      <c r="L638" s="33">
        <v>189.18769158856992</v>
      </c>
    </row>
    <row r="639" spans="1:12">
      <c r="A639" t="s">
        <v>116</v>
      </c>
      <c r="B639">
        <v>2015</v>
      </c>
      <c r="C639" s="16">
        <v>6.3E-2</v>
      </c>
      <c r="D639" s="1">
        <v>72406762</v>
      </c>
      <c r="E639" s="29">
        <f>Table14[[#This Row],[Ávöxtun]]*Table14[[#This Row],[Eignir]]/SUMIFS(Table14[Eignir],Table14[Year],Table14[[#This Row],[Year]])</f>
        <v>1.5403726414551645E-3</v>
      </c>
      <c r="F639" s="23">
        <f>IF(B639=1997, 100, IF(COUNTIF(A$1:A638,A639)=0, "NEW", F638*(1+Table14[[#This Row],[Ávöxtun]])))</f>
        <v>201.10651615864981</v>
      </c>
      <c r="G639" s="18" cm="1">
        <f t="array" ref="G639">IFERROR(_xlfn.IFS(ISNUMBER(Table14[[#This Row],[Column3]]),Table14[[#This Row],[Column3]],Table14[[#This Row],[Column3]]="NEW",Table14[[#This Row],[Column3]]),"")</f>
        <v>201.10651615864981</v>
      </c>
      <c r="H639" s="15" cm="1">
        <f t="array" ref="H639">_xlfn.IFS(Table14[[#This Row],[Column4]]="NEW",AVERAGEIFS(Table14[Column4],Table14[Year],Table14[[#This Row],[Year]]),ISNUMBER(Table14[[#This Row],[Column4]]),Table14[[#This Row],[Column4]],Table14[[#This Row],[Column4]]="",H638*(1+Table14[[#This Row],[Ávöxtun]]))</f>
        <v>201.10651615864981</v>
      </c>
      <c r="I639" cm="1">
        <f t="array" ref="I639">_xlfn.IFS(Table14[[#This Row],[Column4]]="NEW",_xlfn.XLOOKUP(Table14[[#This Row],[Year]],$M$2:$M$27,$O$2:$O$27),ISNUMBER(Table14[[#This Row],[Column4]]),Table14[[#This Row],[Column4]],Table14[[#This Row],[Column4]]="",I638*(1+Table14[[#This Row],[Ávöxtun]]))</f>
        <v>201.10651615864981</v>
      </c>
      <c r="L639" s="33">
        <v>201.10651615864981</v>
      </c>
    </row>
    <row r="640" spans="1:12">
      <c r="A640" t="s">
        <v>116</v>
      </c>
      <c r="B640">
        <v>2016</v>
      </c>
      <c r="C640" s="16">
        <v>1.3000000000000001E-2</v>
      </c>
      <c r="D640" s="1">
        <v>74356941.659999996</v>
      </c>
      <c r="E640" s="29">
        <f>Table14[[#This Row],[Ávöxtun]]*Table14[[#This Row],[Eignir]]/SUMIFS(Table14[Eignir],Table14[Year],Table14[[#This Row],[Year]])</f>
        <v>3.0207067113439414E-4</v>
      </c>
      <c r="F640" s="23">
        <f>IF(B640=1997, 100, IF(COUNTIF(A$1:A639,A640)=0, "NEW", F639*(1+Table14[[#This Row],[Ávöxtun]])))</f>
        <v>203.72090086871225</v>
      </c>
      <c r="G640" s="18" cm="1">
        <f t="array" ref="G640">IFERROR(_xlfn.IFS(ISNUMBER(Table14[[#This Row],[Column3]]),Table14[[#This Row],[Column3]],Table14[[#This Row],[Column3]]="NEW",Table14[[#This Row],[Column3]]),"")</f>
        <v>203.72090086871225</v>
      </c>
      <c r="H640" s="15" cm="1">
        <f t="array" ref="H640">_xlfn.IFS(Table14[[#This Row],[Column4]]="NEW",AVERAGEIFS(Table14[Column4],Table14[Year],Table14[[#This Row],[Year]]),ISNUMBER(Table14[[#This Row],[Column4]]),Table14[[#This Row],[Column4]],Table14[[#This Row],[Column4]]="",H639*(1+Table14[[#This Row],[Ávöxtun]]))</f>
        <v>203.72090086871225</v>
      </c>
      <c r="I640" cm="1">
        <f t="array" ref="I640">_xlfn.IFS(Table14[[#This Row],[Column4]]="NEW",_xlfn.XLOOKUP(Table14[[#This Row],[Year]],$M$2:$M$27,$O$2:$O$27),ISNUMBER(Table14[[#This Row],[Column4]]),Table14[[#This Row],[Column4]],Table14[[#This Row],[Column4]]="",I639*(1+Table14[[#This Row],[Ávöxtun]]))</f>
        <v>203.72090086871225</v>
      </c>
      <c r="L640" s="33">
        <v>203.72090086871225</v>
      </c>
    </row>
    <row r="641" spans="1:12">
      <c r="A641" t="s">
        <v>116</v>
      </c>
      <c r="B641">
        <v>2017</v>
      </c>
      <c r="C641" s="16">
        <v>4.2999999999999997E-2</v>
      </c>
      <c r="D641" s="1">
        <v>77204479</v>
      </c>
      <c r="E641" s="29">
        <f>Table14[[#This Row],[Ávöxtun]]*Table14[[#This Row],[Eignir]]/SUMIFS(Table14[Eignir],Table14[Year],Table14[[#This Row],[Year]])</f>
        <v>9.3274837734440925E-4</v>
      </c>
      <c r="F641" s="23">
        <f>IF(B641=1997, 100, IF(COUNTIF(A$1:A640,A641)=0, "NEW", F640*(1+Table14[[#This Row],[Ávöxtun]])))</f>
        <v>212.48089960606686</v>
      </c>
      <c r="G641" s="18" cm="1">
        <f t="array" ref="G641">IFERROR(_xlfn.IFS(ISNUMBER(Table14[[#This Row],[Column3]]),Table14[[#This Row],[Column3]],Table14[[#This Row],[Column3]]="NEW",Table14[[#This Row],[Column3]]),"")</f>
        <v>212.48089960606686</v>
      </c>
      <c r="H641" s="15" cm="1">
        <f t="array" ref="H641">_xlfn.IFS(Table14[[#This Row],[Column4]]="NEW",AVERAGEIFS(Table14[Column4],Table14[Year],Table14[[#This Row],[Year]]),ISNUMBER(Table14[[#This Row],[Column4]]),Table14[[#This Row],[Column4]],Table14[[#This Row],[Column4]]="",H640*(1+Table14[[#This Row],[Ávöxtun]]))</f>
        <v>212.48089960606686</v>
      </c>
      <c r="I641" cm="1">
        <f t="array" ref="I641">_xlfn.IFS(Table14[[#This Row],[Column4]]="NEW",_xlfn.XLOOKUP(Table14[[#This Row],[Year]],$M$2:$M$27,$O$2:$O$27),ISNUMBER(Table14[[#This Row],[Column4]]),Table14[[#This Row],[Column4]],Table14[[#This Row],[Column4]]="",I640*(1+Table14[[#This Row],[Ávöxtun]]))</f>
        <v>212.48089960606686</v>
      </c>
      <c r="L641" s="33">
        <v>212.48089960606686</v>
      </c>
    </row>
    <row r="642" spans="1:12">
      <c r="A642" t="s">
        <v>116</v>
      </c>
      <c r="B642">
        <v>2018</v>
      </c>
      <c r="C642" s="16">
        <v>2.4E-2</v>
      </c>
      <c r="D642" s="1">
        <v>79156591</v>
      </c>
      <c r="E642" s="29">
        <f>Table14[[#This Row],[Ávöxtun]]*Table14[[#This Row],[Eignir]]/SUMIFS(Table14[Eignir],Table14[Year],Table14[[#This Row],[Year]])</f>
        <v>4.9753791591204677E-4</v>
      </c>
      <c r="F642" s="23">
        <f>IF(B642=1997, 100, IF(COUNTIF(A$1:A641,A642)=0, "NEW", F641*(1+Table14[[#This Row],[Ávöxtun]])))</f>
        <v>217.58044119661247</v>
      </c>
      <c r="G642" s="18" cm="1">
        <f t="array" ref="G642">IFERROR(_xlfn.IFS(ISNUMBER(Table14[[#This Row],[Column3]]),Table14[[#This Row],[Column3]],Table14[[#This Row],[Column3]]="NEW",Table14[[#This Row],[Column3]]),"")</f>
        <v>217.58044119661247</v>
      </c>
      <c r="H642" s="15" cm="1">
        <f t="array" ref="H642">_xlfn.IFS(Table14[[#This Row],[Column4]]="NEW",AVERAGEIFS(Table14[Column4],Table14[Year],Table14[[#This Row],[Year]]),ISNUMBER(Table14[[#This Row],[Column4]]),Table14[[#This Row],[Column4]],Table14[[#This Row],[Column4]]="",H641*(1+Table14[[#This Row],[Ávöxtun]]))</f>
        <v>217.58044119661247</v>
      </c>
      <c r="I642" cm="1">
        <f t="array" ref="I642">_xlfn.IFS(Table14[[#This Row],[Column4]]="NEW",_xlfn.XLOOKUP(Table14[[#This Row],[Year]],$M$2:$M$27,$O$2:$O$27),ISNUMBER(Table14[[#This Row],[Column4]]),Table14[[#This Row],[Column4]],Table14[[#This Row],[Column4]]="",I641*(1+Table14[[#This Row],[Ávöxtun]]))</f>
        <v>217.58044119661247</v>
      </c>
      <c r="L642" s="33">
        <v>217.58044119661247</v>
      </c>
    </row>
    <row r="643" spans="1:12">
      <c r="A643" t="s">
        <v>116</v>
      </c>
      <c r="B643">
        <v>2019</v>
      </c>
      <c r="C643" s="16">
        <v>5.5E-2</v>
      </c>
      <c r="D643" s="1">
        <v>83215451.079999998</v>
      </c>
      <c r="E643" s="29">
        <f>Table14[[#This Row],[Ávöxtun]]*Table14[[#This Row],[Eignir]]/SUMIFS(Table14[Eignir],Table14[Year],Table14[[#This Row],[Year]])</f>
        <v>1.0338773035664614E-3</v>
      </c>
      <c r="F643" s="23">
        <f>IF(B643=1997, 100, IF(COUNTIF(A$1:A642,A643)=0, "NEW", F642*(1+Table14[[#This Row],[Ávöxtun]])))</f>
        <v>229.54736546242614</v>
      </c>
      <c r="G643" s="18" cm="1">
        <f t="array" ref="G643">IFERROR(_xlfn.IFS(ISNUMBER(Table14[[#This Row],[Column3]]),Table14[[#This Row],[Column3]],Table14[[#This Row],[Column3]]="NEW",Table14[[#This Row],[Column3]]),"")</f>
        <v>229.54736546242614</v>
      </c>
      <c r="H643" s="15" cm="1">
        <f t="array" ref="H643">_xlfn.IFS(Table14[[#This Row],[Column4]]="NEW",AVERAGEIFS(Table14[Column4],Table14[Year],Table14[[#This Row],[Year]]),ISNUMBER(Table14[[#This Row],[Column4]]),Table14[[#This Row],[Column4]],Table14[[#This Row],[Column4]]="",H642*(1+Table14[[#This Row],[Ávöxtun]]))</f>
        <v>229.54736546242614</v>
      </c>
      <c r="I643" cm="1">
        <f t="array" ref="I643">_xlfn.IFS(Table14[[#This Row],[Column4]]="NEW",_xlfn.XLOOKUP(Table14[[#This Row],[Year]],$M$2:$M$27,$O$2:$O$27),ISNUMBER(Table14[[#This Row],[Column4]]),Table14[[#This Row],[Column4]],Table14[[#This Row],[Column4]]="",I642*(1+Table14[[#This Row],[Ávöxtun]]))</f>
        <v>229.54736546242614</v>
      </c>
      <c r="L643" s="33">
        <v>229.54736546242614</v>
      </c>
    </row>
    <row r="644" spans="1:12">
      <c r="A644" t="s">
        <v>116</v>
      </c>
      <c r="B644">
        <v>2020</v>
      </c>
      <c r="C644" s="16">
        <v>4.4000000000000004E-2</v>
      </c>
      <c r="D644" s="1">
        <v>87611246.790000007</v>
      </c>
      <c r="E644" s="29">
        <f>Table14[[#This Row],[Ávöxtun]]*Table14[[#This Row],[Eignir]]/SUMIFS(Table14[Eignir],Table14[Year],Table14[[#This Row],[Year]])</f>
        <v>7.5047397910344956E-4</v>
      </c>
      <c r="F644" s="23">
        <f>IF(B644=1997, 100, IF(COUNTIF(A$1:A643,A644)=0, "NEW", F643*(1+Table14[[#This Row],[Ávöxtun]])))</f>
        <v>239.6474495427729</v>
      </c>
      <c r="G644" s="18" cm="1">
        <f t="array" ref="G644">IFERROR(_xlfn.IFS(ISNUMBER(Table14[[#This Row],[Column3]]),Table14[[#This Row],[Column3]],Table14[[#This Row],[Column3]]="NEW",Table14[[#This Row],[Column3]]),"")</f>
        <v>239.6474495427729</v>
      </c>
      <c r="H644" s="15" cm="1">
        <f t="array" ref="H644">_xlfn.IFS(Table14[[#This Row],[Column4]]="NEW",AVERAGEIFS(Table14[Column4],Table14[Year],Table14[[#This Row],[Year]]),ISNUMBER(Table14[[#This Row],[Column4]]),Table14[[#This Row],[Column4]],Table14[[#This Row],[Column4]]="",H643*(1+Table14[[#This Row],[Ávöxtun]]))</f>
        <v>239.6474495427729</v>
      </c>
      <c r="I644" cm="1">
        <f t="array" ref="I644">_xlfn.IFS(Table14[[#This Row],[Column4]]="NEW",_xlfn.XLOOKUP(Table14[[#This Row],[Year]],$M$2:$M$27,$O$2:$O$27),ISNUMBER(Table14[[#This Row],[Column4]]),Table14[[#This Row],[Column4]],Table14[[#This Row],[Column4]]="",I643*(1+Table14[[#This Row],[Ávöxtun]]))</f>
        <v>239.6474495427729</v>
      </c>
      <c r="L644" s="33">
        <v>239.6474495427729</v>
      </c>
    </row>
    <row r="645" spans="1:12">
      <c r="A645" t="s">
        <v>116</v>
      </c>
      <c r="B645">
        <v>2021</v>
      </c>
      <c r="C645" s="16">
        <v>5.2999999999999999E-2</v>
      </c>
      <c r="D645" s="1">
        <v>92769371.579999998</v>
      </c>
      <c r="E645" s="29">
        <f>Table14[[#This Row],[Ávöxtun]]*Table14[[#This Row],[Eignir]]/SUMIFS(Table14[Eignir],Table14[Year],Table14[[#This Row],[Year]])</f>
        <v>8.141035101456712E-4</v>
      </c>
      <c r="F645" s="23">
        <f>IF(B645=1997, 100, IF(COUNTIF(A$1:A644,A645)=0, "NEW", F644*(1+Table14[[#This Row],[Ávöxtun]])))</f>
        <v>252.34876436853986</v>
      </c>
      <c r="G645" s="18" cm="1">
        <f t="array" ref="G645">IFERROR(_xlfn.IFS(ISNUMBER(Table14[[#This Row],[Column3]]),Table14[[#This Row],[Column3]],Table14[[#This Row],[Column3]]="NEW",Table14[[#This Row],[Column3]]),"")</f>
        <v>252.34876436853986</v>
      </c>
      <c r="H645" s="15" cm="1">
        <f t="array" ref="H645">_xlfn.IFS(Table14[[#This Row],[Column4]]="NEW",AVERAGEIFS(Table14[Column4],Table14[Year],Table14[[#This Row],[Year]]),ISNUMBER(Table14[[#This Row],[Column4]]),Table14[[#This Row],[Column4]],Table14[[#This Row],[Column4]]="",H644*(1+Table14[[#This Row],[Ávöxtun]]))</f>
        <v>252.34876436853986</v>
      </c>
      <c r="I645" cm="1">
        <f t="array" ref="I645">_xlfn.IFS(Table14[[#This Row],[Column4]]="NEW",_xlfn.XLOOKUP(Table14[[#This Row],[Year]],$M$2:$M$27,$O$2:$O$27),ISNUMBER(Table14[[#This Row],[Column4]]),Table14[[#This Row],[Column4]],Table14[[#This Row],[Column4]]="",I644*(1+Table14[[#This Row],[Ávöxtun]]))</f>
        <v>252.34876436853986</v>
      </c>
      <c r="L645" s="33">
        <v>252.34876436853986</v>
      </c>
    </row>
    <row r="646" spans="1:12">
      <c r="A646" t="s">
        <v>117</v>
      </c>
      <c r="B646">
        <v>1997</v>
      </c>
      <c r="C646" s="16">
        <v>0.03</v>
      </c>
      <c r="D646" s="1">
        <v>34593465.469999999</v>
      </c>
      <c r="E646" s="29">
        <f>Table14[[#This Row],[Ávöxtun]]*Table14[[#This Row],[Eignir]]/SUMIFS(Table14[Eignir],Table14[Year],Table14[[#This Row],[Year]])</f>
        <v>3.0611397932737892E-3</v>
      </c>
      <c r="F646" s="23">
        <f>IF(B646=1997, 100, IF(COUNTIF(A$1:A645,A646)=0, "NEW", F645*(1+Table14[[#This Row],[Ávöxtun]])))</f>
        <v>100</v>
      </c>
      <c r="G646" s="18" cm="1">
        <f t="array" ref="G646">IFERROR(_xlfn.IFS(ISNUMBER(Table14[[#This Row],[Column3]]),Table14[[#This Row],[Column3]],Table14[[#This Row],[Column3]]="NEW",Table14[[#This Row],[Column3]]),"")</f>
        <v>100</v>
      </c>
      <c r="H646" s="15" cm="1">
        <f t="array" ref="H646">_xlfn.IFS(Table14[[#This Row],[Column4]]="NEW",AVERAGEIFS(Table14[Column4],Table14[Year],Table14[[#This Row],[Year]]),ISNUMBER(Table14[[#This Row],[Column4]]),Table14[[#This Row],[Column4]],Table14[[#This Row],[Column4]]="",H645*(1+Table14[[#This Row],[Ávöxtun]]))</f>
        <v>100</v>
      </c>
      <c r="I646" cm="1">
        <f t="array" ref="I646">_xlfn.IFS(Table14[[#This Row],[Column4]]="NEW",_xlfn.XLOOKUP(Table14[[#This Row],[Year]],$M$2:$M$27,$O$2:$O$27),ISNUMBER(Table14[[#This Row],[Column4]]),Table14[[#This Row],[Column4]],Table14[[#This Row],[Column4]]="",I645*(1+Table14[[#This Row],[Ávöxtun]]))</f>
        <v>100</v>
      </c>
      <c r="L646" s="33">
        <v>100</v>
      </c>
    </row>
    <row r="647" spans="1:12">
      <c r="A647" t="s">
        <v>117</v>
      </c>
      <c r="B647">
        <v>1998</v>
      </c>
      <c r="C647" s="16">
        <v>0.06</v>
      </c>
      <c r="D647" s="1">
        <v>40131611.18</v>
      </c>
      <c r="E647" s="29">
        <f>Table14[[#This Row],[Ávöxtun]]*Table14[[#This Row],[Eignir]]/SUMIFS(Table14[Eignir],Table14[Year],Table14[[#This Row],[Year]])</f>
        <v>6.1483197852775116E-3</v>
      </c>
      <c r="F647" s="23">
        <f>IF(B647=1997, 100, IF(COUNTIF(A$1:A646,A647)=0, "NEW", F646*(1+Table14[[#This Row],[Ávöxtun]])))</f>
        <v>106</v>
      </c>
      <c r="G647" s="18" cm="1">
        <f t="array" ref="G647">IFERROR(_xlfn.IFS(ISNUMBER(Table14[[#This Row],[Column3]]),Table14[[#This Row],[Column3]],Table14[[#This Row],[Column3]]="NEW",Table14[[#This Row],[Column3]]),"")</f>
        <v>106</v>
      </c>
      <c r="H647" s="15" cm="1">
        <f t="array" ref="H647">_xlfn.IFS(Table14[[#This Row],[Column4]]="NEW",AVERAGEIFS(Table14[Column4],Table14[Year],Table14[[#This Row],[Year]]),ISNUMBER(Table14[[#This Row],[Column4]]),Table14[[#This Row],[Column4]],Table14[[#This Row],[Column4]]="",H646*(1+Table14[[#This Row],[Ávöxtun]]))</f>
        <v>106</v>
      </c>
      <c r="I647" cm="1">
        <f t="array" ref="I647">_xlfn.IFS(Table14[[#This Row],[Column4]]="NEW",_xlfn.XLOOKUP(Table14[[#This Row],[Year]],$M$2:$M$27,$O$2:$O$27),ISNUMBER(Table14[[#This Row],[Column4]]),Table14[[#This Row],[Column4]],Table14[[#This Row],[Column4]]="",I646*(1+Table14[[#This Row],[Ávöxtun]]))</f>
        <v>106</v>
      </c>
      <c r="L647" s="33">
        <v>106</v>
      </c>
    </row>
    <row r="648" spans="1:12">
      <c r="A648" t="s">
        <v>117</v>
      </c>
      <c r="B648">
        <v>1999</v>
      </c>
      <c r="C648" s="16">
        <v>0.08</v>
      </c>
      <c r="D648" s="1">
        <v>61317018.310000002</v>
      </c>
      <c r="E648" s="29">
        <f>Table14[[#This Row],[Ávöxtun]]*Table14[[#This Row],[Eignir]]/SUMIFS(Table14[Eignir],Table14[Year],Table14[[#This Row],[Year]])</f>
        <v>9.4204038270382286E-3</v>
      </c>
      <c r="F648" s="23">
        <f>IF(B648=1997, 100, IF(COUNTIF(A$1:A647,A648)=0, "NEW", F647*(1+Table14[[#This Row],[Ávöxtun]])))</f>
        <v>114.48</v>
      </c>
      <c r="G648" s="18" cm="1">
        <f t="array" ref="G648">IFERROR(_xlfn.IFS(ISNUMBER(Table14[[#This Row],[Column3]]),Table14[[#This Row],[Column3]],Table14[[#This Row],[Column3]]="NEW",Table14[[#This Row],[Column3]]),"")</f>
        <v>114.48</v>
      </c>
      <c r="H648" s="15" cm="1">
        <f t="array" ref="H648">_xlfn.IFS(Table14[[#This Row],[Column4]]="NEW",AVERAGEIFS(Table14[Column4],Table14[Year],Table14[[#This Row],[Year]]),ISNUMBER(Table14[[#This Row],[Column4]]),Table14[[#This Row],[Column4]],Table14[[#This Row],[Column4]]="",H647*(1+Table14[[#This Row],[Ávöxtun]]))</f>
        <v>114.48</v>
      </c>
      <c r="I648" cm="1">
        <f t="array" ref="I648">_xlfn.IFS(Table14[[#This Row],[Column4]]="NEW",_xlfn.XLOOKUP(Table14[[#This Row],[Year]],$M$2:$M$27,$O$2:$O$27),ISNUMBER(Table14[[#This Row],[Column4]]),Table14[[#This Row],[Column4]],Table14[[#This Row],[Column4]]="",I647*(1+Table14[[#This Row],[Ávöxtun]]))</f>
        <v>114.48</v>
      </c>
      <c r="L648" s="33">
        <v>114.48</v>
      </c>
    </row>
    <row r="649" spans="1:12">
      <c r="A649" t="s">
        <v>117</v>
      </c>
      <c r="B649">
        <v>2000</v>
      </c>
      <c r="C649" s="16">
        <v>7.0000000000000007E-2</v>
      </c>
      <c r="D649" s="1">
        <v>153122200</v>
      </c>
      <c r="E649" s="29">
        <f>Table14[[#This Row],[Ávöxtun]]*Table14[[#This Row],[Eignir]]/SUMIFS(Table14[Eignir],Table14[Year],Table14[[#This Row],[Year]])</f>
        <v>1.5077660903523265E-2</v>
      </c>
      <c r="F649" s="23">
        <f>IF(B649=1997, 100, IF(COUNTIF(A$1:A648,A649)=0, "NEW", F648*(1+Table14[[#This Row],[Ávöxtun]])))</f>
        <v>122.49360000000001</v>
      </c>
      <c r="G649" s="18" cm="1">
        <f t="array" ref="G649">IFERROR(_xlfn.IFS(ISNUMBER(Table14[[#This Row],[Column3]]),Table14[[#This Row],[Column3]],Table14[[#This Row],[Column3]]="NEW",Table14[[#This Row],[Column3]]),"")</f>
        <v>122.49360000000001</v>
      </c>
      <c r="H649" s="15" cm="1">
        <f t="array" ref="H649">_xlfn.IFS(Table14[[#This Row],[Column4]]="NEW",AVERAGEIFS(Table14[Column4],Table14[Year],Table14[[#This Row],[Year]]),ISNUMBER(Table14[[#This Row],[Column4]]),Table14[[#This Row],[Column4]],Table14[[#This Row],[Column4]]="",H648*(1+Table14[[#This Row],[Ávöxtun]]))</f>
        <v>122.49360000000001</v>
      </c>
      <c r="I649" cm="1">
        <f t="array" ref="I649">_xlfn.IFS(Table14[[#This Row],[Column4]]="NEW",_xlfn.XLOOKUP(Table14[[#This Row],[Year]],$M$2:$M$27,$O$2:$O$27),ISNUMBER(Table14[[#This Row],[Column4]]),Table14[[#This Row],[Column4]],Table14[[#This Row],[Column4]]="",I648*(1+Table14[[#This Row],[Ávöxtun]]))</f>
        <v>122.49360000000001</v>
      </c>
      <c r="L649" s="33">
        <v>122.49360000000001</v>
      </c>
    </row>
    <row r="650" spans="1:12">
      <c r="A650" t="s">
        <v>117</v>
      </c>
      <c r="B650">
        <v>2001</v>
      </c>
      <c r="C650" s="16">
        <v>0.01</v>
      </c>
      <c r="D650" s="1">
        <v>201429374</v>
      </c>
      <c r="E650" s="29">
        <f>Table14[[#This Row],[Ávöxtun]]*Table14[[#This Row],[Eignir]]/SUMIFS(Table14[Eignir],Table14[Year],Table14[[#This Row],[Year]])</f>
        <v>1.7395857910431436E-3</v>
      </c>
      <c r="F650" s="23">
        <f>IF(B650=1997, 100, IF(COUNTIF(A$1:A649,A650)=0, "NEW", F649*(1+Table14[[#This Row],[Ávöxtun]])))</f>
        <v>123.71853600000001</v>
      </c>
      <c r="G650" s="18" cm="1">
        <f t="array" ref="G650">IFERROR(_xlfn.IFS(ISNUMBER(Table14[[#This Row],[Column3]]),Table14[[#This Row],[Column3]],Table14[[#This Row],[Column3]]="NEW",Table14[[#This Row],[Column3]]),"")</f>
        <v>123.71853600000001</v>
      </c>
      <c r="H650" s="15" cm="1">
        <f t="array" ref="H650">_xlfn.IFS(Table14[[#This Row],[Column4]]="NEW",AVERAGEIFS(Table14[Column4],Table14[Year],Table14[[#This Row],[Year]]),ISNUMBER(Table14[[#This Row],[Column4]]),Table14[[#This Row],[Column4]],Table14[[#This Row],[Column4]]="",H649*(1+Table14[[#This Row],[Ávöxtun]]))</f>
        <v>123.71853600000001</v>
      </c>
      <c r="I650" cm="1">
        <f t="array" ref="I650">_xlfn.IFS(Table14[[#This Row],[Column4]]="NEW",_xlfn.XLOOKUP(Table14[[#This Row],[Year]],$M$2:$M$27,$O$2:$O$27),ISNUMBER(Table14[[#This Row],[Column4]]),Table14[[#This Row],[Column4]],Table14[[#This Row],[Column4]]="",I649*(1+Table14[[#This Row],[Ávöxtun]]))</f>
        <v>123.71853600000001</v>
      </c>
      <c r="L650" s="33">
        <v>123.71853600000001</v>
      </c>
    </row>
    <row r="651" spans="1:12">
      <c r="A651" t="s">
        <v>117</v>
      </c>
      <c r="B651">
        <v>2002</v>
      </c>
      <c r="C651" s="16">
        <v>0.09</v>
      </c>
      <c r="D651" s="1">
        <v>115026886</v>
      </c>
      <c r="E651" s="29">
        <f>Table14[[#This Row],[Ávöxtun]]*Table14[[#This Row],[Eignir]]/SUMIFS(Table14[Eignir],Table14[Year],Table14[[#This Row],[Year]])</f>
        <v>1.6298809769040579E-2</v>
      </c>
      <c r="F651" s="23">
        <f>IF(B651=1997, 100, IF(COUNTIF(A$1:A650,A651)=0, "NEW", F650*(1+Table14[[#This Row],[Ávöxtun]])))</f>
        <v>134.85320424000003</v>
      </c>
      <c r="G651" s="18" cm="1">
        <f t="array" ref="G651">IFERROR(_xlfn.IFS(ISNUMBER(Table14[[#This Row],[Column3]]),Table14[[#This Row],[Column3]],Table14[[#This Row],[Column3]]="NEW",Table14[[#This Row],[Column3]]),"")</f>
        <v>134.85320424000003</v>
      </c>
      <c r="H651" s="15" cm="1">
        <f t="array" ref="H651">_xlfn.IFS(Table14[[#This Row],[Column4]]="NEW",AVERAGEIFS(Table14[Column4],Table14[Year],Table14[[#This Row],[Year]]),ISNUMBER(Table14[[#This Row],[Column4]]),Table14[[#This Row],[Column4]],Table14[[#This Row],[Column4]]="",H650*(1+Table14[[#This Row],[Ávöxtun]]))</f>
        <v>134.85320424000003</v>
      </c>
      <c r="I651" cm="1">
        <f t="array" ref="I651">_xlfn.IFS(Table14[[#This Row],[Column4]]="NEW",_xlfn.XLOOKUP(Table14[[#This Row],[Year]],$M$2:$M$27,$O$2:$O$27),ISNUMBER(Table14[[#This Row],[Column4]]),Table14[[#This Row],[Column4]],Table14[[#This Row],[Column4]]="",I650*(1+Table14[[#This Row],[Ávöxtun]]))</f>
        <v>134.85320424000003</v>
      </c>
      <c r="L651" s="33">
        <v>134.85320424000003</v>
      </c>
    </row>
    <row r="652" spans="1:12">
      <c r="A652" t="s">
        <v>117</v>
      </c>
      <c r="B652">
        <v>2003</v>
      </c>
      <c r="C652" s="16">
        <v>0.26</v>
      </c>
      <c r="D652" s="1">
        <v>144417052</v>
      </c>
      <c r="E652" s="29">
        <f>Table14[[#This Row],[Ávöxtun]]*Table14[[#This Row],[Eignir]]/SUMIFS(Table14[Eignir],Table14[Year],Table14[[#This Row],[Year]])</f>
        <v>4.9412894755077048E-2</v>
      </c>
      <c r="F652" s="23">
        <f>IF(B652=1997, 100, IF(COUNTIF(A$1:A651,A652)=0, "NEW", F651*(1+Table14[[#This Row],[Ávöxtun]])))</f>
        <v>169.91503734240004</v>
      </c>
      <c r="G652" s="18" cm="1">
        <f t="array" ref="G652">IFERROR(_xlfn.IFS(ISNUMBER(Table14[[#This Row],[Column3]]),Table14[[#This Row],[Column3]],Table14[[#This Row],[Column3]]="NEW",Table14[[#This Row],[Column3]]),"")</f>
        <v>169.91503734240004</v>
      </c>
      <c r="H652" s="15" cm="1">
        <f t="array" ref="H652">_xlfn.IFS(Table14[[#This Row],[Column4]]="NEW",AVERAGEIFS(Table14[Column4],Table14[Year],Table14[[#This Row],[Year]]),ISNUMBER(Table14[[#This Row],[Column4]]),Table14[[#This Row],[Column4]],Table14[[#This Row],[Column4]]="",H651*(1+Table14[[#This Row],[Ávöxtun]]))</f>
        <v>169.91503734240004</v>
      </c>
      <c r="I652" cm="1">
        <f t="array" ref="I652">_xlfn.IFS(Table14[[#This Row],[Column4]]="NEW",_xlfn.XLOOKUP(Table14[[#This Row],[Year]],$M$2:$M$27,$O$2:$O$27),ISNUMBER(Table14[[#This Row],[Column4]]),Table14[[#This Row],[Column4]],Table14[[#This Row],[Column4]]="",I651*(1+Table14[[#This Row],[Ávöxtun]]))</f>
        <v>169.91503734240004</v>
      </c>
      <c r="L652" s="33">
        <v>169.91503734240004</v>
      </c>
    </row>
    <row r="653" spans="1:12">
      <c r="A653" t="s">
        <v>117</v>
      </c>
      <c r="B653">
        <v>2004</v>
      </c>
      <c r="C653" s="16">
        <v>0.19</v>
      </c>
      <c r="D653" s="1">
        <v>177173461</v>
      </c>
      <c r="E653" s="29">
        <f>Table14[[#This Row],[Ávöxtun]]*Table14[[#This Row],[Eignir]]/SUMIFS(Table14[Eignir],Table14[Year],Table14[[#This Row],[Year]])</f>
        <v>3.7087203306645035E-2</v>
      </c>
      <c r="F653" s="23">
        <f>IF(B653=1997, 100, IF(COUNTIF(A$1:A652,A653)=0, "NEW", F652*(1+Table14[[#This Row],[Ávöxtun]])))</f>
        <v>202.19889443745603</v>
      </c>
      <c r="G653" s="18" cm="1">
        <f t="array" ref="G653">IFERROR(_xlfn.IFS(ISNUMBER(Table14[[#This Row],[Column3]]),Table14[[#This Row],[Column3]],Table14[[#This Row],[Column3]]="NEW",Table14[[#This Row],[Column3]]),"")</f>
        <v>202.19889443745603</v>
      </c>
      <c r="H653" s="15" cm="1">
        <f t="array" ref="H653">_xlfn.IFS(Table14[[#This Row],[Column4]]="NEW",AVERAGEIFS(Table14[Column4],Table14[Year],Table14[[#This Row],[Year]]),ISNUMBER(Table14[[#This Row],[Column4]]),Table14[[#This Row],[Column4]],Table14[[#This Row],[Column4]]="",H652*(1+Table14[[#This Row],[Ávöxtun]]))</f>
        <v>202.19889443745603</v>
      </c>
      <c r="I653" cm="1">
        <f t="array" ref="I653">_xlfn.IFS(Table14[[#This Row],[Column4]]="NEW",_xlfn.XLOOKUP(Table14[[#This Row],[Year]],$M$2:$M$27,$O$2:$O$27),ISNUMBER(Table14[[#This Row],[Column4]]),Table14[[#This Row],[Column4]],Table14[[#This Row],[Column4]]="",I652*(1+Table14[[#This Row],[Ávöxtun]]))</f>
        <v>202.19889443745603</v>
      </c>
      <c r="L653" s="33">
        <v>202.19889443745603</v>
      </c>
    </row>
    <row r="654" spans="1:12">
      <c r="A654" t="s">
        <v>117</v>
      </c>
      <c r="B654">
        <v>2005</v>
      </c>
      <c r="C654" s="16">
        <v>0.28000000000000003</v>
      </c>
      <c r="D654" s="1">
        <v>224095981</v>
      </c>
      <c r="E654" s="29">
        <f>Table14[[#This Row],[Ávöxtun]]*Table14[[#This Row],[Eignir]]/SUMIFS(Table14[Eignir],Table14[Year],Table14[[#This Row],[Year]])</f>
        <v>5.5957159369346518E-2</v>
      </c>
      <c r="F654" s="23">
        <f>IF(B654=1997, 100, IF(COUNTIF(A$1:A653,A654)=0, "NEW", F653*(1+Table14[[#This Row],[Ávöxtun]])))</f>
        <v>258.81458487994371</v>
      </c>
      <c r="G654" s="18" cm="1">
        <f t="array" ref="G654">IFERROR(_xlfn.IFS(ISNUMBER(Table14[[#This Row],[Column3]]),Table14[[#This Row],[Column3]],Table14[[#This Row],[Column3]]="NEW",Table14[[#This Row],[Column3]]),"")</f>
        <v>258.81458487994371</v>
      </c>
      <c r="H654" s="15" cm="1">
        <f t="array" ref="H654">_xlfn.IFS(Table14[[#This Row],[Column4]]="NEW",AVERAGEIFS(Table14[Column4],Table14[Year],Table14[[#This Row],[Year]]),ISNUMBER(Table14[[#This Row],[Column4]]),Table14[[#This Row],[Column4]],Table14[[#This Row],[Column4]]="",H653*(1+Table14[[#This Row],[Ávöxtun]]))</f>
        <v>258.81458487994371</v>
      </c>
      <c r="I654" cm="1">
        <f t="array" ref="I654">_xlfn.IFS(Table14[[#This Row],[Column4]]="NEW",_xlfn.XLOOKUP(Table14[[#This Row],[Year]],$M$2:$M$27,$O$2:$O$27),ISNUMBER(Table14[[#This Row],[Column4]]),Table14[[#This Row],[Column4]],Table14[[#This Row],[Column4]]="",I653*(1+Table14[[#This Row],[Ávöxtun]]))</f>
        <v>258.81458487994371</v>
      </c>
      <c r="L654" s="33">
        <v>258.81458487994371</v>
      </c>
    </row>
    <row r="655" spans="1:12">
      <c r="A655" t="s">
        <v>117</v>
      </c>
      <c r="B655">
        <v>2006</v>
      </c>
      <c r="C655" s="16">
        <v>0.21829999999999999</v>
      </c>
      <c r="D655" s="1">
        <v>278741335</v>
      </c>
      <c r="E655" s="29">
        <f>Table14[[#This Row],[Ávöxtun]]*Table14[[#This Row],[Eignir]]/SUMIFS(Table14[Eignir],Table14[Year],Table14[[#This Row],[Year]])</f>
        <v>4.4328923496085353E-2</v>
      </c>
      <c r="F655" s="23">
        <f>IF(B655=1997, 100, IF(COUNTIF(A$1:A654,A655)=0, "NEW", F654*(1+Table14[[#This Row],[Ávöxtun]])))</f>
        <v>315.31380875923543</v>
      </c>
      <c r="G655" s="18" cm="1">
        <f t="array" ref="G655">IFERROR(_xlfn.IFS(ISNUMBER(Table14[[#This Row],[Column3]]),Table14[[#This Row],[Column3]],Table14[[#This Row],[Column3]]="NEW",Table14[[#This Row],[Column3]]),"")</f>
        <v>315.31380875923543</v>
      </c>
      <c r="H655" s="15" cm="1">
        <f t="array" ref="H655">_xlfn.IFS(Table14[[#This Row],[Column4]]="NEW",AVERAGEIFS(Table14[Column4],Table14[Year],Table14[[#This Row],[Year]]),ISNUMBER(Table14[[#This Row],[Column4]]),Table14[[#This Row],[Column4]],Table14[[#This Row],[Column4]]="",H654*(1+Table14[[#This Row],[Ávöxtun]]))</f>
        <v>315.31380875923543</v>
      </c>
      <c r="I655" cm="1">
        <f t="array" ref="I655">_xlfn.IFS(Table14[[#This Row],[Column4]]="NEW",_xlfn.XLOOKUP(Table14[[#This Row],[Year]],$M$2:$M$27,$O$2:$O$27),ISNUMBER(Table14[[#This Row],[Column4]]),Table14[[#This Row],[Column4]],Table14[[#This Row],[Column4]]="",I654*(1+Table14[[#This Row],[Ávöxtun]]))</f>
        <v>315.31380875923543</v>
      </c>
      <c r="L655" s="33">
        <v>315.31380875923543</v>
      </c>
    </row>
    <row r="656" spans="1:12">
      <c r="A656" t="s">
        <v>117</v>
      </c>
      <c r="B656">
        <v>2007</v>
      </c>
      <c r="C656" s="16">
        <v>-1.9099999999999999E-2</v>
      </c>
      <c r="D656" s="1">
        <v>311273522</v>
      </c>
      <c r="E656" s="29">
        <f>Table14[[#This Row],[Ávöxtun]]*Table14[[#This Row],[Eignir]]/SUMIFS(Table14[Eignir],Table14[Year],Table14[[#This Row],[Year]])</f>
        <v>-3.8446026266458731E-3</v>
      </c>
      <c r="F656" s="23">
        <f>IF(B656=1997, 100, IF(COUNTIF(A$1:A655,A656)=0, "NEW", F655*(1+Table14[[#This Row],[Ávöxtun]])))</f>
        <v>309.29131501193405</v>
      </c>
      <c r="G656" s="18" cm="1">
        <f t="array" ref="G656">IFERROR(_xlfn.IFS(ISNUMBER(Table14[[#This Row],[Column3]]),Table14[[#This Row],[Column3]],Table14[[#This Row],[Column3]]="NEW",Table14[[#This Row],[Column3]]),"")</f>
        <v>309.29131501193405</v>
      </c>
      <c r="H656" s="15" cm="1">
        <f t="array" ref="H656">_xlfn.IFS(Table14[[#This Row],[Column4]]="NEW",AVERAGEIFS(Table14[Column4],Table14[Year],Table14[[#This Row],[Year]]),ISNUMBER(Table14[[#This Row],[Column4]]),Table14[[#This Row],[Column4]],Table14[[#This Row],[Column4]]="",H655*(1+Table14[[#This Row],[Ávöxtun]]))</f>
        <v>309.29131501193405</v>
      </c>
      <c r="I656" cm="1">
        <f t="array" ref="I656">_xlfn.IFS(Table14[[#This Row],[Column4]]="NEW",_xlfn.XLOOKUP(Table14[[#This Row],[Year]],$M$2:$M$27,$O$2:$O$27),ISNUMBER(Table14[[#This Row],[Column4]]),Table14[[#This Row],[Column4]],Table14[[#This Row],[Column4]]="",I655*(1+Table14[[#This Row],[Ávöxtun]]))</f>
        <v>309.29131501193405</v>
      </c>
      <c r="L656" s="33">
        <v>309.29131501193405</v>
      </c>
    </row>
    <row r="657" spans="1:12">
      <c r="A657" t="s">
        <v>117</v>
      </c>
      <c r="B657">
        <v>2008</v>
      </c>
      <c r="C657" s="16">
        <v>-0.50170000000000003</v>
      </c>
      <c r="D657" s="1">
        <v>297620141</v>
      </c>
      <c r="E657" s="29">
        <f>Table14[[#This Row],[Ávöxtun]]*Table14[[#This Row],[Eignir]]/SUMIFS(Table14[Eignir],Table14[Year],Table14[[#This Row],[Year]])</f>
        <v>-9.9722326528157698E-2</v>
      </c>
      <c r="F657" s="23">
        <f>IF(B657=1997, 100, IF(COUNTIF(A$1:A656,A657)=0, "NEW", F656*(1+Table14[[#This Row],[Ávöxtun]])))</f>
        <v>154.11986227044673</v>
      </c>
      <c r="G657" s="18" cm="1">
        <f t="array" ref="G657">IFERROR(_xlfn.IFS(ISNUMBER(Table14[[#This Row],[Column3]]),Table14[[#This Row],[Column3]],Table14[[#This Row],[Column3]]="NEW",Table14[[#This Row],[Column3]]),"")</f>
        <v>154.11986227044673</v>
      </c>
      <c r="H657" s="15" cm="1">
        <f t="array" ref="H657">_xlfn.IFS(Table14[[#This Row],[Column4]]="NEW",AVERAGEIFS(Table14[Column4],Table14[Year],Table14[[#This Row],[Year]]),ISNUMBER(Table14[[#This Row],[Column4]]),Table14[[#This Row],[Column4]],Table14[[#This Row],[Column4]]="",H656*(1+Table14[[#This Row],[Ávöxtun]]))</f>
        <v>154.11986227044673</v>
      </c>
      <c r="I657" cm="1">
        <f t="array" ref="I657">_xlfn.IFS(Table14[[#This Row],[Column4]]="NEW",_xlfn.XLOOKUP(Table14[[#This Row],[Year]],$M$2:$M$27,$O$2:$O$27),ISNUMBER(Table14[[#This Row],[Column4]]),Table14[[#This Row],[Column4]],Table14[[#This Row],[Column4]]="",I656*(1+Table14[[#This Row],[Ávöxtun]]))</f>
        <v>154.11986227044673</v>
      </c>
      <c r="L657" s="33">
        <v>154.11986227044673</v>
      </c>
    </row>
    <row r="658" spans="1:12">
      <c r="A658" t="s">
        <v>117</v>
      </c>
      <c r="B658">
        <v>2009</v>
      </c>
      <c r="C658" s="16">
        <v>5.4800000000000008E-2</v>
      </c>
      <c r="D658" s="1">
        <v>339272113</v>
      </c>
      <c r="E658" s="29">
        <f>Table14[[#This Row],[Ávöxtun]]*Table14[[#This Row],[Eignir]]/SUMIFS(Table14[Eignir],Table14[Year],Table14[[#This Row],[Year]])</f>
        <v>1.1144623801455953E-2</v>
      </c>
      <c r="F658" s="23">
        <f>IF(B658=1997, 100, IF(COUNTIF(A$1:A657,A658)=0, "NEW", F657*(1+Table14[[#This Row],[Ávöxtun]])))</f>
        <v>162.56563072286721</v>
      </c>
      <c r="G658" s="18" cm="1">
        <f t="array" ref="G658">IFERROR(_xlfn.IFS(ISNUMBER(Table14[[#This Row],[Column3]]),Table14[[#This Row],[Column3]],Table14[[#This Row],[Column3]]="NEW",Table14[[#This Row],[Column3]]),"")</f>
        <v>162.56563072286721</v>
      </c>
      <c r="H658" s="15" cm="1">
        <f t="array" ref="H658">_xlfn.IFS(Table14[[#This Row],[Column4]]="NEW",AVERAGEIFS(Table14[Column4],Table14[Year],Table14[[#This Row],[Year]]),ISNUMBER(Table14[[#This Row],[Column4]]),Table14[[#This Row],[Column4]],Table14[[#This Row],[Column4]]="",H657*(1+Table14[[#This Row],[Ávöxtun]]))</f>
        <v>162.56563072286721</v>
      </c>
      <c r="I658" cm="1">
        <f t="array" ref="I658">_xlfn.IFS(Table14[[#This Row],[Column4]]="NEW",_xlfn.XLOOKUP(Table14[[#This Row],[Year]],$M$2:$M$27,$O$2:$O$27),ISNUMBER(Table14[[#This Row],[Column4]]),Table14[[#This Row],[Column4]],Table14[[#This Row],[Column4]]="",I657*(1+Table14[[#This Row],[Ávöxtun]]))</f>
        <v>162.56563072286721</v>
      </c>
      <c r="L658" s="33">
        <v>162.56563072286721</v>
      </c>
    </row>
    <row r="659" spans="1:12">
      <c r="A659" t="s">
        <v>117</v>
      </c>
      <c r="B659">
        <v>2010</v>
      </c>
      <c r="C659" s="16">
        <v>4.1500000000000002E-2</v>
      </c>
      <c r="D659" s="1">
        <v>360678659</v>
      </c>
      <c r="E659" s="29">
        <f>Table14[[#This Row],[Ávöxtun]]*Table14[[#This Row],[Eignir]]/SUMIFS(Table14[Eignir],Table14[Year],Table14[[#This Row],[Year]])</f>
        <v>8.3724560256636313E-3</v>
      </c>
      <c r="F659" s="23">
        <f>IF(B659=1997, 100, IF(COUNTIF(A$1:A658,A659)=0, "NEW", F658*(1+Table14[[#This Row],[Ávöxtun]])))</f>
        <v>169.31210439786622</v>
      </c>
      <c r="G659" s="18" cm="1">
        <f t="array" ref="G659">IFERROR(_xlfn.IFS(ISNUMBER(Table14[[#This Row],[Column3]]),Table14[[#This Row],[Column3]],Table14[[#This Row],[Column3]]="NEW",Table14[[#This Row],[Column3]]),"")</f>
        <v>169.31210439786622</v>
      </c>
      <c r="H659" s="15" cm="1">
        <f t="array" ref="H659">_xlfn.IFS(Table14[[#This Row],[Column4]]="NEW",AVERAGEIFS(Table14[Column4],Table14[Year],Table14[[#This Row],[Year]]),ISNUMBER(Table14[[#This Row],[Column4]]),Table14[[#This Row],[Column4]],Table14[[#This Row],[Column4]]="",H658*(1+Table14[[#This Row],[Ávöxtun]]))</f>
        <v>169.31210439786622</v>
      </c>
      <c r="I659" cm="1">
        <f t="array" ref="I659">_xlfn.IFS(Table14[[#This Row],[Column4]]="NEW",_xlfn.XLOOKUP(Table14[[#This Row],[Year]],$M$2:$M$27,$O$2:$O$27),ISNUMBER(Table14[[#This Row],[Column4]]),Table14[[#This Row],[Column4]],Table14[[#This Row],[Column4]]="",I658*(1+Table14[[#This Row],[Ávöxtun]]))</f>
        <v>169.31210439786622</v>
      </c>
      <c r="L659" s="33">
        <v>169.31210439786622</v>
      </c>
    </row>
    <row r="660" spans="1:12">
      <c r="A660" t="s">
        <v>117</v>
      </c>
      <c r="B660">
        <v>2011</v>
      </c>
      <c r="C660" s="16">
        <v>3.4000000000000002E-2</v>
      </c>
      <c r="D660" s="1">
        <v>387538863</v>
      </c>
      <c r="E660" s="29">
        <f>Table14[[#This Row],[Ávöxtun]]*Table14[[#This Row],[Eignir]]/SUMIFS(Table14[Eignir],Table14[Year],Table14[[#This Row],[Year]])</f>
        <v>6.7551519519966413E-3</v>
      </c>
      <c r="F660" s="23">
        <f>IF(B660=1997, 100, IF(COUNTIF(A$1:A659,A660)=0, "NEW", F659*(1+Table14[[#This Row],[Ávöxtun]])))</f>
        <v>175.06871594739368</v>
      </c>
      <c r="G660" s="18" cm="1">
        <f t="array" ref="G660">IFERROR(_xlfn.IFS(ISNUMBER(Table14[[#This Row],[Column3]]),Table14[[#This Row],[Column3]],Table14[[#This Row],[Column3]]="NEW",Table14[[#This Row],[Column3]]),"")</f>
        <v>175.06871594739368</v>
      </c>
      <c r="H660" s="15" cm="1">
        <f t="array" ref="H660">_xlfn.IFS(Table14[[#This Row],[Column4]]="NEW",AVERAGEIFS(Table14[Column4],Table14[Year],Table14[[#This Row],[Year]]),ISNUMBER(Table14[[#This Row],[Column4]]),Table14[[#This Row],[Column4]],Table14[[#This Row],[Column4]]="",H659*(1+Table14[[#This Row],[Ávöxtun]]))</f>
        <v>175.06871594739368</v>
      </c>
      <c r="I660" cm="1">
        <f t="array" ref="I660">_xlfn.IFS(Table14[[#This Row],[Column4]]="NEW",_xlfn.XLOOKUP(Table14[[#This Row],[Year]],$M$2:$M$27,$O$2:$O$27),ISNUMBER(Table14[[#This Row],[Column4]]),Table14[[#This Row],[Column4]],Table14[[#This Row],[Column4]]="",I659*(1+Table14[[#This Row],[Ávöxtun]]))</f>
        <v>175.06871594739368</v>
      </c>
      <c r="L660" s="33">
        <v>175.06871594739368</v>
      </c>
    </row>
    <row r="661" spans="1:12">
      <c r="A661" t="s">
        <v>117</v>
      </c>
      <c r="B661">
        <v>2012</v>
      </c>
      <c r="C661" s="16">
        <v>0.185</v>
      </c>
      <c r="D661" s="1">
        <v>441374167</v>
      </c>
      <c r="E661" s="29">
        <f>Table14[[#This Row],[Ávöxtun]]*Table14[[#This Row],[Eignir]]/SUMIFS(Table14[Eignir],Table14[Year],Table14[[#This Row],[Year]])</f>
        <v>3.7067653350539159E-2</v>
      </c>
      <c r="F661" s="23">
        <f>IF(B661=1997, 100, IF(COUNTIF(A$1:A660,A661)=0, "NEW", F660*(1+Table14[[#This Row],[Ávöxtun]])))</f>
        <v>207.45642839766151</v>
      </c>
      <c r="G661" s="18" cm="1">
        <f t="array" ref="G661">IFERROR(_xlfn.IFS(ISNUMBER(Table14[[#This Row],[Column3]]),Table14[[#This Row],[Column3]],Table14[[#This Row],[Column3]]="NEW",Table14[[#This Row],[Column3]]),"")</f>
        <v>207.45642839766151</v>
      </c>
      <c r="H661" s="15" cm="1">
        <f t="array" ref="H661">_xlfn.IFS(Table14[[#This Row],[Column4]]="NEW",AVERAGEIFS(Table14[Column4],Table14[Year],Table14[[#This Row],[Year]]),ISNUMBER(Table14[[#This Row],[Column4]]),Table14[[#This Row],[Column4]],Table14[[#This Row],[Column4]]="",H660*(1+Table14[[#This Row],[Ávöxtun]]))</f>
        <v>207.45642839766151</v>
      </c>
      <c r="I661" cm="1">
        <f t="array" ref="I661">_xlfn.IFS(Table14[[#This Row],[Column4]]="NEW",_xlfn.XLOOKUP(Table14[[#This Row],[Year]],$M$2:$M$27,$O$2:$O$27),ISNUMBER(Table14[[#This Row],[Column4]]),Table14[[#This Row],[Column4]],Table14[[#This Row],[Column4]]="",I660*(1+Table14[[#This Row],[Ávöxtun]]))</f>
        <v>207.45642839766151</v>
      </c>
      <c r="L661" s="33">
        <v>207.45642839766151</v>
      </c>
    </row>
    <row r="662" spans="1:12">
      <c r="A662" t="s">
        <v>117</v>
      </c>
      <c r="B662">
        <v>2013</v>
      </c>
      <c r="C662" s="16">
        <v>0.13200000000000001</v>
      </c>
      <c r="D662" s="1">
        <v>480015786</v>
      </c>
      <c r="E662" s="29">
        <f>Table14[[#This Row],[Ávöxtun]]*Table14[[#This Row],[Eignir]]/SUMIFS(Table14[Eignir],Table14[Year],Table14[[#This Row],[Year]])</f>
        <v>2.6036578184041041E-2</v>
      </c>
      <c r="F662" s="23">
        <f>IF(B662=1997, 100, IF(COUNTIF(A$1:A661,A662)=0, "NEW", F661*(1+Table14[[#This Row],[Ávöxtun]])))</f>
        <v>234.84067694615285</v>
      </c>
      <c r="G662" s="18" cm="1">
        <f t="array" ref="G662">IFERROR(_xlfn.IFS(ISNUMBER(Table14[[#This Row],[Column3]]),Table14[[#This Row],[Column3]],Table14[[#This Row],[Column3]]="NEW",Table14[[#This Row],[Column3]]),"")</f>
        <v>234.84067694615285</v>
      </c>
      <c r="H662" s="15" cm="1">
        <f t="array" ref="H662">_xlfn.IFS(Table14[[#This Row],[Column4]]="NEW",AVERAGEIFS(Table14[Column4],Table14[Year],Table14[[#This Row],[Year]]),ISNUMBER(Table14[[#This Row],[Column4]]),Table14[[#This Row],[Column4]],Table14[[#This Row],[Column4]]="",H661*(1+Table14[[#This Row],[Ávöxtun]]))</f>
        <v>234.84067694615285</v>
      </c>
      <c r="I662" cm="1">
        <f t="array" ref="I662">_xlfn.IFS(Table14[[#This Row],[Column4]]="NEW",_xlfn.XLOOKUP(Table14[[#This Row],[Year]],$M$2:$M$27,$O$2:$O$27),ISNUMBER(Table14[[#This Row],[Column4]]),Table14[[#This Row],[Column4]],Table14[[#This Row],[Column4]]="",I661*(1+Table14[[#This Row],[Ávöxtun]]))</f>
        <v>234.84067694615285</v>
      </c>
      <c r="L662" s="33">
        <v>234.84067694615285</v>
      </c>
    </row>
    <row r="663" spans="1:12">
      <c r="A663" t="s">
        <v>117</v>
      </c>
      <c r="B663">
        <v>2014</v>
      </c>
      <c r="C663" s="16">
        <v>0.184</v>
      </c>
      <c r="D663" s="1">
        <v>525399497</v>
      </c>
      <c r="E663" s="29">
        <f>Table14[[#This Row],[Ávöxtun]]*Table14[[#This Row],[Eignir]]/SUMIFS(Table14[Eignir],Table14[Year],Table14[[#This Row],[Year]])</f>
        <v>3.6439063132823996E-2</v>
      </c>
      <c r="F663" s="23">
        <f>IF(B663=1997, 100, IF(COUNTIF(A$1:A662,A663)=0, "NEW", F662*(1+Table14[[#This Row],[Ávöxtun]])))</f>
        <v>278.05136150424494</v>
      </c>
      <c r="G663" s="18" cm="1">
        <f t="array" ref="G663">IFERROR(_xlfn.IFS(ISNUMBER(Table14[[#This Row],[Column3]]),Table14[[#This Row],[Column3]],Table14[[#This Row],[Column3]]="NEW",Table14[[#This Row],[Column3]]),"")</f>
        <v>278.05136150424494</v>
      </c>
      <c r="H663" s="15" cm="1">
        <f t="array" ref="H663">_xlfn.IFS(Table14[[#This Row],[Column4]]="NEW",AVERAGEIFS(Table14[Column4],Table14[Year],Table14[[#This Row],[Year]]),ISNUMBER(Table14[[#This Row],[Column4]]),Table14[[#This Row],[Column4]],Table14[[#This Row],[Column4]]="",H662*(1+Table14[[#This Row],[Ávöxtun]]))</f>
        <v>278.05136150424494</v>
      </c>
      <c r="I663" cm="1">
        <f t="array" ref="I663">_xlfn.IFS(Table14[[#This Row],[Column4]]="NEW",_xlfn.XLOOKUP(Table14[[#This Row],[Year]],$M$2:$M$27,$O$2:$O$27),ISNUMBER(Table14[[#This Row],[Column4]]),Table14[[#This Row],[Column4]],Table14[[#This Row],[Column4]]="",I662*(1+Table14[[#This Row],[Ávöxtun]]))</f>
        <v>278.05136150424494</v>
      </c>
      <c r="L663" s="33">
        <v>278.05136150424494</v>
      </c>
    </row>
    <row r="664" spans="1:12">
      <c r="A664" t="s">
        <v>117</v>
      </c>
      <c r="B664">
        <v>2015</v>
      </c>
      <c r="C664" s="16">
        <v>0.126</v>
      </c>
      <c r="D664" s="1">
        <v>571490103</v>
      </c>
      <c r="E664" s="29">
        <f>Table14[[#This Row],[Ávöxtun]]*Table14[[#This Row],[Eignir]]/SUMIFS(Table14[Eignir],Table14[Year],Table14[[#This Row],[Year]])</f>
        <v>2.4315621779181177E-2</v>
      </c>
      <c r="F664" s="23">
        <f>IF(B664=1997, 100, IF(COUNTIF(A$1:A663,A664)=0, "NEW", F663*(1+Table14[[#This Row],[Ávöxtun]])))</f>
        <v>313.08583305377977</v>
      </c>
      <c r="G664" s="18" cm="1">
        <f t="array" ref="G664">IFERROR(_xlfn.IFS(ISNUMBER(Table14[[#This Row],[Column3]]),Table14[[#This Row],[Column3]],Table14[[#This Row],[Column3]]="NEW",Table14[[#This Row],[Column3]]),"")</f>
        <v>313.08583305377977</v>
      </c>
      <c r="H664" s="15" cm="1">
        <f t="array" ref="H664">_xlfn.IFS(Table14[[#This Row],[Column4]]="NEW",AVERAGEIFS(Table14[Column4],Table14[Year],Table14[[#This Row],[Year]]),ISNUMBER(Table14[[#This Row],[Column4]]),Table14[[#This Row],[Column4]],Table14[[#This Row],[Column4]]="",H663*(1+Table14[[#This Row],[Ávöxtun]]))</f>
        <v>313.08583305377977</v>
      </c>
      <c r="I664" cm="1">
        <f t="array" ref="I664">_xlfn.IFS(Table14[[#This Row],[Column4]]="NEW",_xlfn.XLOOKUP(Table14[[#This Row],[Year]],$M$2:$M$27,$O$2:$O$27),ISNUMBER(Table14[[#This Row],[Column4]]),Table14[[#This Row],[Column4]],Table14[[#This Row],[Column4]]="",I663*(1+Table14[[#This Row],[Ávöxtun]]))</f>
        <v>313.08583305377977</v>
      </c>
      <c r="L664" s="33">
        <v>313.08583305377977</v>
      </c>
    </row>
    <row r="665" spans="1:12">
      <c r="A665" t="s">
        <v>117</v>
      </c>
      <c r="B665">
        <v>2016</v>
      </c>
      <c r="C665" s="16">
        <v>5.6999999999999993E-3</v>
      </c>
      <c r="D665" s="1">
        <v>708597735.10000002</v>
      </c>
      <c r="E665" s="29">
        <f>Table14[[#This Row],[Ávöxtun]]*Table14[[#This Row],[Eignir]]/SUMIFS(Table14[Eignir],Table14[Year],Table14[[#This Row],[Year]])</f>
        <v>1.262171312483112E-3</v>
      </c>
      <c r="F665" s="23">
        <f>IF(B665=1997, 100, IF(COUNTIF(A$1:A664,A665)=0, "NEW", F664*(1+Table14[[#This Row],[Ávöxtun]])))</f>
        <v>314.87042230218634</v>
      </c>
      <c r="G665" s="18" cm="1">
        <f t="array" ref="G665">IFERROR(_xlfn.IFS(ISNUMBER(Table14[[#This Row],[Column3]]),Table14[[#This Row],[Column3]],Table14[[#This Row],[Column3]]="NEW",Table14[[#This Row],[Column3]]),"")</f>
        <v>314.87042230218634</v>
      </c>
      <c r="H665" s="15" cm="1">
        <f t="array" ref="H665">_xlfn.IFS(Table14[[#This Row],[Column4]]="NEW",AVERAGEIFS(Table14[Column4],Table14[Year],Table14[[#This Row],[Year]]),ISNUMBER(Table14[[#This Row],[Column4]]),Table14[[#This Row],[Column4]],Table14[[#This Row],[Column4]]="",H664*(1+Table14[[#This Row],[Ávöxtun]]))</f>
        <v>314.87042230218634</v>
      </c>
      <c r="I665" cm="1">
        <f t="array" ref="I665">_xlfn.IFS(Table14[[#This Row],[Column4]]="NEW",_xlfn.XLOOKUP(Table14[[#This Row],[Year]],$M$2:$M$27,$O$2:$O$27),ISNUMBER(Table14[[#This Row],[Column4]]),Table14[[#This Row],[Column4]],Table14[[#This Row],[Column4]]="",I664*(1+Table14[[#This Row],[Ávöxtun]]))</f>
        <v>314.87042230218634</v>
      </c>
      <c r="L665" s="33">
        <v>314.87042230218634</v>
      </c>
    </row>
    <row r="666" spans="1:12">
      <c r="A666" t="s">
        <v>117</v>
      </c>
      <c r="B666">
        <v>2017</v>
      </c>
      <c r="C666" s="16">
        <v>0.11800000000000001</v>
      </c>
      <c r="D666" s="1">
        <v>785956647</v>
      </c>
      <c r="E666" s="29">
        <f>Table14[[#This Row],[Ávöxtun]]*Table14[[#This Row],[Eignir]]/SUMIFS(Table14[Eignir],Table14[Year],Table14[[#This Row],[Year]])</f>
        <v>2.6057584128039948E-2</v>
      </c>
      <c r="F666" s="23">
        <f>IF(B666=1997, 100, IF(COUNTIF(A$1:A665,A666)=0, "NEW", F665*(1+Table14[[#This Row],[Ávöxtun]])))</f>
        <v>352.02513213384435</v>
      </c>
      <c r="G666" s="18" cm="1">
        <f t="array" ref="G666">IFERROR(_xlfn.IFS(ISNUMBER(Table14[[#This Row],[Column3]]),Table14[[#This Row],[Column3]],Table14[[#This Row],[Column3]]="NEW",Table14[[#This Row],[Column3]]),"")</f>
        <v>352.02513213384435</v>
      </c>
      <c r="H666" s="15" cm="1">
        <f t="array" ref="H666">_xlfn.IFS(Table14[[#This Row],[Column4]]="NEW",AVERAGEIFS(Table14[Column4],Table14[Year],Table14[[#This Row],[Year]]),ISNUMBER(Table14[[#This Row],[Column4]]),Table14[[#This Row],[Column4]],Table14[[#This Row],[Column4]]="",H665*(1+Table14[[#This Row],[Ávöxtun]]))</f>
        <v>352.02513213384435</v>
      </c>
      <c r="I666" cm="1">
        <f t="array" ref="I666">_xlfn.IFS(Table14[[#This Row],[Column4]]="NEW",_xlfn.XLOOKUP(Table14[[#This Row],[Year]],$M$2:$M$27,$O$2:$O$27),ISNUMBER(Table14[[#This Row],[Column4]]),Table14[[#This Row],[Column4]],Table14[[#This Row],[Column4]]="",I665*(1+Table14[[#This Row],[Ávöxtun]]))</f>
        <v>352.02513213384435</v>
      </c>
      <c r="L666" s="33">
        <v>352.02513213384435</v>
      </c>
    </row>
    <row r="667" spans="1:12">
      <c r="A667" t="s">
        <v>117</v>
      </c>
      <c r="B667">
        <v>2018</v>
      </c>
      <c r="C667" s="16">
        <v>4.7E-2</v>
      </c>
      <c r="D667" s="1">
        <v>858037157</v>
      </c>
      <c r="E667" s="29">
        <f>Table14[[#This Row],[Ávöxtun]]*Table14[[#This Row],[Eignir]]/SUMIFS(Table14[Eignir],Table14[Year],Table14[[#This Row],[Year]])</f>
        <v>1.0561650980542505E-2</v>
      </c>
      <c r="F667" s="23">
        <f>IF(B667=1997, 100, IF(COUNTIF(A$1:A666,A667)=0, "NEW", F666*(1+Table14[[#This Row],[Ávöxtun]])))</f>
        <v>368.570313344135</v>
      </c>
      <c r="G667" s="18" cm="1">
        <f t="array" ref="G667">IFERROR(_xlfn.IFS(ISNUMBER(Table14[[#This Row],[Column3]]),Table14[[#This Row],[Column3]],Table14[[#This Row],[Column3]]="NEW",Table14[[#This Row],[Column3]]),"")</f>
        <v>368.570313344135</v>
      </c>
      <c r="H667" s="15" cm="1">
        <f t="array" ref="H667">_xlfn.IFS(Table14[[#This Row],[Column4]]="NEW",AVERAGEIFS(Table14[Column4],Table14[Year],Table14[[#This Row],[Year]]),ISNUMBER(Table14[[#This Row],[Column4]]),Table14[[#This Row],[Column4]],Table14[[#This Row],[Column4]]="",H666*(1+Table14[[#This Row],[Ávöxtun]]))</f>
        <v>368.570313344135</v>
      </c>
      <c r="I667" cm="1">
        <f t="array" ref="I667">_xlfn.IFS(Table14[[#This Row],[Column4]]="NEW",_xlfn.XLOOKUP(Table14[[#This Row],[Year]],$M$2:$M$27,$O$2:$O$27),ISNUMBER(Table14[[#This Row],[Column4]]),Table14[[#This Row],[Column4]],Table14[[#This Row],[Column4]]="",I666*(1+Table14[[#This Row],[Ávöxtun]]))</f>
        <v>368.570313344135</v>
      </c>
      <c r="L667" s="33">
        <v>368.570313344135</v>
      </c>
    </row>
    <row r="668" spans="1:12">
      <c r="A668" t="s">
        <v>117</v>
      </c>
      <c r="B668">
        <v>2019</v>
      </c>
      <c r="C668" s="16">
        <v>0.27800000000000002</v>
      </c>
      <c r="D668" s="1">
        <v>961852911.32799995</v>
      </c>
      <c r="E668" s="29">
        <f>Table14[[#This Row],[Ávöxtun]]*Table14[[#This Row],[Eignir]]/SUMIFS(Table14[Eignir],Table14[Year],Table14[[#This Row],[Year]])</f>
        <v>6.040262323509258E-2</v>
      </c>
      <c r="F668" s="23">
        <f>IF(B668=1997, 100, IF(COUNTIF(A$1:A667,A668)=0, "NEW", F667*(1+Table14[[#This Row],[Ávöxtun]])))</f>
        <v>471.03286045380452</v>
      </c>
      <c r="G668" s="18" cm="1">
        <f t="array" ref="G668">IFERROR(_xlfn.IFS(ISNUMBER(Table14[[#This Row],[Column3]]),Table14[[#This Row],[Column3]],Table14[[#This Row],[Column3]]="NEW",Table14[[#This Row],[Column3]]),"")</f>
        <v>471.03286045380452</v>
      </c>
      <c r="H668" s="15" cm="1">
        <f t="array" ref="H668">_xlfn.IFS(Table14[[#This Row],[Column4]]="NEW",AVERAGEIFS(Table14[Column4],Table14[Year],Table14[[#This Row],[Year]]),ISNUMBER(Table14[[#This Row],[Column4]]),Table14[[#This Row],[Column4]],Table14[[#This Row],[Column4]]="",H667*(1+Table14[[#This Row],[Ávöxtun]]))</f>
        <v>471.03286045380452</v>
      </c>
      <c r="I668" cm="1">
        <f t="array" ref="I668">_xlfn.IFS(Table14[[#This Row],[Column4]]="NEW",_xlfn.XLOOKUP(Table14[[#This Row],[Year]],$M$2:$M$27,$O$2:$O$27),ISNUMBER(Table14[[#This Row],[Column4]]),Table14[[#This Row],[Column4]],Table14[[#This Row],[Column4]]="",I667*(1+Table14[[#This Row],[Ávöxtun]]))</f>
        <v>471.03286045380452</v>
      </c>
      <c r="L668" s="33">
        <v>471.03286045380452</v>
      </c>
    </row>
    <row r="669" spans="1:12">
      <c r="A669" t="s">
        <v>117</v>
      </c>
      <c r="B669">
        <v>2020</v>
      </c>
      <c r="C669" s="16">
        <v>0.22600000000000001</v>
      </c>
      <c r="D669" s="1">
        <v>1148398781.342</v>
      </c>
      <c r="E669" s="29">
        <f>Table14[[#This Row],[Ávöxtun]]*Table14[[#This Row],[Eignir]]/SUMIFS(Table14[Eignir],Table14[Year],Table14[[#This Row],[Year]])</f>
        <v>5.052708730627313E-2</v>
      </c>
      <c r="F669" s="23">
        <f>IF(B669=1997, 100, IF(COUNTIF(A$1:A668,A669)=0, "NEW", F668*(1+Table14[[#This Row],[Ávöxtun]])))</f>
        <v>577.48628691636429</v>
      </c>
      <c r="G669" s="18" cm="1">
        <f t="array" ref="G669">IFERROR(_xlfn.IFS(ISNUMBER(Table14[[#This Row],[Column3]]),Table14[[#This Row],[Column3]],Table14[[#This Row],[Column3]]="NEW",Table14[[#This Row],[Column3]]),"")</f>
        <v>577.48628691636429</v>
      </c>
      <c r="H669" s="15" cm="1">
        <f t="array" ref="H669">_xlfn.IFS(Table14[[#This Row],[Column4]]="NEW",AVERAGEIFS(Table14[Column4],Table14[Year],Table14[[#This Row],[Year]]),ISNUMBER(Table14[[#This Row],[Column4]]),Table14[[#This Row],[Column4]],Table14[[#This Row],[Column4]]="",H668*(1+Table14[[#This Row],[Ávöxtun]]))</f>
        <v>577.48628691636429</v>
      </c>
      <c r="I669" cm="1">
        <f t="array" ref="I669">_xlfn.IFS(Table14[[#This Row],[Column4]]="NEW",_xlfn.XLOOKUP(Table14[[#This Row],[Year]],$M$2:$M$27,$O$2:$O$27),ISNUMBER(Table14[[#This Row],[Column4]]),Table14[[#This Row],[Column4]],Table14[[#This Row],[Column4]]="",I668*(1+Table14[[#This Row],[Ávöxtun]]))</f>
        <v>577.48628691636429</v>
      </c>
      <c r="L669" s="33">
        <v>577.48628691636429</v>
      </c>
    </row>
    <row r="670" spans="1:12">
      <c r="A670" t="s">
        <v>117</v>
      </c>
      <c r="B670">
        <v>2021</v>
      </c>
      <c r="C670" s="16">
        <v>0.19700000000000001</v>
      </c>
      <c r="D670" s="1">
        <v>1324570318.677</v>
      </c>
      <c r="E670" s="29">
        <f>Table14[[#This Row],[Ávöxtun]]*Table14[[#This Row],[Eignir]]/SUMIFS(Table14[Eignir],Table14[Year],Table14[[#This Row],[Year]])</f>
        <v>4.3205634579012171E-2</v>
      </c>
      <c r="F670" s="23">
        <f>IF(B670=1997, 100, IF(COUNTIF(A$1:A669,A670)=0, "NEW", F669*(1+Table14[[#This Row],[Ávöxtun]])))</f>
        <v>691.25108543888814</v>
      </c>
      <c r="G670" s="18" cm="1">
        <f t="array" ref="G670">IFERROR(_xlfn.IFS(ISNUMBER(Table14[[#This Row],[Column3]]),Table14[[#This Row],[Column3]],Table14[[#This Row],[Column3]]="NEW",Table14[[#This Row],[Column3]]),"")</f>
        <v>691.25108543888814</v>
      </c>
      <c r="H670" s="15" cm="1">
        <f t="array" ref="H670">_xlfn.IFS(Table14[[#This Row],[Column4]]="NEW",AVERAGEIFS(Table14[Column4],Table14[Year],Table14[[#This Row],[Year]]),ISNUMBER(Table14[[#This Row],[Column4]]),Table14[[#This Row],[Column4]],Table14[[#This Row],[Column4]]="",H669*(1+Table14[[#This Row],[Ávöxtun]]))</f>
        <v>691.25108543888814</v>
      </c>
      <c r="I670" cm="1">
        <f t="array" ref="I670">_xlfn.IFS(Table14[[#This Row],[Column4]]="NEW",_xlfn.XLOOKUP(Table14[[#This Row],[Year]],$M$2:$M$27,$O$2:$O$27),ISNUMBER(Table14[[#This Row],[Column4]]),Table14[[#This Row],[Column4]],Table14[[#This Row],[Column4]]="",I669*(1+Table14[[#This Row],[Ávöxtun]]))</f>
        <v>691.25108543888814</v>
      </c>
      <c r="L670" s="33">
        <v>691.25108543888814</v>
      </c>
    </row>
    <row r="671" spans="1:12">
      <c r="A671" t="s">
        <v>118</v>
      </c>
      <c r="B671">
        <v>1998</v>
      </c>
      <c r="C671" s="16">
        <v>0</v>
      </c>
      <c r="D671" s="1">
        <v>58353.58</v>
      </c>
      <c r="E671" s="29">
        <f>Table14[[#This Row],[Ávöxtun]]*Table14[[#This Row],[Eignir]]/SUMIFS(Table14[Eignir],Table14[Year],Table14[[#This Row],[Year]])</f>
        <v>0</v>
      </c>
      <c r="F671" s="23" t="str">
        <f>IF(B671=1997, 100, IF(COUNTIF(A$1:A670,A671)=0, "NEW", F670*(1+Table14[[#This Row],[Ávöxtun]])))</f>
        <v>NEW</v>
      </c>
      <c r="G671" s="18" t="str" cm="1">
        <f t="array" ref="G671">IFERROR(_xlfn.IFS(ISNUMBER(Table14[[#This Row],[Column3]]),Table14[[#This Row],[Column3]],Table14[[#This Row],[Column3]]="NEW",Table14[[#This Row],[Column3]]),"")</f>
        <v>NEW</v>
      </c>
      <c r="H671" s="15" cm="1">
        <f t="array" ref="H671">_xlfn.IFS(Table14[[#This Row],[Column4]]="NEW",AVERAGEIFS(Table14[Column4],Table14[Year],Table14[[#This Row],[Year]]),ISNUMBER(Table14[[#This Row],[Column4]]),Table14[[#This Row],[Column4]],Table14[[#This Row],[Column4]]="",H670*(1+Table14[[#This Row],[Ávöxtun]]))</f>
        <v>106.70588235294117</v>
      </c>
      <c r="I671" cm="1">
        <f t="array" ref="I671">_xlfn.IFS(Table14[[#This Row],[Column4]]="NEW",_xlfn.XLOOKUP(Table14[[#This Row],[Year]],$M$2:$M$27,$O$2:$O$27),ISNUMBER(Table14[[#This Row],[Column4]]),Table14[[#This Row],[Column4]],Table14[[#This Row],[Column4]]="",I670*(1+Table14[[#This Row],[Ávöxtun]]))</f>
        <v>107.11186565673697</v>
      </c>
      <c r="L671" s="33">
        <v>107.11186565673697</v>
      </c>
    </row>
    <row r="672" spans="1:12">
      <c r="A672" t="s">
        <v>118</v>
      </c>
      <c r="B672">
        <v>1999</v>
      </c>
      <c r="C672" s="16">
        <v>0</v>
      </c>
      <c r="D672" s="1">
        <v>578141.65</v>
      </c>
      <c r="E672" s="29">
        <f>Table14[[#This Row],[Ávöxtun]]*Table14[[#This Row],[Eignir]]/SUMIFS(Table14[Eignir],Table14[Year],Table14[[#This Row],[Year]])</f>
        <v>0</v>
      </c>
      <c r="F672" s="23" t="e">
        <f>IF(B672=1997, 100, IF(COUNTIF(A$1:A671,A672)=0, "NEW", F671*(1+Table14[[#This Row],[Ávöxtun]])))</f>
        <v>#VALUE!</v>
      </c>
      <c r="G672" s="18" t="str" cm="1">
        <f t="array" ref="G672">IFERROR(_xlfn.IFS(ISNUMBER(Table14[[#This Row],[Column3]]),Table14[[#This Row],[Column3]],Table14[[#This Row],[Column3]]="NEW",Table14[[#This Row],[Column3]]),"")</f>
        <v/>
      </c>
      <c r="H672" s="15" cm="1">
        <f t="array" ref="H672">_xlfn.IFS(Table14[[#This Row],[Column4]]="NEW",AVERAGEIFS(Table14[Column4],Table14[Year],Table14[[#This Row],[Year]]),ISNUMBER(Table14[[#This Row],[Column4]]),Table14[[#This Row],[Column4]],Table14[[#This Row],[Column4]]="",H671*(1+Table14[[#This Row],[Ávöxtun]]))</f>
        <v>106.70588235294117</v>
      </c>
      <c r="I672" cm="1">
        <f t="array" ref="I672">_xlfn.IFS(Table14[[#This Row],[Column4]]="NEW",_xlfn.XLOOKUP(Table14[[#This Row],[Year]],$M$2:$M$27,$O$2:$O$27),ISNUMBER(Table14[[#This Row],[Column4]]),Table14[[#This Row],[Column4]],Table14[[#This Row],[Column4]]="",I671*(1+Table14[[#This Row],[Ávöxtun]]))</f>
        <v>107.11186565673697</v>
      </c>
      <c r="L672" s="33">
        <v>107.11186565673697</v>
      </c>
    </row>
    <row r="673" spans="1:12">
      <c r="A673" t="s">
        <v>118</v>
      </c>
      <c r="B673">
        <v>2000</v>
      </c>
      <c r="C673" s="16">
        <v>-0.28999999999999998</v>
      </c>
      <c r="D673" s="1">
        <v>2993088.46</v>
      </c>
      <c r="E673" s="29">
        <f>Table14[[#This Row],[Ávöxtun]]*Table14[[#This Row],[Eignir]]/SUMIFS(Table14[Eignir],Table14[Year],Table14[[#This Row],[Year]])</f>
        <v>-1.2209990384614666E-3</v>
      </c>
      <c r="F673" s="23" t="e">
        <f>IF(B673=1997, 100, IF(COUNTIF(A$1:A672,A673)=0, "NEW", F672*(1+Table14[[#This Row],[Ávöxtun]])))</f>
        <v>#VALUE!</v>
      </c>
      <c r="G673" s="18" t="str" cm="1">
        <f t="array" ref="G673">IFERROR(_xlfn.IFS(ISNUMBER(Table14[[#This Row],[Column3]]),Table14[[#This Row],[Column3]],Table14[[#This Row],[Column3]]="NEW",Table14[[#This Row],[Column3]]),"")</f>
        <v/>
      </c>
      <c r="H673" s="15" cm="1">
        <f t="array" ref="H673">_xlfn.IFS(Table14[[#This Row],[Column4]]="NEW",AVERAGEIFS(Table14[Column4],Table14[Year],Table14[[#This Row],[Year]]),ISNUMBER(Table14[[#This Row],[Column4]]),Table14[[#This Row],[Column4]],Table14[[#This Row],[Column4]]="",H672*(1+Table14[[#This Row],[Ávöxtun]]))</f>
        <v>75.761176470588225</v>
      </c>
      <c r="I673" cm="1">
        <f t="array" ref="I673">_xlfn.IFS(Table14[[#This Row],[Column4]]="NEW",_xlfn.XLOOKUP(Table14[[#This Row],[Year]],$M$2:$M$27,$O$2:$O$27),ISNUMBER(Table14[[#This Row],[Column4]]),Table14[[#This Row],[Column4]],Table14[[#This Row],[Column4]]="",I672*(1+Table14[[#This Row],[Ávöxtun]]))</f>
        <v>76.049424616283247</v>
      </c>
      <c r="L673" s="33">
        <v>76.049424616283247</v>
      </c>
    </row>
    <row r="674" spans="1:12">
      <c r="A674" t="s">
        <v>118</v>
      </c>
      <c r="B674">
        <v>2001</v>
      </c>
      <c r="C674" s="16">
        <v>-0.12</v>
      </c>
      <c r="D674" s="1">
        <v>6073269.6200000001</v>
      </c>
      <c r="E674" s="29">
        <f>Table14[[#This Row],[Ávöxtun]]*Table14[[#This Row],[Eignir]]/SUMIFS(Table14[Eignir],Table14[Year],Table14[[#This Row],[Year]])</f>
        <v>-6.2940017096767579E-4</v>
      </c>
      <c r="F674" s="23" t="e">
        <f>IF(B674=1997, 100, IF(COUNTIF(A$1:A673,A674)=0, "NEW", F673*(1+Table14[[#This Row],[Ávöxtun]])))</f>
        <v>#VALUE!</v>
      </c>
      <c r="G674" s="18" t="str" cm="1">
        <f t="array" ref="G674">IFERROR(_xlfn.IFS(ISNUMBER(Table14[[#This Row],[Column3]]),Table14[[#This Row],[Column3]],Table14[[#This Row],[Column3]]="NEW",Table14[[#This Row],[Column3]]),"")</f>
        <v/>
      </c>
      <c r="H674" s="15" cm="1">
        <f t="array" ref="H674">_xlfn.IFS(Table14[[#This Row],[Column4]]="NEW",AVERAGEIFS(Table14[Column4],Table14[Year],Table14[[#This Row],[Year]]),ISNUMBER(Table14[[#This Row],[Column4]]),Table14[[#This Row],[Column4]],Table14[[#This Row],[Column4]]="",H673*(1+Table14[[#This Row],[Ávöxtun]]))</f>
        <v>66.669835294117632</v>
      </c>
      <c r="I674" cm="1">
        <f t="array" ref="I674">_xlfn.IFS(Table14[[#This Row],[Column4]]="NEW",_xlfn.XLOOKUP(Table14[[#This Row],[Year]],$M$2:$M$27,$O$2:$O$27),ISNUMBER(Table14[[#This Row],[Column4]]),Table14[[#This Row],[Column4]],Table14[[#This Row],[Column4]]="",I673*(1+Table14[[#This Row],[Ávöxtun]]))</f>
        <v>66.923493662329264</v>
      </c>
      <c r="L674" s="33">
        <v>66.923493662329264</v>
      </c>
    </row>
    <row r="675" spans="1:12">
      <c r="A675" t="s">
        <v>118</v>
      </c>
      <c r="B675">
        <v>2002</v>
      </c>
      <c r="C675" s="16">
        <v>-0.05</v>
      </c>
      <c r="D675" s="1">
        <v>4642432</v>
      </c>
      <c r="E675" s="29">
        <f>Table14[[#This Row],[Ávöxtun]]*Table14[[#This Row],[Eignir]]/SUMIFS(Table14[Eignir],Table14[Year],Table14[[#This Row],[Year]])</f>
        <v>-3.6545135308485181E-4</v>
      </c>
      <c r="F675" s="23" t="e">
        <f>IF(B675=1997, 100, IF(COUNTIF(A$1:A674,A675)=0, "NEW", F674*(1+Table14[[#This Row],[Ávöxtun]])))</f>
        <v>#VALUE!</v>
      </c>
      <c r="G675" s="18" t="str" cm="1">
        <f t="array" ref="G675">IFERROR(_xlfn.IFS(ISNUMBER(Table14[[#This Row],[Column3]]),Table14[[#This Row],[Column3]],Table14[[#This Row],[Column3]]="NEW",Table14[[#This Row],[Column3]]),"")</f>
        <v/>
      </c>
      <c r="H675" s="15" cm="1">
        <f t="array" ref="H675">_xlfn.IFS(Table14[[#This Row],[Column4]]="NEW",AVERAGEIFS(Table14[Column4],Table14[Year],Table14[[#This Row],[Year]]),ISNUMBER(Table14[[#This Row],[Column4]]),Table14[[#This Row],[Column4]],Table14[[#This Row],[Column4]]="",H674*(1+Table14[[#This Row],[Ávöxtun]]))</f>
        <v>63.336343529411749</v>
      </c>
      <c r="I675" cm="1">
        <f t="array" ref="I675">_xlfn.IFS(Table14[[#This Row],[Column4]]="NEW",_xlfn.XLOOKUP(Table14[[#This Row],[Year]],$M$2:$M$27,$O$2:$O$27),ISNUMBER(Table14[[#This Row],[Column4]]),Table14[[#This Row],[Column4]],Table14[[#This Row],[Column4]]="",I674*(1+Table14[[#This Row],[Ávöxtun]]))</f>
        <v>63.577318979212798</v>
      </c>
      <c r="L675" s="33">
        <v>63.577318979212798</v>
      </c>
    </row>
    <row r="676" spans="1:12">
      <c r="A676" t="s">
        <v>118</v>
      </c>
      <c r="B676">
        <v>2003</v>
      </c>
      <c r="C676" s="16">
        <v>0.19</v>
      </c>
      <c r="D676" s="1">
        <v>7354351</v>
      </c>
      <c r="E676" s="29">
        <f>Table14[[#This Row],[Ávöxtun]]*Table14[[#This Row],[Eignir]]/SUMIFS(Table14[Eignir],Table14[Year],Table14[[#This Row],[Year]])</f>
        <v>1.8388505244740277E-3</v>
      </c>
      <c r="F676" s="23" t="e">
        <f>IF(B676=1997, 100, IF(COUNTIF(A$1:A675,A676)=0, "NEW", F675*(1+Table14[[#This Row],[Ávöxtun]])))</f>
        <v>#VALUE!</v>
      </c>
      <c r="G676" s="18" t="str" cm="1">
        <f t="array" ref="G676">IFERROR(_xlfn.IFS(ISNUMBER(Table14[[#This Row],[Column3]]),Table14[[#This Row],[Column3]],Table14[[#This Row],[Column3]]="NEW",Table14[[#This Row],[Column3]]),"")</f>
        <v/>
      </c>
      <c r="H676" s="15" cm="1">
        <f t="array" ref="H676">_xlfn.IFS(Table14[[#This Row],[Column4]]="NEW",AVERAGEIFS(Table14[Column4],Table14[Year],Table14[[#This Row],[Year]]),ISNUMBER(Table14[[#This Row],[Column4]]),Table14[[#This Row],[Column4]],Table14[[#This Row],[Column4]]="",H675*(1+Table14[[#This Row],[Ávöxtun]]))</f>
        <v>75.370248799999985</v>
      </c>
      <c r="I676" cm="1">
        <f t="array" ref="I676">_xlfn.IFS(Table14[[#This Row],[Column4]]="NEW",_xlfn.XLOOKUP(Table14[[#This Row],[Year]],$M$2:$M$27,$O$2:$O$27),ISNUMBER(Table14[[#This Row],[Column4]]),Table14[[#This Row],[Column4]],Table14[[#This Row],[Column4]]="",I675*(1+Table14[[#This Row],[Ávöxtun]]))</f>
        <v>75.657009585263225</v>
      </c>
      <c r="L676" s="33">
        <v>75.657009585263225</v>
      </c>
    </row>
    <row r="677" spans="1:12">
      <c r="A677" t="s">
        <v>118</v>
      </c>
      <c r="B677">
        <v>2004</v>
      </c>
      <c r="C677" s="16">
        <v>0.1</v>
      </c>
      <c r="D677" s="1">
        <v>12011566.029999999</v>
      </c>
      <c r="E677" s="29">
        <f>Table14[[#This Row],[Ávöxtun]]*Table14[[#This Row],[Eignir]]/SUMIFS(Table14[Eignir],Table14[Year],Table14[[#This Row],[Year]])</f>
        <v>1.3233400249957094E-3</v>
      </c>
      <c r="F677" s="23" t="e">
        <f>IF(B677=1997, 100, IF(COUNTIF(A$1:A676,A677)=0, "NEW", F676*(1+Table14[[#This Row],[Ávöxtun]])))</f>
        <v>#VALUE!</v>
      </c>
      <c r="G677" s="18" t="str" cm="1">
        <f t="array" ref="G677">IFERROR(_xlfn.IFS(ISNUMBER(Table14[[#This Row],[Column3]]),Table14[[#This Row],[Column3]],Table14[[#This Row],[Column3]]="NEW",Table14[[#This Row],[Column3]]),"")</f>
        <v/>
      </c>
      <c r="H677" s="15" cm="1">
        <f t="array" ref="H677">_xlfn.IFS(Table14[[#This Row],[Column4]]="NEW",AVERAGEIFS(Table14[Column4],Table14[Year],Table14[[#This Row],[Year]]),ISNUMBER(Table14[[#This Row],[Column4]]),Table14[[#This Row],[Column4]],Table14[[#This Row],[Column4]]="",H676*(1+Table14[[#This Row],[Ávöxtun]]))</f>
        <v>82.907273679999989</v>
      </c>
      <c r="I677" cm="1">
        <f t="array" ref="I677">_xlfn.IFS(Table14[[#This Row],[Column4]]="NEW",_xlfn.XLOOKUP(Table14[[#This Row],[Year]],$M$2:$M$27,$O$2:$O$27),ISNUMBER(Table14[[#This Row],[Column4]]),Table14[[#This Row],[Column4]],Table14[[#This Row],[Column4]]="",I676*(1+Table14[[#This Row],[Ávöxtun]]))</f>
        <v>83.22271054378956</v>
      </c>
      <c r="L677" s="33">
        <v>83.22271054378956</v>
      </c>
    </row>
    <row r="678" spans="1:12">
      <c r="A678" t="s">
        <v>118</v>
      </c>
      <c r="B678">
        <v>2005</v>
      </c>
      <c r="C678" s="16">
        <v>0.14000000000000001</v>
      </c>
      <c r="D678" s="1">
        <v>16163013</v>
      </c>
      <c r="E678" s="29">
        <f>Table14[[#This Row],[Ávöxtun]]*Table14[[#This Row],[Eignir]]/SUMIFS(Table14[Eignir],Table14[Year],Table14[[#This Row],[Year]])</f>
        <v>2.0179663425776021E-3</v>
      </c>
      <c r="F678" s="23" t="e">
        <f>IF(B678=1997, 100, IF(COUNTIF(A$1:A677,A678)=0, "NEW", F677*(1+Table14[[#This Row],[Ávöxtun]])))</f>
        <v>#VALUE!</v>
      </c>
      <c r="G678" s="18" t="str" cm="1">
        <f t="array" ref="G678">IFERROR(_xlfn.IFS(ISNUMBER(Table14[[#This Row],[Column3]]),Table14[[#This Row],[Column3]],Table14[[#This Row],[Column3]]="NEW",Table14[[#This Row],[Column3]]),"")</f>
        <v/>
      </c>
      <c r="H678" s="15" cm="1">
        <f t="array" ref="H678">_xlfn.IFS(Table14[[#This Row],[Column4]]="NEW",AVERAGEIFS(Table14[Column4],Table14[Year],Table14[[#This Row],[Year]]),ISNUMBER(Table14[[#This Row],[Column4]]),Table14[[#This Row],[Column4]],Table14[[#This Row],[Column4]]="",H677*(1+Table14[[#This Row],[Ávöxtun]]))</f>
        <v>94.514291995199997</v>
      </c>
      <c r="I678" cm="1">
        <f t="array" ref="I678">_xlfn.IFS(Table14[[#This Row],[Column4]]="NEW",_xlfn.XLOOKUP(Table14[[#This Row],[Year]],$M$2:$M$27,$O$2:$O$27),ISNUMBER(Table14[[#This Row],[Column4]]),Table14[[#This Row],[Column4]],Table14[[#This Row],[Column4]]="",I677*(1+Table14[[#This Row],[Ávöxtun]]))</f>
        <v>94.873890019920111</v>
      </c>
      <c r="L678" s="33">
        <v>94.873890019920111</v>
      </c>
    </row>
    <row r="679" spans="1:12">
      <c r="A679" t="s">
        <v>118</v>
      </c>
      <c r="B679">
        <v>2006</v>
      </c>
      <c r="C679" s="16">
        <v>0.15859999999999999</v>
      </c>
      <c r="D679" s="1">
        <v>22146893</v>
      </c>
      <c r="E679" s="29">
        <f>Table14[[#This Row],[Ávöxtun]]*Table14[[#This Row],[Eignir]]/SUMIFS(Table14[Eignir],Table14[Year],Table14[[#This Row],[Year]])</f>
        <v>2.5588690637796995E-3</v>
      </c>
      <c r="F679" s="23" t="e">
        <f>IF(B679=1997, 100, IF(COUNTIF(A$1:A678,A679)=0, "NEW", F678*(1+Table14[[#This Row],[Ávöxtun]])))</f>
        <v>#VALUE!</v>
      </c>
      <c r="G679" s="18" t="str" cm="1">
        <f t="array" ref="G679">IFERROR(_xlfn.IFS(ISNUMBER(Table14[[#This Row],[Column3]]),Table14[[#This Row],[Column3]],Table14[[#This Row],[Column3]]="NEW",Table14[[#This Row],[Column3]]),"")</f>
        <v/>
      </c>
      <c r="H679" s="15" cm="1">
        <f t="array" ref="H679">_xlfn.IFS(Table14[[#This Row],[Column4]]="NEW",AVERAGEIFS(Table14[Column4],Table14[Year],Table14[[#This Row],[Year]]),ISNUMBER(Table14[[#This Row],[Column4]]),Table14[[#This Row],[Column4]],Table14[[#This Row],[Column4]]="",H678*(1+Table14[[#This Row],[Ávöxtun]]))</f>
        <v>109.50425870563872</v>
      </c>
      <c r="I679" cm="1">
        <f t="array" ref="I679">_xlfn.IFS(Table14[[#This Row],[Column4]]="NEW",_xlfn.XLOOKUP(Table14[[#This Row],[Year]],$M$2:$M$27,$O$2:$O$27),ISNUMBER(Table14[[#This Row],[Column4]]),Table14[[#This Row],[Column4]],Table14[[#This Row],[Column4]]="",I678*(1+Table14[[#This Row],[Ávöxtun]]))</f>
        <v>109.92088897707944</v>
      </c>
      <c r="L679" s="33">
        <v>109.92088897707944</v>
      </c>
    </row>
    <row r="680" spans="1:12">
      <c r="A680" t="s">
        <v>118</v>
      </c>
      <c r="B680">
        <v>2007</v>
      </c>
      <c r="C680" s="16">
        <v>1.95E-2</v>
      </c>
      <c r="D680" s="1">
        <v>27587433</v>
      </c>
      <c r="E680" s="29">
        <f>Table14[[#This Row],[Ávöxtun]]*Table14[[#This Row],[Eignir]]/SUMIFS(Table14[Eignir],Table14[Year],Table14[[#This Row],[Year]])</f>
        <v>3.4787387446028371E-4</v>
      </c>
      <c r="F680" s="23" t="e">
        <f>IF(B680=1997, 100, IF(COUNTIF(A$1:A679,A680)=0, "NEW", F679*(1+Table14[[#This Row],[Ávöxtun]])))</f>
        <v>#VALUE!</v>
      </c>
      <c r="G680" s="18" t="str" cm="1">
        <f t="array" ref="G680">IFERROR(_xlfn.IFS(ISNUMBER(Table14[[#This Row],[Column3]]),Table14[[#This Row],[Column3]],Table14[[#This Row],[Column3]]="NEW",Table14[[#This Row],[Column3]]),"")</f>
        <v/>
      </c>
      <c r="H680" s="15" cm="1">
        <f t="array" ref="H680">_xlfn.IFS(Table14[[#This Row],[Column4]]="NEW",AVERAGEIFS(Table14[Column4],Table14[Year],Table14[[#This Row],[Year]]),ISNUMBER(Table14[[#This Row],[Column4]]),Table14[[#This Row],[Column4]],Table14[[#This Row],[Column4]]="",H679*(1+Table14[[#This Row],[Ávöxtun]]))</f>
        <v>111.63959175039868</v>
      </c>
      <c r="I680" cm="1">
        <f t="array" ref="I680">_xlfn.IFS(Table14[[#This Row],[Column4]]="NEW",_xlfn.XLOOKUP(Table14[[#This Row],[Year]],$M$2:$M$27,$O$2:$O$27),ISNUMBER(Table14[[#This Row],[Column4]]),Table14[[#This Row],[Column4]],Table14[[#This Row],[Column4]]="",I679*(1+Table14[[#This Row],[Ávöxtun]]))</f>
        <v>112.0643463121325</v>
      </c>
      <c r="L680" s="33">
        <v>112.0643463121325</v>
      </c>
    </row>
    <row r="681" spans="1:12">
      <c r="A681" t="s">
        <v>118</v>
      </c>
      <c r="B681">
        <v>2008</v>
      </c>
      <c r="C681" s="16">
        <v>-0.2389</v>
      </c>
      <c r="D681" s="1">
        <v>32677126</v>
      </c>
      <c r="E681" s="29">
        <f>Table14[[#This Row],[Ávöxtun]]*Table14[[#This Row],[Eignir]]/SUMIFS(Table14[Eignir],Table14[Year],Table14[[#This Row],[Year]])</f>
        <v>-5.2136993693674546E-3</v>
      </c>
      <c r="F681" s="23" t="e">
        <f>IF(B681=1997, 100, IF(COUNTIF(A$1:A680,A681)=0, "NEW", F680*(1+Table14[[#This Row],[Ávöxtun]])))</f>
        <v>#VALUE!</v>
      </c>
      <c r="G681" s="18" t="str" cm="1">
        <f t="array" ref="G681">IFERROR(_xlfn.IFS(ISNUMBER(Table14[[#This Row],[Column3]]),Table14[[#This Row],[Column3]],Table14[[#This Row],[Column3]]="NEW",Table14[[#This Row],[Column3]]),"")</f>
        <v/>
      </c>
      <c r="H681" s="15" cm="1">
        <f t="array" ref="H681">_xlfn.IFS(Table14[[#This Row],[Column4]]="NEW",AVERAGEIFS(Table14[Column4],Table14[Year],Table14[[#This Row],[Year]]),ISNUMBER(Table14[[#This Row],[Column4]]),Table14[[#This Row],[Column4]],Table14[[#This Row],[Column4]]="",H680*(1+Table14[[#This Row],[Ávöxtun]]))</f>
        <v>84.968893281228432</v>
      </c>
      <c r="I681" cm="1">
        <f t="array" ref="I681">_xlfn.IFS(Table14[[#This Row],[Column4]]="NEW",_xlfn.XLOOKUP(Table14[[#This Row],[Year]],$M$2:$M$27,$O$2:$O$27),ISNUMBER(Table14[[#This Row],[Column4]]),Table14[[#This Row],[Column4]],Table14[[#This Row],[Column4]]="",I680*(1+Table14[[#This Row],[Ávöxtun]]))</f>
        <v>85.292173978164044</v>
      </c>
      <c r="L681" s="33">
        <v>85.292173978164044</v>
      </c>
    </row>
    <row r="682" spans="1:12">
      <c r="A682" t="s">
        <v>118</v>
      </c>
      <c r="B682">
        <v>2009</v>
      </c>
      <c r="C682" s="16">
        <v>2.5099999999999997E-2</v>
      </c>
      <c r="D682" s="1">
        <v>41028939</v>
      </c>
      <c r="E682" s="29">
        <f>Table14[[#This Row],[Ávöxtun]]*Table14[[#This Row],[Eignir]]/SUMIFS(Table14[Eignir],Table14[Year],Table14[[#This Row],[Year]])</f>
        <v>6.1730628507200688E-4</v>
      </c>
      <c r="F682" s="23" t="e">
        <f>IF(B682=1997, 100, IF(COUNTIF(A$1:A681,A682)=0, "NEW", F681*(1+Table14[[#This Row],[Ávöxtun]])))</f>
        <v>#VALUE!</v>
      </c>
      <c r="G682" s="18" t="str" cm="1">
        <f t="array" ref="G682">IFERROR(_xlfn.IFS(ISNUMBER(Table14[[#This Row],[Column3]]),Table14[[#This Row],[Column3]],Table14[[#This Row],[Column3]]="NEW",Table14[[#This Row],[Column3]]),"")</f>
        <v/>
      </c>
      <c r="H682" s="15" cm="1">
        <f t="array" ref="H682">_xlfn.IFS(Table14[[#This Row],[Column4]]="NEW",AVERAGEIFS(Table14[Column4],Table14[Year],Table14[[#This Row],[Year]]),ISNUMBER(Table14[[#This Row],[Column4]]),Table14[[#This Row],[Column4]],Table14[[#This Row],[Column4]]="",H681*(1+Table14[[#This Row],[Ávöxtun]]))</f>
        <v>87.101612502587258</v>
      </c>
      <c r="I682" cm="1">
        <f t="array" ref="I682">_xlfn.IFS(Table14[[#This Row],[Column4]]="NEW",_xlfn.XLOOKUP(Table14[[#This Row],[Year]],$M$2:$M$27,$O$2:$O$27),ISNUMBER(Table14[[#This Row],[Column4]]),Table14[[#This Row],[Column4]],Table14[[#This Row],[Column4]]="",I681*(1+Table14[[#This Row],[Ávöxtun]]))</f>
        <v>87.433007545015954</v>
      </c>
      <c r="L682" s="33">
        <v>87.433007545015954</v>
      </c>
    </row>
    <row r="683" spans="1:12">
      <c r="A683" t="s">
        <v>118</v>
      </c>
      <c r="B683">
        <v>2010</v>
      </c>
      <c r="C683" s="16">
        <v>2.4300000000000002E-2</v>
      </c>
      <c r="D683" s="1">
        <v>47690511</v>
      </c>
      <c r="E683" s="29">
        <f>Table14[[#This Row],[Ávöxtun]]*Table14[[#This Row],[Eignir]]/SUMIFS(Table14[Eignir],Table14[Year],Table14[[#This Row],[Year]])</f>
        <v>6.4822023158526282E-4</v>
      </c>
      <c r="F683" s="23" t="e">
        <f>IF(B683=1997, 100, IF(COUNTIF(A$1:A682,A683)=0, "NEW", F682*(1+Table14[[#This Row],[Ávöxtun]])))</f>
        <v>#VALUE!</v>
      </c>
      <c r="G683" s="18" t="str" cm="1">
        <f t="array" ref="G683">IFERROR(_xlfn.IFS(ISNUMBER(Table14[[#This Row],[Column3]]),Table14[[#This Row],[Column3]],Table14[[#This Row],[Column3]]="NEW",Table14[[#This Row],[Column3]]),"")</f>
        <v/>
      </c>
      <c r="H683" s="15" cm="1">
        <f t="array" ref="H683">_xlfn.IFS(Table14[[#This Row],[Column4]]="NEW",AVERAGEIFS(Table14[Column4],Table14[Year],Table14[[#This Row],[Year]]),ISNUMBER(Table14[[#This Row],[Column4]]),Table14[[#This Row],[Column4]],Table14[[#This Row],[Column4]]="",H682*(1+Table14[[#This Row],[Ávöxtun]]))</f>
        <v>89.218181686400129</v>
      </c>
      <c r="I683" cm="1">
        <f t="array" ref="I683">_xlfn.IFS(Table14[[#This Row],[Column4]]="NEW",_xlfn.XLOOKUP(Table14[[#This Row],[Year]],$M$2:$M$27,$O$2:$O$27),ISNUMBER(Table14[[#This Row],[Column4]]),Table14[[#This Row],[Column4]],Table14[[#This Row],[Column4]]="",I682*(1+Table14[[#This Row],[Ávöxtun]]))</f>
        <v>89.557629628359834</v>
      </c>
      <c r="L683" s="33">
        <v>89.557629628359834</v>
      </c>
    </row>
    <row r="684" spans="1:12">
      <c r="A684" t="s">
        <v>118</v>
      </c>
      <c r="B684">
        <v>2011</v>
      </c>
      <c r="C684" s="16">
        <v>7.2000000000000008E-2</v>
      </c>
      <c r="D684" s="1">
        <v>57425655</v>
      </c>
      <c r="E684" s="29">
        <f>Table14[[#This Row],[Ávöxtun]]*Table14[[#This Row],[Eignir]]/SUMIFS(Table14[Eignir],Table14[Year],Table14[[#This Row],[Year]])</f>
        <v>2.119724398695632E-3</v>
      </c>
      <c r="F684" s="23" t="e">
        <f>IF(B684=1997, 100, IF(COUNTIF(A$1:A683,A684)=0, "NEW", F683*(1+Table14[[#This Row],[Ávöxtun]])))</f>
        <v>#VALUE!</v>
      </c>
      <c r="G684" s="18" t="str" cm="1">
        <f t="array" ref="G684">IFERROR(_xlfn.IFS(ISNUMBER(Table14[[#This Row],[Column3]]),Table14[[#This Row],[Column3]],Table14[[#This Row],[Column3]]="NEW",Table14[[#This Row],[Column3]]),"")</f>
        <v/>
      </c>
      <c r="H684" s="15" cm="1">
        <f t="array" ref="H684">_xlfn.IFS(Table14[[#This Row],[Column4]]="NEW",AVERAGEIFS(Table14[Column4],Table14[Year],Table14[[#This Row],[Year]]),ISNUMBER(Table14[[#This Row],[Column4]]),Table14[[#This Row],[Column4]],Table14[[#This Row],[Column4]]="",H683*(1+Table14[[#This Row],[Ávöxtun]]))</f>
        <v>95.641890767820939</v>
      </c>
      <c r="I684" cm="1">
        <f t="array" ref="I684">_xlfn.IFS(Table14[[#This Row],[Column4]]="NEW",_xlfn.XLOOKUP(Table14[[#This Row],[Year]],$M$2:$M$27,$O$2:$O$27),ISNUMBER(Table14[[#This Row],[Column4]]),Table14[[#This Row],[Column4]],Table14[[#This Row],[Column4]]="",I683*(1+Table14[[#This Row],[Ávöxtun]]))</f>
        <v>96.005778961601749</v>
      </c>
      <c r="L684" s="33">
        <v>96.005778961601749</v>
      </c>
    </row>
    <row r="685" spans="1:12">
      <c r="A685" t="s">
        <v>118</v>
      </c>
      <c r="B685">
        <v>2012</v>
      </c>
      <c r="C685" s="16">
        <v>8.199999999999999E-2</v>
      </c>
      <c r="D685" s="1">
        <v>68503666</v>
      </c>
      <c r="E685" s="29">
        <f>Table14[[#This Row],[Ávöxtun]]*Table14[[#This Row],[Eignir]]/SUMIFS(Table14[Eignir],Table14[Year],Table14[[#This Row],[Year]])</f>
        <v>2.5500231288611507E-3</v>
      </c>
      <c r="F685" s="23" t="e">
        <f>IF(B685=1997, 100, IF(COUNTIF(A$1:A684,A685)=0, "NEW", F684*(1+Table14[[#This Row],[Ávöxtun]])))</f>
        <v>#VALUE!</v>
      </c>
      <c r="G685" s="18" t="str" cm="1">
        <f t="array" ref="G685">IFERROR(_xlfn.IFS(ISNUMBER(Table14[[#This Row],[Column3]]),Table14[[#This Row],[Column3]],Table14[[#This Row],[Column3]]="NEW",Table14[[#This Row],[Column3]]),"")</f>
        <v/>
      </c>
      <c r="H685" s="15" cm="1">
        <f t="array" ref="H685">_xlfn.IFS(Table14[[#This Row],[Column4]]="NEW",AVERAGEIFS(Table14[Column4],Table14[Year],Table14[[#This Row],[Year]]),ISNUMBER(Table14[[#This Row],[Column4]]),Table14[[#This Row],[Column4]],Table14[[#This Row],[Column4]]="",H684*(1+Table14[[#This Row],[Ávöxtun]]))</f>
        <v>103.48452581078226</v>
      </c>
      <c r="I685" cm="1">
        <f t="array" ref="I685">_xlfn.IFS(Table14[[#This Row],[Column4]]="NEW",_xlfn.XLOOKUP(Table14[[#This Row],[Year]],$M$2:$M$27,$O$2:$O$27),ISNUMBER(Table14[[#This Row],[Column4]]),Table14[[#This Row],[Column4]],Table14[[#This Row],[Column4]]="",I684*(1+Table14[[#This Row],[Ávöxtun]]))</f>
        <v>103.8782528364531</v>
      </c>
      <c r="L685" s="33">
        <v>103.8782528364531</v>
      </c>
    </row>
    <row r="686" spans="1:12">
      <c r="A686" t="s">
        <v>118</v>
      </c>
      <c r="B686">
        <v>2013</v>
      </c>
      <c r="C686" s="16">
        <v>0.11</v>
      </c>
      <c r="D686" s="1">
        <v>85374276</v>
      </c>
      <c r="E686" s="29">
        <f>Table14[[#This Row],[Ávöxtun]]*Table14[[#This Row],[Eignir]]/SUMIFS(Table14[Eignir],Table14[Year],Table14[[#This Row],[Year]])</f>
        <v>3.8589946358901245E-3</v>
      </c>
      <c r="F686" s="23" t="e">
        <f>IF(B686=1997, 100, IF(COUNTIF(A$1:A685,A686)=0, "NEW", F685*(1+Table14[[#This Row],[Ávöxtun]])))</f>
        <v>#VALUE!</v>
      </c>
      <c r="G686" s="18" t="str" cm="1">
        <f t="array" ref="G686">IFERROR(_xlfn.IFS(ISNUMBER(Table14[[#This Row],[Column3]]),Table14[[#This Row],[Column3]],Table14[[#This Row],[Column3]]="NEW",Table14[[#This Row],[Column3]]),"")</f>
        <v/>
      </c>
      <c r="H686" s="15" cm="1">
        <f t="array" ref="H686">_xlfn.IFS(Table14[[#This Row],[Column4]]="NEW",AVERAGEIFS(Table14[Column4],Table14[Year],Table14[[#This Row],[Year]]),ISNUMBER(Table14[[#This Row],[Column4]]),Table14[[#This Row],[Column4]],Table14[[#This Row],[Column4]]="",H685*(1+Table14[[#This Row],[Ávöxtun]]))</f>
        <v>114.86782364996832</v>
      </c>
      <c r="I686" cm="1">
        <f t="array" ref="I686">_xlfn.IFS(Table14[[#This Row],[Column4]]="NEW",_xlfn.XLOOKUP(Table14[[#This Row],[Year]],$M$2:$M$27,$O$2:$O$27),ISNUMBER(Table14[[#This Row],[Column4]]),Table14[[#This Row],[Column4]],Table14[[#This Row],[Column4]]="",I685*(1+Table14[[#This Row],[Ávöxtun]]))</f>
        <v>115.30486064846295</v>
      </c>
      <c r="L686" s="33">
        <v>115.30486064846295</v>
      </c>
    </row>
    <row r="687" spans="1:12">
      <c r="A687" t="s">
        <v>118</v>
      </c>
      <c r="B687">
        <v>2014</v>
      </c>
      <c r="C687" s="16">
        <v>0.14599999999999999</v>
      </c>
      <c r="D687" s="1">
        <v>97109569</v>
      </c>
      <c r="E687" s="29">
        <f>Table14[[#This Row],[Ávöxtun]]*Table14[[#This Row],[Eignir]]/SUMIFS(Table14[Eignir],Table14[Year],Table14[[#This Row],[Year]])</f>
        <v>5.3441004067673152E-3</v>
      </c>
      <c r="F687" s="23" t="e">
        <f>IF(B687=1997, 100, IF(COUNTIF(A$1:A686,A687)=0, "NEW", F686*(1+Table14[[#This Row],[Ávöxtun]])))</f>
        <v>#VALUE!</v>
      </c>
      <c r="G687" s="18" t="str" cm="1">
        <f t="array" ref="G687">IFERROR(_xlfn.IFS(ISNUMBER(Table14[[#This Row],[Column3]]),Table14[[#This Row],[Column3]],Table14[[#This Row],[Column3]]="NEW",Table14[[#This Row],[Column3]]),"")</f>
        <v/>
      </c>
      <c r="H687" s="15" cm="1">
        <f t="array" ref="H687">_xlfn.IFS(Table14[[#This Row],[Column4]]="NEW",AVERAGEIFS(Table14[Column4],Table14[Year],Table14[[#This Row],[Year]]),ISNUMBER(Table14[[#This Row],[Column4]]),Table14[[#This Row],[Column4]],Table14[[#This Row],[Column4]]="",H686*(1+Table14[[#This Row],[Ávöxtun]]))</f>
        <v>131.63852590286368</v>
      </c>
      <c r="I687" cm="1">
        <f t="array" ref="I687">_xlfn.IFS(Table14[[#This Row],[Column4]]="NEW",_xlfn.XLOOKUP(Table14[[#This Row],[Year]],$M$2:$M$27,$O$2:$O$27),ISNUMBER(Table14[[#This Row],[Column4]]),Table14[[#This Row],[Column4]],Table14[[#This Row],[Column4]]="",I686*(1+Table14[[#This Row],[Ávöxtun]]))</f>
        <v>132.13937030313852</v>
      </c>
      <c r="L687" s="33">
        <v>132.13937030313852</v>
      </c>
    </row>
    <row r="688" spans="1:12">
      <c r="A688" t="s">
        <v>118</v>
      </c>
      <c r="B688">
        <v>2015</v>
      </c>
      <c r="C688" s="16">
        <v>0.25</v>
      </c>
      <c r="D688" s="1">
        <v>114600024</v>
      </c>
      <c r="E688" s="29">
        <f>Table14[[#This Row],[Ávöxtun]]*Table14[[#This Row],[Eignir]]/SUMIFS(Table14[Eignir],Table14[Year],Table14[[#This Row],[Year]])</f>
        <v>9.6745514344838881E-3</v>
      </c>
      <c r="F688" s="23" t="e">
        <f>IF(B688=1997, 100, IF(COUNTIF(A$1:A687,A688)=0, "NEW", F687*(1+Table14[[#This Row],[Ávöxtun]])))</f>
        <v>#VALUE!</v>
      </c>
      <c r="G688" s="18" t="str" cm="1">
        <f t="array" ref="G688">IFERROR(_xlfn.IFS(ISNUMBER(Table14[[#This Row],[Column3]]),Table14[[#This Row],[Column3]],Table14[[#This Row],[Column3]]="NEW",Table14[[#This Row],[Column3]]),"")</f>
        <v/>
      </c>
      <c r="H688" s="15" cm="1">
        <f t="array" ref="H688">_xlfn.IFS(Table14[[#This Row],[Column4]]="NEW",AVERAGEIFS(Table14[Column4],Table14[Year],Table14[[#This Row],[Year]]),ISNUMBER(Table14[[#This Row],[Column4]]),Table14[[#This Row],[Column4]],Table14[[#This Row],[Column4]]="",H687*(1+Table14[[#This Row],[Ávöxtun]]))</f>
        <v>164.54815737857959</v>
      </c>
      <c r="I688" cm="1">
        <f t="array" ref="I688">_xlfn.IFS(Table14[[#This Row],[Column4]]="NEW",_xlfn.XLOOKUP(Table14[[#This Row],[Year]],$M$2:$M$27,$O$2:$O$27),ISNUMBER(Table14[[#This Row],[Column4]]),Table14[[#This Row],[Column4]],Table14[[#This Row],[Column4]]="",I687*(1+Table14[[#This Row],[Ávöxtun]]))</f>
        <v>165.17421287892316</v>
      </c>
      <c r="L688" s="33">
        <v>165.17421287892316</v>
      </c>
    </row>
    <row r="689" spans="1:12">
      <c r="A689" t="s">
        <v>118</v>
      </c>
      <c r="B689">
        <v>2016</v>
      </c>
      <c r="C689" s="16">
        <v>-1.9E-2</v>
      </c>
      <c r="D689" s="1">
        <v>128617380.75</v>
      </c>
      <c r="E689" s="29">
        <f>Table14[[#This Row],[Ávöxtun]]*Table14[[#This Row],[Eignir]]/SUMIFS(Table14[Eignir],Table14[Year],Table14[[#This Row],[Year]])</f>
        <v>-7.6365456369241718E-4</v>
      </c>
      <c r="F689" s="23" t="e">
        <f>IF(B689=1997, 100, IF(COUNTIF(A$1:A688,A689)=0, "NEW", F688*(1+Table14[[#This Row],[Ávöxtun]])))</f>
        <v>#VALUE!</v>
      </c>
      <c r="G689" s="18" t="str" cm="1">
        <f t="array" ref="G689">IFERROR(_xlfn.IFS(ISNUMBER(Table14[[#This Row],[Column3]]),Table14[[#This Row],[Column3]],Table14[[#This Row],[Column3]]="NEW",Table14[[#This Row],[Column3]]),"")</f>
        <v/>
      </c>
      <c r="H689" s="15" cm="1">
        <f t="array" ref="H689">_xlfn.IFS(Table14[[#This Row],[Column4]]="NEW",AVERAGEIFS(Table14[Column4],Table14[Year],Table14[[#This Row],[Year]]),ISNUMBER(Table14[[#This Row],[Column4]]),Table14[[#This Row],[Column4]],Table14[[#This Row],[Column4]]="",H688*(1+Table14[[#This Row],[Ávöxtun]]))</f>
        <v>161.42174238838658</v>
      </c>
      <c r="I689" cm="1">
        <f t="array" ref="I689">_xlfn.IFS(Table14[[#This Row],[Column4]]="NEW",_xlfn.XLOOKUP(Table14[[#This Row],[Year]],$M$2:$M$27,$O$2:$O$27),ISNUMBER(Table14[[#This Row],[Column4]]),Table14[[#This Row],[Column4]],Table14[[#This Row],[Column4]]="",I688*(1+Table14[[#This Row],[Ávöxtun]]))</f>
        <v>162.03590283422361</v>
      </c>
      <c r="L689" s="33">
        <v>162.03590283422361</v>
      </c>
    </row>
    <row r="690" spans="1:12">
      <c r="A690" t="s">
        <v>119</v>
      </c>
      <c r="B690">
        <v>1997</v>
      </c>
      <c r="C690" s="16">
        <v>0.06</v>
      </c>
      <c r="D690" s="1">
        <v>428707.49</v>
      </c>
      <c r="E690" s="29">
        <f>Table14[[#This Row],[Ávöxtun]]*Table14[[#This Row],[Eignir]]/SUMIFS(Table14[Eignir],Table14[Year],Table14[[#This Row],[Year]])</f>
        <v>7.5871760142192252E-5</v>
      </c>
      <c r="F690" s="23">
        <f>IF(B690=1997, 100, IF(COUNTIF(A$1:A689,A690)=0, "NEW", F689*(1+Table14[[#This Row],[Ávöxtun]])))</f>
        <v>100</v>
      </c>
      <c r="G690" s="18" cm="1">
        <f t="array" ref="G690">IFERROR(_xlfn.IFS(ISNUMBER(Table14[[#This Row],[Column3]]),Table14[[#This Row],[Column3]],Table14[[#This Row],[Column3]]="NEW",Table14[[#This Row],[Column3]]),"")</f>
        <v>100</v>
      </c>
      <c r="H690" s="15" cm="1">
        <f t="array" ref="H690">_xlfn.IFS(Table14[[#This Row],[Column4]]="NEW",AVERAGEIFS(Table14[Column4],Table14[Year],Table14[[#This Row],[Year]]),ISNUMBER(Table14[[#This Row],[Column4]]),Table14[[#This Row],[Column4]],Table14[[#This Row],[Column4]]="",H689*(1+Table14[[#This Row],[Ávöxtun]]))</f>
        <v>100</v>
      </c>
      <c r="I690" cm="1">
        <f t="array" ref="I690">_xlfn.IFS(Table14[[#This Row],[Column4]]="NEW",_xlfn.XLOOKUP(Table14[[#This Row],[Year]],$M$2:$M$27,$O$2:$O$27),ISNUMBER(Table14[[#This Row],[Column4]]),Table14[[#This Row],[Column4]],Table14[[#This Row],[Column4]]="",I689*(1+Table14[[#This Row],[Ávöxtun]]))</f>
        <v>100</v>
      </c>
      <c r="L690" s="33">
        <v>100</v>
      </c>
    </row>
    <row r="691" spans="1:12">
      <c r="A691" t="s">
        <v>119</v>
      </c>
      <c r="B691">
        <v>1998</v>
      </c>
      <c r="C691" s="16">
        <v>7.0000000000000007E-2</v>
      </c>
      <c r="D691" s="1">
        <v>433461.99</v>
      </c>
      <c r="E691" s="29">
        <f>Table14[[#This Row],[Ávöxtun]]*Table14[[#This Row],[Eignir]]/SUMIFS(Table14[Eignir],Table14[Year],Table14[[#This Row],[Year]])</f>
        <v>7.7476084132718426E-5</v>
      </c>
      <c r="F691" s="23">
        <f>IF(B691=1997, 100, IF(COUNTIF(A$1:A690,A691)=0, "NEW", F690*(1+Table14[[#This Row],[Ávöxtun]])))</f>
        <v>107</v>
      </c>
      <c r="G691" s="18" cm="1">
        <f t="array" ref="G691">IFERROR(_xlfn.IFS(ISNUMBER(Table14[[#This Row],[Column3]]),Table14[[#This Row],[Column3]],Table14[[#This Row],[Column3]]="NEW",Table14[[#This Row],[Column3]]),"")</f>
        <v>107</v>
      </c>
      <c r="H691" s="15" cm="1">
        <f t="array" ref="H691">_xlfn.IFS(Table14[[#This Row],[Column4]]="NEW",AVERAGEIFS(Table14[Column4],Table14[Year],Table14[[#This Row],[Year]]),ISNUMBER(Table14[[#This Row],[Column4]]),Table14[[#This Row],[Column4]],Table14[[#This Row],[Column4]]="",H690*(1+Table14[[#This Row],[Ávöxtun]]))</f>
        <v>107</v>
      </c>
      <c r="I691" cm="1">
        <f t="array" ref="I691">_xlfn.IFS(Table14[[#This Row],[Column4]]="NEW",_xlfn.XLOOKUP(Table14[[#This Row],[Year]],$M$2:$M$27,$O$2:$O$27),ISNUMBER(Table14[[#This Row],[Column4]]),Table14[[#This Row],[Column4]],Table14[[#This Row],[Column4]]="",I690*(1+Table14[[#This Row],[Ávöxtun]]))</f>
        <v>107</v>
      </c>
      <c r="L691" s="33">
        <v>107</v>
      </c>
    </row>
    <row r="692" spans="1:12">
      <c r="A692" t="s">
        <v>119</v>
      </c>
      <c r="B692">
        <v>1999</v>
      </c>
      <c r="C692" s="16">
        <v>0.06</v>
      </c>
      <c r="D692" s="1">
        <v>461300.28</v>
      </c>
      <c r="E692" s="29">
        <f>Table14[[#This Row],[Ávöxtun]]*Table14[[#This Row],[Eignir]]/SUMIFS(Table14[Eignir],Table14[Year],Table14[[#This Row],[Year]])</f>
        <v>5.3153696676291544E-5</v>
      </c>
      <c r="F692" s="23">
        <f>IF(B692=1997, 100, IF(COUNTIF(A$1:A691,A692)=0, "NEW", F691*(1+Table14[[#This Row],[Ávöxtun]])))</f>
        <v>113.42</v>
      </c>
      <c r="G692" s="18" cm="1">
        <f t="array" ref="G692">IFERROR(_xlfn.IFS(ISNUMBER(Table14[[#This Row],[Column3]]),Table14[[#This Row],[Column3]],Table14[[#This Row],[Column3]]="NEW",Table14[[#This Row],[Column3]]),"")</f>
        <v>113.42</v>
      </c>
      <c r="H692" s="15" cm="1">
        <f t="array" ref="H692">_xlfn.IFS(Table14[[#This Row],[Column4]]="NEW",AVERAGEIFS(Table14[Column4],Table14[Year],Table14[[#This Row],[Year]]),ISNUMBER(Table14[[#This Row],[Column4]]),Table14[[#This Row],[Column4]],Table14[[#This Row],[Column4]]="",H691*(1+Table14[[#This Row],[Ávöxtun]]))</f>
        <v>113.42</v>
      </c>
      <c r="I692" cm="1">
        <f t="array" ref="I692">_xlfn.IFS(Table14[[#This Row],[Column4]]="NEW",_xlfn.XLOOKUP(Table14[[#This Row],[Year]],$M$2:$M$27,$O$2:$O$27),ISNUMBER(Table14[[#This Row],[Column4]]),Table14[[#This Row],[Column4]],Table14[[#This Row],[Column4]]="",I691*(1+Table14[[#This Row],[Ávöxtun]]))</f>
        <v>113.42</v>
      </c>
      <c r="L692" s="33">
        <v>113.42</v>
      </c>
    </row>
    <row r="693" spans="1:12">
      <c r="A693" t="s">
        <v>119</v>
      </c>
      <c r="B693">
        <v>2000</v>
      </c>
      <c r="C693" s="16">
        <v>0</v>
      </c>
      <c r="D693" s="1">
        <v>463041.65</v>
      </c>
      <c r="E693" s="29">
        <f>Table14[[#This Row],[Ávöxtun]]*Table14[[#This Row],[Eignir]]/SUMIFS(Table14[Eignir],Table14[Year],Table14[[#This Row],[Year]])</f>
        <v>0</v>
      </c>
      <c r="F693" s="23">
        <f>IF(B693=1997, 100, IF(COUNTIF(A$1:A692,A693)=0, "NEW", F692*(1+Table14[[#This Row],[Ávöxtun]])))</f>
        <v>113.42</v>
      </c>
      <c r="G693" s="18" cm="1">
        <f t="array" ref="G693">IFERROR(_xlfn.IFS(ISNUMBER(Table14[[#This Row],[Column3]]),Table14[[#This Row],[Column3]],Table14[[#This Row],[Column3]]="NEW",Table14[[#This Row],[Column3]]),"")</f>
        <v>113.42</v>
      </c>
      <c r="H693" s="15" cm="1">
        <f t="array" ref="H693">_xlfn.IFS(Table14[[#This Row],[Column4]]="NEW",AVERAGEIFS(Table14[Column4],Table14[Year],Table14[[#This Row],[Year]]),ISNUMBER(Table14[[#This Row],[Column4]]),Table14[[#This Row],[Column4]],Table14[[#This Row],[Column4]]="",H692*(1+Table14[[#This Row],[Ávöxtun]]))</f>
        <v>113.42</v>
      </c>
      <c r="I693" cm="1">
        <f t="array" ref="I693">_xlfn.IFS(Table14[[#This Row],[Column4]]="NEW",_xlfn.XLOOKUP(Table14[[#This Row],[Year]],$M$2:$M$27,$O$2:$O$27),ISNUMBER(Table14[[#This Row],[Column4]]),Table14[[#This Row],[Column4]],Table14[[#This Row],[Column4]]="",I692*(1+Table14[[#This Row],[Ávöxtun]]))</f>
        <v>113.42</v>
      </c>
      <c r="L693" s="33">
        <v>113.42</v>
      </c>
    </row>
    <row r="694" spans="1:12">
      <c r="A694" t="s">
        <v>119</v>
      </c>
      <c r="B694">
        <v>2001</v>
      </c>
      <c r="C694" s="16">
        <v>0.02</v>
      </c>
      <c r="D694" s="1">
        <v>468899</v>
      </c>
      <c r="E694" s="29">
        <f>Table14[[#This Row],[Ávöxtun]]*Table14[[#This Row],[Eignir]]/SUMIFS(Table14[Eignir],Table14[Year],Table14[[#This Row],[Year]])</f>
        <v>8.0990177513468215E-6</v>
      </c>
      <c r="F694" s="23">
        <f>IF(B694=1997, 100, IF(COUNTIF(A$1:A693,A694)=0, "NEW", F693*(1+Table14[[#This Row],[Ávöxtun]])))</f>
        <v>115.6884</v>
      </c>
      <c r="G694" s="18" cm="1">
        <f t="array" ref="G694">IFERROR(_xlfn.IFS(ISNUMBER(Table14[[#This Row],[Column3]]),Table14[[#This Row],[Column3]],Table14[[#This Row],[Column3]]="NEW",Table14[[#This Row],[Column3]]),"")</f>
        <v>115.6884</v>
      </c>
      <c r="H694" s="15" cm="1">
        <f t="array" ref="H694">_xlfn.IFS(Table14[[#This Row],[Column4]]="NEW",AVERAGEIFS(Table14[Column4],Table14[Year],Table14[[#This Row],[Year]]),ISNUMBER(Table14[[#This Row],[Column4]]),Table14[[#This Row],[Column4]],Table14[[#This Row],[Column4]]="",H693*(1+Table14[[#This Row],[Ávöxtun]]))</f>
        <v>115.6884</v>
      </c>
      <c r="I694" cm="1">
        <f t="array" ref="I694">_xlfn.IFS(Table14[[#This Row],[Column4]]="NEW",_xlfn.XLOOKUP(Table14[[#This Row],[Year]],$M$2:$M$27,$O$2:$O$27),ISNUMBER(Table14[[#This Row],[Column4]]),Table14[[#This Row],[Column4]],Table14[[#This Row],[Column4]]="",I693*(1+Table14[[#This Row],[Ávöxtun]]))</f>
        <v>115.6884</v>
      </c>
      <c r="L694" s="33">
        <v>115.6884</v>
      </c>
    </row>
    <row r="695" spans="1:12">
      <c r="A695" t="s">
        <v>119</v>
      </c>
      <c r="B695">
        <v>2002</v>
      </c>
      <c r="C695" s="16">
        <v>7.0000000000000007E-2</v>
      </c>
      <c r="D695" s="1">
        <v>478231</v>
      </c>
      <c r="E695" s="29">
        <f>Table14[[#This Row],[Ávöxtun]]*Table14[[#This Row],[Eignir]]/SUMIFS(Table14[Eignir],Table14[Year],Table14[[#This Row],[Year]])</f>
        <v>5.2704753123356575E-5</v>
      </c>
      <c r="F695" s="23">
        <f>IF(B695=1997, 100, IF(COUNTIF(A$1:A694,A695)=0, "NEW", F694*(1+Table14[[#This Row],[Ávöxtun]])))</f>
        <v>123.78658800000001</v>
      </c>
      <c r="G695" s="18" cm="1">
        <f t="array" ref="G695">IFERROR(_xlfn.IFS(ISNUMBER(Table14[[#This Row],[Column3]]),Table14[[#This Row],[Column3]],Table14[[#This Row],[Column3]]="NEW",Table14[[#This Row],[Column3]]),"")</f>
        <v>123.78658800000001</v>
      </c>
      <c r="H695" s="15" cm="1">
        <f t="array" ref="H695">_xlfn.IFS(Table14[[#This Row],[Column4]]="NEW",AVERAGEIFS(Table14[Column4],Table14[Year],Table14[[#This Row],[Year]]),ISNUMBER(Table14[[#This Row],[Column4]]),Table14[[#This Row],[Column4]],Table14[[#This Row],[Column4]]="",H694*(1+Table14[[#This Row],[Ávöxtun]]))</f>
        <v>123.78658800000001</v>
      </c>
      <c r="I695" cm="1">
        <f t="array" ref="I695">_xlfn.IFS(Table14[[#This Row],[Column4]]="NEW",_xlfn.XLOOKUP(Table14[[#This Row],[Year]],$M$2:$M$27,$O$2:$O$27),ISNUMBER(Table14[[#This Row],[Column4]]),Table14[[#This Row],[Column4]],Table14[[#This Row],[Column4]]="",I694*(1+Table14[[#This Row],[Ávöxtun]]))</f>
        <v>123.78658800000001</v>
      </c>
      <c r="L695" s="33">
        <v>123.78658800000001</v>
      </c>
    </row>
    <row r="696" spans="1:12">
      <c r="A696" t="s">
        <v>119</v>
      </c>
      <c r="B696">
        <v>2003</v>
      </c>
      <c r="C696" s="16">
        <v>0.09</v>
      </c>
      <c r="D696" s="1">
        <v>495586</v>
      </c>
      <c r="E696" s="29">
        <f>Table14[[#This Row],[Ávöxtun]]*Table14[[#This Row],[Eignir]]/SUMIFS(Table14[Eignir],Table14[Year],Table14[[#This Row],[Year]])</f>
        <v>5.8696203564234996E-5</v>
      </c>
      <c r="F696" s="23">
        <f>IF(B696=1997, 100, IF(COUNTIF(A$1:A695,A696)=0, "NEW", F695*(1+Table14[[#This Row],[Ávöxtun]])))</f>
        <v>134.92738092000002</v>
      </c>
      <c r="G696" s="18" cm="1">
        <f t="array" ref="G696">IFERROR(_xlfn.IFS(ISNUMBER(Table14[[#This Row],[Column3]]),Table14[[#This Row],[Column3]],Table14[[#This Row],[Column3]]="NEW",Table14[[#This Row],[Column3]]),"")</f>
        <v>134.92738092000002</v>
      </c>
      <c r="H696" s="15" cm="1">
        <f t="array" ref="H696">_xlfn.IFS(Table14[[#This Row],[Column4]]="NEW",AVERAGEIFS(Table14[Column4],Table14[Year],Table14[[#This Row],[Year]]),ISNUMBER(Table14[[#This Row],[Column4]]),Table14[[#This Row],[Column4]],Table14[[#This Row],[Column4]]="",H695*(1+Table14[[#This Row],[Ávöxtun]]))</f>
        <v>134.92738092000002</v>
      </c>
      <c r="I696" cm="1">
        <f t="array" ref="I696">_xlfn.IFS(Table14[[#This Row],[Column4]]="NEW",_xlfn.XLOOKUP(Table14[[#This Row],[Year]],$M$2:$M$27,$O$2:$O$27),ISNUMBER(Table14[[#This Row],[Column4]]),Table14[[#This Row],[Column4]],Table14[[#This Row],[Column4]]="",I695*(1+Table14[[#This Row],[Ávöxtun]]))</f>
        <v>134.92738092000002</v>
      </c>
      <c r="L696" s="33">
        <v>134.92738092000002</v>
      </c>
    </row>
    <row r="697" spans="1:12">
      <c r="A697" t="s">
        <v>119</v>
      </c>
      <c r="B697">
        <v>2004</v>
      </c>
      <c r="C697" s="16">
        <v>7.0000000000000007E-2</v>
      </c>
      <c r="D697" s="1">
        <v>513782</v>
      </c>
      <c r="E697" s="29">
        <f>Table14[[#This Row],[Ávöxtun]]*Table14[[#This Row],[Eignir]]/SUMIFS(Table14[Eignir],Table14[Year],Table14[[#This Row],[Year]])</f>
        <v>3.9623126419731464E-5</v>
      </c>
      <c r="F697" s="23">
        <f>IF(B697=1997, 100, IF(COUNTIF(A$1:A696,A697)=0, "NEW", F696*(1+Table14[[#This Row],[Ávöxtun]])))</f>
        <v>144.37229758440003</v>
      </c>
      <c r="G697" s="18" cm="1">
        <f t="array" ref="G697">IFERROR(_xlfn.IFS(ISNUMBER(Table14[[#This Row],[Column3]]),Table14[[#This Row],[Column3]],Table14[[#This Row],[Column3]]="NEW",Table14[[#This Row],[Column3]]),"")</f>
        <v>144.37229758440003</v>
      </c>
      <c r="H697" s="15" cm="1">
        <f t="array" ref="H697">_xlfn.IFS(Table14[[#This Row],[Column4]]="NEW",AVERAGEIFS(Table14[Column4],Table14[Year],Table14[[#This Row],[Year]]),ISNUMBER(Table14[[#This Row],[Column4]]),Table14[[#This Row],[Column4]],Table14[[#This Row],[Column4]]="",H696*(1+Table14[[#This Row],[Ávöxtun]]))</f>
        <v>144.37229758440003</v>
      </c>
      <c r="I697" cm="1">
        <f t="array" ref="I697">_xlfn.IFS(Table14[[#This Row],[Column4]]="NEW",_xlfn.XLOOKUP(Table14[[#This Row],[Year]],$M$2:$M$27,$O$2:$O$27),ISNUMBER(Table14[[#This Row],[Column4]]),Table14[[#This Row],[Column4]],Table14[[#This Row],[Column4]]="",I696*(1+Table14[[#This Row],[Ávöxtun]]))</f>
        <v>144.37229758440003</v>
      </c>
      <c r="L697" s="33">
        <v>144.37229758440003</v>
      </c>
    </row>
    <row r="698" spans="1:12">
      <c r="A698" t="s">
        <v>119</v>
      </c>
      <c r="B698">
        <v>2005</v>
      </c>
      <c r="C698" s="16">
        <v>0.05</v>
      </c>
      <c r="D698" s="1">
        <v>523379</v>
      </c>
      <c r="E698" s="29">
        <f>Table14[[#This Row],[Ávöxtun]]*Table14[[#This Row],[Eignir]]/SUMIFS(Table14[Eignir],Table14[Year],Table14[[#This Row],[Year]])</f>
        <v>2.3337259634784735E-5</v>
      </c>
      <c r="F698" s="23">
        <f>IF(B698=1997, 100, IF(COUNTIF(A$1:A697,A698)=0, "NEW", F697*(1+Table14[[#This Row],[Ávöxtun]])))</f>
        <v>151.59091246362004</v>
      </c>
      <c r="G698" s="18" cm="1">
        <f t="array" ref="G698">IFERROR(_xlfn.IFS(ISNUMBER(Table14[[#This Row],[Column3]]),Table14[[#This Row],[Column3]],Table14[[#This Row],[Column3]]="NEW",Table14[[#This Row],[Column3]]),"")</f>
        <v>151.59091246362004</v>
      </c>
      <c r="H698" s="15" cm="1">
        <f t="array" ref="H698">_xlfn.IFS(Table14[[#This Row],[Column4]]="NEW",AVERAGEIFS(Table14[Column4],Table14[Year],Table14[[#This Row],[Year]]),ISNUMBER(Table14[[#This Row],[Column4]]),Table14[[#This Row],[Column4]],Table14[[#This Row],[Column4]]="",H697*(1+Table14[[#This Row],[Ávöxtun]]))</f>
        <v>151.59091246362004</v>
      </c>
      <c r="I698" cm="1">
        <f t="array" ref="I698">_xlfn.IFS(Table14[[#This Row],[Column4]]="NEW",_xlfn.XLOOKUP(Table14[[#This Row],[Year]],$M$2:$M$27,$O$2:$O$27),ISNUMBER(Table14[[#This Row],[Column4]]),Table14[[#This Row],[Column4]],Table14[[#This Row],[Column4]]="",I697*(1+Table14[[#This Row],[Ávöxtun]]))</f>
        <v>151.59091246362004</v>
      </c>
      <c r="L698" s="33">
        <v>151.59091246362004</v>
      </c>
    </row>
    <row r="699" spans="1:12">
      <c r="A699" t="s">
        <v>119</v>
      </c>
      <c r="B699">
        <v>2006</v>
      </c>
      <c r="C699" s="16">
        <v>5.0700000000000002E-2</v>
      </c>
      <c r="D699" s="1">
        <v>547160</v>
      </c>
      <c r="E699" s="29">
        <f>Table14[[#This Row],[Ávöxtun]]*Table14[[#This Row],[Eignir]]/SUMIFS(Table14[Eignir],Table14[Year],Table14[[#This Row],[Year]])</f>
        <v>2.020944438119409E-5</v>
      </c>
      <c r="F699" s="23">
        <f>IF(B699=1997, 100, IF(COUNTIF(A$1:A698,A699)=0, "NEW", F698*(1+Table14[[#This Row],[Ávöxtun]])))</f>
        <v>159.27657172552557</v>
      </c>
      <c r="G699" s="18" cm="1">
        <f t="array" ref="G699">IFERROR(_xlfn.IFS(ISNUMBER(Table14[[#This Row],[Column3]]),Table14[[#This Row],[Column3]],Table14[[#This Row],[Column3]]="NEW",Table14[[#This Row],[Column3]]),"")</f>
        <v>159.27657172552557</v>
      </c>
      <c r="H699" s="15" cm="1">
        <f t="array" ref="H699">_xlfn.IFS(Table14[[#This Row],[Column4]]="NEW",AVERAGEIFS(Table14[Column4],Table14[Year],Table14[[#This Row],[Year]]),ISNUMBER(Table14[[#This Row],[Column4]]),Table14[[#This Row],[Column4]],Table14[[#This Row],[Column4]]="",H698*(1+Table14[[#This Row],[Ávöxtun]]))</f>
        <v>159.27657172552557</v>
      </c>
      <c r="I699" cm="1">
        <f t="array" ref="I699">_xlfn.IFS(Table14[[#This Row],[Column4]]="NEW",_xlfn.XLOOKUP(Table14[[#This Row],[Year]],$M$2:$M$27,$O$2:$O$27),ISNUMBER(Table14[[#This Row],[Column4]]),Table14[[#This Row],[Column4]],Table14[[#This Row],[Column4]]="",I698*(1+Table14[[#This Row],[Ávöxtun]]))</f>
        <v>159.27657172552557</v>
      </c>
      <c r="L699" s="33">
        <v>159.27657172552557</v>
      </c>
    </row>
    <row r="700" spans="1:12">
      <c r="A700" t="s">
        <v>100</v>
      </c>
      <c r="B700">
        <v>1997</v>
      </c>
      <c r="C700" s="16">
        <v>7.0000000000000007E-2</v>
      </c>
      <c r="D700" s="1">
        <v>7241571.3600000003</v>
      </c>
      <c r="E700" s="29">
        <f>Table14[[#This Row],[Ávöxtun]]*Table14[[#This Row],[Eignir]]/SUMIFS(Table14[Eignir],Table14[Year],Table14[[#This Row],[Year]])</f>
        <v>1.4951979483530146E-3</v>
      </c>
      <c r="F700" s="23">
        <f>IF(B700=1997, 100, IF(COUNTIF(A$1:A699,A700)=0, "NEW", F699*(1+Table14[[#This Row],[Ávöxtun]])))</f>
        <v>100</v>
      </c>
      <c r="G700" s="18" cm="1">
        <f t="array" ref="G700">IFERROR(_xlfn.IFS(ISNUMBER(Table14[[#This Row],[Column3]]),Table14[[#This Row],[Column3]],Table14[[#This Row],[Column3]]="NEW",Table14[[#This Row],[Column3]]),"")</f>
        <v>100</v>
      </c>
      <c r="H700" s="15" cm="1">
        <f t="array" ref="H700">_xlfn.IFS(Table14[[#This Row],[Column4]]="NEW",AVERAGEIFS(Table14[Column4],Table14[Year],Table14[[#This Row],[Year]]),ISNUMBER(Table14[[#This Row],[Column4]]),Table14[[#This Row],[Column4]],Table14[[#This Row],[Column4]]="",H699*(1+Table14[[#This Row],[Ávöxtun]]))</f>
        <v>100</v>
      </c>
      <c r="I700" cm="1">
        <f t="array" ref="I700">_xlfn.IFS(Table14[[#This Row],[Column4]]="NEW",_xlfn.XLOOKUP(Table14[[#This Row],[Year]],$M$2:$M$27,$O$2:$O$27),ISNUMBER(Table14[[#This Row],[Column4]]),Table14[[#This Row],[Column4]],Table14[[#This Row],[Column4]]="",I699*(1+Table14[[#This Row],[Ávöxtun]]))</f>
        <v>100</v>
      </c>
      <c r="L700" s="33">
        <v>100</v>
      </c>
    </row>
    <row r="701" spans="1:12">
      <c r="A701" t="s">
        <v>100</v>
      </c>
      <c r="B701">
        <v>1998</v>
      </c>
      <c r="C701" s="16">
        <v>0.09</v>
      </c>
      <c r="D701" s="1">
        <v>8227564.0199999996</v>
      </c>
      <c r="E701" s="29">
        <f>Table14[[#This Row],[Ávöxtun]]*Table14[[#This Row],[Eignir]]/SUMIFS(Table14[Eignir],Table14[Year],Table14[[#This Row],[Year]])</f>
        <v>1.8907424781146069E-3</v>
      </c>
      <c r="F701" s="23">
        <f>IF(B701=1997, 100, IF(COUNTIF(A$1:A700,A701)=0, "NEW", F700*(1+Table14[[#This Row],[Ávöxtun]])))</f>
        <v>109.00000000000001</v>
      </c>
      <c r="G701" s="18" cm="1">
        <f t="array" ref="G701">IFERROR(_xlfn.IFS(ISNUMBER(Table14[[#This Row],[Column3]]),Table14[[#This Row],[Column3]],Table14[[#This Row],[Column3]]="NEW",Table14[[#This Row],[Column3]]),"")</f>
        <v>109.00000000000001</v>
      </c>
      <c r="H701" s="15" cm="1">
        <f t="array" ref="H701">_xlfn.IFS(Table14[[#This Row],[Column4]]="NEW",AVERAGEIFS(Table14[Column4],Table14[Year],Table14[[#This Row],[Year]]),ISNUMBER(Table14[[#This Row],[Column4]]),Table14[[#This Row],[Column4]],Table14[[#This Row],[Column4]]="",H700*(1+Table14[[#This Row],[Ávöxtun]]))</f>
        <v>109.00000000000001</v>
      </c>
      <c r="I701" cm="1">
        <f t="array" ref="I701">_xlfn.IFS(Table14[[#This Row],[Column4]]="NEW",_xlfn.XLOOKUP(Table14[[#This Row],[Year]],$M$2:$M$27,$O$2:$O$27),ISNUMBER(Table14[[#This Row],[Column4]]),Table14[[#This Row],[Column4]],Table14[[#This Row],[Column4]]="",I700*(1+Table14[[#This Row],[Ávöxtun]]))</f>
        <v>109.00000000000001</v>
      </c>
      <c r="L701" s="33">
        <v>109.00000000000001</v>
      </c>
    </row>
    <row r="702" spans="1:12">
      <c r="A702" t="s">
        <v>100</v>
      </c>
      <c r="B702">
        <v>1999</v>
      </c>
      <c r="C702" s="16">
        <v>0.09</v>
      </c>
      <c r="D702" s="1">
        <v>9712070.5</v>
      </c>
      <c r="E702" s="29">
        <f>Table14[[#This Row],[Ávöxtun]]*Table14[[#This Row],[Eignir]]/SUMIFS(Table14[Eignir],Table14[Year],Table14[[#This Row],[Year]])</f>
        <v>1.6786217302613359E-3</v>
      </c>
      <c r="F702" s="23">
        <f>IF(B702=1997, 100, IF(COUNTIF(A$1:A701,A702)=0, "NEW", F701*(1+Table14[[#This Row],[Ávöxtun]])))</f>
        <v>118.81000000000003</v>
      </c>
      <c r="G702" s="18" cm="1">
        <f t="array" ref="G702">IFERROR(_xlfn.IFS(ISNUMBER(Table14[[#This Row],[Column3]]),Table14[[#This Row],[Column3]],Table14[[#This Row],[Column3]]="NEW",Table14[[#This Row],[Column3]]),"")</f>
        <v>118.81000000000003</v>
      </c>
      <c r="H702" s="15" cm="1">
        <f t="array" ref="H702">_xlfn.IFS(Table14[[#This Row],[Column4]]="NEW",AVERAGEIFS(Table14[Column4],Table14[Year],Table14[[#This Row],[Year]]),ISNUMBER(Table14[[#This Row],[Column4]]),Table14[[#This Row],[Column4]],Table14[[#This Row],[Column4]]="",H701*(1+Table14[[#This Row],[Ávöxtun]]))</f>
        <v>118.81000000000003</v>
      </c>
      <c r="I702" cm="1">
        <f t="array" ref="I702">_xlfn.IFS(Table14[[#This Row],[Column4]]="NEW",_xlfn.XLOOKUP(Table14[[#This Row],[Year]],$M$2:$M$27,$O$2:$O$27),ISNUMBER(Table14[[#This Row],[Column4]]),Table14[[#This Row],[Column4]],Table14[[#This Row],[Column4]]="",I701*(1+Table14[[#This Row],[Ávöxtun]]))</f>
        <v>118.81000000000003</v>
      </c>
      <c r="L702" s="33">
        <v>118.81000000000003</v>
      </c>
    </row>
    <row r="703" spans="1:12">
      <c r="A703" t="s">
        <v>100</v>
      </c>
      <c r="B703">
        <v>2000</v>
      </c>
      <c r="C703" s="16">
        <v>-0.04</v>
      </c>
      <c r="D703" s="1">
        <v>11032896.970000001</v>
      </c>
      <c r="E703" s="29">
        <f>Table14[[#This Row],[Ávöxtun]]*Table14[[#This Row],[Eignir]]/SUMIFS(Table14[Eignir],Table14[Year],Table14[[#This Row],[Year]])</f>
        <v>-6.2079373503989171E-4</v>
      </c>
      <c r="F703" s="23">
        <f>IF(B703=1997, 100, IF(COUNTIF(A$1:A702,A703)=0, "NEW", F702*(1+Table14[[#This Row],[Ávöxtun]])))</f>
        <v>114.05760000000002</v>
      </c>
      <c r="G703" s="18" cm="1">
        <f t="array" ref="G703">IFERROR(_xlfn.IFS(ISNUMBER(Table14[[#This Row],[Column3]]),Table14[[#This Row],[Column3]],Table14[[#This Row],[Column3]]="NEW",Table14[[#This Row],[Column3]]),"")</f>
        <v>114.05760000000002</v>
      </c>
      <c r="H703" s="15" cm="1">
        <f t="array" ref="H703">_xlfn.IFS(Table14[[#This Row],[Column4]]="NEW",AVERAGEIFS(Table14[Column4],Table14[Year],Table14[[#This Row],[Year]]),ISNUMBER(Table14[[#This Row],[Column4]]),Table14[[#This Row],[Column4]],Table14[[#This Row],[Column4]]="",H702*(1+Table14[[#This Row],[Ávöxtun]]))</f>
        <v>114.05760000000002</v>
      </c>
      <c r="I703" cm="1">
        <f t="array" ref="I703">_xlfn.IFS(Table14[[#This Row],[Column4]]="NEW",_xlfn.XLOOKUP(Table14[[#This Row],[Year]],$M$2:$M$27,$O$2:$O$27),ISNUMBER(Table14[[#This Row],[Column4]]),Table14[[#This Row],[Column4]],Table14[[#This Row],[Column4]]="",I702*(1+Table14[[#This Row],[Ávöxtun]]))</f>
        <v>114.05760000000002</v>
      </c>
      <c r="L703" s="33">
        <v>114.05760000000002</v>
      </c>
    </row>
    <row r="704" spans="1:12">
      <c r="A704" t="s">
        <v>100</v>
      </c>
      <c r="B704">
        <v>2001</v>
      </c>
      <c r="C704" s="16">
        <v>-0.05</v>
      </c>
      <c r="D704" s="1">
        <v>11755402</v>
      </c>
      <c r="E704" s="29">
        <f>Table14[[#This Row],[Ávöxtun]]*Table14[[#This Row],[Eignir]]/SUMIFS(Table14[Eignir],Table14[Year],Table14[[#This Row],[Year]])</f>
        <v>-5.0761043141602956E-4</v>
      </c>
      <c r="F704" s="23">
        <f>IF(B704=1997, 100, IF(COUNTIF(A$1:A703,A704)=0, "NEW", F703*(1+Table14[[#This Row],[Ávöxtun]])))</f>
        <v>108.35472000000001</v>
      </c>
      <c r="G704" s="18" cm="1">
        <f t="array" ref="G704">IFERROR(_xlfn.IFS(ISNUMBER(Table14[[#This Row],[Column3]]),Table14[[#This Row],[Column3]],Table14[[#This Row],[Column3]]="NEW",Table14[[#This Row],[Column3]]),"")</f>
        <v>108.35472000000001</v>
      </c>
      <c r="H704" s="15" cm="1">
        <f t="array" ref="H704">_xlfn.IFS(Table14[[#This Row],[Column4]]="NEW",AVERAGEIFS(Table14[Column4],Table14[Year],Table14[[#This Row],[Year]]),ISNUMBER(Table14[[#This Row],[Column4]]),Table14[[#This Row],[Column4]],Table14[[#This Row],[Column4]]="",H703*(1+Table14[[#This Row],[Ávöxtun]]))</f>
        <v>108.35472000000001</v>
      </c>
      <c r="I704" cm="1">
        <f t="array" ref="I704">_xlfn.IFS(Table14[[#This Row],[Column4]]="NEW",_xlfn.XLOOKUP(Table14[[#This Row],[Year]],$M$2:$M$27,$O$2:$O$27),ISNUMBER(Table14[[#This Row],[Column4]]),Table14[[#This Row],[Column4]],Table14[[#This Row],[Column4]]="",I703*(1+Table14[[#This Row],[Ávöxtun]]))</f>
        <v>108.35472000000001</v>
      </c>
      <c r="L704" s="33">
        <v>108.35472000000001</v>
      </c>
    </row>
    <row r="705" spans="1:12">
      <c r="A705" t="s">
        <v>100</v>
      </c>
      <c r="B705">
        <v>2002</v>
      </c>
      <c r="C705" s="16">
        <v>-0.04</v>
      </c>
      <c r="D705" s="1">
        <v>11781559</v>
      </c>
      <c r="E705" s="29">
        <f>Table14[[#This Row],[Ávöxtun]]*Table14[[#This Row],[Eignir]]/SUMIFS(Table14[Eignir],Table14[Year],Table14[[#This Row],[Year]])</f>
        <v>-7.4195364464125927E-4</v>
      </c>
      <c r="F705" s="23">
        <f>IF(B705=1997, 100, IF(COUNTIF(A$1:A704,A705)=0, "NEW", F704*(1+Table14[[#This Row],[Ávöxtun]])))</f>
        <v>104.02053120000001</v>
      </c>
      <c r="G705" s="18" cm="1">
        <f t="array" ref="G705">IFERROR(_xlfn.IFS(ISNUMBER(Table14[[#This Row],[Column3]]),Table14[[#This Row],[Column3]],Table14[[#This Row],[Column3]]="NEW",Table14[[#This Row],[Column3]]),"")</f>
        <v>104.02053120000001</v>
      </c>
      <c r="H705" s="15" cm="1">
        <f t="array" ref="H705">_xlfn.IFS(Table14[[#This Row],[Column4]]="NEW",AVERAGEIFS(Table14[Column4],Table14[Year],Table14[[#This Row],[Year]]),ISNUMBER(Table14[[#This Row],[Column4]]),Table14[[#This Row],[Column4]],Table14[[#This Row],[Column4]]="",H704*(1+Table14[[#This Row],[Ávöxtun]]))</f>
        <v>104.02053120000001</v>
      </c>
      <c r="I705" cm="1">
        <f t="array" ref="I705">_xlfn.IFS(Table14[[#This Row],[Column4]]="NEW",_xlfn.XLOOKUP(Table14[[#This Row],[Year]],$M$2:$M$27,$O$2:$O$27),ISNUMBER(Table14[[#This Row],[Column4]]),Table14[[#This Row],[Column4]],Table14[[#This Row],[Column4]]="",I704*(1+Table14[[#This Row],[Ávöxtun]]))</f>
        <v>104.02053120000001</v>
      </c>
      <c r="L705" s="33">
        <v>104.02053120000001</v>
      </c>
    </row>
    <row r="706" spans="1:12">
      <c r="A706" t="s">
        <v>100</v>
      </c>
      <c r="B706">
        <v>2003</v>
      </c>
      <c r="C706" s="16">
        <v>0.1</v>
      </c>
      <c r="D706" s="1">
        <v>13729431</v>
      </c>
      <c r="E706" s="29">
        <f>Table14[[#This Row],[Ávöxtun]]*Table14[[#This Row],[Eignir]]/SUMIFS(Table14[Eignir],Table14[Year],Table14[[#This Row],[Year]])</f>
        <v>1.8067622679618304E-3</v>
      </c>
      <c r="F706" s="23">
        <f>IF(B706=1997, 100, IF(COUNTIF(A$1:A705,A706)=0, "NEW", F705*(1+Table14[[#This Row],[Ávöxtun]])))</f>
        <v>114.42258432000001</v>
      </c>
      <c r="G706" s="18" cm="1">
        <f t="array" ref="G706">IFERROR(_xlfn.IFS(ISNUMBER(Table14[[#This Row],[Column3]]),Table14[[#This Row],[Column3]],Table14[[#This Row],[Column3]]="NEW",Table14[[#This Row],[Column3]]),"")</f>
        <v>114.42258432000001</v>
      </c>
      <c r="H706" s="15" cm="1">
        <f t="array" ref="H706">_xlfn.IFS(Table14[[#This Row],[Column4]]="NEW",AVERAGEIFS(Table14[Column4],Table14[Year],Table14[[#This Row],[Year]]),ISNUMBER(Table14[[#This Row],[Column4]]),Table14[[#This Row],[Column4]],Table14[[#This Row],[Column4]]="",H705*(1+Table14[[#This Row],[Ávöxtun]]))</f>
        <v>114.42258432000001</v>
      </c>
      <c r="I706" cm="1">
        <f t="array" ref="I706">_xlfn.IFS(Table14[[#This Row],[Column4]]="NEW",_xlfn.XLOOKUP(Table14[[#This Row],[Year]],$M$2:$M$27,$O$2:$O$27),ISNUMBER(Table14[[#This Row],[Column4]]),Table14[[#This Row],[Column4]],Table14[[#This Row],[Column4]]="",I705*(1+Table14[[#This Row],[Ávöxtun]]))</f>
        <v>114.42258432000001</v>
      </c>
      <c r="L706" s="33">
        <v>114.42258432000001</v>
      </c>
    </row>
    <row r="707" spans="1:12">
      <c r="A707" t="s">
        <v>100</v>
      </c>
      <c r="B707">
        <v>2004</v>
      </c>
      <c r="C707" s="16">
        <v>0.06</v>
      </c>
      <c r="D707" s="1">
        <v>15438869</v>
      </c>
      <c r="E707" s="29">
        <f>Table14[[#This Row],[Ávöxtun]]*Table14[[#This Row],[Eignir]]/SUMIFS(Table14[Eignir],Table14[Year],Table14[[#This Row],[Year]])</f>
        <v>1.020560012108537E-3</v>
      </c>
      <c r="F707" s="23">
        <f>IF(B707=1997, 100, IF(COUNTIF(A$1:A706,A707)=0, "NEW", F706*(1+Table14[[#This Row],[Ávöxtun]])))</f>
        <v>121.28793937920003</v>
      </c>
      <c r="G707" s="18" cm="1">
        <f t="array" ref="G707">IFERROR(_xlfn.IFS(ISNUMBER(Table14[[#This Row],[Column3]]),Table14[[#This Row],[Column3]],Table14[[#This Row],[Column3]]="NEW",Table14[[#This Row],[Column3]]),"")</f>
        <v>121.28793937920003</v>
      </c>
      <c r="H707" s="15" cm="1">
        <f t="array" ref="H707">_xlfn.IFS(Table14[[#This Row],[Column4]]="NEW",AVERAGEIFS(Table14[Column4],Table14[Year],Table14[[#This Row],[Year]]),ISNUMBER(Table14[[#This Row],[Column4]]),Table14[[#This Row],[Column4]],Table14[[#This Row],[Column4]]="",H706*(1+Table14[[#This Row],[Ávöxtun]]))</f>
        <v>121.28793937920003</v>
      </c>
      <c r="I707" cm="1">
        <f t="array" ref="I707">_xlfn.IFS(Table14[[#This Row],[Column4]]="NEW",_xlfn.XLOOKUP(Table14[[#This Row],[Year]],$M$2:$M$27,$O$2:$O$27),ISNUMBER(Table14[[#This Row],[Column4]]),Table14[[#This Row],[Column4]],Table14[[#This Row],[Column4]]="",I706*(1+Table14[[#This Row],[Ávöxtun]]))</f>
        <v>121.28793937920003</v>
      </c>
      <c r="L707" s="33">
        <v>121.28793937920003</v>
      </c>
    </row>
    <row r="708" spans="1:12">
      <c r="A708" t="s">
        <v>101</v>
      </c>
      <c r="B708">
        <v>1999</v>
      </c>
      <c r="C708" s="16">
        <v>0.12</v>
      </c>
      <c r="D708" s="1">
        <v>1083169.8700000001</v>
      </c>
      <c r="E708" s="29">
        <f>Table14[[#This Row],[Ávöxtun]]*Table14[[#This Row],[Eignir]]/SUMIFS(Table14[Eignir],Table14[Year],Table14[[#This Row],[Year]])</f>
        <v>2.4961824310567573E-4</v>
      </c>
      <c r="F708" s="23" t="str">
        <f>IF(B708=1997, 100, IF(COUNTIF(A$1:A707,A708)=0, "NEW", F707*(1+Table14[[#This Row],[Ávöxtun]])))</f>
        <v>NEW</v>
      </c>
      <c r="G708" s="18" t="str" cm="1">
        <f t="array" ref="G708">IFERROR(_xlfn.IFS(ISNUMBER(Table14[[#This Row],[Column3]]),Table14[[#This Row],[Column3]],Table14[[#This Row],[Column3]]="NEW",Table14[[#This Row],[Column3]]),"")</f>
        <v>NEW</v>
      </c>
      <c r="H708" s="15" cm="1">
        <f t="array" ref="H708">_xlfn.IFS(Table14[[#This Row],[Column4]]="NEW",AVERAGEIFS(Table14[Column4],Table14[Year],Table14[[#This Row],[Year]]),ISNUMBER(Table14[[#This Row],[Column4]]),Table14[[#This Row],[Column4]],Table14[[#This Row],[Column4]]="",H707*(1+Table14[[#This Row],[Ávöxtun]]))</f>
        <v>117.05306122448981</v>
      </c>
      <c r="I708" cm="1">
        <f t="array" ref="I708">_xlfn.IFS(Table14[[#This Row],[Column4]]="NEW",_xlfn.XLOOKUP(Table14[[#This Row],[Year]],$M$2:$M$27,$O$2:$O$27),ISNUMBER(Table14[[#This Row],[Column4]]),Table14[[#This Row],[Column4]],Table14[[#This Row],[Column4]]="",I707*(1+Table14[[#This Row],[Ávöxtun]]))</f>
        <v>120.02032965757705</v>
      </c>
      <c r="L708" s="33">
        <v>120.02032965757705</v>
      </c>
    </row>
    <row r="709" spans="1:12">
      <c r="A709" t="s">
        <v>101</v>
      </c>
      <c r="B709">
        <v>2000</v>
      </c>
      <c r="C709" s="16">
        <v>-0.09</v>
      </c>
      <c r="D709" s="1">
        <v>1068173.6499999999</v>
      </c>
      <c r="E709" s="29">
        <f>Table14[[#This Row],[Ávöxtun]]*Table14[[#This Row],[Eignir]]/SUMIFS(Table14[Eignir],Table14[Year],Table14[[#This Row],[Year]])</f>
        <v>-1.3523283152467081E-4</v>
      </c>
      <c r="F709" s="23" t="e">
        <f>IF(B709=1997, 100, IF(COUNTIF(A$1:A708,A709)=0, "NEW", F708*(1+Table14[[#This Row],[Ávöxtun]])))</f>
        <v>#VALUE!</v>
      </c>
      <c r="G709" s="18" t="str" cm="1">
        <f t="array" ref="G709">IFERROR(_xlfn.IFS(ISNUMBER(Table14[[#This Row],[Column3]]),Table14[[#This Row],[Column3]],Table14[[#This Row],[Column3]]="NEW",Table14[[#This Row],[Column3]]),"")</f>
        <v/>
      </c>
      <c r="H709" s="15" cm="1">
        <f t="array" ref="H709">_xlfn.IFS(Table14[[#This Row],[Column4]]="NEW",AVERAGEIFS(Table14[Column4],Table14[Year],Table14[[#This Row],[Year]]),ISNUMBER(Table14[[#This Row],[Column4]]),Table14[[#This Row],[Column4]],Table14[[#This Row],[Column4]]="",H708*(1+Table14[[#This Row],[Ávöxtun]]))</f>
        <v>106.51828571428572</v>
      </c>
      <c r="I709" cm="1">
        <f t="array" ref="I709">_xlfn.IFS(Table14[[#This Row],[Column4]]="NEW",_xlfn.XLOOKUP(Table14[[#This Row],[Year]],$M$2:$M$27,$O$2:$O$27),ISNUMBER(Table14[[#This Row],[Column4]]),Table14[[#This Row],[Column4]],Table14[[#This Row],[Column4]]="",I708*(1+Table14[[#This Row],[Ávöxtun]]))</f>
        <v>109.21849998839512</v>
      </c>
      <c r="L709" s="33">
        <v>109.21849998839512</v>
      </c>
    </row>
    <row r="710" spans="1:12">
      <c r="A710" t="s">
        <v>101</v>
      </c>
      <c r="B710">
        <v>2001</v>
      </c>
      <c r="C710" s="16">
        <v>-0.05</v>
      </c>
      <c r="D710" s="1">
        <v>1244818</v>
      </c>
      <c r="E710" s="29">
        <f>Table14[[#This Row],[Ávöxtun]]*Table14[[#This Row],[Eignir]]/SUMIFS(Table14[Eignir],Table14[Year],Table14[[#This Row],[Year]])</f>
        <v>-5.3752530284752412E-5</v>
      </c>
      <c r="F710" s="23" t="e">
        <f>IF(B710=1997, 100, IF(COUNTIF(A$1:A709,A710)=0, "NEW", F709*(1+Table14[[#This Row],[Ávöxtun]])))</f>
        <v>#VALUE!</v>
      </c>
      <c r="G710" s="18" t="str" cm="1">
        <f t="array" ref="G710">IFERROR(_xlfn.IFS(ISNUMBER(Table14[[#This Row],[Column3]]),Table14[[#This Row],[Column3]],Table14[[#This Row],[Column3]]="NEW",Table14[[#This Row],[Column3]]),"")</f>
        <v/>
      </c>
      <c r="H710" s="15" cm="1">
        <f t="array" ref="H710">_xlfn.IFS(Table14[[#This Row],[Column4]]="NEW",AVERAGEIFS(Table14[Column4],Table14[Year],Table14[[#This Row],[Year]]),ISNUMBER(Table14[[#This Row],[Column4]]),Table14[[#This Row],[Column4]],Table14[[#This Row],[Column4]]="",H709*(1+Table14[[#This Row],[Ávöxtun]]))</f>
        <v>101.19237142857143</v>
      </c>
      <c r="I710" cm="1">
        <f t="array" ref="I710">_xlfn.IFS(Table14[[#This Row],[Column4]]="NEW",_xlfn.XLOOKUP(Table14[[#This Row],[Year]],$M$2:$M$27,$O$2:$O$27),ISNUMBER(Table14[[#This Row],[Column4]]),Table14[[#This Row],[Column4]],Table14[[#This Row],[Column4]]="",I709*(1+Table14[[#This Row],[Ávöxtun]]))</f>
        <v>103.75757498897536</v>
      </c>
      <c r="L710" s="33">
        <v>103.75757498897536</v>
      </c>
    </row>
    <row r="711" spans="1:12">
      <c r="A711" t="s">
        <v>101</v>
      </c>
      <c r="B711">
        <v>2002</v>
      </c>
      <c r="C711" s="16">
        <v>0.01</v>
      </c>
      <c r="D711" s="1">
        <v>84637</v>
      </c>
      <c r="E711" s="29">
        <f>Table14[[#This Row],[Ávöxtun]]*Table14[[#This Row],[Eignir]]/SUMIFS(Table14[Eignir],Table14[Year],Table14[[#This Row],[Year]])</f>
        <v>1.3325216684290734E-6</v>
      </c>
      <c r="F711" s="23" t="e">
        <f>IF(B711=1997, 100, IF(COUNTIF(A$1:A710,A711)=0, "NEW", F710*(1+Table14[[#This Row],[Ávöxtun]])))</f>
        <v>#VALUE!</v>
      </c>
      <c r="G711" s="18" t="str" cm="1">
        <f t="array" ref="G711">IFERROR(_xlfn.IFS(ISNUMBER(Table14[[#This Row],[Column3]]),Table14[[#This Row],[Column3]],Table14[[#This Row],[Column3]]="NEW",Table14[[#This Row],[Column3]]),"")</f>
        <v/>
      </c>
      <c r="H711" s="15" cm="1">
        <f t="array" ref="H711">_xlfn.IFS(Table14[[#This Row],[Column4]]="NEW",AVERAGEIFS(Table14[Column4],Table14[Year],Table14[[#This Row],[Year]]),ISNUMBER(Table14[[#This Row],[Column4]]),Table14[[#This Row],[Column4]],Table14[[#This Row],[Column4]]="",H710*(1+Table14[[#This Row],[Ávöxtun]]))</f>
        <v>102.20429514285715</v>
      </c>
      <c r="I711" cm="1">
        <f t="array" ref="I711">_xlfn.IFS(Table14[[#This Row],[Column4]]="NEW",_xlfn.XLOOKUP(Table14[[#This Row],[Year]],$M$2:$M$27,$O$2:$O$27),ISNUMBER(Table14[[#This Row],[Column4]]),Table14[[#This Row],[Column4]],Table14[[#This Row],[Column4]]="",I710*(1+Table14[[#This Row],[Ávöxtun]]))</f>
        <v>104.79515073886512</v>
      </c>
      <c r="L711" s="33">
        <v>104.79515073886512</v>
      </c>
    </row>
    <row r="712" spans="1:12">
      <c r="A712" t="s">
        <v>101</v>
      </c>
      <c r="B712">
        <v>2003</v>
      </c>
      <c r="C712" s="16">
        <v>0.13</v>
      </c>
      <c r="D712" s="1">
        <v>132481</v>
      </c>
      <c r="E712" s="29">
        <f>Table14[[#This Row],[Ávöxtun]]*Table14[[#This Row],[Eignir]]/SUMIFS(Table14[Eignir],Table14[Year],Table14[[#This Row],[Year]])</f>
        <v>2.2664462469595909E-5</v>
      </c>
      <c r="F712" s="23" t="e">
        <f>IF(B712=1997, 100, IF(COUNTIF(A$1:A711,A712)=0, "NEW", F711*(1+Table14[[#This Row],[Ávöxtun]])))</f>
        <v>#VALUE!</v>
      </c>
      <c r="G712" s="18" t="str" cm="1">
        <f t="array" ref="G712">IFERROR(_xlfn.IFS(ISNUMBER(Table14[[#This Row],[Column3]]),Table14[[#This Row],[Column3]],Table14[[#This Row],[Column3]]="NEW",Table14[[#This Row],[Column3]]),"")</f>
        <v/>
      </c>
      <c r="H712" s="15" cm="1">
        <f t="array" ref="H712">_xlfn.IFS(Table14[[#This Row],[Column4]]="NEW",AVERAGEIFS(Table14[Column4],Table14[Year],Table14[[#This Row],[Year]]),ISNUMBER(Table14[[#This Row],[Column4]]),Table14[[#This Row],[Column4]],Table14[[#This Row],[Column4]]="",H711*(1+Table14[[#This Row],[Ávöxtun]]))</f>
        <v>115.49085351142857</v>
      </c>
      <c r="I712" cm="1">
        <f t="array" ref="I712">_xlfn.IFS(Table14[[#This Row],[Column4]]="NEW",_xlfn.XLOOKUP(Table14[[#This Row],[Year]],$M$2:$M$27,$O$2:$O$27),ISNUMBER(Table14[[#This Row],[Column4]]),Table14[[#This Row],[Column4]],Table14[[#This Row],[Column4]]="",I711*(1+Table14[[#This Row],[Ávöxtun]]))</f>
        <v>118.41852033491757</v>
      </c>
      <c r="L712" s="33">
        <v>118.41852033491757</v>
      </c>
    </row>
    <row r="713" spans="1:12">
      <c r="A713" t="s">
        <v>101</v>
      </c>
      <c r="B713">
        <v>2004</v>
      </c>
      <c r="C713" s="16">
        <v>0.08</v>
      </c>
      <c r="D713" s="1">
        <v>186713</v>
      </c>
      <c r="E713" s="29">
        <f>Table14[[#This Row],[Ávöxtun]]*Table14[[#This Row],[Eignir]]/SUMIFS(Table14[Eignir],Table14[Year],Table14[[#This Row],[Year]])</f>
        <v>1.6456457748800232E-5</v>
      </c>
      <c r="F713" s="23" t="e">
        <f>IF(B713=1997, 100, IF(COUNTIF(A$1:A712,A713)=0, "NEW", F712*(1+Table14[[#This Row],[Ávöxtun]])))</f>
        <v>#VALUE!</v>
      </c>
      <c r="G713" s="18" t="str" cm="1">
        <f t="array" ref="G713">IFERROR(_xlfn.IFS(ISNUMBER(Table14[[#This Row],[Column3]]),Table14[[#This Row],[Column3]],Table14[[#This Row],[Column3]]="NEW",Table14[[#This Row],[Column3]]),"")</f>
        <v/>
      </c>
      <c r="H713" s="15" cm="1">
        <f t="array" ref="H713">_xlfn.IFS(Table14[[#This Row],[Column4]]="NEW",AVERAGEIFS(Table14[Column4],Table14[Year],Table14[[#This Row],[Year]]),ISNUMBER(Table14[[#This Row],[Column4]]),Table14[[#This Row],[Column4]],Table14[[#This Row],[Column4]]="",H712*(1+Table14[[#This Row],[Ávöxtun]]))</f>
        <v>124.73012179234286</v>
      </c>
      <c r="I713" cm="1">
        <f t="array" ref="I713">_xlfn.IFS(Table14[[#This Row],[Column4]]="NEW",_xlfn.XLOOKUP(Table14[[#This Row],[Year]],$M$2:$M$27,$O$2:$O$27),ISNUMBER(Table14[[#This Row],[Column4]]),Table14[[#This Row],[Column4]],Table14[[#This Row],[Column4]]="",I712*(1+Table14[[#This Row],[Ávöxtun]]))</f>
        <v>127.89200196171099</v>
      </c>
      <c r="L713" s="33">
        <v>127.89200196171099</v>
      </c>
    </row>
    <row r="714" spans="1:12">
      <c r="A714" t="s">
        <v>101</v>
      </c>
      <c r="B714">
        <v>2005</v>
      </c>
      <c r="C714" s="16">
        <v>7.0000000000000007E-2</v>
      </c>
      <c r="D714" s="1">
        <v>246645</v>
      </c>
      <c r="E714" s="29">
        <f>Table14[[#This Row],[Ávöxtun]]*Table14[[#This Row],[Eignir]]/SUMIFS(Table14[Eignir],Table14[Year],Table14[[#This Row],[Year]])</f>
        <v>1.5396922237365417E-5</v>
      </c>
      <c r="F714" s="23" t="e">
        <f>IF(B714=1997, 100, IF(COUNTIF(A$1:A713,A714)=0, "NEW", F713*(1+Table14[[#This Row],[Ávöxtun]])))</f>
        <v>#VALUE!</v>
      </c>
      <c r="G714" s="18" t="str" cm="1">
        <f t="array" ref="G714">IFERROR(_xlfn.IFS(ISNUMBER(Table14[[#This Row],[Column3]]),Table14[[#This Row],[Column3]],Table14[[#This Row],[Column3]]="NEW",Table14[[#This Row],[Column3]]),"")</f>
        <v/>
      </c>
      <c r="H714" s="15" cm="1">
        <f t="array" ref="H714">_xlfn.IFS(Table14[[#This Row],[Column4]]="NEW",AVERAGEIFS(Table14[Column4],Table14[Year],Table14[[#This Row],[Year]]),ISNUMBER(Table14[[#This Row],[Column4]]),Table14[[#This Row],[Column4]],Table14[[#This Row],[Column4]]="",H713*(1+Table14[[#This Row],[Ávöxtun]]))</f>
        <v>133.46123031780687</v>
      </c>
      <c r="I714" cm="1">
        <f t="array" ref="I714">_xlfn.IFS(Table14[[#This Row],[Column4]]="NEW",_xlfn.XLOOKUP(Table14[[#This Row],[Year]],$M$2:$M$27,$O$2:$O$27),ISNUMBER(Table14[[#This Row],[Column4]]),Table14[[#This Row],[Column4]],Table14[[#This Row],[Column4]]="",I713*(1+Table14[[#This Row],[Ávöxtun]]))</f>
        <v>136.84444209903077</v>
      </c>
      <c r="L714" s="33">
        <v>136.84444209903077</v>
      </c>
    </row>
    <row r="715" spans="1:12">
      <c r="A715" t="s">
        <v>101</v>
      </c>
      <c r="B715">
        <v>2006</v>
      </c>
      <c r="C715" s="16">
        <v>7.6399999999999996E-2</v>
      </c>
      <c r="D715" s="1">
        <v>323153</v>
      </c>
      <c r="E715" s="29">
        <f>Table14[[#This Row],[Ávöxtun]]*Table14[[#This Row],[Eignir]]/SUMIFS(Table14[Eignir],Table14[Year],Table14[[#This Row],[Year]])</f>
        <v>1.7985960033500703E-5</v>
      </c>
      <c r="F715" s="23" t="e">
        <f>IF(B715=1997, 100, IF(COUNTIF(A$1:A714,A715)=0, "NEW", F714*(1+Table14[[#This Row],[Ávöxtun]])))</f>
        <v>#VALUE!</v>
      </c>
      <c r="G715" s="18" t="str" cm="1">
        <f t="array" ref="G715">IFERROR(_xlfn.IFS(ISNUMBER(Table14[[#This Row],[Column3]]),Table14[[#This Row],[Column3]],Table14[[#This Row],[Column3]]="NEW",Table14[[#This Row],[Column3]]),"")</f>
        <v/>
      </c>
      <c r="H715" s="15" cm="1">
        <f t="array" ref="H715">_xlfn.IFS(Table14[[#This Row],[Column4]]="NEW",AVERAGEIFS(Table14[Column4],Table14[Year],Table14[[#This Row],[Year]]),ISNUMBER(Table14[[#This Row],[Column4]]),Table14[[#This Row],[Column4]],Table14[[#This Row],[Column4]]="",H714*(1+Table14[[#This Row],[Ávöxtun]]))</f>
        <v>143.65766831408732</v>
      </c>
      <c r="I715" cm="1">
        <f t="array" ref="I715">_xlfn.IFS(Table14[[#This Row],[Column4]]="NEW",_xlfn.XLOOKUP(Table14[[#This Row],[Year]],$M$2:$M$27,$O$2:$O$27),ISNUMBER(Table14[[#This Row],[Column4]]),Table14[[#This Row],[Column4]],Table14[[#This Row],[Column4]]="",I714*(1+Table14[[#This Row],[Ávöxtun]]))</f>
        <v>147.29935747539673</v>
      </c>
      <c r="L715" s="33">
        <v>147.29935747539673</v>
      </c>
    </row>
    <row r="716" spans="1:12">
      <c r="A716" t="s">
        <v>101</v>
      </c>
      <c r="B716">
        <v>2007</v>
      </c>
      <c r="C716" s="16">
        <v>5.3E-3</v>
      </c>
      <c r="D716" s="1">
        <v>306414</v>
      </c>
      <c r="E716" s="29">
        <f>Table14[[#This Row],[Ávöxtun]]*Table14[[#This Row],[Eignir]]/SUMIFS(Table14[Eignir],Table14[Year],Table14[[#This Row],[Year]])</f>
        <v>1.050171880156779E-6</v>
      </c>
      <c r="F716" s="23" t="e">
        <f>IF(B716=1997, 100, IF(COUNTIF(A$1:A715,A716)=0, "NEW", F715*(1+Table14[[#This Row],[Ávöxtun]])))</f>
        <v>#VALUE!</v>
      </c>
      <c r="G716" s="18" t="str" cm="1">
        <f t="array" ref="G716">IFERROR(_xlfn.IFS(ISNUMBER(Table14[[#This Row],[Column3]]),Table14[[#This Row],[Column3]],Table14[[#This Row],[Column3]]="NEW",Table14[[#This Row],[Column3]]),"")</f>
        <v/>
      </c>
      <c r="H716" s="15" cm="1">
        <f t="array" ref="H716">_xlfn.IFS(Table14[[#This Row],[Column4]]="NEW",AVERAGEIFS(Table14[Column4],Table14[Year],Table14[[#This Row],[Year]]),ISNUMBER(Table14[[#This Row],[Column4]]),Table14[[#This Row],[Column4]],Table14[[#This Row],[Column4]]="",H715*(1+Table14[[#This Row],[Ávöxtun]]))</f>
        <v>144.419053956152</v>
      </c>
      <c r="I716" cm="1">
        <f t="array" ref="I716">_xlfn.IFS(Table14[[#This Row],[Column4]]="NEW",_xlfn.XLOOKUP(Table14[[#This Row],[Year]],$M$2:$M$27,$O$2:$O$27),ISNUMBER(Table14[[#This Row],[Column4]]),Table14[[#This Row],[Column4]],Table14[[#This Row],[Column4]]="",I715*(1+Table14[[#This Row],[Ávöxtun]]))</f>
        <v>148.08004407001636</v>
      </c>
      <c r="L716" s="33">
        <v>148.08004407001636</v>
      </c>
    </row>
    <row r="717" spans="1:12">
      <c r="A717" t="s">
        <v>101</v>
      </c>
      <c r="B717">
        <v>2008</v>
      </c>
      <c r="C717" s="16">
        <v>-0.26700000000000002</v>
      </c>
      <c r="D717" s="1">
        <v>295679</v>
      </c>
      <c r="E717" s="29">
        <f>Table14[[#This Row],[Ávöxtun]]*Table14[[#This Row],[Eignir]]/SUMIFS(Table14[Eignir],Table14[Year],Table14[[#This Row],[Year]])</f>
        <v>-5.2725137991437708E-5</v>
      </c>
      <c r="F717" s="23" t="e">
        <f>IF(B717=1997, 100, IF(COUNTIF(A$1:A716,A717)=0, "NEW", F716*(1+Table14[[#This Row],[Ávöxtun]])))</f>
        <v>#VALUE!</v>
      </c>
      <c r="G717" s="18" t="str" cm="1">
        <f t="array" ref="G717">IFERROR(_xlfn.IFS(ISNUMBER(Table14[[#This Row],[Column3]]),Table14[[#This Row],[Column3]],Table14[[#This Row],[Column3]]="NEW",Table14[[#This Row],[Column3]]),"")</f>
        <v/>
      </c>
      <c r="H717" s="15" cm="1">
        <f t="array" ref="H717">_xlfn.IFS(Table14[[#This Row],[Column4]]="NEW",AVERAGEIFS(Table14[Column4],Table14[Year],Table14[[#This Row],[Year]]),ISNUMBER(Table14[[#This Row],[Column4]]),Table14[[#This Row],[Column4]],Table14[[#This Row],[Column4]]="",H716*(1+Table14[[#This Row],[Ávöxtun]]))</f>
        <v>105.85916654985941</v>
      </c>
      <c r="I717" cm="1">
        <f t="array" ref="I717">_xlfn.IFS(Table14[[#This Row],[Column4]]="NEW",_xlfn.XLOOKUP(Table14[[#This Row],[Year]],$M$2:$M$27,$O$2:$O$27),ISNUMBER(Table14[[#This Row],[Column4]]),Table14[[#This Row],[Column4]],Table14[[#This Row],[Column4]]="",I716*(1+Table14[[#This Row],[Ávöxtun]]))</f>
        <v>108.54267230332199</v>
      </c>
      <c r="L717" s="33">
        <v>108.54267230332199</v>
      </c>
    </row>
    <row r="718" spans="1:12">
      <c r="A718" t="s">
        <v>101</v>
      </c>
      <c r="B718">
        <v>2009</v>
      </c>
      <c r="C718" s="16">
        <v>4.7500000000000001E-2</v>
      </c>
      <c r="D718" s="1">
        <v>379542</v>
      </c>
      <c r="E718" s="29">
        <f>Table14[[#This Row],[Ávöxtun]]*Table14[[#This Row],[Eignir]]/SUMIFS(Table14[Eignir],Table14[Year],Table14[[#This Row],[Year]])</f>
        <v>1.0806626518221002E-5</v>
      </c>
      <c r="F718" s="23" t="e">
        <f>IF(B718=1997, 100, IF(COUNTIF(A$1:A717,A718)=0, "NEW", F717*(1+Table14[[#This Row],[Ávöxtun]])))</f>
        <v>#VALUE!</v>
      </c>
      <c r="G718" s="18" t="str" cm="1">
        <f t="array" ref="G718">IFERROR(_xlfn.IFS(ISNUMBER(Table14[[#This Row],[Column3]]),Table14[[#This Row],[Column3]],Table14[[#This Row],[Column3]]="NEW",Table14[[#This Row],[Column3]]),"")</f>
        <v/>
      </c>
      <c r="H718" s="15" cm="1">
        <f t="array" ref="H718">_xlfn.IFS(Table14[[#This Row],[Column4]]="NEW",AVERAGEIFS(Table14[Column4],Table14[Year],Table14[[#This Row],[Year]]),ISNUMBER(Table14[[#This Row],[Column4]]),Table14[[#This Row],[Column4]],Table14[[#This Row],[Column4]]="",H717*(1+Table14[[#This Row],[Ávöxtun]]))</f>
        <v>110.88747696097774</v>
      </c>
      <c r="I718" cm="1">
        <f t="array" ref="I718">_xlfn.IFS(Table14[[#This Row],[Column4]]="NEW",_xlfn.XLOOKUP(Table14[[#This Row],[Year]],$M$2:$M$27,$O$2:$O$27),ISNUMBER(Table14[[#This Row],[Column4]]),Table14[[#This Row],[Column4]],Table14[[#This Row],[Column4]]="",I717*(1+Table14[[#This Row],[Ávöxtun]]))</f>
        <v>113.6984492377298</v>
      </c>
      <c r="L718" s="33">
        <v>113.6984492377298</v>
      </c>
    </row>
    <row r="719" spans="1:12">
      <c r="A719" t="s">
        <v>101</v>
      </c>
      <c r="B719">
        <v>2010</v>
      </c>
      <c r="C719" s="16">
        <v>3.44E-2</v>
      </c>
      <c r="D719" s="1">
        <v>443571</v>
      </c>
      <c r="E719" s="29">
        <f>Table14[[#This Row],[Ávöxtun]]*Table14[[#This Row],[Eignir]]/SUMIFS(Table14[Eignir],Table14[Year],Table14[[#This Row],[Year]])</f>
        <v>8.5350470520010203E-6</v>
      </c>
      <c r="F719" s="23" t="e">
        <f>IF(B719=1997, 100, IF(COUNTIF(A$1:A718,A719)=0, "NEW", F718*(1+Table14[[#This Row],[Ávöxtun]])))</f>
        <v>#VALUE!</v>
      </c>
      <c r="G719" s="18" t="str" cm="1">
        <f t="array" ref="G719">IFERROR(_xlfn.IFS(ISNUMBER(Table14[[#This Row],[Column3]]),Table14[[#This Row],[Column3]],Table14[[#This Row],[Column3]]="NEW",Table14[[#This Row],[Column3]]),"")</f>
        <v/>
      </c>
      <c r="H719" s="15" cm="1">
        <f t="array" ref="H719">_xlfn.IFS(Table14[[#This Row],[Column4]]="NEW",AVERAGEIFS(Table14[Column4],Table14[Year],Table14[[#This Row],[Year]]),ISNUMBER(Table14[[#This Row],[Column4]]),Table14[[#This Row],[Column4]],Table14[[#This Row],[Column4]]="",H718*(1+Table14[[#This Row],[Ávöxtun]]))</f>
        <v>114.70200616843537</v>
      </c>
      <c r="I719" cm="1">
        <f t="array" ref="I719">_xlfn.IFS(Table14[[#This Row],[Column4]]="NEW",_xlfn.XLOOKUP(Table14[[#This Row],[Year]],$M$2:$M$27,$O$2:$O$27),ISNUMBER(Table14[[#This Row],[Column4]]),Table14[[#This Row],[Column4]],Table14[[#This Row],[Column4]]="",I718*(1+Table14[[#This Row],[Ávöxtun]]))</f>
        <v>117.60967589150771</v>
      </c>
      <c r="L719" s="33">
        <v>117.60967589150771</v>
      </c>
    </row>
    <row r="720" spans="1:12">
      <c r="A720" t="s">
        <v>101</v>
      </c>
      <c r="B720">
        <v>2011</v>
      </c>
      <c r="C720" s="16">
        <v>2.2000000000000002E-2</v>
      </c>
      <c r="D720" s="1">
        <v>529702</v>
      </c>
      <c r="E720" s="29">
        <f>Table14[[#This Row],[Ávöxtun]]*Table14[[#This Row],[Eignir]]/SUMIFS(Table14[Eignir],Table14[Year],Table14[[#This Row],[Year]])</f>
        <v>5.974412959492587E-6</v>
      </c>
      <c r="F720" s="23" t="e">
        <f>IF(B720=1997, 100, IF(COUNTIF(A$1:A719,A720)=0, "NEW", F719*(1+Table14[[#This Row],[Ávöxtun]])))</f>
        <v>#VALUE!</v>
      </c>
      <c r="G720" s="18" t="str" cm="1">
        <f t="array" ref="G720">IFERROR(_xlfn.IFS(ISNUMBER(Table14[[#This Row],[Column3]]),Table14[[#This Row],[Column3]],Table14[[#This Row],[Column3]]="NEW",Table14[[#This Row],[Column3]]),"")</f>
        <v/>
      </c>
      <c r="H720" s="15" cm="1">
        <f t="array" ref="H720">_xlfn.IFS(Table14[[#This Row],[Column4]]="NEW",AVERAGEIFS(Table14[Column4],Table14[Year],Table14[[#This Row],[Year]]),ISNUMBER(Table14[[#This Row],[Column4]]),Table14[[#This Row],[Column4]],Table14[[#This Row],[Column4]]="",H719*(1+Table14[[#This Row],[Ávöxtun]]))</f>
        <v>117.22545030414095</v>
      </c>
      <c r="I720" cm="1">
        <f t="array" ref="I720">_xlfn.IFS(Table14[[#This Row],[Column4]]="NEW",_xlfn.XLOOKUP(Table14[[#This Row],[Year]],$M$2:$M$27,$O$2:$O$27),ISNUMBER(Table14[[#This Row],[Column4]]),Table14[[#This Row],[Column4]],Table14[[#This Row],[Column4]]="",I719*(1+Table14[[#This Row],[Ávöxtun]]))</f>
        <v>120.19708876112088</v>
      </c>
      <c r="L720" s="33">
        <v>120.19708876112088</v>
      </c>
    </row>
    <row r="721" spans="1:12">
      <c r="A721" t="s">
        <v>101</v>
      </c>
      <c r="B721">
        <v>2012</v>
      </c>
      <c r="C721" s="16">
        <v>0.04</v>
      </c>
      <c r="D721" s="1">
        <v>632948</v>
      </c>
      <c r="E721" s="29">
        <f>Table14[[#This Row],[Ávöxtun]]*Table14[[#This Row],[Eignir]]/SUMIFS(Table14[Eignir],Table14[Year],Table14[[#This Row],[Year]])</f>
        <v>1.1493292959386364E-5</v>
      </c>
      <c r="F721" s="23" t="e">
        <f>IF(B721=1997, 100, IF(COUNTIF(A$1:A720,A721)=0, "NEW", F720*(1+Table14[[#This Row],[Ávöxtun]])))</f>
        <v>#VALUE!</v>
      </c>
      <c r="G721" s="18" t="str" cm="1">
        <f t="array" ref="G721">IFERROR(_xlfn.IFS(ISNUMBER(Table14[[#This Row],[Column3]]),Table14[[#This Row],[Column3]],Table14[[#This Row],[Column3]]="NEW",Table14[[#This Row],[Column3]]),"")</f>
        <v/>
      </c>
      <c r="H721" s="15" cm="1">
        <f t="array" ref="H721">_xlfn.IFS(Table14[[#This Row],[Column4]]="NEW",AVERAGEIFS(Table14[Column4],Table14[Year],Table14[[#This Row],[Year]]),ISNUMBER(Table14[[#This Row],[Column4]]),Table14[[#This Row],[Column4]],Table14[[#This Row],[Column4]]="",H720*(1+Table14[[#This Row],[Ávöxtun]]))</f>
        <v>121.9144683163066</v>
      </c>
      <c r="I721" cm="1">
        <f t="array" ref="I721">_xlfn.IFS(Table14[[#This Row],[Column4]]="NEW",_xlfn.XLOOKUP(Table14[[#This Row],[Year]],$M$2:$M$27,$O$2:$O$27),ISNUMBER(Table14[[#This Row],[Column4]]),Table14[[#This Row],[Column4]],Table14[[#This Row],[Column4]]="",I720*(1+Table14[[#This Row],[Ávöxtun]]))</f>
        <v>125.00497231156572</v>
      </c>
      <c r="L721" s="33">
        <v>125.00497231156572</v>
      </c>
    </row>
    <row r="722" spans="1:12">
      <c r="A722" t="s">
        <v>101</v>
      </c>
      <c r="B722">
        <v>2013</v>
      </c>
      <c r="C722" s="16">
        <v>6.2000000000000006E-2</v>
      </c>
      <c r="D722" s="1">
        <v>729256</v>
      </c>
      <c r="E722" s="29">
        <f>Table14[[#This Row],[Ávöxtun]]*Table14[[#This Row],[Eignir]]/SUMIFS(Table14[Eignir],Table14[Year],Table14[[#This Row],[Year]])</f>
        <v>1.8579163493720576E-5</v>
      </c>
      <c r="F722" s="23" t="e">
        <f>IF(B722=1997, 100, IF(COUNTIF(A$1:A721,A722)=0, "NEW", F721*(1+Table14[[#This Row],[Ávöxtun]])))</f>
        <v>#VALUE!</v>
      </c>
      <c r="G722" s="18" t="str" cm="1">
        <f t="array" ref="G722">IFERROR(_xlfn.IFS(ISNUMBER(Table14[[#This Row],[Column3]]),Table14[[#This Row],[Column3]],Table14[[#This Row],[Column3]]="NEW",Table14[[#This Row],[Column3]]),"")</f>
        <v/>
      </c>
      <c r="H722" s="15" cm="1">
        <f t="array" ref="H722">_xlfn.IFS(Table14[[#This Row],[Column4]]="NEW",AVERAGEIFS(Table14[Column4],Table14[Year],Table14[[#This Row],[Year]]),ISNUMBER(Table14[[#This Row],[Column4]]),Table14[[#This Row],[Column4]],Table14[[#This Row],[Column4]]="",H721*(1+Table14[[#This Row],[Ávöxtun]]))</f>
        <v>129.4731653519176</v>
      </c>
      <c r="I722" cm="1">
        <f t="array" ref="I722">_xlfn.IFS(Table14[[#This Row],[Column4]]="NEW",_xlfn.XLOOKUP(Table14[[#This Row],[Year]],$M$2:$M$27,$O$2:$O$27),ISNUMBER(Table14[[#This Row],[Column4]]),Table14[[#This Row],[Column4]],Table14[[#This Row],[Column4]]="",I721*(1+Table14[[#This Row],[Ávöxtun]]))</f>
        <v>132.75528059488281</v>
      </c>
      <c r="L722" s="33">
        <v>132.75528059488281</v>
      </c>
    </row>
    <row r="723" spans="1:12">
      <c r="A723" t="s">
        <v>101</v>
      </c>
      <c r="B723">
        <v>2014</v>
      </c>
      <c r="C723" s="16">
        <v>4.8000000000000001E-2</v>
      </c>
      <c r="D723" s="1">
        <v>822012</v>
      </c>
      <c r="E723" s="29">
        <f>Table14[[#This Row],[Ávöxtun]]*Table14[[#This Row],[Eignir]]/SUMIFS(Table14[Eignir],Table14[Year],Table14[[#This Row],[Year]])</f>
        <v>1.4872333711926501E-5</v>
      </c>
      <c r="F723" s="23" t="e">
        <f>IF(B723=1997, 100, IF(COUNTIF(A$1:A722,A723)=0, "NEW", F722*(1+Table14[[#This Row],[Ávöxtun]])))</f>
        <v>#VALUE!</v>
      </c>
      <c r="G723" s="18" t="str" cm="1">
        <f t="array" ref="G723">IFERROR(_xlfn.IFS(ISNUMBER(Table14[[#This Row],[Column3]]),Table14[[#This Row],[Column3]],Table14[[#This Row],[Column3]]="NEW",Table14[[#This Row],[Column3]]),"")</f>
        <v/>
      </c>
      <c r="H723" s="15" cm="1">
        <f t="array" ref="H723">_xlfn.IFS(Table14[[#This Row],[Column4]]="NEW",AVERAGEIFS(Table14[Column4],Table14[Year],Table14[[#This Row],[Year]]),ISNUMBER(Table14[[#This Row],[Column4]]),Table14[[#This Row],[Column4]],Table14[[#This Row],[Column4]]="",H722*(1+Table14[[#This Row],[Ávöxtun]]))</f>
        <v>135.68787728880966</v>
      </c>
      <c r="I723" cm="1">
        <f t="array" ref="I723">_xlfn.IFS(Table14[[#This Row],[Column4]]="NEW",_xlfn.XLOOKUP(Table14[[#This Row],[Year]],$M$2:$M$27,$O$2:$O$27),ISNUMBER(Table14[[#This Row],[Column4]]),Table14[[#This Row],[Column4]],Table14[[#This Row],[Column4]]="",I722*(1+Table14[[#This Row],[Ávöxtun]]))</f>
        <v>139.1275340634372</v>
      </c>
      <c r="L723" s="33">
        <v>139.1275340634372</v>
      </c>
    </row>
    <row r="724" spans="1:12">
      <c r="A724" t="s">
        <v>101</v>
      </c>
      <c r="B724">
        <v>2015</v>
      </c>
      <c r="C724" s="16">
        <v>0.109</v>
      </c>
      <c r="D724" s="1">
        <v>982532</v>
      </c>
      <c r="E724" s="29">
        <f>Table14[[#This Row],[Ávöxtun]]*Table14[[#This Row],[Eignir]]/SUMIFS(Table14[Eignir],Table14[Year],Table14[[#This Row],[Year]])</f>
        <v>3.6164238301830351E-5</v>
      </c>
      <c r="F724" s="23" t="e">
        <f>IF(B724=1997, 100, IF(COUNTIF(A$1:A723,A724)=0, "NEW", F723*(1+Table14[[#This Row],[Ávöxtun]])))</f>
        <v>#VALUE!</v>
      </c>
      <c r="G724" s="18" t="str" cm="1">
        <f t="array" ref="G724">IFERROR(_xlfn.IFS(ISNUMBER(Table14[[#This Row],[Column3]]),Table14[[#This Row],[Column3]],Table14[[#This Row],[Column3]]="NEW",Table14[[#This Row],[Column3]]),"")</f>
        <v/>
      </c>
      <c r="H724" s="15" cm="1">
        <f t="array" ref="H724">_xlfn.IFS(Table14[[#This Row],[Column4]]="NEW",AVERAGEIFS(Table14[Column4],Table14[Year],Table14[[#This Row],[Year]]),ISNUMBER(Table14[[#This Row],[Column4]]),Table14[[#This Row],[Column4]],Table14[[#This Row],[Column4]]="",H723*(1+Table14[[#This Row],[Ávöxtun]]))</f>
        <v>150.47785591328991</v>
      </c>
      <c r="I724" cm="1">
        <f t="array" ref="I724">_xlfn.IFS(Table14[[#This Row],[Column4]]="NEW",_xlfn.XLOOKUP(Table14[[#This Row],[Year]],$M$2:$M$27,$O$2:$O$27),ISNUMBER(Table14[[#This Row],[Column4]]),Table14[[#This Row],[Column4]],Table14[[#This Row],[Column4]]="",I723*(1+Table14[[#This Row],[Ávöxtun]]))</f>
        <v>154.29243527635185</v>
      </c>
      <c r="L724" s="33">
        <v>154.29243527635185</v>
      </c>
    </row>
    <row r="725" spans="1:12">
      <c r="A725" t="s">
        <v>101</v>
      </c>
      <c r="B725">
        <v>2016</v>
      </c>
      <c r="C725" s="16">
        <v>1.38E-2</v>
      </c>
      <c r="D725" s="1">
        <v>1122960.21</v>
      </c>
      <c r="E725" s="29">
        <f>Table14[[#This Row],[Ávöxtun]]*Table14[[#This Row],[Eignir]]/SUMIFS(Table14[Eignir],Table14[Year],Table14[[#This Row],[Year]])</f>
        <v>4.8426952964186961E-6</v>
      </c>
      <c r="F725" s="23" t="e">
        <f>IF(B725=1997, 100, IF(COUNTIF(A$1:A724,A725)=0, "NEW", F724*(1+Table14[[#This Row],[Ávöxtun]])))</f>
        <v>#VALUE!</v>
      </c>
      <c r="G725" s="18" t="str" cm="1">
        <f t="array" ref="G725">IFERROR(_xlfn.IFS(ISNUMBER(Table14[[#This Row],[Column3]]),Table14[[#This Row],[Column3]],Table14[[#This Row],[Column3]]="NEW",Table14[[#This Row],[Column3]]),"")</f>
        <v/>
      </c>
      <c r="H725" s="15" cm="1">
        <f t="array" ref="H725">_xlfn.IFS(Table14[[#This Row],[Column4]]="NEW",AVERAGEIFS(Table14[Column4],Table14[Year],Table14[[#This Row],[Year]]),ISNUMBER(Table14[[#This Row],[Column4]]),Table14[[#This Row],[Column4]],Table14[[#This Row],[Column4]]="",H724*(1+Table14[[#This Row],[Ávöxtun]]))</f>
        <v>152.55445032489331</v>
      </c>
      <c r="I725" cm="1">
        <f t="array" ref="I725">_xlfn.IFS(Table14[[#This Row],[Column4]]="NEW",_xlfn.XLOOKUP(Table14[[#This Row],[Year]],$M$2:$M$27,$O$2:$O$27),ISNUMBER(Table14[[#This Row],[Column4]]),Table14[[#This Row],[Column4]],Table14[[#This Row],[Column4]]="",I724*(1+Table14[[#This Row],[Ávöxtun]]))</f>
        <v>156.42167088316552</v>
      </c>
      <c r="L725" s="33">
        <v>156.42167088316552</v>
      </c>
    </row>
    <row r="726" spans="1:12">
      <c r="A726" t="s">
        <v>101</v>
      </c>
      <c r="B726">
        <v>2017</v>
      </c>
      <c r="C726" s="16">
        <v>5.2000000000000005E-2</v>
      </c>
      <c r="D726" s="1">
        <v>1274111</v>
      </c>
      <c r="E726" s="29">
        <f>Table14[[#This Row],[Ávöxtun]]*Table14[[#This Row],[Eignir]]/SUMIFS(Table14[Eignir],Table14[Year],Table14[[#This Row],[Year]])</f>
        <v>1.8615047934558206E-5</v>
      </c>
      <c r="F726" s="23" t="e">
        <f>IF(B726=1997, 100, IF(COUNTIF(A$1:A725,A726)=0, "NEW", F725*(1+Table14[[#This Row],[Ávöxtun]])))</f>
        <v>#VALUE!</v>
      </c>
      <c r="G726" s="18" t="str" cm="1">
        <f t="array" ref="G726">IFERROR(_xlfn.IFS(ISNUMBER(Table14[[#This Row],[Column3]]),Table14[[#This Row],[Column3]],Table14[[#This Row],[Column3]]="NEW",Table14[[#This Row],[Column3]]),"")</f>
        <v/>
      </c>
      <c r="H726" s="15" cm="1">
        <f t="array" ref="H726">_xlfn.IFS(Table14[[#This Row],[Column4]]="NEW",AVERAGEIFS(Table14[Column4],Table14[Year],Table14[[#This Row],[Year]]),ISNUMBER(Table14[[#This Row],[Column4]]),Table14[[#This Row],[Column4]],Table14[[#This Row],[Column4]]="",H725*(1+Table14[[#This Row],[Ávöxtun]]))</f>
        <v>160.48728174178777</v>
      </c>
      <c r="I726" cm="1">
        <f t="array" ref="I726">_xlfn.IFS(Table14[[#This Row],[Column4]]="NEW",_xlfn.XLOOKUP(Table14[[#This Row],[Year]],$M$2:$M$27,$O$2:$O$27),ISNUMBER(Table14[[#This Row],[Column4]]),Table14[[#This Row],[Column4]],Table14[[#This Row],[Column4]]="",I725*(1+Table14[[#This Row],[Ávöxtun]]))</f>
        <v>164.55559776909013</v>
      </c>
      <c r="L726" s="33">
        <v>164.55559776909013</v>
      </c>
    </row>
    <row r="727" spans="1:12">
      <c r="A727" t="s">
        <v>101</v>
      </c>
      <c r="B727">
        <v>2018</v>
      </c>
      <c r="C727" s="16">
        <v>1.2E-2</v>
      </c>
      <c r="D727" s="1">
        <v>1402953</v>
      </c>
      <c r="E727" s="29">
        <f>Table14[[#This Row],[Ávöxtun]]*Table14[[#This Row],[Eignir]]/SUMIFS(Table14[Eignir],Table14[Year],Table14[[#This Row],[Year]])</f>
        <v>4.4091231249622272E-6</v>
      </c>
      <c r="F727" s="23" t="e">
        <f>IF(B727=1997, 100, IF(COUNTIF(A$1:A726,A727)=0, "NEW", F726*(1+Table14[[#This Row],[Ávöxtun]])))</f>
        <v>#VALUE!</v>
      </c>
      <c r="G727" s="18" t="str" cm="1">
        <f t="array" ref="G727">IFERROR(_xlfn.IFS(ISNUMBER(Table14[[#This Row],[Column3]]),Table14[[#This Row],[Column3]],Table14[[#This Row],[Column3]]="NEW",Table14[[#This Row],[Column3]]),"")</f>
        <v/>
      </c>
      <c r="H727" s="15" cm="1">
        <f t="array" ref="H727">_xlfn.IFS(Table14[[#This Row],[Column4]]="NEW",AVERAGEIFS(Table14[Column4],Table14[Year],Table14[[#This Row],[Year]]),ISNUMBER(Table14[[#This Row],[Column4]]),Table14[[#This Row],[Column4]],Table14[[#This Row],[Column4]]="",H726*(1+Table14[[#This Row],[Ávöxtun]]))</f>
        <v>162.41312912268921</v>
      </c>
      <c r="I727" cm="1">
        <f t="array" ref="I727">_xlfn.IFS(Table14[[#This Row],[Column4]]="NEW",_xlfn.XLOOKUP(Table14[[#This Row],[Year]],$M$2:$M$27,$O$2:$O$27),ISNUMBER(Table14[[#This Row],[Column4]]),Table14[[#This Row],[Column4]],Table14[[#This Row],[Column4]]="",I726*(1+Table14[[#This Row],[Ávöxtun]]))</f>
        <v>166.53026494231921</v>
      </c>
      <c r="L727" s="33">
        <v>166.53026494231921</v>
      </c>
    </row>
    <row r="728" spans="1:12">
      <c r="A728" t="s">
        <v>101</v>
      </c>
      <c r="B728">
        <v>2019</v>
      </c>
      <c r="C728" s="16">
        <v>9.7200000000000009E-2</v>
      </c>
      <c r="D728" s="1">
        <v>1645723.11</v>
      </c>
      <c r="E728" s="29">
        <f>Table14[[#This Row],[Ávöxtun]]*Table14[[#This Row],[Eignir]]/SUMIFS(Table14[Eignir],Table14[Year],Table14[[#This Row],[Year]])</f>
        <v>3.6134776509126337E-5</v>
      </c>
      <c r="F728" s="23" t="e">
        <f>IF(B728=1997, 100, IF(COUNTIF(A$1:A727,A728)=0, "NEW", F727*(1+Table14[[#This Row],[Ávöxtun]])))</f>
        <v>#VALUE!</v>
      </c>
      <c r="G728" s="18" t="str" cm="1">
        <f t="array" ref="G728">IFERROR(_xlfn.IFS(ISNUMBER(Table14[[#This Row],[Column3]]),Table14[[#This Row],[Column3]],Table14[[#This Row],[Column3]]="NEW",Table14[[#This Row],[Column3]]),"")</f>
        <v/>
      </c>
      <c r="H728" s="15" cm="1">
        <f t="array" ref="H728">_xlfn.IFS(Table14[[#This Row],[Column4]]="NEW",AVERAGEIFS(Table14[Column4],Table14[Year],Table14[[#This Row],[Year]]),ISNUMBER(Table14[[#This Row],[Column4]]),Table14[[#This Row],[Column4]],Table14[[#This Row],[Column4]]="",H727*(1+Table14[[#This Row],[Ávöxtun]]))</f>
        <v>178.19968527341459</v>
      </c>
      <c r="I728" cm="1">
        <f t="array" ref="I728">_xlfn.IFS(Table14[[#This Row],[Column4]]="NEW",_xlfn.XLOOKUP(Table14[[#This Row],[Year]],$M$2:$M$27,$O$2:$O$27),ISNUMBER(Table14[[#This Row],[Column4]]),Table14[[#This Row],[Column4]],Table14[[#This Row],[Column4]]="",I727*(1+Table14[[#This Row],[Ávöxtun]]))</f>
        <v>182.71700669471264</v>
      </c>
      <c r="L728" s="33">
        <v>182.71700669471264</v>
      </c>
    </row>
    <row r="729" spans="1:12">
      <c r="A729" t="s">
        <v>101</v>
      </c>
      <c r="B729">
        <v>2020</v>
      </c>
      <c r="C729" s="16">
        <v>8.0299999999999996E-2</v>
      </c>
      <c r="D729" s="1">
        <v>1922226.04</v>
      </c>
      <c r="E729" s="29">
        <f>Table14[[#This Row],[Ávöxtun]]*Table14[[#This Row],[Eignir]]/SUMIFS(Table14[Eignir],Table14[Year],Table14[[#This Row],[Year]])</f>
        <v>3.0049904972702604E-5</v>
      </c>
      <c r="F729" s="23" t="e">
        <f>IF(B729=1997, 100, IF(COUNTIF(A$1:A728,A729)=0, "NEW", F728*(1+Table14[[#This Row],[Ávöxtun]])))</f>
        <v>#VALUE!</v>
      </c>
      <c r="G729" s="18" t="str" cm="1">
        <f t="array" ref="G729">IFERROR(_xlfn.IFS(ISNUMBER(Table14[[#This Row],[Column3]]),Table14[[#This Row],[Column3]],Table14[[#This Row],[Column3]]="NEW",Table14[[#This Row],[Column3]]),"")</f>
        <v/>
      </c>
      <c r="H729" s="15" cm="1">
        <f t="array" ref="H729">_xlfn.IFS(Table14[[#This Row],[Column4]]="NEW",AVERAGEIFS(Table14[Column4],Table14[Year],Table14[[#This Row],[Year]]),ISNUMBER(Table14[[#This Row],[Column4]]),Table14[[#This Row],[Column4]],Table14[[#This Row],[Column4]]="",H728*(1+Table14[[#This Row],[Ávöxtun]]))</f>
        <v>192.50912000086979</v>
      </c>
      <c r="I729" cm="1">
        <f t="array" ref="I729">_xlfn.IFS(Table14[[#This Row],[Column4]]="NEW",_xlfn.XLOOKUP(Table14[[#This Row],[Year]],$M$2:$M$27,$O$2:$O$27),ISNUMBER(Table14[[#This Row],[Column4]]),Table14[[#This Row],[Column4]],Table14[[#This Row],[Column4]]="",I728*(1+Table14[[#This Row],[Ávöxtun]]))</f>
        <v>197.38918233229808</v>
      </c>
      <c r="L729" s="33">
        <v>197.38918233229808</v>
      </c>
    </row>
    <row r="730" spans="1:12">
      <c r="A730" t="s">
        <v>101</v>
      </c>
      <c r="B730">
        <v>2021</v>
      </c>
      <c r="C730" s="16">
        <v>6.2699999999999992E-2</v>
      </c>
      <c r="D730" s="1">
        <v>2241434.46</v>
      </c>
      <c r="E730" s="29">
        <f>Table14[[#This Row],[Ávöxtun]]*Table14[[#This Row],[Eignir]]/SUMIFS(Table14[Eignir],Table14[Year],Table14[[#This Row],[Year]])</f>
        <v>2.3269804164782413E-5</v>
      </c>
      <c r="F730" s="23" t="e">
        <f>IF(B730=1997, 100, IF(COUNTIF(A$1:A729,A730)=0, "NEW", F729*(1+Table14[[#This Row],[Ávöxtun]])))</f>
        <v>#VALUE!</v>
      </c>
      <c r="G730" s="18" t="str" cm="1">
        <f t="array" ref="G730">IFERROR(_xlfn.IFS(ISNUMBER(Table14[[#This Row],[Column3]]),Table14[[#This Row],[Column3]],Table14[[#This Row],[Column3]]="NEW",Table14[[#This Row],[Column3]]),"")</f>
        <v/>
      </c>
      <c r="H730" s="15" cm="1">
        <f t="array" ref="H730">_xlfn.IFS(Table14[[#This Row],[Column4]]="NEW",AVERAGEIFS(Table14[Column4],Table14[Year],Table14[[#This Row],[Year]]),ISNUMBER(Table14[[#This Row],[Column4]]),Table14[[#This Row],[Column4]],Table14[[#This Row],[Column4]]="",H729*(1+Table14[[#This Row],[Ávöxtun]]))</f>
        <v>204.57944182492432</v>
      </c>
      <c r="I730" cm="1">
        <f t="array" ref="I730">_xlfn.IFS(Table14[[#This Row],[Column4]]="NEW",_xlfn.XLOOKUP(Table14[[#This Row],[Year]],$M$2:$M$27,$O$2:$O$27),ISNUMBER(Table14[[#This Row],[Column4]]),Table14[[#This Row],[Column4]],Table14[[#This Row],[Column4]]="",I729*(1+Table14[[#This Row],[Ávöxtun]]))</f>
        <v>209.76548406453315</v>
      </c>
      <c r="L730" s="33">
        <v>209.76548406453315</v>
      </c>
    </row>
    <row r="731" spans="1:12">
      <c r="A731" t="s">
        <v>120</v>
      </c>
      <c r="B731">
        <v>1997</v>
      </c>
      <c r="C731" s="16">
        <v>0.05</v>
      </c>
      <c r="D731" s="1">
        <v>750043.87</v>
      </c>
      <c r="E731" s="29">
        <f>Table14[[#This Row],[Ávöxtun]]*Table14[[#This Row],[Eignir]]/SUMIFS(Table14[Eignir],Table14[Year],Table14[[#This Row],[Year]])</f>
        <v>1.1061767041664708E-4</v>
      </c>
      <c r="F731" s="23">
        <f>IF(B731=1997, 100, IF(COUNTIF(A$1:A730,A731)=0, "NEW", F730*(1+Table14[[#This Row],[Ávöxtun]])))</f>
        <v>100</v>
      </c>
      <c r="G731" s="18" cm="1">
        <f t="array" ref="G731">IFERROR(_xlfn.IFS(ISNUMBER(Table14[[#This Row],[Column3]]),Table14[[#This Row],[Column3]],Table14[[#This Row],[Column3]]="NEW",Table14[[#This Row],[Column3]]),"")</f>
        <v>100</v>
      </c>
      <c r="H731" s="15" cm="1">
        <f t="array" ref="H731">_xlfn.IFS(Table14[[#This Row],[Column4]]="NEW",AVERAGEIFS(Table14[Column4],Table14[Year],Table14[[#This Row],[Year]]),ISNUMBER(Table14[[#This Row],[Column4]]),Table14[[#This Row],[Column4]],Table14[[#This Row],[Column4]]="",H730*(1+Table14[[#This Row],[Ávöxtun]]))</f>
        <v>100</v>
      </c>
      <c r="I731" cm="1">
        <f t="array" ref="I731">_xlfn.IFS(Table14[[#This Row],[Column4]]="NEW",_xlfn.XLOOKUP(Table14[[#This Row],[Year]],$M$2:$M$27,$O$2:$O$27),ISNUMBER(Table14[[#This Row],[Column4]]),Table14[[#This Row],[Column4]],Table14[[#This Row],[Column4]]="",I730*(1+Table14[[#This Row],[Ávöxtun]]))</f>
        <v>100</v>
      </c>
      <c r="L731" s="33">
        <v>100</v>
      </c>
    </row>
    <row r="732" spans="1:12">
      <c r="A732" t="s">
        <v>120</v>
      </c>
      <c r="B732">
        <v>1998</v>
      </c>
      <c r="C732" s="16">
        <v>0.05</v>
      </c>
      <c r="D732" s="1">
        <v>825193.66</v>
      </c>
      <c r="E732" s="29">
        <f>Table14[[#This Row],[Ávöxtun]]*Table14[[#This Row],[Eignir]]/SUMIFS(Table14[Eignir],Table14[Year],Table14[[#This Row],[Year]])</f>
        <v>1.0535241333212869E-4</v>
      </c>
      <c r="F732" s="23">
        <f>IF(B732=1997, 100, IF(COUNTIF(A$1:A731,A732)=0, "NEW", F731*(1+Table14[[#This Row],[Ávöxtun]])))</f>
        <v>105</v>
      </c>
      <c r="G732" s="18" cm="1">
        <f t="array" ref="G732">IFERROR(_xlfn.IFS(ISNUMBER(Table14[[#This Row],[Column3]]),Table14[[#This Row],[Column3]],Table14[[#This Row],[Column3]]="NEW",Table14[[#This Row],[Column3]]),"")</f>
        <v>105</v>
      </c>
      <c r="H732" s="15" cm="1">
        <f t="array" ref="H732">_xlfn.IFS(Table14[[#This Row],[Column4]]="NEW",AVERAGEIFS(Table14[Column4],Table14[Year],Table14[[#This Row],[Year]]),ISNUMBER(Table14[[#This Row],[Column4]]),Table14[[#This Row],[Column4]],Table14[[#This Row],[Column4]]="",H731*(1+Table14[[#This Row],[Ávöxtun]]))</f>
        <v>105</v>
      </c>
      <c r="I732" cm="1">
        <f t="array" ref="I732">_xlfn.IFS(Table14[[#This Row],[Column4]]="NEW",_xlfn.XLOOKUP(Table14[[#This Row],[Year]],$M$2:$M$27,$O$2:$O$27),ISNUMBER(Table14[[#This Row],[Column4]]),Table14[[#This Row],[Column4]],Table14[[#This Row],[Column4]]="",I731*(1+Table14[[#This Row],[Ávöxtun]]))</f>
        <v>105</v>
      </c>
      <c r="L732" s="33">
        <v>105</v>
      </c>
    </row>
    <row r="733" spans="1:12">
      <c r="A733" t="s">
        <v>120</v>
      </c>
      <c r="B733">
        <v>1999</v>
      </c>
      <c r="C733" s="16">
        <v>0.05</v>
      </c>
      <c r="D733" s="1">
        <v>963234.35</v>
      </c>
      <c r="E733" s="29">
        <f>Table14[[#This Row],[Ávöxtun]]*Table14[[#This Row],[Eignir]]/SUMIFS(Table14[Eignir],Table14[Year],Table14[[#This Row],[Year]])</f>
        <v>9.2491212137866836E-5</v>
      </c>
      <c r="F733" s="23">
        <f>IF(B733=1997, 100, IF(COUNTIF(A$1:A732,A733)=0, "NEW", F732*(1+Table14[[#This Row],[Ávöxtun]])))</f>
        <v>110.25</v>
      </c>
      <c r="G733" s="18" cm="1">
        <f t="array" ref="G733">IFERROR(_xlfn.IFS(ISNUMBER(Table14[[#This Row],[Column3]]),Table14[[#This Row],[Column3]],Table14[[#This Row],[Column3]]="NEW",Table14[[#This Row],[Column3]]),"")</f>
        <v>110.25</v>
      </c>
      <c r="H733" s="15" cm="1">
        <f t="array" ref="H733">_xlfn.IFS(Table14[[#This Row],[Column4]]="NEW",AVERAGEIFS(Table14[Column4],Table14[Year],Table14[[#This Row],[Year]]),ISNUMBER(Table14[[#This Row],[Column4]]),Table14[[#This Row],[Column4]],Table14[[#This Row],[Column4]]="",H732*(1+Table14[[#This Row],[Ávöxtun]]))</f>
        <v>110.25</v>
      </c>
      <c r="I733" cm="1">
        <f t="array" ref="I733">_xlfn.IFS(Table14[[#This Row],[Column4]]="NEW",_xlfn.XLOOKUP(Table14[[#This Row],[Year]],$M$2:$M$27,$O$2:$O$27),ISNUMBER(Table14[[#This Row],[Column4]]),Table14[[#This Row],[Column4]],Table14[[#This Row],[Column4]]="",I732*(1+Table14[[#This Row],[Ávöxtun]]))</f>
        <v>110.25</v>
      </c>
      <c r="L733" s="33">
        <v>110.25</v>
      </c>
    </row>
    <row r="734" spans="1:12">
      <c r="A734" t="s">
        <v>121</v>
      </c>
      <c r="B734">
        <v>1997</v>
      </c>
      <c r="C734" s="16">
        <v>0.06</v>
      </c>
      <c r="D734" s="1">
        <v>3442571.01</v>
      </c>
      <c r="E734" s="29">
        <f>Table14[[#This Row],[Ávöxtun]]*Table14[[#This Row],[Eignir]]/SUMIFS(Table14[Eignir],Table14[Year],Table14[[#This Row],[Year]])</f>
        <v>6.0925905899890972E-4</v>
      </c>
      <c r="F734" s="23">
        <f>IF(B734=1997, 100, IF(COUNTIF(A$1:A733,A734)=0, "NEW", F733*(1+Table14[[#This Row],[Ávöxtun]])))</f>
        <v>100</v>
      </c>
      <c r="G734" s="18" cm="1">
        <f t="array" ref="G734">IFERROR(_xlfn.IFS(ISNUMBER(Table14[[#This Row],[Column3]]),Table14[[#This Row],[Column3]],Table14[[#This Row],[Column3]]="NEW",Table14[[#This Row],[Column3]]),"")</f>
        <v>100</v>
      </c>
      <c r="H734" s="15" cm="1">
        <f t="array" ref="H734">_xlfn.IFS(Table14[[#This Row],[Column4]]="NEW",AVERAGEIFS(Table14[Column4],Table14[Year],Table14[[#This Row],[Year]]),ISNUMBER(Table14[[#This Row],[Column4]]),Table14[[#This Row],[Column4]],Table14[[#This Row],[Column4]]="",H733*(1+Table14[[#This Row],[Ávöxtun]]))</f>
        <v>100</v>
      </c>
      <c r="I734" cm="1">
        <f t="array" ref="I734">_xlfn.IFS(Table14[[#This Row],[Column4]]="NEW",_xlfn.XLOOKUP(Table14[[#This Row],[Year]],$M$2:$M$27,$O$2:$O$27),ISNUMBER(Table14[[#This Row],[Column4]]),Table14[[#This Row],[Column4]],Table14[[#This Row],[Column4]]="",I733*(1+Table14[[#This Row],[Ávöxtun]]))</f>
        <v>100</v>
      </c>
      <c r="L734" s="33">
        <v>100</v>
      </c>
    </row>
    <row r="735" spans="1:12">
      <c r="A735" t="s">
        <v>122</v>
      </c>
      <c r="B735">
        <v>1997</v>
      </c>
      <c r="C735" s="16">
        <v>7.0000000000000007E-2</v>
      </c>
      <c r="D735" s="1">
        <v>6095064.8600000003</v>
      </c>
      <c r="E735" s="29">
        <f>Table14[[#This Row],[Ávöxtun]]*Table14[[#This Row],[Eignir]]/SUMIFS(Table14[Eignir],Table14[Year],Table14[[#This Row],[Year]])</f>
        <v>1.2584738892568966E-3</v>
      </c>
      <c r="F735" s="23">
        <f>IF(B735=1997, 100, IF(COUNTIF(A$1:A734,A735)=0, "NEW", F734*(1+Table14[[#This Row],[Ávöxtun]])))</f>
        <v>100</v>
      </c>
      <c r="G735" s="18" cm="1">
        <f t="array" ref="G735">IFERROR(_xlfn.IFS(ISNUMBER(Table14[[#This Row],[Column3]]),Table14[[#This Row],[Column3]],Table14[[#This Row],[Column3]]="NEW",Table14[[#This Row],[Column3]]),"")</f>
        <v>100</v>
      </c>
      <c r="H735" s="15" cm="1">
        <f t="array" ref="H735">_xlfn.IFS(Table14[[#This Row],[Column4]]="NEW",AVERAGEIFS(Table14[Column4],Table14[Year],Table14[[#This Row],[Year]]),ISNUMBER(Table14[[#This Row],[Column4]]),Table14[[#This Row],[Column4]],Table14[[#This Row],[Column4]]="",H734*(1+Table14[[#This Row],[Ávöxtun]]))</f>
        <v>100</v>
      </c>
      <c r="I735" cm="1">
        <f t="array" ref="I735">_xlfn.IFS(Table14[[#This Row],[Column4]]="NEW",_xlfn.XLOOKUP(Table14[[#This Row],[Year]],$M$2:$M$27,$O$2:$O$27),ISNUMBER(Table14[[#This Row],[Column4]]),Table14[[#This Row],[Column4]],Table14[[#This Row],[Column4]]="",I734*(1+Table14[[#This Row],[Ávöxtun]]))</f>
        <v>100</v>
      </c>
      <c r="L735" s="33">
        <v>100</v>
      </c>
    </row>
    <row r="736" spans="1:12">
      <c r="A736" t="s">
        <v>122</v>
      </c>
      <c r="B736">
        <v>1998</v>
      </c>
      <c r="C736" s="16">
        <v>0.11</v>
      </c>
      <c r="D736" s="1">
        <v>7452913.1200000001</v>
      </c>
      <c r="E736" s="29">
        <f>Table14[[#This Row],[Ávöxtun]]*Table14[[#This Row],[Eignir]]/SUMIFS(Table14[Eignir],Table14[Year],Table14[[#This Row],[Year]])</f>
        <v>2.0933283028407011E-3</v>
      </c>
      <c r="F736" s="23">
        <f>IF(B736=1997, 100, IF(COUNTIF(A$1:A735,A736)=0, "NEW", F735*(1+Table14[[#This Row],[Ávöxtun]])))</f>
        <v>111.00000000000001</v>
      </c>
      <c r="G736" s="18" cm="1">
        <f t="array" ref="G736">IFERROR(_xlfn.IFS(ISNUMBER(Table14[[#This Row],[Column3]]),Table14[[#This Row],[Column3]],Table14[[#This Row],[Column3]]="NEW",Table14[[#This Row],[Column3]]),"")</f>
        <v>111.00000000000001</v>
      </c>
      <c r="H736" s="15" cm="1">
        <f t="array" ref="H736">_xlfn.IFS(Table14[[#This Row],[Column4]]="NEW",AVERAGEIFS(Table14[Column4],Table14[Year],Table14[[#This Row],[Year]]),ISNUMBER(Table14[[#This Row],[Column4]]),Table14[[#This Row],[Column4]],Table14[[#This Row],[Column4]]="",H735*(1+Table14[[#This Row],[Ávöxtun]]))</f>
        <v>111.00000000000001</v>
      </c>
      <c r="I736" cm="1">
        <f t="array" ref="I736">_xlfn.IFS(Table14[[#This Row],[Column4]]="NEW",_xlfn.XLOOKUP(Table14[[#This Row],[Year]],$M$2:$M$27,$O$2:$O$27),ISNUMBER(Table14[[#This Row],[Column4]]),Table14[[#This Row],[Column4]],Table14[[#This Row],[Column4]]="",I735*(1+Table14[[#This Row],[Ávöxtun]]))</f>
        <v>111.00000000000001</v>
      </c>
      <c r="L736" s="33">
        <v>111.00000000000001</v>
      </c>
    </row>
    <row r="737" spans="1:12">
      <c r="A737" t="s">
        <v>122</v>
      </c>
      <c r="B737">
        <v>1999</v>
      </c>
      <c r="C737" s="16">
        <v>0.22</v>
      </c>
      <c r="D737" s="1">
        <v>10352635.789999999</v>
      </c>
      <c r="E737" s="29">
        <f>Table14[[#This Row],[Ávöxtun]]*Table14[[#This Row],[Eignir]]/SUMIFS(Table14[Eignir],Table14[Year],Table14[[#This Row],[Year]])</f>
        <v>4.3739329534618811E-3</v>
      </c>
      <c r="F737" s="23">
        <f>IF(B737=1997, 100, IF(COUNTIF(A$1:A736,A737)=0, "NEW", F736*(1+Table14[[#This Row],[Ávöxtun]])))</f>
        <v>135.42000000000002</v>
      </c>
      <c r="G737" s="18" cm="1">
        <f t="array" ref="G737">IFERROR(_xlfn.IFS(ISNUMBER(Table14[[#This Row],[Column3]]),Table14[[#This Row],[Column3]],Table14[[#This Row],[Column3]]="NEW",Table14[[#This Row],[Column3]]),"")</f>
        <v>135.42000000000002</v>
      </c>
      <c r="H737" s="15" cm="1">
        <f t="array" ref="H737">_xlfn.IFS(Table14[[#This Row],[Column4]]="NEW",AVERAGEIFS(Table14[Column4],Table14[Year],Table14[[#This Row],[Year]]),ISNUMBER(Table14[[#This Row],[Column4]]),Table14[[#This Row],[Column4]],Table14[[#This Row],[Column4]]="",H736*(1+Table14[[#This Row],[Ávöxtun]]))</f>
        <v>135.42000000000002</v>
      </c>
      <c r="I737" cm="1">
        <f t="array" ref="I737">_xlfn.IFS(Table14[[#This Row],[Column4]]="NEW",_xlfn.XLOOKUP(Table14[[#This Row],[Year]],$M$2:$M$27,$O$2:$O$27),ISNUMBER(Table14[[#This Row],[Column4]]),Table14[[#This Row],[Column4]],Table14[[#This Row],[Column4]]="",I736*(1+Table14[[#This Row],[Ávöxtun]]))</f>
        <v>135.42000000000002</v>
      </c>
      <c r="L737" s="33">
        <v>135.42000000000002</v>
      </c>
    </row>
    <row r="738" spans="1:12">
      <c r="A738" t="s">
        <v>122</v>
      </c>
      <c r="B738">
        <v>2000</v>
      </c>
      <c r="C738" s="16">
        <v>-0.08</v>
      </c>
      <c r="D738" s="1">
        <v>10653925.210000001</v>
      </c>
      <c r="E738" s="29">
        <f>Table14[[#This Row],[Ávöxtun]]*Table14[[#This Row],[Eignir]]/SUMIFS(Table14[Eignir],Table14[Year],Table14[[#This Row],[Year]])</f>
        <v>-1.198939869000075E-3</v>
      </c>
      <c r="F738" s="23">
        <f>IF(B738=1997, 100, IF(COUNTIF(A$1:A737,A738)=0, "NEW", F737*(1+Table14[[#This Row],[Ávöxtun]])))</f>
        <v>124.58640000000003</v>
      </c>
      <c r="G738" s="18" cm="1">
        <f t="array" ref="G738">IFERROR(_xlfn.IFS(ISNUMBER(Table14[[#This Row],[Column3]]),Table14[[#This Row],[Column3]],Table14[[#This Row],[Column3]]="NEW",Table14[[#This Row],[Column3]]),"")</f>
        <v>124.58640000000003</v>
      </c>
      <c r="H738" s="15" cm="1">
        <f t="array" ref="H738">_xlfn.IFS(Table14[[#This Row],[Column4]]="NEW",AVERAGEIFS(Table14[Column4],Table14[Year],Table14[[#This Row],[Year]]),ISNUMBER(Table14[[#This Row],[Column4]]),Table14[[#This Row],[Column4]],Table14[[#This Row],[Column4]]="",H737*(1+Table14[[#This Row],[Ávöxtun]]))</f>
        <v>124.58640000000003</v>
      </c>
      <c r="I738" cm="1">
        <f t="array" ref="I738">_xlfn.IFS(Table14[[#This Row],[Column4]]="NEW",_xlfn.XLOOKUP(Table14[[#This Row],[Year]],$M$2:$M$27,$O$2:$O$27),ISNUMBER(Table14[[#This Row],[Column4]]),Table14[[#This Row],[Column4]],Table14[[#This Row],[Column4]]="",I737*(1+Table14[[#This Row],[Ávöxtun]]))</f>
        <v>124.58640000000003</v>
      </c>
      <c r="L738" s="33">
        <v>124.58640000000003</v>
      </c>
    </row>
    <row r="739" spans="1:12">
      <c r="A739" t="s">
        <v>122</v>
      </c>
      <c r="B739">
        <v>2001</v>
      </c>
      <c r="C739" s="16">
        <v>-0.1</v>
      </c>
      <c r="D739" s="1">
        <v>23781169</v>
      </c>
      <c r="E739" s="29">
        <f>Table14[[#This Row],[Ávöxtun]]*Table14[[#This Row],[Eignir]]/SUMIFS(Table14[Eignir],Table14[Year],Table14[[#This Row],[Year]])</f>
        <v>-2.0537910070055464E-3</v>
      </c>
      <c r="F739" s="23">
        <f>IF(B739=1997, 100, IF(COUNTIF(A$1:A738,A739)=0, "NEW", F738*(1+Table14[[#This Row],[Ávöxtun]])))</f>
        <v>112.12776000000002</v>
      </c>
      <c r="G739" s="18" cm="1">
        <f t="array" ref="G739">IFERROR(_xlfn.IFS(ISNUMBER(Table14[[#This Row],[Column3]]),Table14[[#This Row],[Column3]],Table14[[#This Row],[Column3]]="NEW",Table14[[#This Row],[Column3]]),"")</f>
        <v>112.12776000000002</v>
      </c>
      <c r="H739" s="15" cm="1">
        <f t="array" ref="H739">_xlfn.IFS(Table14[[#This Row],[Column4]]="NEW",AVERAGEIFS(Table14[Column4],Table14[Year],Table14[[#This Row],[Year]]),ISNUMBER(Table14[[#This Row],[Column4]]),Table14[[#This Row],[Column4]],Table14[[#This Row],[Column4]]="",H738*(1+Table14[[#This Row],[Ávöxtun]]))</f>
        <v>112.12776000000002</v>
      </c>
      <c r="I739" cm="1">
        <f t="array" ref="I739">_xlfn.IFS(Table14[[#This Row],[Column4]]="NEW",_xlfn.XLOOKUP(Table14[[#This Row],[Year]],$M$2:$M$27,$O$2:$O$27),ISNUMBER(Table14[[#This Row],[Column4]]),Table14[[#This Row],[Column4]],Table14[[#This Row],[Column4]]="",I738*(1+Table14[[#This Row],[Ávöxtun]]))</f>
        <v>112.12776000000002</v>
      </c>
      <c r="L739" s="33">
        <v>112.12776000000002</v>
      </c>
    </row>
    <row r="740" spans="1:12">
      <c r="A740" t="s">
        <v>122</v>
      </c>
      <c r="B740">
        <v>2002</v>
      </c>
      <c r="C740" s="16">
        <v>-0.11</v>
      </c>
      <c r="D740" s="1">
        <v>11655680.23</v>
      </c>
      <c r="E740" s="29">
        <f>Table14[[#This Row],[Ávöxtun]]*Table14[[#This Row],[Eignir]]/SUMIFS(Table14[Eignir],Table14[Year],Table14[[#This Row],[Year]])</f>
        <v>-2.0185723871865621E-3</v>
      </c>
      <c r="F740" s="23">
        <f>IF(B740=1997, 100, IF(COUNTIF(A$1:A739,A740)=0, "NEW", F739*(1+Table14[[#This Row],[Ávöxtun]])))</f>
        <v>99.793706400000019</v>
      </c>
      <c r="G740" s="18" cm="1">
        <f t="array" ref="G740">IFERROR(_xlfn.IFS(ISNUMBER(Table14[[#This Row],[Column3]]),Table14[[#This Row],[Column3]],Table14[[#This Row],[Column3]]="NEW",Table14[[#This Row],[Column3]]),"")</f>
        <v>99.793706400000019</v>
      </c>
      <c r="H740" s="15" cm="1">
        <f t="array" ref="H740">_xlfn.IFS(Table14[[#This Row],[Column4]]="NEW",AVERAGEIFS(Table14[Column4],Table14[Year],Table14[[#This Row],[Year]]),ISNUMBER(Table14[[#This Row],[Column4]]),Table14[[#This Row],[Column4]],Table14[[#This Row],[Column4]]="",H739*(1+Table14[[#This Row],[Ávöxtun]]))</f>
        <v>99.793706400000019</v>
      </c>
      <c r="I740" cm="1">
        <f t="array" ref="I740">_xlfn.IFS(Table14[[#This Row],[Column4]]="NEW",_xlfn.XLOOKUP(Table14[[#This Row],[Year]],$M$2:$M$27,$O$2:$O$27),ISNUMBER(Table14[[#This Row],[Column4]]),Table14[[#This Row],[Column4]],Table14[[#This Row],[Column4]]="",I739*(1+Table14[[#This Row],[Ávöxtun]]))</f>
        <v>99.793706400000019</v>
      </c>
      <c r="L740" s="33">
        <v>99.793706400000019</v>
      </c>
    </row>
    <row r="741" spans="1:12">
      <c r="A741" t="s">
        <v>122</v>
      </c>
      <c r="B741">
        <v>2003</v>
      </c>
      <c r="C741" s="16">
        <v>0.1</v>
      </c>
      <c r="D741" s="1">
        <v>14195768</v>
      </c>
      <c r="E741" s="29">
        <f>Table14[[#This Row],[Ávöxtun]]*Table14[[#This Row],[Eignir]]/SUMIFS(Table14[Eignir],Table14[Year],Table14[[#This Row],[Year]])</f>
        <v>1.8681311692480174E-3</v>
      </c>
      <c r="F741" s="23">
        <f>IF(B741=1997, 100, IF(COUNTIF(A$1:A740,A741)=0, "NEW", F740*(1+Table14[[#This Row],[Ávöxtun]])))</f>
        <v>109.77307704000003</v>
      </c>
      <c r="G741" s="18" cm="1">
        <f t="array" ref="G741">IFERROR(_xlfn.IFS(ISNUMBER(Table14[[#This Row],[Column3]]),Table14[[#This Row],[Column3]],Table14[[#This Row],[Column3]]="NEW",Table14[[#This Row],[Column3]]),"")</f>
        <v>109.77307704000003</v>
      </c>
      <c r="H741" s="15" cm="1">
        <f t="array" ref="H741">_xlfn.IFS(Table14[[#This Row],[Column4]]="NEW",AVERAGEIFS(Table14[Column4],Table14[Year],Table14[[#This Row],[Year]]),ISNUMBER(Table14[[#This Row],[Column4]]),Table14[[#This Row],[Column4]],Table14[[#This Row],[Column4]]="",H740*(1+Table14[[#This Row],[Ávöxtun]]))</f>
        <v>109.77307704000003</v>
      </c>
      <c r="I741" cm="1">
        <f t="array" ref="I741">_xlfn.IFS(Table14[[#This Row],[Column4]]="NEW",_xlfn.XLOOKUP(Table14[[#This Row],[Year]],$M$2:$M$27,$O$2:$O$27),ISNUMBER(Table14[[#This Row],[Column4]]),Table14[[#This Row],[Column4]],Table14[[#This Row],[Column4]]="",I740*(1+Table14[[#This Row],[Ávöxtun]]))</f>
        <v>109.77307704000003</v>
      </c>
      <c r="L741" s="33">
        <v>109.77307704000003</v>
      </c>
    </row>
    <row r="742" spans="1:12">
      <c r="A742" t="s">
        <v>122</v>
      </c>
      <c r="B742">
        <v>2004</v>
      </c>
      <c r="C742" s="16">
        <v>0.06</v>
      </c>
      <c r="D742" s="1">
        <v>16811540</v>
      </c>
      <c r="E742" s="29">
        <f>Table14[[#This Row],[Ávöxtun]]*Table14[[#This Row],[Eignir]]/SUMIFS(Table14[Eignir],Table14[Year],Table14[[#This Row],[Year]])</f>
        <v>1.1112980792804933E-3</v>
      </c>
      <c r="F742" s="23">
        <f>IF(B742=1997, 100, IF(COUNTIF(A$1:A741,A742)=0, "NEW", F741*(1+Table14[[#This Row],[Ávöxtun]])))</f>
        <v>116.35946166240004</v>
      </c>
      <c r="G742" s="18" cm="1">
        <f t="array" ref="G742">IFERROR(_xlfn.IFS(ISNUMBER(Table14[[#This Row],[Column3]]),Table14[[#This Row],[Column3]],Table14[[#This Row],[Column3]]="NEW",Table14[[#This Row],[Column3]]),"")</f>
        <v>116.35946166240004</v>
      </c>
      <c r="H742" s="15" cm="1">
        <f t="array" ref="H742">_xlfn.IFS(Table14[[#This Row],[Column4]]="NEW",AVERAGEIFS(Table14[Column4],Table14[Year],Table14[[#This Row],[Year]]),ISNUMBER(Table14[[#This Row],[Column4]]),Table14[[#This Row],[Column4]],Table14[[#This Row],[Column4]]="",H741*(1+Table14[[#This Row],[Ávöxtun]]))</f>
        <v>116.35946166240004</v>
      </c>
      <c r="I742" cm="1">
        <f t="array" ref="I742">_xlfn.IFS(Table14[[#This Row],[Column4]]="NEW",_xlfn.XLOOKUP(Table14[[#This Row],[Year]],$M$2:$M$27,$O$2:$O$27),ISNUMBER(Table14[[#This Row],[Column4]]),Table14[[#This Row],[Column4]],Table14[[#This Row],[Column4]]="",I741*(1+Table14[[#This Row],[Ávöxtun]]))</f>
        <v>116.35946166240004</v>
      </c>
      <c r="L742" s="33">
        <v>116.35946166240004</v>
      </c>
    </row>
    <row r="743" spans="1:12">
      <c r="A743" t="s">
        <v>122</v>
      </c>
      <c r="B743">
        <v>2005</v>
      </c>
      <c r="C743" s="16">
        <v>0.11</v>
      </c>
      <c r="D743" s="1">
        <v>20678257</v>
      </c>
      <c r="E743" s="29">
        <f>Table14[[#This Row],[Ávöxtun]]*Table14[[#This Row],[Eignir]]/SUMIFS(Table14[Eignir],Table14[Year],Table14[[#This Row],[Year]])</f>
        <v>2.0284774041151267E-3</v>
      </c>
      <c r="F743" s="23">
        <f>IF(B743=1997, 100, IF(COUNTIF(A$1:A742,A743)=0, "NEW", F742*(1+Table14[[#This Row],[Ávöxtun]])))</f>
        <v>129.15900244526406</v>
      </c>
      <c r="G743" s="18" cm="1">
        <f t="array" ref="G743">IFERROR(_xlfn.IFS(ISNUMBER(Table14[[#This Row],[Column3]]),Table14[[#This Row],[Column3]],Table14[[#This Row],[Column3]]="NEW",Table14[[#This Row],[Column3]]),"")</f>
        <v>129.15900244526406</v>
      </c>
      <c r="H743" s="15" cm="1">
        <f t="array" ref="H743">_xlfn.IFS(Table14[[#This Row],[Column4]]="NEW",AVERAGEIFS(Table14[Column4],Table14[Year],Table14[[#This Row],[Year]]),ISNUMBER(Table14[[#This Row],[Column4]]),Table14[[#This Row],[Column4]],Table14[[#This Row],[Column4]]="",H742*(1+Table14[[#This Row],[Ávöxtun]]))</f>
        <v>129.15900244526406</v>
      </c>
      <c r="I743" cm="1">
        <f t="array" ref="I743">_xlfn.IFS(Table14[[#This Row],[Column4]]="NEW",_xlfn.XLOOKUP(Table14[[#This Row],[Year]],$M$2:$M$27,$O$2:$O$27),ISNUMBER(Table14[[#This Row],[Column4]]),Table14[[#This Row],[Column4]],Table14[[#This Row],[Column4]]="",I742*(1+Table14[[#This Row],[Ávöxtun]]))</f>
        <v>129.15900244526406</v>
      </c>
      <c r="L743" s="33">
        <v>129.15900244526406</v>
      </c>
    </row>
    <row r="744" spans="1:12">
      <c r="A744" t="s">
        <v>122</v>
      </c>
      <c r="B744">
        <v>2006</v>
      </c>
      <c r="C744" s="16">
        <v>9.6199999999999994E-2</v>
      </c>
      <c r="D744" s="1">
        <v>25794255</v>
      </c>
      <c r="E744" s="29">
        <f>Table14[[#This Row],[Ávöxtun]]*Table14[[#This Row],[Eignir]]/SUMIFS(Table14[Eignir],Table14[Year],Table14[[#This Row],[Year]])</f>
        <v>1.8077157186238112E-3</v>
      </c>
      <c r="F744" s="23">
        <f>IF(B744=1997, 100, IF(COUNTIF(A$1:A743,A744)=0, "NEW", F743*(1+Table14[[#This Row],[Ávöxtun]])))</f>
        <v>141.58409848049848</v>
      </c>
      <c r="G744" s="18" cm="1">
        <f t="array" ref="G744">IFERROR(_xlfn.IFS(ISNUMBER(Table14[[#This Row],[Column3]]),Table14[[#This Row],[Column3]],Table14[[#This Row],[Column3]]="NEW",Table14[[#This Row],[Column3]]),"")</f>
        <v>141.58409848049848</v>
      </c>
      <c r="H744" s="15" cm="1">
        <f t="array" ref="H744">_xlfn.IFS(Table14[[#This Row],[Column4]]="NEW",AVERAGEIFS(Table14[Column4],Table14[Year],Table14[[#This Row],[Year]]),ISNUMBER(Table14[[#This Row],[Column4]]),Table14[[#This Row],[Column4]],Table14[[#This Row],[Column4]]="",H743*(1+Table14[[#This Row],[Ávöxtun]]))</f>
        <v>141.58409848049848</v>
      </c>
      <c r="I744" cm="1">
        <f t="array" ref="I744">_xlfn.IFS(Table14[[#This Row],[Column4]]="NEW",_xlfn.XLOOKUP(Table14[[#This Row],[Year]],$M$2:$M$27,$O$2:$O$27),ISNUMBER(Table14[[#This Row],[Column4]]),Table14[[#This Row],[Column4]],Table14[[#This Row],[Column4]]="",I743*(1+Table14[[#This Row],[Ávöxtun]]))</f>
        <v>141.58409848049848</v>
      </c>
      <c r="L744" s="33">
        <v>141.58409848049848</v>
      </c>
    </row>
    <row r="745" spans="1:12">
      <c r="A745" t="s">
        <v>122</v>
      </c>
      <c r="B745">
        <v>2007</v>
      </c>
      <c r="C745" s="16">
        <v>-7.3000000000000001E-3</v>
      </c>
      <c r="D745" s="1">
        <v>28665140</v>
      </c>
      <c r="E745" s="29">
        <f>Table14[[#This Row],[Ávöxtun]]*Table14[[#This Row],[Eignir]]/SUMIFS(Table14[Eignir],Table14[Year],Table14[[#This Row],[Year]])</f>
        <v>-1.353171488986403E-4</v>
      </c>
      <c r="F745" s="23">
        <f>IF(B745=1997, 100, IF(COUNTIF(A$1:A744,A745)=0, "NEW", F744*(1+Table14[[#This Row],[Ávöxtun]])))</f>
        <v>140.55053456159084</v>
      </c>
      <c r="G745" s="18" cm="1">
        <f t="array" ref="G745">IFERROR(_xlfn.IFS(ISNUMBER(Table14[[#This Row],[Column3]]),Table14[[#This Row],[Column3]],Table14[[#This Row],[Column3]]="NEW",Table14[[#This Row],[Column3]]),"")</f>
        <v>140.55053456159084</v>
      </c>
      <c r="H745" s="15" cm="1">
        <f t="array" ref="H745">_xlfn.IFS(Table14[[#This Row],[Column4]]="NEW",AVERAGEIFS(Table14[Column4],Table14[Year],Table14[[#This Row],[Year]]),ISNUMBER(Table14[[#This Row],[Column4]]),Table14[[#This Row],[Column4]],Table14[[#This Row],[Column4]]="",H744*(1+Table14[[#This Row],[Ávöxtun]]))</f>
        <v>140.55053456159084</v>
      </c>
      <c r="I745" cm="1">
        <f t="array" ref="I745">_xlfn.IFS(Table14[[#This Row],[Column4]]="NEW",_xlfn.XLOOKUP(Table14[[#This Row],[Year]],$M$2:$M$27,$O$2:$O$27),ISNUMBER(Table14[[#This Row],[Column4]]),Table14[[#This Row],[Column4]],Table14[[#This Row],[Column4]]="",I744*(1+Table14[[#This Row],[Ávöxtun]]))</f>
        <v>140.55053456159084</v>
      </c>
      <c r="L745" s="33">
        <v>140.55053456159084</v>
      </c>
    </row>
    <row r="746" spans="1:12">
      <c r="A746" t="s">
        <v>122</v>
      </c>
      <c r="B746">
        <v>2008</v>
      </c>
      <c r="C746" s="16">
        <v>-0.31409999999999999</v>
      </c>
      <c r="D746" s="1">
        <v>24599372</v>
      </c>
      <c r="E746" s="29">
        <f>Table14[[#This Row],[Ávöxtun]]*Table14[[#This Row],[Eignir]]/SUMIFS(Table14[Eignir],Table14[Year],Table14[[#This Row],[Year]])</f>
        <v>-5.1603355138406673E-3</v>
      </c>
      <c r="F746" s="23">
        <f>IF(B746=1997, 100, IF(COUNTIF(A$1:A745,A746)=0, "NEW", F745*(1+Table14[[#This Row],[Ávöxtun]])))</f>
        <v>96.403611655795146</v>
      </c>
      <c r="G746" s="18" cm="1">
        <f t="array" ref="G746">IFERROR(_xlfn.IFS(ISNUMBER(Table14[[#This Row],[Column3]]),Table14[[#This Row],[Column3]],Table14[[#This Row],[Column3]]="NEW",Table14[[#This Row],[Column3]]),"")</f>
        <v>96.403611655795146</v>
      </c>
      <c r="H746" s="15" cm="1">
        <f t="array" ref="H746">_xlfn.IFS(Table14[[#This Row],[Column4]]="NEW",AVERAGEIFS(Table14[Column4],Table14[Year],Table14[[#This Row],[Year]]),ISNUMBER(Table14[[#This Row],[Column4]]),Table14[[#This Row],[Column4]],Table14[[#This Row],[Column4]]="",H745*(1+Table14[[#This Row],[Ávöxtun]]))</f>
        <v>96.403611655795146</v>
      </c>
      <c r="I746" cm="1">
        <f t="array" ref="I746">_xlfn.IFS(Table14[[#This Row],[Column4]]="NEW",_xlfn.XLOOKUP(Table14[[#This Row],[Year]],$M$2:$M$27,$O$2:$O$27),ISNUMBER(Table14[[#This Row],[Column4]]),Table14[[#This Row],[Column4]],Table14[[#This Row],[Column4]]="",I745*(1+Table14[[#This Row],[Ávöxtun]]))</f>
        <v>96.403611655795146</v>
      </c>
      <c r="L746" s="33">
        <v>96.403611655795146</v>
      </c>
    </row>
    <row r="747" spans="1:12">
      <c r="A747" t="s">
        <v>122</v>
      </c>
      <c r="B747">
        <v>2009</v>
      </c>
      <c r="C747" s="16">
        <v>-4.0000000000000001E-3</v>
      </c>
      <c r="D747" s="1">
        <v>29080106</v>
      </c>
      <c r="E747" s="29">
        <f>Table14[[#This Row],[Ávöxtun]]*Table14[[#This Row],[Eignir]]/SUMIFS(Table14[Eignir],Table14[Year],Table14[[#This Row],[Year]])</f>
        <v>-6.9725665399439081E-5</v>
      </c>
      <c r="F747" s="23">
        <f>IF(B747=1997, 100, IF(COUNTIF(A$1:A746,A747)=0, "NEW", F746*(1+Table14[[#This Row],[Ávöxtun]])))</f>
        <v>96.017997209171966</v>
      </c>
      <c r="G747" s="18" cm="1">
        <f t="array" ref="G747">IFERROR(_xlfn.IFS(ISNUMBER(Table14[[#This Row],[Column3]]),Table14[[#This Row],[Column3]],Table14[[#This Row],[Column3]]="NEW",Table14[[#This Row],[Column3]]),"")</f>
        <v>96.017997209171966</v>
      </c>
      <c r="H747" s="15" cm="1">
        <f t="array" ref="H747">_xlfn.IFS(Table14[[#This Row],[Column4]]="NEW",AVERAGEIFS(Table14[Column4],Table14[Year],Table14[[#This Row],[Year]]),ISNUMBER(Table14[[#This Row],[Column4]]),Table14[[#This Row],[Column4]],Table14[[#This Row],[Column4]]="",H746*(1+Table14[[#This Row],[Ávöxtun]]))</f>
        <v>96.017997209171966</v>
      </c>
      <c r="I747" cm="1">
        <f t="array" ref="I747">_xlfn.IFS(Table14[[#This Row],[Column4]]="NEW",_xlfn.XLOOKUP(Table14[[#This Row],[Year]],$M$2:$M$27,$O$2:$O$27),ISNUMBER(Table14[[#This Row],[Column4]]),Table14[[#This Row],[Column4]],Table14[[#This Row],[Column4]]="",I746*(1+Table14[[#This Row],[Ávöxtun]]))</f>
        <v>96.017997209171966</v>
      </c>
      <c r="L747" s="33">
        <v>96.017997209171966</v>
      </c>
    </row>
    <row r="748" spans="1:12">
      <c r="A748" t="s">
        <v>122</v>
      </c>
      <c r="B748">
        <v>2010</v>
      </c>
      <c r="C748" s="16">
        <v>-2.3900000000000001E-2</v>
      </c>
      <c r="D748" s="1">
        <v>30805708</v>
      </c>
      <c r="E748" s="29">
        <f>Table14[[#This Row],[Ávöxtun]]*Table14[[#This Row],[Eignir]]/SUMIFS(Table14[Eignir],Table14[Year],Table14[[#This Row],[Year]])</f>
        <v>-4.1182568326938627E-4</v>
      </c>
      <c r="F748" s="23">
        <f>IF(B748=1997, 100, IF(COUNTIF(A$1:A747,A748)=0, "NEW", F747*(1+Table14[[#This Row],[Ávöxtun]])))</f>
        <v>93.723167075872752</v>
      </c>
      <c r="G748" s="18" cm="1">
        <f t="array" ref="G748">IFERROR(_xlfn.IFS(ISNUMBER(Table14[[#This Row],[Column3]]),Table14[[#This Row],[Column3]],Table14[[#This Row],[Column3]]="NEW",Table14[[#This Row],[Column3]]),"")</f>
        <v>93.723167075872752</v>
      </c>
      <c r="H748" s="15" cm="1">
        <f t="array" ref="H748">_xlfn.IFS(Table14[[#This Row],[Column4]]="NEW",AVERAGEIFS(Table14[Column4],Table14[Year],Table14[[#This Row],[Year]]),ISNUMBER(Table14[[#This Row],[Column4]]),Table14[[#This Row],[Column4]],Table14[[#This Row],[Column4]]="",H747*(1+Table14[[#This Row],[Ávöxtun]]))</f>
        <v>93.723167075872752</v>
      </c>
      <c r="I748" cm="1">
        <f t="array" ref="I748">_xlfn.IFS(Table14[[#This Row],[Column4]]="NEW",_xlfn.XLOOKUP(Table14[[#This Row],[Year]],$M$2:$M$27,$O$2:$O$27),ISNUMBER(Table14[[#This Row],[Column4]]),Table14[[#This Row],[Column4]],Table14[[#This Row],[Column4]]="",I747*(1+Table14[[#This Row],[Ávöxtun]]))</f>
        <v>93.723167075872752</v>
      </c>
      <c r="L748" s="33">
        <v>93.723167075872752</v>
      </c>
    </row>
    <row r="749" spans="1:12">
      <c r="A749" t="s">
        <v>122</v>
      </c>
      <c r="B749">
        <v>2011</v>
      </c>
      <c r="C749" s="16">
        <v>9.0000000000000011E-3</v>
      </c>
      <c r="D749" s="1">
        <v>33813827</v>
      </c>
      <c r="E749" s="29">
        <f>Table14[[#This Row],[Ávöxtun]]*Table14[[#This Row],[Eignir]]/SUMIFS(Table14[Eignir],Table14[Year],Table14[[#This Row],[Year]])</f>
        <v>1.560191044080671E-4</v>
      </c>
      <c r="F749" s="23">
        <f>IF(B749=1997, 100, IF(COUNTIF(A$1:A748,A749)=0, "NEW", F748*(1+Table14[[#This Row],[Ávöxtun]])))</f>
        <v>94.566675579555593</v>
      </c>
      <c r="G749" s="18" cm="1">
        <f t="array" ref="G749">IFERROR(_xlfn.IFS(ISNUMBER(Table14[[#This Row],[Column3]]),Table14[[#This Row],[Column3]],Table14[[#This Row],[Column3]]="NEW",Table14[[#This Row],[Column3]]),"")</f>
        <v>94.566675579555593</v>
      </c>
      <c r="H749" s="15" cm="1">
        <f t="array" ref="H749">_xlfn.IFS(Table14[[#This Row],[Column4]]="NEW",AVERAGEIFS(Table14[Column4],Table14[Year],Table14[[#This Row],[Year]]),ISNUMBER(Table14[[#This Row],[Column4]]),Table14[[#This Row],[Column4]],Table14[[#This Row],[Column4]]="",H748*(1+Table14[[#This Row],[Ávöxtun]]))</f>
        <v>94.566675579555593</v>
      </c>
      <c r="I749" cm="1">
        <f t="array" ref="I749">_xlfn.IFS(Table14[[#This Row],[Column4]]="NEW",_xlfn.XLOOKUP(Table14[[#This Row],[Year]],$M$2:$M$27,$O$2:$O$27),ISNUMBER(Table14[[#This Row],[Column4]]),Table14[[#This Row],[Column4]],Table14[[#This Row],[Column4]]="",I748*(1+Table14[[#This Row],[Ávöxtun]]))</f>
        <v>94.566675579555593</v>
      </c>
      <c r="L749" s="33">
        <v>94.566675579555593</v>
      </c>
    </row>
    <row r="750" spans="1:12">
      <c r="A750" t="s">
        <v>122</v>
      </c>
      <c r="B750">
        <v>2012</v>
      </c>
      <c r="C750" s="16">
        <v>5.5E-2</v>
      </c>
      <c r="D750" s="1">
        <v>39163120</v>
      </c>
      <c r="E750" s="29">
        <f>Table14[[#This Row],[Ávöxtun]]*Table14[[#This Row],[Eignir]]/SUMIFS(Table14[Eignir],Table14[Year],Table14[[#This Row],[Year]])</f>
        <v>9.7781439490282705E-4</v>
      </c>
      <c r="F750" s="23">
        <f>IF(B750=1997, 100, IF(COUNTIF(A$1:A749,A750)=0, "NEW", F749*(1+Table14[[#This Row],[Ávöxtun]])))</f>
        <v>99.767842736431149</v>
      </c>
      <c r="G750" s="18" cm="1">
        <f t="array" ref="G750">IFERROR(_xlfn.IFS(ISNUMBER(Table14[[#This Row],[Column3]]),Table14[[#This Row],[Column3]],Table14[[#This Row],[Column3]]="NEW",Table14[[#This Row],[Column3]]),"")</f>
        <v>99.767842736431149</v>
      </c>
      <c r="H750" s="15" cm="1">
        <f t="array" ref="H750">_xlfn.IFS(Table14[[#This Row],[Column4]]="NEW",AVERAGEIFS(Table14[Column4],Table14[Year],Table14[[#This Row],[Year]]),ISNUMBER(Table14[[#This Row],[Column4]]),Table14[[#This Row],[Column4]],Table14[[#This Row],[Column4]]="",H749*(1+Table14[[#This Row],[Ávöxtun]]))</f>
        <v>99.767842736431149</v>
      </c>
      <c r="I750" cm="1">
        <f t="array" ref="I750">_xlfn.IFS(Table14[[#This Row],[Column4]]="NEW",_xlfn.XLOOKUP(Table14[[#This Row],[Year]],$M$2:$M$27,$O$2:$O$27),ISNUMBER(Table14[[#This Row],[Column4]]),Table14[[#This Row],[Column4]],Table14[[#This Row],[Column4]]="",I749*(1+Table14[[#This Row],[Ávöxtun]]))</f>
        <v>99.767842736431149</v>
      </c>
      <c r="L750" s="33">
        <v>99.767842736431149</v>
      </c>
    </row>
    <row r="751" spans="1:12">
      <c r="A751" t="s">
        <v>122</v>
      </c>
      <c r="B751">
        <v>2013</v>
      </c>
      <c r="C751" s="16">
        <v>4.5999999999999999E-2</v>
      </c>
      <c r="D751" s="1">
        <v>44634884</v>
      </c>
      <c r="E751" s="29">
        <f>Table14[[#This Row],[Ávöxtun]]*Table14[[#This Row],[Eignir]]/SUMIFS(Table14[Eignir],Table14[Year],Table14[[#This Row],[Year]])</f>
        <v>8.4369737541004259E-4</v>
      </c>
      <c r="F751" s="23">
        <f>IF(B751=1997, 100, IF(COUNTIF(A$1:A750,A751)=0, "NEW", F750*(1+Table14[[#This Row],[Ávöxtun]])))</f>
        <v>104.35716350230699</v>
      </c>
      <c r="G751" s="18" cm="1">
        <f t="array" ref="G751">IFERROR(_xlfn.IFS(ISNUMBER(Table14[[#This Row],[Column3]]),Table14[[#This Row],[Column3]],Table14[[#This Row],[Column3]]="NEW",Table14[[#This Row],[Column3]]),"")</f>
        <v>104.35716350230699</v>
      </c>
      <c r="H751" s="15" cm="1">
        <f t="array" ref="H751">_xlfn.IFS(Table14[[#This Row],[Column4]]="NEW",AVERAGEIFS(Table14[Column4],Table14[Year],Table14[[#This Row],[Year]]),ISNUMBER(Table14[[#This Row],[Column4]]),Table14[[#This Row],[Column4]],Table14[[#This Row],[Column4]]="",H750*(1+Table14[[#This Row],[Ávöxtun]]))</f>
        <v>104.35716350230699</v>
      </c>
      <c r="I751" cm="1">
        <f t="array" ref="I751">_xlfn.IFS(Table14[[#This Row],[Column4]]="NEW",_xlfn.XLOOKUP(Table14[[#This Row],[Year]],$M$2:$M$27,$O$2:$O$27),ISNUMBER(Table14[[#This Row],[Column4]]),Table14[[#This Row],[Column4]],Table14[[#This Row],[Column4]]="",I750*(1+Table14[[#This Row],[Ávöxtun]]))</f>
        <v>104.35716350230699</v>
      </c>
      <c r="L751" s="33">
        <v>104.35716350230699</v>
      </c>
    </row>
    <row r="752" spans="1:12">
      <c r="A752" t="s">
        <v>123</v>
      </c>
      <c r="B752">
        <v>1997</v>
      </c>
      <c r="C752" s="16">
        <v>0.1</v>
      </c>
      <c r="D752" s="1">
        <v>53487624.140000001</v>
      </c>
      <c r="E752" s="29">
        <f>Table14[[#This Row],[Ávöxtun]]*Table14[[#This Row],[Eignir]]/SUMIFS(Table14[Eignir],Table14[Year],Table14[[#This Row],[Year]])</f>
        <v>1.5776880833618483E-2</v>
      </c>
      <c r="F752" s="23">
        <f>IF(B752=1997, 100, IF(COUNTIF(A$1:A751,A752)=0, "NEW", F751*(1+Table14[[#This Row],[Ávöxtun]])))</f>
        <v>100</v>
      </c>
      <c r="G752" s="18" cm="1">
        <f t="array" ref="G752">IFERROR(_xlfn.IFS(ISNUMBER(Table14[[#This Row],[Column3]]),Table14[[#This Row],[Column3]],Table14[[#This Row],[Column3]]="NEW",Table14[[#This Row],[Column3]]),"")</f>
        <v>100</v>
      </c>
      <c r="H752" s="15" cm="1">
        <f t="array" ref="H752">_xlfn.IFS(Table14[[#This Row],[Column4]]="NEW",AVERAGEIFS(Table14[Column4],Table14[Year],Table14[[#This Row],[Year]]),ISNUMBER(Table14[[#This Row],[Column4]]),Table14[[#This Row],[Column4]],Table14[[#This Row],[Column4]]="",H751*(1+Table14[[#This Row],[Ávöxtun]]))</f>
        <v>100</v>
      </c>
      <c r="I752" cm="1">
        <f t="array" ref="I752">_xlfn.IFS(Table14[[#This Row],[Column4]]="NEW",_xlfn.XLOOKUP(Table14[[#This Row],[Year]],$M$2:$M$27,$O$2:$O$27),ISNUMBER(Table14[[#This Row],[Column4]]),Table14[[#This Row],[Column4]],Table14[[#This Row],[Column4]]="",I751*(1+Table14[[#This Row],[Ávöxtun]]))</f>
        <v>100</v>
      </c>
      <c r="L752" s="33">
        <v>100</v>
      </c>
    </row>
    <row r="753" spans="1:12">
      <c r="A753" t="s">
        <v>123</v>
      </c>
      <c r="B753">
        <v>1998</v>
      </c>
      <c r="C753" s="16">
        <v>0.08</v>
      </c>
      <c r="D753" s="1">
        <v>60934619.640000001</v>
      </c>
      <c r="E753" s="29">
        <f>Table14[[#This Row],[Ávöxtun]]*Table14[[#This Row],[Eignir]]/SUMIFS(Table14[Eignir],Table14[Year],Table14[[#This Row],[Year]])</f>
        <v>1.2447229387679641E-2</v>
      </c>
      <c r="F753" s="23">
        <f>IF(B753=1997, 100, IF(COUNTIF(A$1:A752,A753)=0, "NEW", F752*(1+Table14[[#This Row],[Ávöxtun]])))</f>
        <v>108</v>
      </c>
      <c r="G753" s="18" cm="1">
        <f t="array" ref="G753">IFERROR(_xlfn.IFS(ISNUMBER(Table14[[#This Row],[Column3]]),Table14[[#This Row],[Column3]],Table14[[#This Row],[Column3]]="NEW",Table14[[#This Row],[Column3]]),"")</f>
        <v>108</v>
      </c>
      <c r="H753" s="15" cm="1">
        <f t="array" ref="H753">_xlfn.IFS(Table14[[#This Row],[Column4]]="NEW",AVERAGEIFS(Table14[Column4],Table14[Year],Table14[[#This Row],[Year]]),ISNUMBER(Table14[[#This Row],[Column4]]),Table14[[#This Row],[Column4]],Table14[[#This Row],[Column4]]="",H752*(1+Table14[[#This Row],[Ávöxtun]]))</f>
        <v>108</v>
      </c>
      <c r="I753" cm="1">
        <f t="array" ref="I753">_xlfn.IFS(Table14[[#This Row],[Column4]]="NEW",_xlfn.XLOOKUP(Table14[[#This Row],[Year]],$M$2:$M$27,$O$2:$O$27),ISNUMBER(Table14[[#This Row],[Column4]]),Table14[[#This Row],[Column4]],Table14[[#This Row],[Column4]]="",I752*(1+Table14[[#This Row],[Ávöxtun]]))</f>
        <v>108</v>
      </c>
      <c r="L753" s="33">
        <v>108</v>
      </c>
    </row>
    <row r="754" spans="1:12">
      <c r="A754" t="s">
        <v>123</v>
      </c>
      <c r="B754">
        <v>1999</v>
      </c>
      <c r="C754" s="16">
        <v>0.12</v>
      </c>
      <c r="D754" s="1">
        <v>76658047.469999999</v>
      </c>
      <c r="E754" s="29">
        <f>Table14[[#This Row],[Ávöxtun]]*Table14[[#This Row],[Eignir]]/SUMIFS(Table14[Eignir],Table14[Year],Table14[[#This Row],[Year]])</f>
        <v>1.7665970647219805E-2</v>
      </c>
      <c r="F754" s="23">
        <f>IF(B754=1997, 100, IF(COUNTIF(A$1:A753,A754)=0, "NEW", F753*(1+Table14[[#This Row],[Ávöxtun]])))</f>
        <v>120.96000000000001</v>
      </c>
      <c r="G754" s="18" cm="1">
        <f t="array" ref="G754">IFERROR(_xlfn.IFS(ISNUMBER(Table14[[#This Row],[Column3]]),Table14[[#This Row],[Column3]],Table14[[#This Row],[Column3]]="NEW",Table14[[#This Row],[Column3]]),"")</f>
        <v>120.96000000000001</v>
      </c>
      <c r="H754" s="15" cm="1">
        <f t="array" ref="H754">_xlfn.IFS(Table14[[#This Row],[Column4]]="NEW",AVERAGEIFS(Table14[Column4],Table14[Year],Table14[[#This Row],[Year]]),ISNUMBER(Table14[[#This Row],[Column4]]),Table14[[#This Row],[Column4]],Table14[[#This Row],[Column4]]="",H753*(1+Table14[[#This Row],[Ávöxtun]]))</f>
        <v>120.96000000000001</v>
      </c>
      <c r="I754" cm="1">
        <f t="array" ref="I754">_xlfn.IFS(Table14[[#This Row],[Column4]]="NEW",_xlfn.XLOOKUP(Table14[[#This Row],[Year]],$M$2:$M$27,$O$2:$O$27),ISNUMBER(Table14[[#This Row],[Column4]]),Table14[[#This Row],[Column4]],Table14[[#This Row],[Column4]]="",I753*(1+Table14[[#This Row],[Ávöxtun]]))</f>
        <v>120.96000000000001</v>
      </c>
      <c r="L754" s="33">
        <v>120.96000000000001</v>
      </c>
    </row>
    <row r="755" spans="1:12">
      <c r="A755" t="s">
        <v>123</v>
      </c>
      <c r="B755">
        <v>2000</v>
      </c>
      <c r="C755" s="16">
        <v>0.01</v>
      </c>
      <c r="D755" s="1">
        <v>86298797.840000004</v>
      </c>
      <c r="E755" s="29">
        <f>Table14[[#This Row],[Ávöxtun]]*Table14[[#This Row],[Eignir]]/SUMIFS(Table14[Eignir],Table14[Year],Table14[[#This Row],[Year]])</f>
        <v>1.2139548023112313E-3</v>
      </c>
      <c r="F755" s="23">
        <f>IF(B755=1997, 100, IF(COUNTIF(A$1:A754,A755)=0, "NEW", F754*(1+Table14[[#This Row],[Ávöxtun]])))</f>
        <v>122.1696</v>
      </c>
      <c r="G755" s="18" cm="1">
        <f t="array" ref="G755">IFERROR(_xlfn.IFS(ISNUMBER(Table14[[#This Row],[Column3]]),Table14[[#This Row],[Column3]],Table14[[#This Row],[Column3]]="NEW",Table14[[#This Row],[Column3]]),"")</f>
        <v>122.1696</v>
      </c>
      <c r="H755" s="15" cm="1">
        <f t="array" ref="H755">_xlfn.IFS(Table14[[#This Row],[Column4]]="NEW",AVERAGEIFS(Table14[Column4],Table14[Year],Table14[[#This Row],[Year]]),ISNUMBER(Table14[[#This Row],[Column4]]),Table14[[#This Row],[Column4]],Table14[[#This Row],[Column4]]="",H754*(1+Table14[[#This Row],[Ávöxtun]]))</f>
        <v>122.1696</v>
      </c>
      <c r="I755" cm="1">
        <f t="array" ref="I755">_xlfn.IFS(Table14[[#This Row],[Column4]]="NEW",_xlfn.XLOOKUP(Table14[[#This Row],[Year]],$M$2:$M$27,$O$2:$O$27),ISNUMBER(Table14[[#This Row],[Column4]]),Table14[[#This Row],[Column4]],Table14[[#This Row],[Column4]]="",I754*(1+Table14[[#This Row],[Ávöxtun]]))</f>
        <v>122.1696</v>
      </c>
      <c r="L755" s="33">
        <v>122.1696</v>
      </c>
    </row>
    <row r="756" spans="1:12">
      <c r="A756" t="s">
        <v>123</v>
      </c>
      <c r="B756">
        <v>2001</v>
      </c>
      <c r="C756" s="16">
        <v>-0.02</v>
      </c>
      <c r="D756" s="1">
        <v>196771470</v>
      </c>
      <c r="E756" s="29">
        <f>Table14[[#This Row],[Ávöxtun]]*Table14[[#This Row],[Eignir]]/SUMIFS(Table14[Eignir],Table14[Year],Table14[[#This Row],[Year]])</f>
        <v>-3.3987183348409972E-3</v>
      </c>
      <c r="F756" s="23">
        <f>IF(B756=1997, 100, IF(COUNTIF(A$1:A755,A756)=0, "NEW", F755*(1+Table14[[#This Row],[Ávöxtun]])))</f>
        <v>119.726208</v>
      </c>
      <c r="G756" s="18" cm="1">
        <f t="array" ref="G756">IFERROR(_xlfn.IFS(ISNUMBER(Table14[[#This Row],[Column3]]),Table14[[#This Row],[Column3]],Table14[[#This Row],[Column3]]="NEW",Table14[[#This Row],[Column3]]),"")</f>
        <v>119.726208</v>
      </c>
      <c r="H756" s="15" cm="1">
        <f t="array" ref="H756">_xlfn.IFS(Table14[[#This Row],[Column4]]="NEW",AVERAGEIFS(Table14[Column4],Table14[Year],Table14[[#This Row],[Year]]),ISNUMBER(Table14[[#This Row],[Column4]]),Table14[[#This Row],[Column4]],Table14[[#This Row],[Column4]]="",H755*(1+Table14[[#This Row],[Ávöxtun]]))</f>
        <v>119.726208</v>
      </c>
      <c r="I756" cm="1">
        <f t="array" ref="I756">_xlfn.IFS(Table14[[#This Row],[Column4]]="NEW",_xlfn.XLOOKUP(Table14[[#This Row],[Year]],$M$2:$M$27,$O$2:$O$27),ISNUMBER(Table14[[#This Row],[Column4]]),Table14[[#This Row],[Column4]],Table14[[#This Row],[Column4]]="",I755*(1+Table14[[#This Row],[Ávöxtun]]))</f>
        <v>119.726208</v>
      </c>
      <c r="L756" s="33">
        <v>119.726208</v>
      </c>
    </row>
    <row r="757" spans="1:12">
      <c r="A757" t="s">
        <v>123</v>
      </c>
      <c r="B757">
        <v>2002</v>
      </c>
      <c r="C757" s="16">
        <v>-0.03</v>
      </c>
      <c r="D757" s="1">
        <v>102177838</v>
      </c>
      <c r="E757" s="29">
        <f>Table14[[#This Row],[Ávöxtun]]*Table14[[#This Row],[Eignir]]/SUMIFS(Table14[Eignir],Table14[Year],Table14[[#This Row],[Year]])</f>
        <v>-4.8260518390858213E-3</v>
      </c>
      <c r="F757" s="23">
        <f>IF(B757=1997, 100, IF(COUNTIF(A$1:A756,A757)=0, "NEW", F756*(1+Table14[[#This Row],[Ávöxtun]])))</f>
        <v>116.13442176</v>
      </c>
      <c r="G757" s="18" cm="1">
        <f t="array" ref="G757">IFERROR(_xlfn.IFS(ISNUMBER(Table14[[#This Row],[Column3]]),Table14[[#This Row],[Column3]],Table14[[#This Row],[Column3]]="NEW",Table14[[#This Row],[Column3]]),"")</f>
        <v>116.13442176</v>
      </c>
      <c r="H757" s="15" cm="1">
        <f t="array" ref="H757">_xlfn.IFS(Table14[[#This Row],[Column4]]="NEW",AVERAGEIFS(Table14[Column4],Table14[Year],Table14[[#This Row],[Year]]),ISNUMBER(Table14[[#This Row],[Column4]]),Table14[[#This Row],[Column4]],Table14[[#This Row],[Column4]]="",H756*(1+Table14[[#This Row],[Ávöxtun]]))</f>
        <v>116.13442176</v>
      </c>
      <c r="I757" cm="1">
        <f t="array" ref="I757">_xlfn.IFS(Table14[[#This Row],[Column4]]="NEW",_xlfn.XLOOKUP(Table14[[#This Row],[Year]],$M$2:$M$27,$O$2:$O$27),ISNUMBER(Table14[[#This Row],[Column4]]),Table14[[#This Row],[Column4]],Table14[[#This Row],[Column4]]="",I756*(1+Table14[[#This Row],[Ávöxtun]]))</f>
        <v>116.13442176</v>
      </c>
      <c r="L757" s="33">
        <v>116.13442176</v>
      </c>
    </row>
    <row r="758" spans="1:12">
      <c r="A758" t="s">
        <v>123</v>
      </c>
      <c r="B758">
        <v>2003</v>
      </c>
      <c r="C758" s="16">
        <v>0.12</v>
      </c>
      <c r="D758" s="1">
        <v>122001974</v>
      </c>
      <c r="E758" s="29">
        <f>Table14[[#This Row],[Ávöxtun]]*Table14[[#This Row],[Eignir]]/SUMIFS(Table14[Eignir],Table14[Year],Table14[[#This Row],[Year]])</f>
        <v>1.9266222750824291E-2</v>
      </c>
      <c r="F758" s="23">
        <f>IF(B758=1997, 100, IF(COUNTIF(A$1:A757,A758)=0, "NEW", F757*(1+Table14[[#This Row],[Ávöxtun]])))</f>
        <v>130.07055237119999</v>
      </c>
      <c r="G758" s="18" cm="1">
        <f t="array" ref="G758">IFERROR(_xlfn.IFS(ISNUMBER(Table14[[#This Row],[Column3]]),Table14[[#This Row],[Column3]],Table14[[#This Row],[Column3]]="NEW",Table14[[#This Row],[Column3]]),"")</f>
        <v>130.07055237119999</v>
      </c>
      <c r="H758" s="15" cm="1">
        <f t="array" ref="H758">_xlfn.IFS(Table14[[#This Row],[Column4]]="NEW",AVERAGEIFS(Table14[Column4],Table14[Year],Table14[[#This Row],[Year]]),ISNUMBER(Table14[[#This Row],[Column4]]),Table14[[#This Row],[Column4]],Table14[[#This Row],[Column4]]="",H757*(1+Table14[[#This Row],[Ávöxtun]]))</f>
        <v>130.07055237119999</v>
      </c>
      <c r="I758" cm="1">
        <f t="array" ref="I758">_xlfn.IFS(Table14[[#This Row],[Column4]]="NEW",_xlfn.XLOOKUP(Table14[[#This Row],[Year]],$M$2:$M$27,$O$2:$O$27),ISNUMBER(Table14[[#This Row],[Column4]]),Table14[[#This Row],[Column4]],Table14[[#This Row],[Column4]]="",I757*(1+Table14[[#This Row],[Ávöxtun]]))</f>
        <v>130.07055237119999</v>
      </c>
      <c r="L758" s="33">
        <v>130.07055237119999</v>
      </c>
    </row>
    <row r="759" spans="1:12">
      <c r="A759" t="s">
        <v>123</v>
      </c>
      <c r="B759">
        <v>2004</v>
      </c>
      <c r="C759" s="16">
        <v>0.12</v>
      </c>
      <c r="D759" s="1">
        <v>147947805</v>
      </c>
      <c r="E759" s="29">
        <f>Table14[[#This Row],[Ávöxtun]]*Table14[[#This Row],[Eignir]]/SUMIFS(Table14[Eignir],Table14[Year],Table14[[#This Row],[Year]])</f>
        <v>1.955967288306306E-2</v>
      </c>
      <c r="F759" s="23">
        <f>IF(B759=1997, 100, IF(COUNTIF(A$1:A758,A759)=0, "NEW", F758*(1+Table14[[#This Row],[Ávöxtun]])))</f>
        <v>145.67901865574402</v>
      </c>
      <c r="G759" s="18" cm="1">
        <f t="array" ref="G759">IFERROR(_xlfn.IFS(ISNUMBER(Table14[[#This Row],[Column3]]),Table14[[#This Row],[Column3]],Table14[[#This Row],[Column3]]="NEW",Table14[[#This Row],[Column3]]),"")</f>
        <v>145.67901865574402</v>
      </c>
      <c r="H759" s="15" cm="1">
        <f t="array" ref="H759">_xlfn.IFS(Table14[[#This Row],[Column4]]="NEW",AVERAGEIFS(Table14[Column4],Table14[Year],Table14[[#This Row],[Year]]),ISNUMBER(Table14[[#This Row],[Column4]]),Table14[[#This Row],[Column4]],Table14[[#This Row],[Column4]]="",H758*(1+Table14[[#This Row],[Ávöxtun]]))</f>
        <v>145.67901865574402</v>
      </c>
      <c r="I759" cm="1">
        <f t="array" ref="I759">_xlfn.IFS(Table14[[#This Row],[Column4]]="NEW",_xlfn.XLOOKUP(Table14[[#This Row],[Year]],$M$2:$M$27,$O$2:$O$27),ISNUMBER(Table14[[#This Row],[Column4]]),Table14[[#This Row],[Column4]],Table14[[#This Row],[Column4]]="",I758*(1+Table14[[#This Row],[Ávöxtun]]))</f>
        <v>145.67901865574402</v>
      </c>
      <c r="L759" s="33">
        <v>145.67901865574402</v>
      </c>
    </row>
    <row r="760" spans="1:12">
      <c r="A760" t="s">
        <v>123</v>
      </c>
      <c r="B760">
        <v>2005</v>
      </c>
      <c r="C760" s="16">
        <v>0.16</v>
      </c>
      <c r="D760" s="1">
        <v>187856735</v>
      </c>
      <c r="E760" s="29">
        <f>Table14[[#This Row],[Ávöxtun]]*Table14[[#This Row],[Eignir]]/SUMIFS(Table14[Eignir],Table14[Year],Table14[[#This Row],[Year]])</f>
        <v>2.6804660630788492E-2</v>
      </c>
      <c r="F760" s="23">
        <f>IF(B760=1997, 100, IF(COUNTIF(A$1:A759,A760)=0, "NEW", F759*(1+Table14[[#This Row],[Ávöxtun]])))</f>
        <v>168.98766164066305</v>
      </c>
      <c r="G760" s="18" cm="1">
        <f t="array" ref="G760">IFERROR(_xlfn.IFS(ISNUMBER(Table14[[#This Row],[Column3]]),Table14[[#This Row],[Column3]],Table14[[#This Row],[Column3]]="NEW",Table14[[#This Row],[Column3]]),"")</f>
        <v>168.98766164066305</v>
      </c>
      <c r="H760" s="15" cm="1">
        <f t="array" ref="H760">_xlfn.IFS(Table14[[#This Row],[Column4]]="NEW",AVERAGEIFS(Table14[Column4],Table14[Year],Table14[[#This Row],[Year]]),ISNUMBER(Table14[[#This Row],[Column4]]),Table14[[#This Row],[Column4]],Table14[[#This Row],[Column4]]="",H759*(1+Table14[[#This Row],[Ávöxtun]]))</f>
        <v>168.98766164066305</v>
      </c>
      <c r="I760" cm="1">
        <f t="array" ref="I760">_xlfn.IFS(Table14[[#This Row],[Column4]]="NEW",_xlfn.XLOOKUP(Table14[[#This Row],[Year]],$M$2:$M$27,$O$2:$O$27),ISNUMBER(Table14[[#This Row],[Column4]]),Table14[[#This Row],[Column4]],Table14[[#This Row],[Column4]]="",I759*(1+Table14[[#This Row],[Ávöxtun]]))</f>
        <v>168.98766164066305</v>
      </c>
      <c r="L760" s="33">
        <v>168.98766164066305</v>
      </c>
    </row>
    <row r="761" spans="1:12">
      <c r="A761" t="s">
        <v>123</v>
      </c>
      <c r="B761">
        <v>2006</v>
      </c>
      <c r="C761" s="16">
        <v>0.12620000000000001</v>
      </c>
      <c r="D761" s="1">
        <v>235020727</v>
      </c>
      <c r="E761" s="29">
        <f>Table14[[#This Row],[Ávöxtun]]*Table14[[#This Row],[Eignir]]/SUMIFS(Table14[Eignir],Table14[Year],Table14[[#This Row],[Year]])</f>
        <v>2.1607155312670955E-2</v>
      </c>
      <c r="F761" s="23">
        <f>IF(B761=1997, 100, IF(COUNTIF(A$1:A760,A761)=0, "NEW", F760*(1+Table14[[#This Row],[Ávöxtun]])))</f>
        <v>190.31390453971474</v>
      </c>
      <c r="G761" s="18" cm="1">
        <f t="array" ref="G761">IFERROR(_xlfn.IFS(ISNUMBER(Table14[[#This Row],[Column3]]),Table14[[#This Row],[Column3]],Table14[[#This Row],[Column3]]="NEW",Table14[[#This Row],[Column3]]),"")</f>
        <v>190.31390453971474</v>
      </c>
      <c r="H761" s="15" cm="1">
        <f t="array" ref="H761">_xlfn.IFS(Table14[[#This Row],[Column4]]="NEW",AVERAGEIFS(Table14[Column4],Table14[Year],Table14[[#This Row],[Year]]),ISNUMBER(Table14[[#This Row],[Column4]]),Table14[[#This Row],[Column4]],Table14[[#This Row],[Column4]]="",H760*(1+Table14[[#This Row],[Ávöxtun]]))</f>
        <v>190.31390453971474</v>
      </c>
      <c r="I761" cm="1">
        <f t="array" ref="I761">_xlfn.IFS(Table14[[#This Row],[Column4]]="NEW",_xlfn.XLOOKUP(Table14[[#This Row],[Year]],$M$2:$M$27,$O$2:$O$27),ISNUMBER(Table14[[#This Row],[Column4]]),Table14[[#This Row],[Column4]],Table14[[#This Row],[Column4]]="",I760*(1+Table14[[#This Row],[Ávöxtun]]))</f>
        <v>190.31390453971474</v>
      </c>
      <c r="L761" s="33">
        <v>190.31390453971474</v>
      </c>
    </row>
    <row r="762" spans="1:12">
      <c r="A762" t="s">
        <v>123</v>
      </c>
      <c r="B762">
        <v>2007</v>
      </c>
      <c r="C762" s="16">
        <v>1.0500000000000001E-2</v>
      </c>
      <c r="D762" s="1">
        <v>262908922</v>
      </c>
      <c r="E762" s="29">
        <f>Table14[[#This Row],[Ávöxtun]]*Table14[[#This Row],[Eignir]]/SUMIFS(Table14[Eignir],Table14[Year],Table14[[#This Row],[Year]])</f>
        <v>1.7851328211213352E-3</v>
      </c>
      <c r="F762" s="23">
        <f>IF(B762=1997, 100, IF(COUNTIF(A$1:A761,A762)=0, "NEW", F761*(1+Table14[[#This Row],[Ávöxtun]])))</f>
        <v>192.31220053738173</v>
      </c>
      <c r="G762" s="18" cm="1">
        <f t="array" ref="G762">IFERROR(_xlfn.IFS(ISNUMBER(Table14[[#This Row],[Column3]]),Table14[[#This Row],[Column3]],Table14[[#This Row],[Column3]]="NEW",Table14[[#This Row],[Column3]]),"")</f>
        <v>192.31220053738173</v>
      </c>
      <c r="H762" s="15" cm="1">
        <f t="array" ref="H762">_xlfn.IFS(Table14[[#This Row],[Column4]]="NEW",AVERAGEIFS(Table14[Column4],Table14[Year],Table14[[#This Row],[Year]]),ISNUMBER(Table14[[#This Row],[Column4]]),Table14[[#This Row],[Column4]],Table14[[#This Row],[Column4]]="",H761*(1+Table14[[#This Row],[Ávöxtun]]))</f>
        <v>192.31220053738173</v>
      </c>
      <c r="I762" cm="1">
        <f t="array" ref="I762">_xlfn.IFS(Table14[[#This Row],[Column4]]="NEW",_xlfn.XLOOKUP(Table14[[#This Row],[Year]],$M$2:$M$27,$O$2:$O$27),ISNUMBER(Table14[[#This Row],[Column4]]),Table14[[#This Row],[Column4]],Table14[[#This Row],[Column4]]="",I761*(1+Table14[[#This Row],[Ávöxtun]]))</f>
        <v>192.31220053738173</v>
      </c>
      <c r="L762" s="33">
        <v>192.31220053738173</v>
      </c>
    </row>
    <row r="763" spans="1:12">
      <c r="A763" t="s">
        <v>123</v>
      </c>
      <c r="B763">
        <v>2008</v>
      </c>
      <c r="C763" s="16">
        <v>-0.24170000000000003</v>
      </c>
      <c r="D763" s="1">
        <v>258300154</v>
      </c>
      <c r="E763" s="29">
        <f>Table14[[#This Row],[Ávöxtun]]*Table14[[#This Row],[Eignir]]/SUMIFS(Table14[Eignir],Table14[Year],Table14[[#This Row],[Year]])</f>
        <v>-4.1695318768585732E-2</v>
      </c>
      <c r="F763" s="23">
        <f>IF(B763=1997, 100, IF(COUNTIF(A$1:A762,A763)=0, "NEW", F762*(1+Table14[[#This Row],[Ávöxtun]])))</f>
        <v>145.83034166749655</v>
      </c>
      <c r="G763" s="18" cm="1">
        <f t="array" ref="G763">IFERROR(_xlfn.IFS(ISNUMBER(Table14[[#This Row],[Column3]]),Table14[[#This Row],[Column3]],Table14[[#This Row],[Column3]]="NEW",Table14[[#This Row],[Column3]]),"")</f>
        <v>145.83034166749655</v>
      </c>
      <c r="H763" s="15" cm="1">
        <f t="array" ref="H763">_xlfn.IFS(Table14[[#This Row],[Column4]]="NEW",AVERAGEIFS(Table14[Column4],Table14[Year],Table14[[#This Row],[Year]]),ISNUMBER(Table14[[#This Row],[Column4]]),Table14[[#This Row],[Column4]],Table14[[#This Row],[Column4]]="",H762*(1+Table14[[#This Row],[Ávöxtun]]))</f>
        <v>145.83034166749655</v>
      </c>
      <c r="I763" cm="1">
        <f t="array" ref="I763">_xlfn.IFS(Table14[[#This Row],[Column4]]="NEW",_xlfn.XLOOKUP(Table14[[#This Row],[Year]],$M$2:$M$27,$O$2:$O$27),ISNUMBER(Table14[[#This Row],[Column4]]),Table14[[#This Row],[Column4]],Table14[[#This Row],[Column4]]="",I762*(1+Table14[[#This Row],[Ávöxtun]]))</f>
        <v>145.83034166749655</v>
      </c>
      <c r="L763" s="33">
        <v>145.83034166749655</v>
      </c>
    </row>
    <row r="764" spans="1:12">
      <c r="A764" t="s">
        <v>123</v>
      </c>
      <c r="B764">
        <v>2009</v>
      </c>
      <c r="C764" s="16">
        <v>1.15E-2</v>
      </c>
      <c r="D764" s="1">
        <v>295119276</v>
      </c>
      <c r="E764" s="29">
        <f>Table14[[#This Row],[Ávöxtun]]*Table14[[#This Row],[Eignir]]/SUMIFS(Table14[Eignir],Table14[Year],Table14[[#This Row],[Year]])</f>
        <v>2.0343801424757375E-3</v>
      </c>
      <c r="F764" s="23">
        <f>IF(B764=1997, 100, IF(COUNTIF(A$1:A763,A764)=0, "NEW", F763*(1+Table14[[#This Row],[Ávöxtun]])))</f>
        <v>147.50739059667276</v>
      </c>
      <c r="G764" s="18" cm="1">
        <f t="array" ref="G764">IFERROR(_xlfn.IFS(ISNUMBER(Table14[[#This Row],[Column3]]),Table14[[#This Row],[Column3]],Table14[[#This Row],[Column3]]="NEW",Table14[[#This Row],[Column3]]),"")</f>
        <v>147.50739059667276</v>
      </c>
      <c r="H764" s="15" cm="1">
        <f t="array" ref="H764">_xlfn.IFS(Table14[[#This Row],[Column4]]="NEW",AVERAGEIFS(Table14[Column4],Table14[Year],Table14[[#This Row],[Year]]),ISNUMBER(Table14[[#This Row],[Column4]]),Table14[[#This Row],[Column4]],Table14[[#This Row],[Column4]]="",H763*(1+Table14[[#This Row],[Ávöxtun]]))</f>
        <v>147.50739059667276</v>
      </c>
      <c r="I764" cm="1">
        <f t="array" ref="I764">_xlfn.IFS(Table14[[#This Row],[Column4]]="NEW",_xlfn.XLOOKUP(Table14[[#This Row],[Year]],$M$2:$M$27,$O$2:$O$27),ISNUMBER(Table14[[#This Row],[Column4]]),Table14[[#This Row],[Column4]],Table14[[#This Row],[Column4]]="",I763*(1+Table14[[#This Row],[Ávöxtun]]))</f>
        <v>147.50739059667276</v>
      </c>
      <c r="L764" s="33">
        <v>147.50739059667276</v>
      </c>
    </row>
    <row r="765" spans="1:12">
      <c r="A765" t="s">
        <v>123</v>
      </c>
      <c r="B765">
        <v>2010</v>
      </c>
      <c r="C765" s="16">
        <v>3.4500000000000003E-2</v>
      </c>
      <c r="D765" s="1">
        <v>323005716</v>
      </c>
      <c r="E765" s="29">
        <f>Table14[[#This Row],[Ávöxtun]]*Table14[[#This Row],[Eignir]]/SUMIFS(Table14[Eignir],Table14[Year],Table14[[#This Row],[Year]])</f>
        <v>6.2332369297111384E-3</v>
      </c>
      <c r="F765" s="23">
        <f>IF(B765=1997, 100, IF(COUNTIF(A$1:A764,A765)=0, "NEW", F764*(1+Table14[[#This Row],[Ávöxtun]])))</f>
        <v>152.59639557225796</v>
      </c>
      <c r="G765" s="18" cm="1">
        <f t="array" ref="G765">IFERROR(_xlfn.IFS(ISNUMBER(Table14[[#This Row],[Column3]]),Table14[[#This Row],[Column3]],Table14[[#This Row],[Column3]]="NEW",Table14[[#This Row],[Column3]]),"")</f>
        <v>152.59639557225796</v>
      </c>
      <c r="H765" s="15" cm="1">
        <f t="array" ref="H765">_xlfn.IFS(Table14[[#This Row],[Column4]]="NEW",AVERAGEIFS(Table14[Column4],Table14[Year],Table14[[#This Row],[Year]]),ISNUMBER(Table14[[#This Row],[Column4]]),Table14[[#This Row],[Column4]],Table14[[#This Row],[Column4]]="",H764*(1+Table14[[#This Row],[Ávöxtun]]))</f>
        <v>152.59639557225796</v>
      </c>
      <c r="I765" cm="1">
        <f t="array" ref="I765">_xlfn.IFS(Table14[[#This Row],[Column4]]="NEW",_xlfn.XLOOKUP(Table14[[#This Row],[Year]],$M$2:$M$27,$O$2:$O$27),ISNUMBER(Table14[[#This Row],[Column4]]),Table14[[#This Row],[Column4]],Table14[[#This Row],[Column4]]="",I764*(1+Table14[[#This Row],[Ávöxtun]]))</f>
        <v>152.59639557225796</v>
      </c>
      <c r="L765" s="33">
        <v>152.59639557225796</v>
      </c>
    </row>
    <row r="766" spans="1:12">
      <c r="A766" t="s">
        <v>123</v>
      </c>
      <c r="B766">
        <v>2011</v>
      </c>
      <c r="C766" s="16">
        <v>2.7999999999999997E-2</v>
      </c>
      <c r="D766" s="1">
        <v>362654454</v>
      </c>
      <c r="E766" s="29">
        <f>Table14[[#This Row],[Ávöxtun]]*Table14[[#This Row],[Eignir]]/SUMIFS(Table14[Eignir],Table14[Year],Table14[[#This Row],[Year]])</f>
        <v>5.2058540937999637E-3</v>
      </c>
      <c r="F766" s="23">
        <f>IF(B766=1997, 100, IF(COUNTIF(A$1:A765,A766)=0, "NEW", F765*(1+Table14[[#This Row],[Ávöxtun]])))</f>
        <v>156.86909464828119</v>
      </c>
      <c r="G766" s="18" cm="1">
        <f t="array" ref="G766">IFERROR(_xlfn.IFS(ISNUMBER(Table14[[#This Row],[Column3]]),Table14[[#This Row],[Column3]],Table14[[#This Row],[Column3]]="NEW",Table14[[#This Row],[Column3]]),"")</f>
        <v>156.86909464828119</v>
      </c>
      <c r="H766" s="15" cm="1">
        <f t="array" ref="H766">_xlfn.IFS(Table14[[#This Row],[Column4]]="NEW",AVERAGEIFS(Table14[Column4],Table14[Year],Table14[[#This Row],[Year]]),ISNUMBER(Table14[[#This Row],[Column4]]),Table14[[#This Row],[Column4]],Table14[[#This Row],[Column4]]="",H765*(1+Table14[[#This Row],[Ávöxtun]]))</f>
        <v>156.86909464828119</v>
      </c>
      <c r="I766" cm="1">
        <f t="array" ref="I766">_xlfn.IFS(Table14[[#This Row],[Column4]]="NEW",_xlfn.XLOOKUP(Table14[[#This Row],[Year]],$M$2:$M$27,$O$2:$O$27),ISNUMBER(Table14[[#This Row],[Column4]]),Table14[[#This Row],[Column4]],Table14[[#This Row],[Column4]]="",I765*(1+Table14[[#This Row],[Ávöxtun]]))</f>
        <v>156.86909464828119</v>
      </c>
      <c r="L766" s="33">
        <v>156.86909464828119</v>
      </c>
    </row>
    <row r="767" spans="1:12">
      <c r="A767" t="s">
        <v>123</v>
      </c>
      <c r="B767">
        <v>2012</v>
      </c>
      <c r="C767" s="16">
        <v>8.5000000000000006E-2</v>
      </c>
      <c r="D767" s="1">
        <v>407954953</v>
      </c>
      <c r="E767" s="29">
        <f>Table14[[#This Row],[Ávöxtun]]*Table14[[#This Row],[Eignir]]/SUMIFS(Table14[Eignir],Table14[Year],Table14[[#This Row],[Year]])</f>
        <v>1.5741553495320474E-2</v>
      </c>
      <c r="F767" s="23">
        <f>IF(B767=1997, 100, IF(COUNTIF(A$1:A766,A767)=0, "NEW", F766*(1+Table14[[#This Row],[Ávöxtun]])))</f>
        <v>170.20296769338509</v>
      </c>
      <c r="G767" s="18" cm="1">
        <f t="array" ref="G767">IFERROR(_xlfn.IFS(ISNUMBER(Table14[[#This Row],[Column3]]),Table14[[#This Row],[Column3]],Table14[[#This Row],[Column3]]="NEW",Table14[[#This Row],[Column3]]),"")</f>
        <v>170.20296769338509</v>
      </c>
      <c r="H767" s="15" cm="1">
        <f t="array" ref="H767">_xlfn.IFS(Table14[[#This Row],[Column4]]="NEW",AVERAGEIFS(Table14[Column4],Table14[Year],Table14[[#This Row],[Year]]),ISNUMBER(Table14[[#This Row],[Column4]]),Table14[[#This Row],[Column4]],Table14[[#This Row],[Column4]]="",H766*(1+Table14[[#This Row],[Ávöxtun]]))</f>
        <v>170.20296769338509</v>
      </c>
      <c r="I767" cm="1">
        <f t="array" ref="I767">_xlfn.IFS(Table14[[#This Row],[Column4]]="NEW",_xlfn.XLOOKUP(Table14[[#This Row],[Year]],$M$2:$M$27,$O$2:$O$27),ISNUMBER(Table14[[#This Row],[Column4]]),Table14[[#This Row],[Column4]],Table14[[#This Row],[Column4]]="",I766*(1+Table14[[#This Row],[Ávöxtun]]))</f>
        <v>170.20296769338509</v>
      </c>
      <c r="L767" s="33">
        <v>170.20296769338509</v>
      </c>
    </row>
    <row r="768" spans="1:12">
      <c r="A768" t="s">
        <v>123</v>
      </c>
      <c r="B768">
        <v>2013</v>
      </c>
      <c r="C768" s="16">
        <v>6.3E-2</v>
      </c>
      <c r="D768" s="1">
        <v>459656722</v>
      </c>
      <c r="E768" s="29">
        <f>Table14[[#This Row],[Ávöxtun]]*Table14[[#This Row],[Eignir]]/SUMIFS(Table14[Eignir],Table14[Year],Table14[[#This Row],[Year]])</f>
        <v>1.1899497470789873E-2</v>
      </c>
      <c r="F768" s="23">
        <f>IF(B768=1997, 100, IF(COUNTIF(A$1:A767,A768)=0, "NEW", F767*(1+Table14[[#This Row],[Ávöxtun]])))</f>
        <v>180.92575465806834</v>
      </c>
      <c r="G768" s="18" cm="1">
        <f t="array" ref="G768">IFERROR(_xlfn.IFS(ISNUMBER(Table14[[#This Row],[Column3]]),Table14[[#This Row],[Column3]],Table14[[#This Row],[Column3]]="NEW",Table14[[#This Row],[Column3]]),"")</f>
        <v>180.92575465806834</v>
      </c>
      <c r="H768" s="15" cm="1">
        <f t="array" ref="H768">_xlfn.IFS(Table14[[#This Row],[Column4]]="NEW",AVERAGEIFS(Table14[Column4],Table14[Year],Table14[[#This Row],[Year]]),ISNUMBER(Table14[[#This Row],[Column4]]),Table14[[#This Row],[Column4]],Table14[[#This Row],[Column4]]="",H767*(1+Table14[[#This Row],[Ávöxtun]]))</f>
        <v>180.92575465806834</v>
      </c>
      <c r="I768" cm="1">
        <f t="array" ref="I768">_xlfn.IFS(Table14[[#This Row],[Column4]]="NEW",_xlfn.XLOOKUP(Table14[[#This Row],[Year]],$M$2:$M$27,$O$2:$O$27),ISNUMBER(Table14[[#This Row],[Column4]]),Table14[[#This Row],[Column4]],Table14[[#This Row],[Column4]]="",I767*(1+Table14[[#This Row],[Ávöxtun]]))</f>
        <v>180.92575465806834</v>
      </c>
      <c r="L768" s="33">
        <v>180.92575465806834</v>
      </c>
    </row>
    <row r="769" spans="1:12">
      <c r="A769" t="s">
        <v>123</v>
      </c>
      <c r="B769">
        <v>2014</v>
      </c>
      <c r="C769" s="16">
        <v>8.6999999999999994E-2</v>
      </c>
      <c r="D769" s="1">
        <v>500484862</v>
      </c>
      <c r="E769" s="29">
        <f>Table14[[#This Row],[Ávöxtun]]*Table14[[#This Row],[Eignir]]/SUMIFS(Table14[Eignir],Table14[Year],Table14[[#This Row],[Year]])</f>
        <v>1.6412318089449499E-2</v>
      </c>
      <c r="F769" s="23">
        <f>IF(B769=1997, 100, IF(COUNTIF(A$1:A768,A769)=0, "NEW", F768*(1+Table14[[#This Row],[Ávöxtun]])))</f>
        <v>196.66629531332029</v>
      </c>
      <c r="G769" s="18" cm="1">
        <f t="array" ref="G769">IFERROR(_xlfn.IFS(ISNUMBER(Table14[[#This Row],[Column3]]),Table14[[#This Row],[Column3]],Table14[[#This Row],[Column3]]="NEW",Table14[[#This Row],[Column3]]),"")</f>
        <v>196.66629531332029</v>
      </c>
      <c r="H769" s="15" cm="1">
        <f t="array" ref="H769">_xlfn.IFS(Table14[[#This Row],[Column4]]="NEW",AVERAGEIFS(Table14[Column4],Table14[Year],Table14[[#This Row],[Year]]),ISNUMBER(Table14[[#This Row],[Column4]]),Table14[[#This Row],[Column4]],Table14[[#This Row],[Column4]]="",H768*(1+Table14[[#This Row],[Ávöxtun]]))</f>
        <v>196.66629531332029</v>
      </c>
      <c r="I769" cm="1">
        <f t="array" ref="I769">_xlfn.IFS(Table14[[#This Row],[Column4]]="NEW",_xlfn.XLOOKUP(Table14[[#This Row],[Year]],$M$2:$M$27,$O$2:$O$27),ISNUMBER(Table14[[#This Row],[Column4]]),Table14[[#This Row],[Column4]],Table14[[#This Row],[Column4]]="",I768*(1+Table14[[#This Row],[Ávöxtun]]))</f>
        <v>196.66629531332029</v>
      </c>
      <c r="L769" s="33">
        <v>196.66629531332029</v>
      </c>
    </row>
    <row r="770" spans="1:12">
      <c r="A770" t="s">
        <v>123</v>
      </c>
      <c r="B770">
        <v>2015</v>
      </c>
      <c r="C770" s="16">
        <v>0.10199999999999999</v>
      </c>
      <c r="D770" s="1">
        <v>573581173.80999994</v>
      </c>
      <c r="E770" s="29">
        <f>Table14[[#This Row],[Ávöxtun]]*Table14[[#This Row],[Eignir]]/SUMIFS(Table14[Eignir],Table14[Year],Table14[[#This Row],[Year]])</f>
        <v>1.9756098407916624E-2</v>
      </c>
      <c r="F770" s="23">
        <f>IF(B770=1997, 100, IF(COUNTIF(A$1:A769,A770)=0, "NEW", F769*(1+Table14[[#This Row],[Ávöxtun]])))</f>
        <v>216.72625743527897</v>
      </c>
      <c r="G770" s="18" cm="1">
        <f t="array" ref="G770">IFERROR(_xlfn.IFS(ISNUMBER(Table14[[#This Row],[Column3]]),Table14[[#This Row],[Column3]],Table14[[#This Row],[Column3]]="NEW",Table14[[#This Row],[Column3]]),"")</f>
        <v>216.72625743527897</v>
      </c>
      <c r="H770" s="15" cm="1">
        <f t="array" ref="H770">_xlfn.IFS(Table14[[#This Row],[Column4]]="NEW",AVERAGEIFS(Table14[Column4],Table14[Year],Table14[[#This Row],[Year]]),ISNUMBER(Table14[[#This Row],[Column4]]),Table14[[#This Row],[Column4]],Table14[[#This Row],[Column4]]="",H769*(1+Table14[[#This Row],[Ávöxtun]]))</f>
        <v>216.72625743527897</v>
      </c>
      <c r="I770" cm="1">
        <f t="array" ref="I770">_xlfn.IFS(Table14[[#This Row],[Column4]]="NEW",_xlfn.XLOOKUP(Table14[[#This Row],[Year]],$M$2:$M$27,$O$2:$O$27),ISNUMBER(Table14[[#This Row],[Column4]]),Table14[[#This Row],[Column4]],Table14[[#This Row],[Column4]]="",I769*(1+Table14[[#This Row],[Ávöxtun]]))</f>
        <v>216.72625743527897</v>
      </c>
      <c r="L770" s="33">
        <v>216.72625743527897</v>
      </c>
    </row>
    <row r="771" spans="1:12">
      <c r="A771" t="s">
        <v>123</v>
      </c>
      <c r="B771">
        <v>2016</v>
      </c>
      <c r="C771" s="16">
        <v>-1.2E-2</v>
      </c>
      <c r="D771" s="1">
        <v>592058238.17999995</v>
      </c>
      <c r="E771" s="29">
        <f>Table14[[#This Row],[Ávöxtun]]*Table14[[#This Row],[Eignir]]/SUMIFS(Table14[Eignir],Table14[Year],Table14[[#This Row],[Year]])</f>
        <v>-2.2201860216208885E-3</v>
      </c>
      <c r="F771" s="23">
        <f>IF(B771=1997, 100, IF(COUNTIF(A$1:A770,A771)=0, "NEW", F770*(1+Table14[[#This Row],[Ávöxtun]])))</f>
        <v>214.12554234605562</v>
      </c>
      <c r="G771" s="18" cm="1">
        <f t="array" ref="G771">IFERROR(_xlfn.IFS(ISNUMBER(Table14[[#This Row],[Column3]]),Table14[[#This Row],[Column3]],Table14[[#This Row],[Column3]]="NEW",Table14[[#This Row],[Column3]]),"")</f>
        <v>214.12554234605562</v>
      </c>
      <c r="H771" s="15" cm="1">
        <f t="array" ref="H771">_xlfn.IFS(Table14[[#This Row],[Column4]]="NEW",AVERAGEIFS(Table14[Column4],Table14[Year],Table14[[#This Row],[Year]]),ISNUMBER(Table14[[#This Row],[Column4]]),Table14[[#This Row],[Column4]],Table14[[#This Row],[Column4]]="",H770*(1+Table14[[#This Row],[Ávöxtun]]))</f>
        <v>214.12554234605562</v>
      </c>
      <c r="I771" cm="1">
        <f t="array" ref="I771">_xlfn.IFS(Table14[[#This Row],[Column4]]="NEW",_xlfn.XLOOKUP(Table14[[#This Row],[Year]],$M$2:$M$27,$O$2:$O$27),ISNUMBER(Table14[[#This Row],[Column4]]),Table14[[#This Row],[Column4]],Table14[[#This Row],[Column4]]="",I770*(1+Table14[[#This Row],[Ávöxtun]]))</f>
        <v>214.12554234605562</v>
      </c>
      <c r="L771" s="33">
        <v>214.12554234605562</v>
      </c>
    </row>
    <row r="772" spans="1:12">
      <c r="A772" t="s">
        <v>123</v>
      </c>
      <c r="B772">
        <v>2017</v>
      </c>
      <c r="C772" s="16">
        <v>5.7000000000000002E-2</v>
      </c>
      <c r="D772" s="1">
        <v>653001256</v>
      </c>
      <c r="E772" s="29">
        <f>Table14[[#This Row],[Ávöxtun]]*Table14[[#This Row],[Eignir]]/SUMIFS(Table14[Eignir],Table14[Year],Table14[[#This Row],[Year]])</f>
        <v>1.045785033734687E-2</v>
      </c>
      <c r="F772" s="23">
        <f>IF(B772=1997, 100, IF(COUNTIF(A$1:A771,A772)=0, "NEW", F771*(1+Table14[[#This Row],[Ávöxtun]])))</f>
        <v>226.33069825978077</v>
      </c>
      <c r="G772" s="18" cm="1">
        <f t="array" ref="G772">IFERROR(_xlfn.IFS(ISNUMBER(Table14[[#This Row],[Column3]]),Table14[[#This Row],[Column3]],Table14[[#This Row],[Column3]]="NEW",Table14[[#This Row],[Column3]]),"")</f>
        <v>226.33069825978077</v>
      </c>
      <c r="H772" s="15" cm="1">
        <f t="array" ref="H772">_xlfn.IFS(Table14[[#This Row],[Column4]]="NEW",AVERAGEIFS(Table14[Column4],Table14[Year],Table14[[#This Row],[Year]]),ISNUMBER(Table14[[#This Row],[Column4]]),Table14[[#This Row],[Column4]],Table14[[#This Row],[Column4]]="",H771*(1+Table14[[#This Row],[Ávöxtun]]))</f>
        <v>226.33069825978077</v>
      </c>
      <c r="I772" cm="1">
        <f t="array" ref="I772">_xlfn.IFS(Table14[[#This Row],[Column4]]="NEW",_xlfn.XLOOKUP(Table14[[#This Row],[Year]],$M$2:$M$27,$O$2:$O$27),ISNUMBER(Table14[[#This Row],[Column4]]),Table14[[#This Row],[Column4]],Table14[[#This Row],[Column4]]="",I771*(1+Table14[[#This Row],[Ávöxtun]]))</f>
        <v>226.33069825978077</v>
      </c>
      <c r="L772" s="33">
        <v>226.33069825978077</v>
      </c>
    </row>
    <row r="773" spans="1:12">
      <c r="A773" t="s">
        <v>123</v>
      </c>
      <c r="B773">
        <v>2018</v>
      </c>
      <c r="C773" s="16">
        <v>0.01</v>
      </c>
      <c r="D773" s="1">
        <v>699398274</v>
      </c>
      <c r="E773" s="29">
        <f>Table14[[#This Row],[Ávöxtun]]*Table14[[#This Row],[Eignir]]/SUMIFS(Table14[Eignir],Table14[Year],Table14[[#This Row],[Year]])</f>
        <v>1.8316918572539895E-3</v>
      </c>
      <c r="F773" s="23">
        <f>IF(B773=1997, 100, IF(COUNTIF(A$1:A772,A773)=0, "NEW", F772*(1+Table14[[#This Row],[Ávöxtun]])))</f>
        <v>228.59400524237859</v>
      </c>
      <c r="G773" s="18" cm="1">
        <f t="array" ref="G773">IFERROR(_xlfn.IFS(ISNUMBER(Table14[[#This Row],[Column3]]),Table14[[#This Row],[Column3]],Table14[[#This Row],[Column3]]="NEW",Table14[[#This Row],[Column3]]),"")</f>
        <v>228.59400524237859</v>
      </c>
      <c r="H773" s="15" cm="1">
        <f t="array" ref="H773">_xlfn.IFS(Table14[[#This Row],[Column4]]="NEW",AVERAGEIFS(Table14[Column4],Table14[Year],Table14[[#This Row],[Year]]),ISNUMBER(Table14[[#This Row],[Column4]]),Table14[[#This Row],[Column4]],Table14[[#This Row],[Column4]]="",H772*(1+Table14[[#This Row],[Ávöxtun]]))</f>
        <v>228.59400524237859</v>
      </c>
      <c r="I773" cm="1">
        <f t="array" ref="I773">_xlfn.IFS(Table14[[#This Row],[Column4]]="NEW",_xlfn.XLOOKUP(Table14[[#This Row],[Year]],$M$2:$M$27,$O$2:$O$27),ISNUMBER(Table14[[#This Row],[Column4]]),Table14[[#This Row],[Column4]],Table14[[#This Row],[Column4]]="",I772*(1+Table14[[#This Row],[Ávöxtun]]))</f>
        <v>228.59400524237859</v>
      </c>
      <c r="L773" s="33">
        <v>228.59400524237859</v>
      </c>
    </row>
    <row r="774" spans="1:12">
      <c r="A774" t="s">
        <v>123</v>
      </c>
      <c r="B774">
        <v>2019</v>
      </c>
      <c r="C774" s="16">
        <v>0.156</v>
      </c>
      <c r="D774" s="1">
        <v>850453088.38</v>
      </c>
      <c r="E774" s="29">
        <f>Table14[[#This Row],[Ávöxtun]]*Table14[[#This Row],[Eignir]]/SUMIFS(Table14[Eignir],Table14[Year],Table14[[#This Row],[Year]])</f>
        <v>2.9969348451602065E-2</v>
      </c>
      <c r="F774" s="23">
        <f>IF(B774=1997, 100, IF(COUNTIF(A$1:A773,A774)=0, "NEW", F773*(1+Table14[[#This Row],[Ávöxtun]])))</f>
        <v>264.25467006018965</v>
      </c>
      <c r="G774" s="18" cm="1">
        <f t="array" ref="G774">IFERROR(_xlfn.IFS(ISNUMBER(Table14[[#This Row],[Column3]]),Table14[[#This Row],[Column3]],Table14[[#This Row],[Column3]]="NEW",Table14[[#This Row],[Column3]]),"")</f>
        <v>264.25467006018965</v>
      </c>
      <c r="H774" s="15" cm="1">
        <f t="array" ref="H774">_xlfn.IFS(Table14[[#This Row],[Column4]]="NEW",AVERAGEIFS(Table14[Column4],Table14[Year],Table14[[#This Row],[Year]]),ISNUMBER(Table14[[#This Row],[Column4]]),Table14[[#This Row],[Column4]],Table14[[#This Row],[Column4]]="",H773*(1+Table14[[#This Row],[Ávöxtun]]))</f>
        <v>264.25467006018965</v>
      </c>
      <c r="I774" cm="1">
        <f t="array" ref="I774">_xlfn.IFS(Table14[[#This Row],[Column4]]="NEW",_xlfn.XLOOKUP(Table14[[#This Row],[Year]],$M$2:$M$27,$O$2:$O$27),ISNUMBER(Table14[[#This Row],[Column4]]),Table14[[#This Row],[Column4]],Table14[[#This Row],[Column4]]="",I773*(1+Table14[[#This Row],[Ávöxtun]]))</f>
        <v>264.25467006018965</v>
      </c>
      <c r="L774" s="33">
        <v>264.25467006018965</v>
      </c>
    </row>
    <row r="775" spans="1:12">
      <c r="A775" t="s">
        <v>123</v>
      </c>
      <c r="B775">
        <v>2020</v>
      </c>
      <c r="C775" s="16">
        <v>0.10800000000000001</v>
      </c>
      <c r="D775" s="1">
        <v>992465107.03999996</v>
      </c>
      <c r="E775" s="29">
        <f>Table14[[#This Row],[Ávöxtun]]*Table14[[#This Row],[Eignir]]/SUMIFS(Table14[Eignir],Table14[Year],Table14[[#This Row],[Year]])</f>
        <v>2.0867100310500375E-2</v>
      </c>
      <c r="F775" s="23">
        <f>IF(B775=1997, 100, IF(COUNTIF(A$1:A774,A775)=0, "NEW", F774*(1+Table14[[#This Row],[Ávöxtun]])))</f>
        <v>292.79417442669018</v>
      </c>
      <c r="G775" s="18" cm="1">
        <f t="array" ref="G775">IFERROR(_xlfn.IFS(ISNUMBER(Table14[[#This Row],[Column3]]),Table14[[#This Row],[Column3]],Table14[[#This Row],[Column3]]="NEW",Table14[[#This Row],[Column3]]),"")</f>
        <v>292.79417442669018</v>
      </c>
      <c r="H775" s="15" cm="1">
        <f t="array" ref="H775">_xlfn.IFS(Table14[[#This Row],[Column4]]="NEW",AVERAGEIFS(Table14[Column4],Table14[Year],Table14[[#This Row],[Year]]),ISNUMBER(Table14[[#This Row],[Column4]]),Table14[[#This Row],[Column4]],Table14[[#This Row],[Column4]]="",H774*(1+Table14[[#This Row],[Ávöxtun]]))</f>
        <v>292.79417442669018</v>
      </c>
      <c r="I775" cm="1">
        <f t="array" ref="I775">_xlfn.IFS(Table14[[#This Row],[Column4]]="NEW",_xlfn.XLOOKUP(Table14[[#This Row],[Year]],$M$2:$M$27,$O$2:$O$27),ISNUMBER(Table14[[#This Row],[Column4]]),Table14[[#This Row],[Column4]],Table14[[#This Row],[Column4]]="",I774*(1+Table14[[#This Row],[Ávöxtun]]))</f>
        <v>292.79417442669018</v>
      </c>
      <c r="L775" s="33">
        <v>292.79417442669018</v>
      </c>
    </row>
    <row r="776" spans="1:12">
      <c r="A776" t="s">
        <v>123</v>
      </c>
      <c r="B776">
        <v>2021</v>
      </c>
      <c r="C776" s="16">
        <v>0.115</v>
      </c>
      <c r="D776" s="1">
        <v>1175702937.8770001</v>
      </c>
      <c r="E776" s="29">
        <f>Table14[[#This Row],[Ávöxtun]]*Table14[[#This Row],[Eignir]]/SUMIFS(Table14[Eignir],Table14[Year],Table14[[#This Row],[Year]])</f>
        <v>2.2386932343455873E-2</v>
      </c>
      <c r="F776" s="23">
        <f>IF(B776=1997, 100, IF(COUNTIF(A$1:A775,A776)=0, "NEW", F775*(1+Table14[[#This Row],[Ávöxtun]])))</f>
        <v>326.46550448575954</v>
      </c>
      <c r="G776" s="18" cm="1">
        <f t="array" ref="G776">IFERROR(_xlfn.IFS(ISNUMBER(Table14[[#This Row],[Column3]]),Table14[[#This Row],[Column3]],Table14[[#This Row],[Column3]]="NEW",Table14[[#This Row],[Column3]]),"")</f>
        <v>326.46550448575954</v>
      </c>
      <c r="H776" s="15" cm="1">
        <f t="array" ref="H776">_xlfn.IFS(Table14[[#This Row],[Column4]]="NEW",AVERAGEIFS(Table14[Column4],Table14[Year],Table14[[#This Row],[Year]]),ISNUMBER(Table14[[#This Row],[Column4]]),Table14[[#This Row],[Column4]],Table14[[#This Row],[Column4]]="",H775*(1+Table14[[#This Row],[Ávöxtun]]))</f>
        <v>326.46550448575954</v>
      </c>
      <c r="I776" cm="1">
        <f t="array" ref="I776">_xlfn.IFS(Table14[[#This Row],[Column4]]="NEW",_xlfn.XLOOKUP(Table14[[#This Row],[Year]],$M$2:$M$27,$O$2:$O$27),ISNUMBER(Table14[[#This Row],[Column4]]),Table14[[#This Row],[Column4]],Table14[[#This Row],[Column4]]="",I775*(1+Table14[[#This Row],[Ávöxtun]]))</f>
        <v>326.46550448575954</v>
      </c>
      <c r="L776" s="33">
        <v>326.46550448575954</v>
      </c>
    </row>
    <row r="777" spans="1:12">
      <c r="A777" t="s">
        <v>103</v>
      </c>
      <c r="B777">
        <v>1997</v>
      </c>
      <c r="C777" s="16">
        <v>0.06</v>
      </c>
      <c r="D777" s="1">
        <v>8772602.2200000007</v>
      </c>
      <c r="E777" s="29">
        <f>Table14[[#This Row],[Ávöxtun]]*Table14[[#This Row],[Eignir]]/SUMIFS(Table14[Eignir],Table14[Year],Table14[[#This Row],[Year]])</f>
        <v>1.5525568994810503E-3</v>
      </c>
      <c r="F777" s="23">
        <f>IF(B777=1997, 100, IF(COUNTIF(A$1:A776,A777)=0, "NEW", F776*(1+Table14[[#This Row],[Ávöxtun]])))</f>
        <v>100</v>
      </c>
      <c r="G777" s="18" cm="1">
        <f t="array" ref="G777">IFERROR(_xlfn.IFS(ISNUMBER(Table14[[#This Row],[Column3]]),Table14[[#This Row],[Column3]],Table14[[#This Row],[Column3]]="NEW",Table14[[#This Row],[Column3]]),"")</f>
        <v>100</v>
      </c>
      <c r="H777" s="15" cm="1">
        <f t="array" ref="H777">_xlfn.IFS(Table14[[#This Row],[Column4]]="NEW",AVERAGEIFS(Table14[Column4],Table14[Year],Table14[[#This Row],[Year]]),ISNUMBER(Table14[[#This Row],[Column4]]),Table14[[#This Row],[Column4]],Table14[[#This Row],[Column4]]="",H776*(1+Table14[[#This Row],[Ávöxtun]]))</f>
        <v>100</v>
      </c>
      <c r="I777" cm="1">
        <f t="array" ref="I777">_xlfn.IFS(Table14[[#This Row],[Column4]]="NEW",_xlfn.XLOOKUP(Table14[[#This Row],[Year]],$M$2:$M$27,$O$2:$O$27),ISNUMBER(Table14[[#This Row],[Column4]]),Table14[[#This Row],[Column4]],Table14[[#This Row],[Column4]]="",I776*(1+Table14[[#This Row],[Ávöxtun]]))</f>
        <v>100</v>
      </c>
      <c r="L777" s="33">
        <v>100</v>
      </c>
    </row>
    <row r="778" spans="1:12">
      <c r="A778" t="s">
        <v>103</v>
      </c>
      <c r="B778">
        <v>1998</v>
      </c>
      <c r="C778" s="16">
        <v>0.08</v>
      </c>
      <c r="D778" s="1">
        <v>9943439.0899999999</v>
      </c>
      <c r="E778" s="29">
        <f>Table14[[#This Row],[Ávöxtun]]*Table14[[#This Row],[Eignir]]/SUMIFS(Table14[Eignir],Table14[Year],Table14[[#This Row],[Year]])</f>
        <v>2.0311650091010647E-3</v>
      </c>
      <c r="F778" s="23">
        <f>IF(B778=1997, 100, IF(COUNTIF(A$1:A777,A778)=0, "NEW", F777*(1+Table14[[#This Row],[Ávöxtun]])))</f>
        <v>108</v>
      </c>
      <c r="G778" s="18" cm="1">
        <f t="array" ref="G778">IFERROR(_xlfn.IFS(ISNUMBER(Table14[[#This Row],[Column3]]),Table14[[#This Row],[Column3]],Table14[[#This Row],[Column3]]="NEW",Table14[[#This Row],[Column3]]),"")</f>
        <v>108</v>
      </c>
      <c r="H778" s="15" cm="1">
        <f t="array" ref="H778">_xlfn.IFS(Table14[[#This Row],[Column4]]="NEW",AVERAGEIFS(Table14[Column4],Table14[Year],Table14[[#This Row],[Year]]),ISNUMBER(Table14[[#This Row],[Column4]]),Table14[[#This Row],[Column4]],Table14[[#This Row],[Column4]]="",H777*(1+Table14[[#This Row],[Ávöxtun]]))</f>
        <v>108</v>
      </c>
      <c r="I778" cm="1">
        <f t="array" ref="I778">_xlfn.IFS(Table14[[#This Row],[Column4]]="NEW",_xlfn.XLOOKUP(Table14[[#This Row],[Year]],$M$2:$M$27,$O$2:$O$27),ISNUMBER(Table14[[#This Row],[Column4]]),Table14[[#This Row],[Column4]],Table14[[#This Row],[Column4]]="",I777*(1+Table14[[#This Row],[Ávöxtun]]))</f>
        <v>108</v>
      </c>
      <c r="L778" s="33">
        <v>108</v>
      </c>
    </row>
    <row r="779" spans="1:12">
      <c r="A779" t="s">
        <v>103</v>
      </c>
      <c r="B779">
        <v>1999</v>
      </c>
      <c r="C779" s="16">
        <v>0.14000000000000001</v>
      </c>
      <c r="D779" s="1">
        <v>12306473.34</v>
      </c>
      <c r="E779" s="29">
        <f>Table14[[#This Row],[Ávöxtun]]*Table14[[#This Row],[Eignir]]/SUMIFS(Table14[Eignir],Table14[Year],Table14[[#This Row],[Year]])</f>
        <v>3.3087210623303038E-3</v>
      </c>
      <c r="F779" s="23">
        <f>IF(B779=1997, 100, IF(COUNTIF(A$1:A778,A779)=0, "NEW", F778*(1+Table14[[#This Row],[Ávöxtun]])))</f>
        <v>123.12000000000002</v>
      </c>
      <c r="G779" s="18" cm="1">
        <f t="array" ref="G779">IFERROR(_xlfn.IFS(ISNUMBER(Table14[[#This Row],[Column3]]),Table14[[#This Row],[Column3]],Table14[[#This Row],[Column3]]="NEW",Table14[[#This Row],[Column3]]),"")</f>
        <v>123.12000000000002</v>
      </c>
      <c r="H779" s="15" cm="1">
        <f t="array" ref="H779">_xlfn.IFS(Table14[[#This Row],[Column4]]="NEW",AVERAGEIFS(Table14[Column4],Table14[Year],Table14[[#This Row],[Year]]),ISNUMBER(Table14[[#This Row],[Column4]]),Table14[[#This Row],[Column4]],Table14[[#This Row],[Column4]]="",H778*(1+Table14[[#This Row],[Ávöxtun]]))</f>
        <v>123.12000000000002</v>
      </c>
      <c r="I779" cm="1">
        <f t="array" ref="I779">_xlfn.IFS(Table14[[#This Row],[Column4]]="NEW",_xlfn.XLOOKUP(Table14[[#This Row],[Year]],$M$2:$M$27,$O$2:$O$27),ISNUMBER(Table14[[#This Row],[Column4]]),Table14[[#This Row],[Column4]],Table14[[#This Row],[Column4]]="",I778*(1+Table14[[#This Row],[Ávöxtun]]))</f>
        <v>123.12000000000002</v>
      </c>
      <c r="L779" s="33">
        <v>123.12000000000002</v>
      </c>
    </row>
    <row r="780" spans="1:12">
      <c r="A780" t="s">
        <v>103</v>
      </c>
      <c r="B780">
        <v>2000</v>
      </c>
      <c r="C780" s="16">
        <v>-0.05</v>
      </c>
      <c r="D780" s="1">
        <v>12283009.130000001</v>
      </c>
      <c r="E780" s="29">
        <f>Table14[[#This Row],[Ávöxtun]]*Table14[[#This Row],[Eignir]]/SUMIFS(Table14[Eignir],Table14[Year],Table14[[#This Row],[Year]])</f>
        <v>-8.6391805525736171E-4</v>
      </c>
      <c r="F780" s="23">
        <f>IF(B780=1997, 100, IF(COUNTIF(A$1:A779,A780)=0, "NEW", F779*(1+Table14[[#This Row],[Ávöxtun]])))</f>
        <v>116.96400000000001</v>
      </c>
      <c r="G780" s="18" cm="1">
        <f t="array" ref="G780">IFERROR(_xlfn.IFS(ISNUMBER(Table14[[#This Row],[Column3]]),Table14[[#This Row],[Column3]],Table14[[#This Row],[Column3]]="NEW",Table14[[#This Row],[Column3]]),"")</f>
        <v>116.96400000000001</v>
      </c>
      <c r="H780" s="15" cm="1">
        <f t="array" ref="H780">_xlfn.IFS(Table14[[#This Row],[Column4]]="NEW",AVERAGEIFS(Table14[Column4],Table14[Year],Table14[[#This Row],[Year]]),ISNUMBER(Table14[[#This Row],[Column4]]),Table14[[#This Row],[Column4]],Table14[[#This Row],[Column4]]="",H779*(1+Table14[[#This Row],[Ávöxtun]]))</f>
        <v>116.96400000000001</v>
      </c>
      <c r="I780" cm="1">
        <f t="array" ref="I780">_xlfn.IFS(Table14[[#This Row],[Column4]]="NEW",_xlfn.XLOOKUP(Table14[[#This Row],[Year]],$M$2:$M$27,$O$2:$O$27),ISNUMBER(Table14[[#This Row],[Column4]]),Table14[[#This Row],[Column4]],Table14[[#This Row],[Column4]]="",I779*(1+Table14[[#This Row],[Ávöxtun]]))</f>
        <v>116.96400000000001</v>
      </c>
      <c r="L780" s="33">
        <v>116.96400000000001</v>
      </c>
    </row>
    <row r="781" spans="1:12">
      <c r="A781" t="s">
        <v>103</v>
      </c>
      <c r="B781">
        <v>2001</v>
      </c>
      <c r="C781" s="16">
        <v>-0.08</v>
      </c>
      <c r="D781" s="1">
        <v>26445491</v>
      </c>
      <c r="E781" s="29">
        <f>Table14[[#This Row],[Ávöxtun]]*Table14[[#This Row],[Eignir]]/SUMIFS(Table14[Eignir],Table14[Year],Table14[[#This Row],[Year]])</f>
        <v>-1.8271098983114287E-3</v>
      </c>
      <c r="F781" s="23">
        <f>IF(B781=1997, 100, IF(COUNTIF(A$1:A780,A781)=0, "NEW", F780*(1+Table14[[#This Row],[Ávöxtun]])))</f>
        <v>107.60688000000002</v>
      </c>
      <c r="G781" s="18" cm="1">
        <f t="array" ref="G781">IFERROR(_xlfn.IFS(ISNUMBER(Table14[[#This Row],[Column3]]),Table14[[#This Row],[Column3]],Table14[[#This Row],[Column3]]="NEW",Table14[[#This Row],[Column3]]),"")</f>
        <v>107.60688000000002</v>
      </c>
      <c r="H781" s="15" cm="1">
        <f t="array" ref="H781">_xlfn.IFS(Table14[[#This Row],[Column4]]="NEW",AVERAGEIFS(Table14[Column4],Table14[Year],Table14[[#This Row],[Year]]),ISNUMBER(Table14[[#This Row],[Column4]]),Table14[[#This Row],[Column4]],Table14[[#This Row],[Column4]]="",H780*(1+Table14[[#This Row],[Ávöxtun]]))</f>
        <v>107.60688000000002</v>
      </c>
      <c r="I781" cm="1">
        <f t="array" ref="I781">_xlfn.IFS(Table14[[#This Row],[Column4]]="NEW",_xlfn.XLOOKUP(Table14[[#This Row],[Year]],$M$2:$M$27,$O$2:$O$27),ISNUMBER(Table14[[#This Row],[Column4]]),Table14[[#This Row],[Column4]],Table14[[#This Row],[Column4]]="",I780*(1+Table14[[#This Row],[Ávöxtun]]))</f>
        <v>107.60688000000002</v>
      </c>
      <c r="L781" s="33">
        <v>107.60688000000002</v>
      </c>
    </row>
    <row r="782" spans="1:12">
      <c r="A782" t="s">
        <v>103</v>
      </c>
      <c r="B782">
        <v>2002</v>
      </c>
      <c r="C782" s="16">
        <v>0.02</v>
      </c>
      <c r="D782" s="1">
        <v>12891022</v>
      </c>
      <c r="E782" s="29">
        <f>Table14[[#This Row],[Ávöxtun]]*Table14[[#This Row],[Eignir]]/SUMIFS(Table14[Eignir],Table14[Year],Table14[[#This Row],[Year]])</f>
        <v>4.0591150780854452E-4</v>
      </c>
      <c r="F782" s="23">
        <f>IF(B782=1997, 100, IF(COUNTIF(A$1:A781,A782)=0, "NEW", F781*(1+Table14[[#This Row],[Ávöxtun]])))</f>
        <v>109.75901760000002</v>
      </c>
      <c r="G782" s="18" cm="1">
        <f t="array" ref="G782">IFERROR(_xlfn.IFS(ISNUMBER(Table14[[#This Row],[Column3]]),Table14[[#This Row],[Column3]],Table14[[#This Row],[Column3]]="NEW",Table14[[#This Row],[Column3]]),"")</f>
        <v>109.75901760000002</v>
      </c>
      <c r="H782" s="15" cm="1">
        <f t="array" ref="H782">_xlfn.IFS(Table14[[#This Row],[Column4]]="NEW",AVERAGEIFS(Table14[Column4],Table14[Year],Table14[[#This Row],[Year]]),ISNUMBER(Table14[[#This Row],[Column4]]),Table14[[#This Row],[Column4]],Table14[[#This Row],[Column4]]="",H781*(1+Table14[[#This Row],[Ávöxtun]]))</f>
        <v>109.75901760000002</v>
      </c>
      <c r="I782" cm="1">
        <f t="array" ref="I782">_xlfn.IFS(Table14[[#This Row],[Column4]]="NEW",_xlfn.XLOOKUP(Table14[[#This Row],[Year]],$M$2:$M$27,$O$2:$O$27),ISNUMBER(Table14[[#This Row],[Column4]]),Table14[[#This Row],[Column4]],Table14[[#This Row],[Column4]]="",I781*(1+Table14[[#This Row],[Ávöxtun]]))</f>
        <v>109.75901760000002</v>
      </c>
      <c r="L782" s="33">
        <v>109.75901760000002</v>
      </c>
    </row>
    <row r="783" spans="1:12">
      <c r="A783" t="s">
        <v>103</v>
      </c>
      <c r="B783">
        <v>2003</v>
      </c>
      <c r="C783" s="16">
        <v>0.23</v>
      </c>
      <c r="D783" s="1">
        <v>15142950</v>
      </c>
      <c r="E783" s="29">
        <f>Table14[[#This Row],[Ávöxtun]]*Table14[[#This Row],[Eignir]]/SUMIFS(Table14[Eignir],Table14[Year],Table14[[#This Row],[Year]])</f>
        <v>4.5833898416442007E-3</v>
      </c>
      <c r="F783" s="23">
        <f>IF(B783=1997, 100, IF(COUNTIF(A$1:A782,A783)=0, "NEW", F782*(1+Table14[[#This Row],[Ávöxtun]])))</f>
        <v>135.00359164800003</v>
      </c>
      <c r="G783" s="18" cm="1">
        <f t="array" ref="G783">IFERROR(_xlfn.IFS(ISNUMBER(Table14[[#This Row],[Column3]]),Table14[[#This Row],[Column3]],Table14[[#This Row],[Column3]]="NEW",Table14[[#This Row],[Column3]]),"")</f>
        <v>135.00359164800003</v>
      </c>
      <c r="H783" s="15" cm="1">
        <f t="array" ref="H783">_xlfn.IFS(Table14[[#This Row],[Column4]]="NEW",AVERAGEIFS(Table14[Column4],Table14[Year],Table14[[#This Row],[Year]]),ISNUMBER(Table14[[#This Row],[Column4]]),Table14[[#This Row],[Column4]],Table14[[#This Row],[Column4]]="",H782*(1+Table14[[#This Row],[Ávöxtun]]))</f>
        <v>135.00359164800003</v>
      </c>
      <c r="I783" cm="1">
        <f t="array" ref="I783">_xlfn.IFS(Table14[[#This Row],[Column4]]="NEW",_xlfn.XLOOKUP(Table14[[#This Row],[Year]],$M$2:$M$27,$O$2:$O$27),ISNUMBER(Table14[[#This Row],[Column4]]),Table14[[#This Row],[Column4]],Table14[[#This Row],[Column4]]="",I782*(1+Table14[[#This Row],[Ávöxtun]]))</f>
        <v>135.00359164800003</v>
      </c>
      <c r="L783" s="33">
        <v>135.00359164800003</v>
      </c>
    </row>
    <row r="784" spans="1:12">
      <c r="A784" t="s">
        <v>103</v>
      </c>
      <c r="B784">
        <v>2004</v>
      </c>
      <c r="C784" s="16">
        <v>0.12</v>
      </c>
      <c r="D784" s="1">
        <v>17686375</v>
      </c>
      <c r="E784" s="29">
        <f>Table14[[#This Row],[Ávöxtun]]*Table14[[#This Row],[Eignir]]/SUMIFS(Table14[Eignir],Table14[Year],Table14[[#This Row],[Year]])</f>
        <v>2.3382550994060672E-3</v>
      </c>
      <c r="F784" s="23">
        <f>IF(B784=1997, 100, IF(COUNTIF(A$1:A783,A784)=0, "NEW", F783*(1+Table14[[#This Row],[Ávöxtun]])))</f>
        <v>151.20402264576003</v>
      </c>
      <c r="G784" s="18" cm="1">
        <f t="array" ref="G784">IFERROR(_xlfn.IFS(ISNUMBER(Table14[[#This Row],[Column3]]),Table14[[#This Row],[Column3]],Table14[[#This Row],[Column3]]="NEW",Table14[[#This Row],[Column3]]),"")</f>
        <v>151.20402264576003</v>
      </c>
      <c r="H784" s="15" cm="1">
        <f t="array" ref="H784">_xlfn.IFS(Table14[[#This Row],[Column4]]="NEW",AVERAGEIFS(Table14[Column4],Table14[Year],Table14[[#This Row],[Year]]),ISNUMBER(Table14[[#This Row],[Column4]]),Table14[[#This Row],[Column4]],Table14[[#This Row],[Column4]]="",H783*(1+Table14[[#This Row],[Ávöxtun]]))</f>
        <v>151.20402264576003</v>
      </c>
      <c r="I784" cm="1">
        <f t="array" ref="I784">_xlfn.IFS(Table14[[#This Row],[Column4]]="NEW",_xlfn.XLOOKUP(Table14[[#This Row],[Year]],$M$2:$M$27,$O$2:$O$27),ISNUMBER(Table14[[#This Row],[Column4]]),Table14[[#This Row],[Column4]],Table14[[#This Row],[Column4]]="",I783*(1+Table14[[#This Row],[Ávöxtun]]))</f>
        <v>151.20402264576003</v>
      </c>
      <c r="L784" s="33">
        <v>151.20402264576003</v>
      </c>
    </row>
    <row r="785" spans="1:12">
      <c r="A785" t="s">
        <v>103</v>
      </c>
      <c r="B785">
        <v>2005</v>
      </c>
      <c r="C785" s="16">
        <v>0.17</v>
      </c>
      <c r="D785" s="1">
        <v>22046933</v>
      </c>
      <c r="E785" s="29">
        <f>Table14[[#This Row],[Ávöxtun]]*Table14[[#This Row],[Eignir]]/SUMIFS(Table14[Eignir],Table14[Year],Table14[[#This Row],[Year]])</f>
        <v>3.3424172512534745E-3</v>
      </c>
      <c r="F785" s="23">
        <f>IF(B785=1997, 100, IF(COUNTIF(A$1:A784,A785)=0, "NEW", F784*(1+Table14[[#This Row],[Ávöxtun]])))</f>
        <v>176.90870649553923</v>
      </c>
      <c r="G785" s="18" cm="1">
        <f t="array" ref="G785">IFERROR(_xlfn.IFS(ISNUMBER(Table14[[#This Row],[Column3]]),Table14[[#This Row],[Column3]],Table14[[#This Row],[Column3]]="NEW",Table14[[#This Row],[Column3]]),"")</f>
        <v>176.90870649553923</v>
      </c>
      <c r="H785" s="15" cm="1">
        <f t="array" ref="H785">_xlfn.IFS(Table14[[#This Row],[Column4]]="NEW",AVERAGEIFS(Table14[Column4],Table14[Year],Table14[[#This Row],[Year]]),ISNUMBER(Table14[[#This Row],[Column4]]),Table14[[#This Row],[Column4]],Table14[[#This Row],[Column4]]="",H784*(1+Table14[[#This Row],[Ávöxtun]]))</f>
        <v>176.90870649553923</v>
      </c>
      <c r="I785" cm="1">
        <f t="array" ref="I785">_xlfn.IFS(Table14[[#This Row],[Column4]]="NEW",_xlfn.XLOOKUP(Table14[[#This Row],[Year]],$M$2:$M$27,$O$2:$O$27),ISNUMBER(Table14[[#This Row],[Column4]]),Table14[[#This Row],[Column4]],Table14[[#This Row],[Column4]]="",I784*(1+Table14[[#This Row],[Ávöxtun]]))</f>
        <v>176.90870649553923</v>
      </c>
      <c r="L785" s="33">
        <v>176.90870649553923</v>
      </c>
    </row>
    <row r="786" spans="1:12">
      <c r="A786" t="s">
        <v>103</v>
      </c>
      <c r="B786">
        <v>2006</v>
      </c>
      <c r="C786" s="16">
        <v>9.1700000000000004E-2</v>
      </c>
      <c r="D786" s="1">
        <v>26236169</v>
      </c>
      <c r="E786" s="29">
        <f>Table14[[#This Row],[Ávöxtun]]*Table14[[#This Row],[Eignir]]/SUMIFS(Table14[Eignir],Table14[Year],Table14[[#This Row],[Year]])</f>
        <v>1.752676762953264E-3</v>
      </c>
      <c r="F786" s="23">
        <f>IF(B786=1997, 100, IF(COUNTIF(A$1:A785,A786)=0, "NEW", F785*(1+Table14[[#This Row],[Ávöxtun]])))</f>
        <v>193.13123488118018</v>
      </c>
      <c r="G786" s="18" cm="1">
        <f t="array" ref="G786">IFERROR(_xlfn.IFS(ISNUMBER(Table14[[#This Row],[Column3]]),Table14[[#This Row],[Column3]],Table14[[#This Row],[Column3]]="NEW",Table14[[#This Row],[Column3]]),"")</f>
        <v>193.13123488118018</v>
      </c>
      <c r="H786" s="15" cm="1">
        <f t="array" ref="H786">_xlfn.IFS(Table14[[#This Row],[Column4]]="NEW",AVERAGEIFS(Table14[Column4],Table14[Year],Table14[[#This Row],[Year]]),ISNUMBER(Table14[[#This Row],[Column4]]),Table14[[#This Row],[Column4]],Table14[[#This Row],[Column4]]="",H785*(1+Table14[[#This Row],[Ávöxtun]]))</f>
        <v>193.13123488118018</v>
      </c>
      <c r="I786" cm="1">
        <f t="array" ref="I786">_xlfn.IFS(Table14[[#This Row],[Column4]]="NEW",_xlfn.XLOOKUP(Table14[[#This Row],[Year]],$M$2:$M$27,$O$2:$O$27),ISNUMBER(Table14[[#This Row],[Column4]]),Table14[[#This Row],[Column4]],Table14[[#This Row],[Column4]]="",I785*(1+Table14[[#This Row],[Ávöxtun]]))</f>
        <v>193.13123488118018</v>
      </c>
      <c r="L786" s="33">
        <v>193.13123488118018</v>
      </c>
    </row>
    <row r="787" spans="1:12">
      <c r="A787" t="s">
        <v>103</v>
      </c>
      <c r="B787">
        <v>2007</v>
      </c>
      <c r="C787" s="16">
        <v>-4.0000000000000001E-3</v>
      </c>
      <c r="D787" s="1">
        <v>27428205</v>
      </c>
      <c r="E787" s="29">
        <f>Table14[[#This Row],[Ávöxtun]]*Table14[[#This Row],[Eignir]]/SUMIFS(Table14[Eignir],Table14[Year],Table14[[#This Row],[Year]])</f>
        <v>-7.0946878047164377E-5</v>
      </c>
      <c r="F787" s="23">
        <f>IF(B787=1997, 100, IF(COUNTIF(A$1:A786,A787)=0, "NEW", F786*(1+Table14[[#This Row],[Ávöxtun]])))</f>
        <v>192.35870994165546</v>
      </c>
      <c r="G787" s="18" cm="1">
        <f t="array" ref="G787">IFERROR(_xlfn.IFS(ISNUMBER(Table14[[#This Row],[Column3]]),Table14[[#This Row],[Column3]],Table14[[#This Row],[Column3]]="NEW",Table14[[#This Row],[Column3]]),"")</f>
        <v>192.35870994165546</v>
      </c>
      <c r="H787" s="15" cm="1">
        <f t="array" ref="H787">_xlfn.IFS(Table14[[#This Row],[Column4]]="NEW",AVERAGEIFS(Table14[Column4],Table14[Year],Table14[[#This Row],[Year]]),ISNUMBER(Table14[[#This Row],[Column4]]),Table14[[#This Row],[Column4]],Table14[[#This Row],[Column4]]="",H786*(1+Table14[[#This Row],[Ávöxtun]]))</f>
        <v>192.35870994165546</v>
      </c>
      <c r="I787" cm="1">
        <f t="array" ref="I787">_xlfn.IFS(Table14[[#This Row],[Column4]]="NEW",_xlfn.XLOOKUP(Table14[[#This Row],[Year]],$M$2:$M$27,$O$2:$O$27),ISNUMBER(Table14[[#This Row],[Column4]]),Table14[[#This Row],[Column4]],Table14[[#This Row],[Column4]]="",I786*(1+Table14[[#This Row],[Ávöxtun]]))</f>
        <v>192.35870994165546</v>
      </c>
      <c r="L787" s="33">
        <v>192.35870994165546</v>
      </c>
    </row>
    <row r="788" spans="1:12">
      <c r="A788" t="s">
        <v>103</v>
      </c>
      <c r="B788">
        <v>2008</v>
      </c>
      <c r="C788" s="16">
        <v>-0.29699999999999999</v>
      </c>
      <c r="D788" s="1">
        <v>23383264</v>
      </c>
      <c r="E788" s="29">
        <f>Table14[[#This Row],[Ávöxtun]]*Table14[[#This Row],[Eignir]]/SUMIFS(Table14[Eignir],Table14[Year],Table14[[#This Row],[Year]])</f>
        <v>-4.6381796402244577E-3</v>
      </c>
      <c r="F788" s="23">
        <f>IF(B788=1997, 100, IF(COUNTIF(A$1:A787,A788)=0, "NEW", F787*(1+Table14[[#This Row],[Ávöxtun]])))</f>
        <v>135.22817308898379</v>
      </c>
      <c r="G788" s="18" cm="1">
        <f t="array" ref="G788">IFERROR(_xlfn.IFS(ISNUMBER(Table14[[#This Row],[Column3]]),Table14[[#This Row],[Column3]],Table14[[#This Row],[Column3]]="NEW",Table14[[#This Row],[Column3]]),"")</f>
        <v>135.22817308898379</v>
      </c>
      <c r="H788" s="15" cm="1">
        <f t="array" ref="H788">_xlfn.IFS(Table14[[#This Row],[Column4]]="NEW",AVERAGEIFS(Table14[Column4],Table14[Year],Table14[[#This Row],[Year]]),ISNUMBER(Table14[[#This Row],[Column4]]),Table14[[#This Row],[Column4]],Table14[[#This Row],[Column4]]="",H787*(1+Table14[[#This Row],[Ávöxtun]]))</f>
        <v>135.22817308898379</v>
      </c>
      <c r="I788" cm="1">
        <f t="array" ref="I788">_xlfn.IFS(Table14[[#This Row],[Column4]]="NEW",_xlfn.XLOOKUP(Table14[[#This Row],[Year]],$M$2:$M$27,$O$2:$O$27),ISNUMBER(Table14[[#This Row],[Column4]]),Table14[[#This Row],[Column4]],Table14[[#This Row],[Column4]]="",I787*(1+Table14[[#This Row],[Ávöxtun]]))</f>
        <v>135.22817308898379</v>
      </c>
      <c r="L788" s="33">
        <v>135.22817308898379</v>
      </c>
    </row>
    <row r="789" spans="1:12">
      <c r="A789" t="s">
        <v>103</v>
      </c>
      <c r="B789">
        <v>2009</v>
      </c>
      <c r="C789" s="16">
        <v>2.0999999999999999E-3</v>
      </c>
      <c r="D789" s="1">
        <v>25585503</v>
      </c>
      <c r="E789" s="29">
        <f>Table14[[#This Row],[Ávöxtun]]*Table14[[#This Row],[Eignir]]/SUMIFS(Table14[Eignir],Table14[Year],Table14[[#This Row],[Year]])</f>
        <v>3.2206975660904779E-5</v>
      </c>
      <c r="F789" s="23">
        <f>IF(B789=1997, 100, IF(COUNTIF(A$1:A788,A789)=0, "NEW", F788*(1+Table14[[#This Row],[Ávöxtun]])))</f>
        <v>135.51215225247066</v>
      </c>
      <c r="G789" s="18" cm="1">
        <f t="array" ref="G789">IFERROR(_xlfn.IFS(ISNUMBER(Table14[[#This Row],[Column3]]),Table14[[#This Row],[Column3]],Table14[[#This Row],[Column3]]="NEW",Table14[[#This Row],[Column3]]),"")</f>
        <v>135.51215225247066</v>
      </c>
      <c r="H789" s="15" cm="1">
        <f t="array" ref="H789">_xlfn.IFS(Table14[[#This Row],[Column4]]="NEW",AVERAGEIFS(Table14[Column4],Table14[Year],Table14[[#This Row],[Year]]),ISNUMBER(Table14[[#This Row],[Column4]]),Table14[[#This Row],[Column4]],Table14[[#This Row],[Column4]]="",H788*(1+Table14[[#This Row],[Ávöxtun]]))</f>
        <v>135.51215225247066</v>
      </c>
      <c r="I789" cm="1">
        <f t="array" ref="I789">_xlfn.IFS(Table14[[#This Row],[Column4]]="NEW",_xlfn.XLOOKUP(Table14[[#This Row],[Year]],$M$2:$M$27,$O$2:$O$27),ISNUMBER(Table14[[#This Row],[Column4]]),Table14[[#This Row],[Column4]],Table14[[#This Row],[Column4]]="",I788*(1+Table14[[#This Row],[Ávöxtun]]))</f>
        <v>135.51215225247066</v>
      </c>
      <c r="L789" s="33">
        <v>135.51215225247066</v>
      </c>
    </row>
    <row r="790" spans="1:12">
      <c r="A790" t="s">
        <v>103</v>
      </c>
      <c r="B790">
        <v>2010</v>
      </c>
      <c r="C790" s="16">
        <v>2.2100000000000002E-2</v>
      </c>
      <c r="D790" s="1">
        <v>27391200</v>
      </c>
      <c r="E790" s="29">
        <f>Table14[[#This Row],[Ávöxtun]]*Table14[[#This Row],[Eignir]]/SUMIFS(Table14[Eignir],Table14[Year],Table14[[#This Row],[Year]])</f>
        <v>3.386005543853068E-4</v>
      </c>
      <c r="F790" s="23">
        <f>IF(B790=1997, 100, IF(COUNTIF(A$1:A789,A790)=0, "NEW", F789*(1+Table14[[#This Row],[Ávöxtun]])))</f>
        <v>138.50697081725025</v>
      </c>
      <c r="G790" s="18" cm="1">
        <f t="array" ref="G790">IFERROR(_xlfn.IFS(ISNUMBER(Table14[[#This Row],[Column3]]),Table14[[#This Row],[Column3]],Table14[[#This Row],[Column3]]="NEW",Table14[[#This Row],[Column3]]),"")</f>
        <v>138.50697081725025</v>
      </c>
      <c r="H790" s="15" cm="1">
        <f t="array" ref="H790">_xlfn.IFS(Table14[[#This Row],[Column4]]="NEW",AVERAGEIFS(Table14[Column4],Table14[Year],Table14[[#This Row],[Year]]),ISNUMBER(Table14[[#This Row],[Column4]]),Table14[[#This Row],[Column4]],Table14[[#This Row],[Column4]]="",H789*(1+Table14[[#This Row],[Ávöxtun]]))</f>
        <v>138.50697081725025</v>
      </c>
      <c r="I790" cm="1">
        <f t="array" ref="I790">_xlfn.IFS(Table14[[#This Row],[Column4]]="NEW",_xlfn.XLOOKUP(Table14[[#This Row],[Year]],$M$2:$M$27,$O$2:$O$27),ISNUMBER(Table14[[#This Row],[Column4]]),Table14[[#This Row],[Column4]],Table14[[#This Row],[Column4]]="",I789*(1+Table14[[#This Row],[Ávöxtun]]))</f>
        <v>138.50697081725025</v>
      </c>
      <c r="L790" s="33">
        <v>138.50697081725025</v>
      </c>
    </row>
    <row r="791" spans="1:12">
      <c r="A791" t="s">
        <v>103</v>
      </c>
      <c r="B791">
        <v>2011</v>
      </c>
      <c r="C791" s="16">
        <v>-5.0000000000000001E-3</v>
      </c>
      <c r="D791" s="1">
        <v>27877764</v>
      </c>
      <c r="E791" s="29">
        <f>Table14[[#This Row],[Ávöxtun]]*Table14[[#This Row],[Eignir]]/SUMIFS(Table14[Eignir],Table14[Year],Table14[[#This Row],[Year]])</f>
        <v>-7.1460966613507508E-5</v>
      </c>
      <c r="F791" s="23">
        <f>IF(B791=1997, 100, IF(COUNTIF(A$1:A790,A791)=0, "NEW", F790*(1+Table14[[#This Row],[Ávöxtun]])))</f>
        <v>137.81443596316399</v>
      </c>
      <c r="G791" s="18" cm="1">
        <f t="array" ref="G791">IFERROR(_xlfn.IFS(ISNUMBER(Table14[[#This Row],[Column3]]),Table14[[#This Row],[Column3]],Table14[[#This Row],[Column3]]="NEW",Table14[[#This Row],[Column3]]),"")</f>
        <v>137.81443596316399</v>
      </c>
      <c r="H791" s="15" cm="1">
        <f t="array" ref="H791">_xlfn.IFS(Table14[[#This Row],[Column4]]="NEW",AVERAGEIFS(Table14[Column4],Table14[Year],Table14[[#This Row],[Year]]),ISNUMBER(Table14[[#This Row],[Column4]]),Table14[[#This Row],[Column4]],Table14[[#This Row],[Column4]]="",H790*(1+Table14[[#This Row],[Ávöxtun]]))</f>
        <v>137.81443596316399</v>
      </c>
      <c r="I791" cm="1">
        <f t="array" ref="I791">_xlfn.IFS(Table14[[#This Row],[Column4]]="NEW",_xlfn.XLOOKUP(Table14[[#This Row],[Year]],$M$2:$M$27,$O$2:$O$27),ISNUMBER(Table14[[#This Row],[Column4]]),Table14[[#This Row],[Column4]],Table14[[#This Row],[Column4]]="",I790*(1+Table14[[#This Row],[Ávöxtun]]))</f>
        <v>137.81443596316399</v>
      </c>
      <c r="L791" s="33">
        <v>137.81443596316399</v>
      </c>
    </row>
    <row r="792" spans="1:12">
      <c r="A792" t="s">
        <v>103</v>
      </c>
      <c r="B792">
        <v>2012</v>
      </c>
      <c r="C792" s="16">
        <v>6.8000000000000005E-2</v>
      </c>
      <c r="D792" s="1">
        <v>31293975</v>
      </c>
      <c r="E792" s="29">
        <f>Table14[[#This Row],[Ávöxtun]]*Table14[[#This Row],[Eignir]]/SUMIFS(Table14[Eignir],Table14[Year],Table14[[#This Row],[Year]])</f>
        <v>9.6601995474480051E-4</v>
      </c>
      <c r="F792" s="23">
        <f>IF(B792=1997, 100, IF(COUNTIF(A$1:A791,A792)=0, "NEW", F791*(1+Table14[[#This Row],[Ávöxtun]])))</f>
        <v>147.18581760865914</v>
      </c>
      <c r="G792" s="18" cm="1">
        <f t="array" ref="G792">IFERROR(_xlfn.IFS(ISNUMBER(Table14[[#This Row],[Column3]]),Table14[[#This Row],[Column3]],Table14[[#This Row],[Column3]]="NEW",Table14[[#This Row],[Column3]]),"")</f>
        <v>147.18581760865914</v>
      </c>
      <c r="H792" s="15" cm="1">
        <f t="array" ref="H792">_xlfn.IFS(Table14[[#This Row],[Column4]]="NEW",AVERAGEIFS(Table14[Column4],Table14[Year],Table14[[#This Row],[Year]]),ISNUMBER(Table14[[#This Row],[Column4]]),Table14[[#This Row],[Column4]],Table14[[#This Row],[Column4]]="",H791*(1+Table14[[#This Row],[Ávöxtun]]))</f>
        <v>147.18581760865914</v>
      </c>
      <c r="I792" cm="1">
        <f t="array" ref="I792">_xlfn.IFS(Table14[[#This Row],[Column4]]="NEW",_xlfn.XLOOKUP(Table14[[#This Row],[Year]],$M$2:$M$27,$O$2:$O$27),ISNUMBER(Table14[[#This Row],[Column4]]),Table14[[#This Row],[Column4]],Table14[[#This Row],[Column4]]="",I791*(1+Table14[[#This Row],[Ávöxtun]]))</f>
        <v>147.18581760865914</v>
      </c>
      <c r="L792" s="33">
        <v>147.18581760865914</v>
      </c>
    </row>
    <row r="793" spans="1:12">
      <c r="A793" t="s">
        <v>103</v>
      </c>
      <c r="B793">
        <v>2013</v>
      </c>
      <c r="C793" s="16">
        <v>4.5999999999999999E-2</v>
      </c>
      <c r="D793" s="1">
        <v>34070511</v>
      </c>
      <c r="E793" s="29">
        <f>Table14[[#This Row],[Ávöxtun]]*Table14[[#This Row],[Eignir]]/SUMIFS(Table14[Eignir],Table14[Year],Table14[[#This Row],[Year]])</f>
        <v>6.4400751460626606E-4</v>
      </c>
      <c r="F793" s="23">
        <f>IF(B793=1997, 100, IF(COUNTIF(A$1:A792,A793)=0, "NEW", F792*(1+Table14[[#This Row],[Ávöxtun]])))</f>
        <v>153.95636521865745</v>
      </c>
      <c r="G793" s="18" cm="1">
        <f t="array" ref="G793">IFERROR(_xlfn.IFS(ISNUMBER(Table14[[#This Row],[Column3]]),Table14[[#This Row],[Column3]],Table14[[#This Row],[Column3]]="NEW",Table14[[#This Row],[Column3]]),"")</f>
        <v>153.95636521865745</v>
      </c>
      <c r="H793" s="15" cm="1">
        <f t="array" ref="H793">_xlfn.IFS(Table14[[#This Row],[Column4]]="NEW",AVERAGEIFS(Table14[Column4],Table14[Year],Table14[[#This Row],[Year]]),ISNUMBER(Table14[[#This Row],[Column4]]),Table14[[#This Row],[Column4]],Table14[[#This Row],[Column4]]="",H792*(1+Table14[[#This Row],[Ávöxtun]]))</f>
        <v>153.95636521865745</v>
      </c>
      <c r="I793" cm="1">
        <f t="array" ref="I793">_xlfn.IFS(Table14[[#This Row],[Column4]]="NEW",_xlfn.XLOOKUP(Table14[[#This Row],[Year]],$M$2:$M$27,$O$2:$O$27),ISNUMBER(Table14[[#This Row],[Column4]]),Table14[[#This Row],[Column4]],Table14[[#This Row],[Column4]]="",I792*(1+Table14[[#This Row],[Ávöxtun]]))</f>
        <v>153.95636521865745</v>
      </c>
      <c r="L793" s="33">
        <v>153.95636521865745</v>
      </c>
    </row>
    <row r="794" spans="1:12">
      <c r="A794" t="s">
        <v>103</v>
      </c>
      <c r="B794">
        <v>2014</v>
      </c>
      <c r="C794" s="16">
        <v>7.8E-2</v>
      </c>
      <c r="D794" s="1">
        <v>37131083</v>
      </c>
      <c r="E794" s="29">
        <f>Table14[[#This Row],[Ávöxtun]]*Table14[[#This Row],[Eignir]]/SUMIFS(Table14[Eignir],Table14[Year],Table14[[#This Row],[Year]])</f>
        <v>1.0916714334760521E-3</v>
      </c>
      <c r="F794" s="23">
        <f>IF(B794=1997, 100, IF(COUNTIF(A$1:A793,A794)=0, "NEW", F793*(1+Table14[[#This Row],[Ávöxtun]])))</f>
        <v>165.96496170571274</v>
      </c>
      <c r="G794" s="18" cm="1">
        <f t="array" ref="G794">IFERROR(_xlfn.IFS(ISNUMBER(Table14[[#This Row],[Column3]]),Table14[[#This Row],[Column3]],Table14[[#This Row],[Column3]]="NEW",Table14[[#This Row],[Column3]]),"")</f>
        <v>165.96496170571274</v>
      </c>
      <c r="H794" s="15" cm="1">
        <f t="array" ref="H794">_xlfn.IFS(Table14[[#This Row],[Column4]]="NEW",AVERAGEIFS(Table14[Column4],Table14[Year],Table14[[#This Row],[Year]]),ISNUMBER(Table14[[#This Row],[Column4]]),Table14[[#This Row],[Column4]],Table14[[#This Row],[Column4]]="",H793*(1+Table14[[#This Row],[Ávöxtun]]))</f>
        <v>165.96496170571274</v>
      </c>
      <c r="I794" cm="1">
        <f t="array" ref="I794">_xlfn.IFS(Table14[[#This Row],[Column4]]="NEW",_xlfn.XLOOKUP(Table14[[#This Row],[Year]],$M$2:$M$27,$O$2:$O$27),ISNUMBER(Table14[[#This Row],[Column4]]),Table14[[#This Row],[Column4]],Table14[[#This Row],[Column4]]="",I793*(1+Table14[[#This Row],[Ávöxtun]]))</f>
        <v>165.96496170571274</v>
      </c>
      <c r="L794" s="33">
        <v>165.96496170571274</v>
      </c>
    </row>
    <row r="795" spans="1:12">
      <c r="A795" t="s">
        <v>104</v>
      </c>
      <c r="B795">
        <v>1997</v>
      </c>
      <c r="C795" s="16">
        <v>7.0000000000000007E-2</v>
      </c>
      <c r="D795" s="1">
        <v>6939615.0499999998</v>
      </c>
      <c r="E795" s="29">
        <f>Table14[[#This Row],[Ávöxtun]]*Table14[[#This Row],[Eignir]]/SUMIFS(Table14[Eignir],Table14[Year],Table14[[#This Row],[Year]])</f>
        <v>1.4328517485077579E-3</v>
      </c>
      <c r="F795" s="23">
        <f>IF(B795=1997, 100, IF(COUNTIF(A$1:A794,A795)=0, "NEW", F794*(1+Table14[[#This Row],[Ávöxtun]])))</f>
        <v>100</v>
      </c>
      <c r="G795" s="18" cm="1">
        <f t="array" ref="G795">IFERROR(_xlfn.IFS(ISNUMBER(Table14[[#This Row],[Column3]]),Table14[[#This Row],[Column3]],Table14[[#This Row],[Column3]]="NEW",Table14[[#This Row],[Column3]]),"")</f>
        <v>100</v>
      </c>
      <c r="H795" s="15" cm="1">
        <f t="array" ref="H795">_xlfn.IFS(Table14[[#This Row],[Column4]]="NEW",AVERAGEIFS(Table14[Column4],Table14[Year],Table14[[#This Row],[Year]]),ISNUMBER(Table14[[#This Row],[Column4]]),Table14[[#This Row],[Column4]],Table14[[#This Row],[Column4]]="",H794*(1+Table14[[#This Row],[Ávöxtun]]))</f>
        <v>100</v>
      </c>
      <c r="I795" cm="1">
        <f t="array" ref="I795">_xlfn.IFS(Table14[[#This Row],[Column4]]="NEW",_xlfn.XLOOKUP(Table14[[#This Row],[Year]],$M$2:$M$27,$O$2:$O$27),ISNUMBER(Table14[[#This Row],[Column4]]),Table14[[#This Row],[Column4]],Table14[[#This Row],[Column4]]="",I794*(1+Table14[[#This Row],[Ávöxtun]]))</f>
        <v>100</v>
      </c>
      <c r="L795" s="33">
        <v>100</v>
      </c>
    </row>
    <row r="796" spans="1:12">
      <c r="A796" t="s">
        <v>104</v>
      </c>
      <c r="B796">
        <v>1998</v>
      </c>
      <c r="C796" s="16">
        <v>7.0000000000000007E-2</v>
      </c>
      <c r="D796" s="1">
        <v>7751463.6600000001</v>
      </c>
      <c r="E796" s="29">
        <f>Table14[[#This Row],[Ávöxtun]]*Table14[[#This Row],[Eignir]]/SUMIFS(Table14[Eignir],Table14[Year],Table14[[#This Row],[Year]])</f>
        <v>1.3854803062982972E-3</v>
      </c>
      <c r="F796" s="23">
        <f>IF(B796=1997, 100, IF(COUNTIF(A$1:A795,A796)=0, "NEW", F795*(1+Table14[[#This Row],[Ávöxtun]])))</f>
        <v>107</v>
      </c>
      <c r="G796" s="18" cm="1">
        <f t="array" ref="G796">IFERROR(_xlfn.IFS(ISNUMBER(Table14[[#This Row],[Column3]]),Table14[[#This Row],[Column3]],Table14[[#This Row],[Column3]]="NEW",Table14[[#This Row],[Column3]]),"")</f>
        <v>107</v>
      </c>
      <c r="H796" s="15" cm="1">
        <f t="array" ref="H796">_xlfn.IFS(Table14[[#This Row],[Column4]]="NEW",AVERAGEIFS(Table14[Column4],Table14[Year],Table14[[#This Row],[Year]]),ISNUMBER(Table14[[#This Row],[Column4]]),Table14[[#This Row],[Column4]],Table14[[#This Row],[Column4]]="",H795*(1+Table14[[#This Row],[Ávöxtun]]))</f>
        <v>107</v>
      </c>
      <c r="I796" cm="1">
        <f t="array" ref="I796">_xlfn.IFS(Table14[[#This Row],[Column4]]="NEW",_xlfn.XLOOKUP(Table14[[#This Row],[Year]],$M$2:$M$27,$O$2:$O$27),ISNUMBER(Table14[[#This Row],[Column4]]),Table14[[#This Row],[Column4]],Table14[[#This Row],[Column4]]="",I795*(1+Table14[[#This Row],[Ávöxtun]]))</f>
        <v>107</v>
      </c>
      <c r="L796" s="33">
        <v>107</v>
      </c>
    </row>
    <row r="797" spans="1:12">
      <c r="A797" t="s">
        <v>104</v>
      </c>
      <c r="B797">
        <v>1999</v>
      </c>
      <c r="C797" s="16">
        <v>0.13</v>
      </c>
      <c r="D797" s="1">
        <v>9456775.3900000006</v>
      </c>
      <c r="E797" s="29">
        <f>Table14[[#This Row],[Ávöxtun]]*Table14[[#This Row],[Eignir]]/SUMIFS(Table14[Eignir],Table14[Year],Table14[[#This Row],[Year]])</f>
        <v>2.3609398987019989E-3</v>
      </c>
      <c r="F797" s="23">
        <f>IF(B797=1997, 100, IF(COUNTIF(A$1:A796,A797)=0, "NEW", F796*(1+Table14[[#This Row],[Ávöxtun]])))</f>
        <v>120.90999999999998</v>
      </c>
      <c r="G797" s="18" cm="1">
        <f t="array" ref="G797">IFERROR(_xlfn.IFS(ISNUMBER(Table14[[#This Row],[Column3]]),Table14[[#This Row],[Column3]],Table14[[#This Row],[Column3]]="NEW",Table14[[#This Row],[Column3]]),"")</f>
        <v>120.90999999999998</v>
      </c>
      <c r="H797" s="15" cm="1">
        <f t="array" ref="H797">_xlfn.IFS(Table14[[#This Row],[Column4]]="NEW",AVERAGEIFS(Table14[Column4],Table14[Year],Table14[[#This Row],[Year]]),ISNUMBER(Table14[[#This Row],[Column4]]),Table14[[#This Row],[Column4]],Table14[[#This Row],[Column4]]="",H796*(1+Table14[[#This Row],[Ávöxtun]]))</f>
        <v>120.90999999999998</v>
      </c>
      <c r="I797" cm="1">
        <f t="array" ref="I797">_xlfn.IFS(Table14[[#This Row],[Column4]]="NEW",_xlfn.XLOOKUP(Table14[[#This Row],[Year]],$M$2:$M$27,$O$2:$O$27),ISNUMBER(Table14[[#This Row],[Column4]]),Table14[[#This Row],[Column4]],Table14[[#This Row],[Column4]]="",I796*(1+Table14[[#This Row],[Ávöxtun]]))</f>
        <v>120.90999999999998</v>
      </c>
      <c r="L797" s="33">
        <v>120.90999999999998</v>
      </c>
    </row>
    <row r="798" spans="1:12">
      <c r="A798" t="s">
        <v>104</v>
      </c>
      <c r="B798">
        <v>2000</v>
      </c>
      <c r="C798" s="16">
        <v>0</v>
      </c>
      <c r="D798" s="1">
        <v>10051419.9</v>
      </c>
      <c r="E798" s="29">
        <f>Table14[[#This Row],[Ávöxtun]]*Table14[[#This Row],[Eignir]]/SUMIFS(Table14[Eignir],Table14[Year],Table14[[#This Row],[Year]])</f>
        <v>0</v>
      </c>
      <c r="F798" s="23">
        <f>IF(B798=1997, 100, IF(COUNTIF(A$1:A797,A798)=0, "NEW", F797*(1+Table14[[#This Row],[Ávöxtun]])))</f>
        <v>120.90999999999998</v>
      </c>
      <c r="G798" s="18" cm="1">
        <f t="array" ref="G798">IFERROR(_xlfn.IFS(ISNUMBER(Table14[[#This Row],[Column3]]),Table14[[#This Row],[Column3]],Table14[[#This Row],[Column3]]="NEW",Table14[[#This Row],[Column3]]),"")</f>
        <v>120.90999999999998</v>
      </c>
      <c r="H798" s="15" cm="1">
        <f t="array" ref="H798">_xlfn.IFS(Table14[[#This Row],[Column4]]="NEW",AVERAGEIFS(Table14[Column4],Table14[Year],Table14[[#This Row],[Year]]),ISNUMBER(Table14[[#This Row],[Column4]]),Table14[[#This Row],[Column4]],Table14[[#This Row],[Column4]]="",H797*(1+Table14[[#This Row],[Ávöxtun]]))</f>
        <v>120.90999999999998</v>
      </c>
      <c r="I798" cm="1">
        <f t="array" ref="I798">_xlfn.IFS(Table14[[#This Row],[Column4]]="NEW",_xlfn.XLOOKUP(Table14[[#This Row],[Year]],$M$2:$M$27,$O$2:$O$27),ISNUMBER(Table14[[#This Row],[Column4]]),Table14[[#This Row],[Column4]],Table14[[#This Row],[Column4]]="",I797*(1+Table14[[#This Row],[Ávöxtun]]))</f>
        <v>120.90999999999998</v>
      </c>
      <c r="L798" s="33">
        <v>120.90999999999998</v>
      </c>
    </row>
    <row r="799" spans="1:12">
      <c r="A799" t="s">
        <v>104</v>
      </c>
      <c r="B799">
        <v>2001</v>
      </c>
      <c r="C799" s="16">
        <v>-0.04</v>
      </c>
      <c r="D799" s="1">
        <v>21872806</v>
      </c>
      <c r="E799" s="29">
        <f>Table14[[#This Row],[Ávöxtun]]*Table14[[#This Row],[Eignir]]/SUMIFS(Table14[Eignir],Table14[Year],Table14[[#This Row],[Year]])</f>
        <v>-7.5559233039850925E-4</v>
      </c>
      <c r="F799" s="23">
        <f>IF(B799=1997, 100, IF(COUNTIF(A$1:A798,A799)=0, "NEW", F798*(1+Table14[[#This Row],[Ávöxtun]])))</f>
        <v>116.07359999999998</v>
      </c>
      <c r="G799" s="18" cm="1">
        <f t="array" ref="G799">IFERROR(_xlfn.IFS(ISNUMBER(Table14[[#This Row],[Column3]]),Table14[[#This Row],[Column3]],Table14[[#This Row],[Column3]]="NEW",Table14[[#This Row],[Column3]]),"")</f>
        <v>116.07359999999998</v>
      </c>
      <c r="H799" s="15" cm="1">
        <f t="array" ref="H799">_xlfn.IFS(Table14[[#This Row],[Column4]]="NEW",AVERAGEIFS(Table14[Column4],Table14[Year],Table14[[#This Row],[Year]]),ISNUMBER(Table14[[#This Row],[Column4]]),Table14[[#This Row],[Column4]],Table14[[#This Row],[Column4]]="",H798*(1+Table14[[#This Row],[Ávöxtun]]))</f>
        <v>116.07359999999998</v>
      </c>
      <c r="I799" cm="1">
        <f t="array" ref="I799">_xlfn.IFS(Table14[[#This Row],[Column4]]="NEW",_xlfn.XLOOKUP(Table14[[#This Row],[Year]],$M$2:$M$27,$O$2:$O$27),ISNUMBER(Table14[[#This Row],[Column4]]),Table14[[#This Row],[Column4]],Table14[[#This Row],[Column4]]="",I798*(1+Table14[[#This Row],[Ávöxtun]]))</f>
        <v>116.07359999999998</v>
      </c>
      <c r="L799" s="33">
        <v>116.07359999999998</v>
      </c>
    </row>
    <row r="800" spans="1:12">
      <c r="A800" t="s">
        <v>104</v>
      </c>
      <c r="B800">
        <v>2002</v>
      </c>
      <c r="C800" s="16">
        <v>0</v>
      </c>
      <c r="D800" s="1">
        <v>11334092.699999999</v>
      </c>
      <c r="E800" s="29">
        <f>Table14[[#This Row],[Ávöxtun]]*Table14[[#This Row],[Eignir]]/SUMIFS(Table14[Eignir],Table14[Year],Table14[[#This Row],[Year]])</f>
        <v>0</v>
      </c>
      <c r="F800" s="23">
        <f>IF(B800=1997, 100, IF(COUNTIF(A$1:A799,A800)=0, "NEW", F799*(1+Table14[[#This Row],[Ávöxtun]])))</f>
        <v>116.07359999999998</v>
      </c>
      <c r="G800" s="18" cm="1">
        <f t="array" ref="G800">IFERROR(_xlfn.IFS(ISNUMBER(Table14[[#This Row],[Column3]]),Table14[[#This Row],[Column3]],Table14[[#This Row],[Column3]]="NEW",Table14[[#This Row],[Column3]]),"")</f>
        <v>116.07359999999998</v>
      </c>
      <c r="H800" s="15" cm="1">
        <f t="array" ref="H800">_xlfn.IFS(Table14[[#This Row],[Column4]]="NEW",AVERAGEIFS(Table14[Column4],Table14[Year],Table14[[#This Row],[Year]]),ISNUMBER(Table14[[#This Row],[Column4]]),Table14[[#This Row],[Column4]],Table14[[#This Row],[Column4]]="",H799*(1+Table14[[#This Row],[Ávöxtun]]))</f>
        <v>116.07359999999998</v>
      </c>
      <c r="I800" cm="1">
        <f t="array" ref="I800">_xlfn.IFS(Table14[[#This Row],[Column4]]="NEW",_xlfn.XLOOKUP(Table14[[#This Row],[Year]],$M$2:$M$27,$O$2:$O$27),ISNUMBER(Table14[[#This Row],[Column4]]),Table14[[#This Row],[Column4]],Table14[[#This Row],[Column4]]="",I799*(1+Table14[[#This Row],[Ávöxtun]]))</f>
        <v>116.07359999999998</v>
      </c>
      <c r="L800" s="33">
        <v>116.07359999999998</v>
      </c>
    </row>
    <row r="801" spans="1:12">
      <c r="A801" t="s">
        <v>104</v>
      </c>
      <c r="B801">
        <v>2003</v>
      </c>
      <c r="C801" s="16">
        <v>0.09</v>
      </c>
      <c r="D801" s="1">
        <v>12869794</v>
      </c>
      <c r="E801" s="29">
        <f>Table14[[#This Row],[Ávöxtun]]*Table14[[#This Row],[Eignir]]/SUMIFS(Table14[Eignir],Table14[Year],Table14[[#This Row],[Year]])</f>
        <v>1.5242723734200929E-3</v>
      </c>
      <c r="F801" s="23">
        <f>IF(B801=1997, 100, IF(COUNTIF(A$1:A800,A801)=0, "NEW", F800*(1+Table14[[#This Row],[Ávöxtun]])))</f>
        <v>126.520224</v>
      </c>
      <c r="G801" s="18" cm="1">
        <f t="array" ref="G801">IFERROR(_xlfn.IFS(ISNUMBER(Table14[[#This Row],[Column3]]),Table14[[#This Row],[Column3]],Table14[[#This Row],[Column3]]="NEW",Table14[[#This Row],[Column3]]),"")</f>
        <v>126.520224</v>
      </c>
      <c r="H801" s="15" cm="1">
        <f t="array" ref="H801">_xlfn.IFS(Table14[[#This Row],[Column4]]="NEW",AVERAGEIFS(Table14[Column4],Table14[Year],Table14[[#This Row],[Year]]),ISNUMBER(Table14[[#This Row],[Column4]]),Table14[[#This Row],[Column4]],Table14[[#This Row],[Column4]]="",H800*(1+Table14[[#This Row],[Ávöxtun]]))</f>
        <v>126.520224</v>
      </c>
      <c r="I801" cm="1">
        <f t="array" ref="I801">_xlfn.IFS(Table14[[#This Row],[Column4]]="NEW",_xlfn.XLOOKUP(Table14[[#This Row],[Year]],$M$2:$M$27,$O$2:$O$27),ISNUMBER(Table14[[#This Row],[Column4]]),Table14[[#This Row],[Column4]],Table14[[#This Row],[Column4]]="",I800*(1+Table14[[#This Row],[Ávöxtun]]))</f>
        <v>126.520224</v>
      </c>
      <c r="L801" s="33">
        <v>126.520224</v>
      </c>
    </row>
    <row r="802" spans="1:12">
      <c r="A802" t="s">
        <v>104</v>
      </c>
      <c r="B802">
        <v>2004</v>
      </c>
      <c r="C802" s="16">
        <v>0.11</v>
      </c>
      <c r="D802" s="1">
        <v>14973972</v>
      </c>
      <c r="E802" s="29">
        <f>Table14[[#This Row],[Ávöxtun]]*Table14[[#This Row],[Eignir]]/SUMIFS(Table14[Eignir],Table14[Year],Table14[[#This Row],[Year]])</f>
        <v>1.8146861178967818E-3</v>
      </c>
      <c r="F802" s="23">
        <f>IF(B802=1997, 100, IF(COUNTIF(A$1:A801,A802)=0, "NEW", F801*(1+Table14[[#This Row],[Ávöxtun]])))</f>
        <v>140.43744864000001</v>
      </c>
      <c r="G802" s="18" cm="1">
        <f t="array" ref="G802">IFERROR(_xlfn.IFS(ISNUMBER(Table14[[#This Row],[Column3]]),Table14[[#This Row],[Column3]],Table14[[#This Row],[Column3]]="NEW",Table14[[#This Row],[Column3]]),"")</f>
        <v>140.43744864000001</v>
      </c>
      <c r="H802" s="15" cm="1">
        <f t="array" ref="H802">_xlfn.IFS(Table14[[#This Row],[Column4]]="NEW",AVERAGEIFS(Table14[Column4],Table14[Year],Table14[[#This Row],[Year]]),ISNUMBER(Table14[[#This Row],[Column4]]),Table14[[#This Row],[Column4]],Table14[[#This Row],[Column4]]="",H801*(1+Table14[[#This Row],[Ávöxtun]]))</f>
        <v>140.43744864000001</v>
      </c>
      <c r="I802" cm="1">
        <f t="array" ref="I802">_xlfn.IFS(Table14[[#This Row],[Column4]]="NEW",_xlfn.XLOOKUP(Table14[[#This Row],[Year]],$M$2:$M$27,$O$2:$O$27),ISNUMBER(Table14[[#This Row],[Column4]]),Table14[[#This Row],[Column4]],Table14[[#This Row],[Column4]]="",I801*(1+Table14[[#This Row],[Ávöxtun]]))</f>
        <v>140.43744864000001</v>
      </c>
      <c r="L802" s="33">
        <v>140.43744864000001</v>
      </c>
    </row>
    <row r="803" spans="1:12">
      <c r="A803" t="s">
        <v>104</v>
      </c>
      <c r="B803">
        <v>2005</v>
      </c>
      <c r="C803" s="16">
        <v>0.12</v>
      </c>
      <c r="D803" s="1">
        <v>17652399</v>
      </c>
      <c r="E803" s="29">
        <f>Table14[[#This Row],[Ávöxtun]]*Table14[[#This Row],[Eignir]]/SUMIFS(Table14[Eignir],Table14[Year],Table14[[#This Row],[Year]])</f>
        <v>1.8890721346014161E-3</v>
      </c>
      <c r="F803" s="23">
        <f>IF(B803=1997, 100, IF(COUNTIF(A$1:A802,A803)=0, "NEW", F802*(1+Table14[[#This Row],[Ávöxtun]])))</f>
        <v>157.28994247680004</v>
      </c>
      <c r="G803" s="18" cm="1">
        <f t="array" ref="G803">IFERROR(_xlfn.IFS(ISNUMBER(Table14[[#This Row],[Column3]]),Table14[[#This Row],[Column3]],Table14[[#This Row],[Column3]]="NEW",Table14[[#This Row],[Column3]]),"")</f>
        <v>157.28994247680004</v>
      </c>
      <c r="H803" s="15" cm="1">
        <f t="array" ref="H803">_xlfn.IFS(Table14[[#This Row],[Column4]]="NEW",AVERAGEIFS(Table14[Column4],Table14[Year],Table14[[#This Row],[Year]]),ISNUMBER(Table14[[#This Row],[Column4]]),Table14[[#This Row],[Column4]],Table14[[#This Row],[Column4]]="",H802*(1+Table14[[#This Row],[Ávöxtun]]))</f>
        <v>157.28994247680004</v>
      </c>
      <c r="I803" cm="1">
        <f t="array" ref="I803">_xlfn.IFS(Table14[[#This Row],[Column4]]="NEW",_xlfn.XLOOKUP(Table14[[#This Row],[Year]],$M$2:$M$27,$O$2:$O$27),ISNUMBER(Table14[[#This Row],[Column4]]),Table14[[#This Row],[Column4]],Table14[[#This Row],[Column4]]="",I802*(1+Table14[[#This Row],[Ávöxtun]]))</f>
        <v>157.28994247680004</v>
      </c>
      <c r="L803" s="33">
        <v>157.28994247680004</v>
      </c>
    </row>
    <row r="804" spans="1:12">
      <c r="A804" t="s">
        <v>104</v>
      </c>
      <c r="B804">
        <v>2006</v>
      </c>
      <c r="C804" s="16">
        <v>0.12740000000000001</v>
      </c>
      <c r="D804" s="1">
        <v>21446178</v>
      </c>
      <c r="E804" s="29">
        <f>Table14[[#This Row],[Ávöxtun]]*Table14[[#This Row],[Eignir]]/SUMIFS(Table14[Eignir],Table14[Year],Table14[[#This Row],[Year]])</f>
        <v>1.9904506189095043E-3</v>
      </c>
      <c r="F804" s="23">
        <f>IF(B804=1997, 100, IF(COUNTIF(A$1:A803,A804)=0, "NEW", F803*(1+Table14[[#This Row],[Ávöxtun]])))</f>
        <v>177.32868114834434</v>
      </c>
      <c r="G804" s="18" cm="1">
        <f t="array" ref="G804">IFERROR(_xlfn.IFS(ISNUMBER(Table14[[#This Row],[Column3]]),Table14[[#This Row],[Column3]],Table14[[#This Row],[Column3]]="NEW",Table14[[#This Row],[Column3]]),"")</f>
        <v>177.32868114834434</v>
      </c>
      <c r="H804" s="15" cm="1">
        <f t="array" ref="H804">_xlfn.IFS(Table14[[#This Row],[Column4]]="NEW",AVERAGEIFS(Table14[Column4],Table14[Year],Table14[[#This Row],[Year]]),ISNUMBER(Table14[[#This Row],[Column4]]),Table14[[#This Row],[Column4]],Table14[[#This Row],[Column4]]="",H803*(1+Table14[[#This Row],[Ávöxtun]]))</f>
        <v>177.32868114834434</v>
      </c>
      <c r="I804" cm="1">
        <f t="array" ref="I804">_xlfn.IFS(Table14[[#This Row],[Column4]]="NEW",_xlfn.XLOOKUP(Table14[[#This Row],[Year]],$M$2:$M$27,$O$2:$O$27),ISNUMBER(Table14[[#This Row],[Column4]]),Table14[[#This Row],[Column4]],Table14[[#This Row],[Column4]]="",I803*(1+Table14[[#This Row],[Ávöxtun]]))</f>
        <v>177.32868114834434</v>
      </c>
      <c r="L804" s="33">
        <v>177.32868114834434</v>
      </c>
    </row>
    <row r="805" spans="1:12">
      <c r="A805" t="s">
        <v>104</v>
      </c>
      <c r="B805">
        <v>2007</v>
      </c>
      <c r="C805" s="16">
        <v>1.21E-2</v>
      </c>
      <c r="D805" s="1">
        <v>23194956</v>
      </c>
      <c r="E805" s="29">
        <f>Table14[[#This Row],[Ávöxtun]]*Table14[[#This Row],[Eignir]]/SUMIFS(Table14[Eignir],Table14[Year],Table14[[#This Row],[Year]])</f>
        <v>1.8149089183160414E-4</v>
      </c>
      <c r="F805" s="23">
        <f>IF(B805=1997, 100, IF(COUNTIF(A$1:A804,A805)=0, "NEW", F804*(1+Table14[[#This Row],[Ávöxtun]])))</f>
        <v>179.47435819023931</v>
      </c>
      <c r="G805" s="18" cm="1">
        <f t="array" ref="G805">IFERROR(_xlfn.IFS(ISNUMBER(Table14[[#This Row],[Column3]]),Table14[[#This Row],[Column3]],Table14[[#This Row],[Column3]]="NEW",Table14[[#This Row],[Column3]]),"")</f>
        <v>179.47435819023931</v>
      </c>
      <c r="H805" s="15" cm="1">
        <f t="array" ref="H805">_xlfn.IFS(Table14[[#This Row],[Column4]]="NEW",AVERAGEIFS(Table14[Column4],Table14[Year],Table14[[#This Row],[Year]]),ISNUMBER(Table14[[#This Row],[Column4]]),Table14[[#This Row],[Column4]],Table14[[#This Row],[Column4]]="",H804*(1+Table14[[#This Row],[Ávöxtun]]))</f>
        <v>179.47435819023931</v>
      </c>
      <c r="I805" cm="1">
        <f t="array" ref="I805">_xlfn.IFS(Table14[[#This Row],[Column4]]="NEW",_xlfn.XLOOKUP(Table14[[#This Row],[Year]],$M$2:$M$27,$O$2:$O$27),ISNUMBER(Table14[[#This Row],[Column4]]),Table14[[#This Row],[Column4]],Table14[[#This Row],[Column4]]="",I804*(1+Table14[[#This Row],[Ávöxtun]]))</f>
        <v>179.47435819023931</v>
      </c>
      <c r="L805" s="33">
        <v>179.47435819023931</v>
      </c>
    </row>
    <row r="806" spans="1:12">
      <c r="A806" t="s">
        <v>104</v>
      </c>
      <c r="B806">
        <v>2008</v>
      </c>
      <c r="C806" s="16">
        <v>-0.1152</v>
      </c>
      <c r="D806" s="1">
        <v>24410219</v>
      </c>
      <c r="E806" s="29">
        <f>Table14[[#This Row],[Ávöxtun]]*Table14[[#This Row],[Eignir]]/SUMIFS(Table14[Eignir],Table14[Year],Table14[[#This Row],[Year]])</f>
        <v>-1.8780629183982064E-3</v>
      </c>
      <c r="F806" s="23">
        <f>IF(B806=1997, 100, IF(COUNTIF(A$1:A805,A806)=0, "NEW", F805*(1+Table14[[#This Row],[Ávöxtun]])))</f>
        <v>158.79891212672376</v>
      </c>
      <c r="G806" s="18" cm="1">
        <f t="array" ref="G806">IFERROR(_xlfn.IFS(ISNUMBER(Table14[[#This Row],[Column3]]),Table14[[#This Row],[Column3]],Table14[[#This Row],[Column3]]="NEW",Table14[[#This Row],[Column3]]),"")</f>
        <v>158.79891212672376</v>
      </c>
      <c r="H806" s="15" cm="1">
        <f t="array" ref="H806">_xlfn.IFS(Table14[[#This Row],[Column4]]="NEW",AVERAGEIFS(Table14[Column4],Table14[Year],Table14[[#This Row],[Year]]),ISNUMBER(Table14[[#This Row],[Column4]]),Table14[[#This Row],[Column4]],Table14[[#This Row],[Column4]]="",H805*(1+Table14[[#This Row],[Ávöxtun]]))</f>
        <v>158.79891212672376</v>
      </c>
      <c r="I806" cm="1">
        <f t="array" ref="I806">_xlfn.IFS(Table14[[#This Row],[Column4]]="NEW",_xlfn.XLOOKUP(Table14[[#This Row],[Year]],$M$2:$M$27,$O$2:$O$27),ISNUMBER(Table14[[#This Row],[Column4]]),Table14[[#This Row],[Column4]],Table14[[#This Row],[Column4]]="",I805*(1+Table14[[#This Row],[Ávöxtun]]))</f>
        <v>158.79891212672376</v>
      </c>
      <c r="L806" s="33">
        <v>158.79891212672376</v>
      </c>
    </row>
    <row r="807" spans="1:12">
      <c r="A807" t="s">
        <v>104</v>
      </c>
      <c r="B807">
        <v>2009</v>
      </c>
      <c r="C807" s="16">
        <v>2.8900000000000002E-2</v>
      </c>
      <c r="D807" s="1">
        <v>27485233</v>
      </c>
      <c r="E807" s="29">
        <f>Table14[[#This Row],[Ávöxtun]]*Table14[[#This Row],[Eignir]]/SUMIFS(Table14[Eignir],Table14[Year],Table14[[#This Row],[Year]])</f>
        <v>4.7613922050324255E-4</v>
      </c>
      <c r="F807" s="23">
        <f>IF(B807=1997, 100, IF(COUNTIF(A$1:A806,A807)=0, "NEW", F806*(1+Table14[[#This Row],[Ávöxtun]])))</f>
        <v>163.38820068718607</v>
      </c>
      <c r="G807" s="18" cm="1">
        <f t="array" ref="G807">IFERROR(_xlfn.IFS(ISNUMBER(Table14[[#This Row],[Column3]]),Table14[[#This Row],[Column3]],Table14[[#This Row],[Column3]]="NEW",Table14[[#This Row],[Column3]]),"")</f>
        <v>163.38820068718607</v>
      </c>
      <c r="H807" s="15" cm="1">
        <f t="array" ref="H807">_xlfn.IFS(Table14[[#This Row],[Column4]]="NEW",AVERAGEIFS(Table14[Column4],Table14[Year],Table14[[#This Row],[Year]]),ISNUMBER(Table14[[#This Row],[Column4]]),Table14[[#This Row],[Column4]],Table14[[#This Row],[Column4]]="",H806*(1+Table14[[#This Row],[Ávöxtun]]))</f>
        <v>163.38820068718607</v>
      </c>
      <c r="I807" cm="1">
        <f t="array" ref="I807">_xlfn.IFS(Table14[[#This Row],[Column4]]="NEW",_xlfn.XLOOKUP(Table14[[#This Row],[Year]],$M$2:$M$27,$O$2:$O$27),ISNUMBER(Table14[[#This Row],[Column4]]),Table14[[#This Row],[Column4]],Table14[[#This Row],[Column4]]="",I806*(1+Table14[[#This Row],[Ávöxtun]]))</f>
        <v>163.38820068718607</v>
      </c>
      <c r="L807" s="33">
        <v>163.38820068718607</v>
      </c>
    </row>
    <row r="808" spans="1:12">
      <c r="A808" t="s">
        <v>104</v>
      </c>
      <c r="B808">
        <v>2010</v>
      </c>
      <c r="C808" s="16">
        <v>1.24E-2</v>
      </c>
      <c r="D808" s="1">
        <v>28820003</v>
      </c>
      <c r="E808" s="29">
        <f>Table14[[#This Row],[Ávöxtun]]*Table14[[#This Row],[Eignir]]/SUMIFS(Table14[Eignir],Table14[Year],Table14[[#This Row],[Year]])</f>
        <v>1.9989412908434331E-4</v>
      </c>
      <c r="F808" s="23">
        <f>IF(B808=1997, 100, IF(COUNTIF(A$1:A807,A808)=0, "NEW", F807*(1+Table14[[#This Row],[Ávöxtun]])))</f>
        <v>165.41421437570716</v>
      </c>
      <c r="G808" s="18" cm="1">
        <f t="array" ref="G808">IFERROR(_xlfn.IFS(ISNUMBER(Table14[[#This Row],[Column3]]),Table14[[#This Row],[Column3]],Table14[[#This Row],[Column3]]="NEW",Table14[[#This Row],[Column3]]),"")</f>
        <v>165.41421437570716</v>
      </c>
      <c r="H808" s="15" cm="1">
        <f t="array" ref="H808">_xlfn.IFS(Table14[[#This Row],[Column4]]="NEW",AVERAGEIFS(Table14[Column4],Table14[Year],Table14[[#This Row],[Year]]),ISNUMBER(Table14[[#This Row],[Column4]]),Table14[[#This Row],[Column4]],Table14[[#This Row],[Column4]]="",H807*(1+Table14[[#This Row],[Ávöxtun]]))</f>
        <v>165.41421437570716</v>
      </c>
      <c r="I808" cm="1">
        <f t="array" ref="I808">_xlfn.IFS(Table14[[#This Row],[Column4]]="NEW",_xlfn.XLOOKUP(Table14[[#This Row],[Year]],$M$2:$M$27,$O$2:$O$27),ISNUMBER(Table14[[#This Row],[Column4]]),Table14[[#This Row],[Column4]],Table14[[#This Row],[Column4]]="",I807*(1+Table14[[#This Row],[Ávöxtun]]))</f>
        <v>165.41421437570716</v>
      </c>
      <c r="L808" s="33">
        <v>165.41421437570716</v>
      </c>
    </row>
    <row r="809" spans="1:12">
      <c r="A809" t="s">
        <v>104</v>
      </c>
      <c r="B809">
        <v>2011</v>
      </c>
      <c r="C809" s="16">
        <v>9.0000000000000011E-3</v>
      </c>
      <c r="D809" s="1">
        <v>30995398</v>
      </c>
      <c r="E809" s="29">
        <f>Table14[[#This Row],[Ávöxtun]]*Table14[[#This Row],[Eignir]]/SUMIFS(Table14[Eignir],Table14[Year],Table14[[#This Row],[Year]])</f>
        <v>1.4301469741155281E-4</v>
      </c>
      <c r="F809" s="23">
        <f>IF(B809=1997, 100, IF(COUNTIF(A$1:A808,A809)=0, "NEW", F808*(1+Table14[[#This Row],[Ávöxtun]])))</f>
        <v>166.90294230508852</v>
      </c>
      <c r="G809" s="18" cm="1">
        <f t="array" ref="G809">IFERROR(_xlfn.IFS(ISNUMBER(Table14[[#This Row],[Column3]]),Table14[[#This Row],[Column3]],Table14[[#This Row],[Column3]]="NEW",Table14[[#This Row],[Column3]]),"")</f>
        <v>166.90294230508852</v>
      </c>
      <c r="H809" s="15" cm="1">
        <f t="array" ref="H809">_xlfn.IFS(Table14[[#This Row],[Column4]]="NEW",AVERAGEIFS(Table14[Column4],Table14[Year],Table14[[#This Row],[Year]]),ISNUMBER(Table14[[#This Row],[Column4]]),Table14[[#This Row],[Column4]],Table14[[#This Row],[Column4]]="",H808*(1+Table14[[#This Row],[Ávöxtun]]))</f>
        <v>166.90294230508852</v>
      </c>
      <c r="I809" cm="1">
        <f t="array" ref="I809">_xlfn.IFS(Table14[[#This Row],[Column4]]="NEW",_xlfn.XLOOKUP(Table14[[#This Row],[Year]],$M$2:$M$27,$O$2:$O$27),ISNUMBER(Table14[[#This Row],[Column4]]),Table14[[#This Row],[Column4]],Table14[[#This Row],[Column4]]="",I808*(1+Table14[[#This Row],[Ávöxtun]]))</f>
        <v>166.90294230508852</v>
      </c>
      <c r="L809" s="33">
        <v>166.90294230508852</v>
      </c>
    </row>
    <row r="810" spans="1:12">
      <c r="A810" t="s">
        <v>104</v>
      </c>
      <c r="B810">
        <v>2012</v>
      </c>
      <c r="C810" s="16">
        <v>6.5000000000000002E-2</v>
      </c>
      <c r="D810" s="1">
        <v>34910832</v>
      </c>
      <c r="E810" s="29">
        <f>Table14[[#This Row],[Ávöxtun]]*Table14[[#This Row],[Eignir]]/SUMIFS(Table14[Eignir],Table14[Year],Table14[[#This Row],[Year]])</f>
        <v>1.0301251949636782E-3</v>
      </c>
      <c r="F810" s="23">
        <f>IF(B810=1997, 100, IF(COUNTIF(A$1:A809,A810)=0, "NEW", F809*(1+Table14[[#This Row],[Ávöxtun]])))</f>
        <v>177.75163355491927</v>
      </c>
      <c r="G810" s="18" cm="1">
        <f t="array" ref="G810">IFERROR(_xlfn.IFS(ISNUMBER(Table14[[#This Row],[Column3]]),Table14[[#This Row],[Column3]],Table14[[#This Row],[Column3]]="NEW",Table14[[#This Row],[Column3]]),"")</f>
        <v>177.75163355491927</v>
      </c>
      <c r="H810" s="15" cm="1">
        <f t="array" ref="H810">_xlfn.IFS(Table14[[#This Row],[Column4]]="NEW",AVERAGEIFS(Table14[Column4],Table14[Year],Table14[[#This Row],[Year]]),ISNUMBER(Table14[[#This Row],[Column4]]),Table14[[#This Row],[Column4]],Table14[[#This Row],[Column4]]="",H809*(1+Table14[[#This Row],[Ávöxtun]]))</f>
        <v>177.75163355491927</v>
      </c>
      <c r="I810" cm="1">
        <f t="array" ref="I810">_xlfn.IFS(Table14[[#This Row],[Column4]]="NEW",_xlfn.XLOOKUP(Table14[[#This Row],[Year]],$M$2:$M$27,$O$2:$O$27),ISNUMBER(Table14[[#This Row],[Column4]]),Table14[[#This Row],[Column4]],Table14[[#This Row],[Column4]]="",I809*(1+Table14[[#This Row],[Ávöxtun]]))</f>
        <v>177.75163355491927</v>
      </c>
      <c r="L810" s="33">
        <v>177.75163355491927</v>
      </c>
    </row>
    <row r="811" spans="1:12">
      <c r="A811" t="s">
        <v>104</v>
      </c>
      <c r="B811">
        <v>2013</v>
      </c>
      <c r="C811" s="16">
        <v>4.0999999999999995E-2</v>
      </c>
      <c r="D811" s="1">
        <v>37562829</v>
      </c>
      <c r="E811" s="29">
        <f>Table14[[#This Row],[Ávöxtun]]*Table14[[#This Row],[Eignir]]/SUMIFS(Table14[Eignir],Table14[Year],Table14[[#This Row],[Year]])</f>
        <v>6.3284391109844356E-4</v>
      </c>
      <c r="F811" s="23">
        <f>IF(B811=1997, 100, IF(COUNTIF(A$1:A810,A811)=0, "NEW", F810*(1+Table14[[#This Row],[Ávöxtun]])))</f>
        <v>185.03945053067093</v>
      </c>
      <c r="G811" s="18" cm="1">
        <f t="array" ref="G811">IFERROR(_xlfn.IFS(ISNUMBER(Table14[[#This Row],[Column3]]),Table14[[#This Row],[Column3]],Table14[[#This Row],[Column3]]="NEW",Table14[[#This Row],[Column3]]),"")</f>
        <v>185.03945053067093</v>
      </c>
      <c r="H811" s="15" cm="1">
        <f t="array" ref="H811">_xlfn.IFS(Table14[[#This Row],[Column4]]="NEW",AVERAGEIFS(Table14[Column4],Table14[Year],Table14[[#This Row],[Year]]),ISNUMBER(Table14[[#This Row],[Column4]]),Table14[[#This Row],[Column4]],Table14[[#This Row],[Column4]]="",H810*(1+Table14[[#This Row],[Ávöxtun]]))</f>
        <v>185.03945053067093</v>
      </c>
      <c r="I811" cm="1">
        <f t="array" ref="I811">_xlfn.IFS(Table14[[#This Row],[Column4]]="NEW",_xlfn.XLOOKUP(Table14[[#This Row],[Year]],$M$2:$M$27,$O$2:$O$27),ISNUMBER(Table14[[#This Row],[Column4]]),Table14[[#This Row],[Column4]],Table14[[#This Row],[Column4]]="",I810*(1+Table14[[#This Row],[Ávöxtun]]))</f>
        <v>185.03945053067093</v>
      </c>
      <c r="L811" s="33">
        <v>185.03945053067093</v>
      </c>
    </row>
    <row r="812" spans="1:12">
      <c r="A812" t="s">
        <v>104</v>
      </c>
      <c r="B812">
        <v>2014</v>
      </c>
      <c r="C812" s="16">
        <v>7.4999999999999997E-2</v>
      </c>
      <c r="D812" s="1">
        <v>40834143</v>
      </c>
      <c r="E812" s="29">
        <f>Table14[[#This Row],[Ávöxtun]]*Table14[[#This Row],[Eignir]]/SUMIFS(Table14[Eignir],Table14[Year],Table14[[#This Row],[Year]])</f>
        <v>1.1543684154255952E-3</v>
      </c>
      <c r="F812" s="23">
        <f>IF(B812=1997, 100, IF(COUNTIF(A$1:A811,A812)=0, "NEW", F811*(1+Table14[[#This Row],[Ávöxtun]])))</f>
        <v>198.91740932047125</v>
      </c>
      <c r="G812" s="18" cm="1">
        <f t="array" ref="G812">IFERROR(_xlfn.IFS(ISNUMBER(Table14[[#This Row],[Column3]]),Table14[[#This Row],[Column3]],Table14[[#This Row],[Column3]]="NEW",Table14[[#This Row],[Column3]]),"")</f>
        <v>198.91740932047125</v>
      </c>
      <c r="H812" s="15" cm="1">
        <f t="array" ref="H812">_xlfn.IFS(Table14[[#This Row],[Column4]]="NEW",AVERAGEIFS(Table14[Column4],Table14[Year],Table14[[#This Row],[Year]]),ISNUMBER(Table14[[#This Row],[Column4]]),Table14[[#This Row],[Column4]],Table14[[#This Row],[Column4]]="",H811*(1+Table14[[#This Row],[Ávöxtun]]))</f>
        <v>198.91740932047125</v>
      </c>
      <c r="I812" cm="1">
        <f t="array" ref="I812">_xlfn.IFS(Table14[[#This Row],[Column4]]="NEW",_xlfn.XLOOKUP(Table14[[#This Row],[Year]],$M$2:$M$27,$O$2:$O$27),ISNUMBER(Table14[[#This Row],[Column4]]),Table14[[#This Row],[Column4]],Table14[[#This Row],[Column4]]="",I811*(1+Table14[[#This Row],[Ávöxtun]]))</f>
        <v>198.91740932047125</v>
      </c>
      <c r="L812" s="33">
        <v>198.91740932047125</v>
      </c>
    </row>
    <row r="813" spans="1:12">
      <c r="A813" t="s">
        <v>104</v>
      </c>
      <c r="B813">
        <v>2015</v>
      </c>
      <c r="C813" s="16">
        <v>7.9000000000000001E-2</v>
      </c>
      <c r="D813" s="1">
        <v>45058959</v>
      </c>
      <c r="E813" s="29">
        <f>Table14[[#This Row],[Ávöxtun]]*Table14[[#This Row],[Eignir]]/SUMIFS(Table14[Eignir],Table14[Year],Table14[[#This Row],[Year]])</f>
        <v>1.2020273956645682E-3</v>
      </c>
      <c r="F813" s="23">
        <f>IF(B813=1997, 100, IF(COUNTIF(A$1:A812,A813)=0, "NEW", F812*(1+Table14[[#This Row],[Ávöxtun]])))</f>
        <v>214.63188465678846</v>
      </c>
      <c r="G813" s="18" cm="1">
        <f t="array" ref="G813">IFERROR(_xlfn.IFS(ISNUMBER(Table14[[#This Row],[Column3]]),Table14[[#This Row],[Column3]],Table14[[#This Row],[Column3]]="NEW",Table14[[#This Row],[Column3]]),"")</f>
        <v>214.63188465678846</v>
      </c>
      <c r="H813" s="15" cm="1">
        <f t="array" ref="H813">_xlfn.IFS(Table14[[#This Row],[Column4]]="NEW",AVERAGEIFS(Table14[Column4],Table14[Year],Table14[[#This Row],[Year]]),ISNUMBER(Table14[[#This Row],[Column4]]),Table14[[#This Row],[Column4]],Table14[[#This Row],[Column4]]="",H812*(1+Table14[[#This Row],[Ávöxtun]]))</f>
        <v>214.63188465678846</v>
      </c>
      <c r="I813" cm="1">
        <f t="array" ref="I813">_xlfn.IFS(Table14[[#This Row],[Column4]]="NEW",_xlfn.XLOOKUP(Table14[[#This Row],[Year]],$M$2:$M$27,$O$2:$O$27),ISNUMBER(Table14[[#This Row],[Column4]]),Table14[[#This Row],[Column4]],Table14[[#This Row],[Column4]]="",I812*(1+Table14[[#This Row],[Ávöxtun]]))</f>
        <v>214.63188465678846</v>
      </c>
      <c r="L813" s="33">
        <v>214.63188465678846</v>
      </c>
    </row>
    <row r="814" spans="1:12">
      <c r="A814" t="s">
        <v>104</v>
      </c>
      <c r="B814">
        <v>2016</v>
      </c>
      <c r="C814" s="16">
        <v>-1.3000000000000001E-2</v>
      </c>
      <c r="D814" s="1">
        <v>45402711.850000001</v>
      </c>
      <c r="E814" s="29">
        <f>Table14[[#This Row],[Ávöxtun]]*Table14[[#This Row],[Eignir]]/SUMIFS(Table14[Eignir],Table14[Year],Table14[[#This Row],[Year]])</f>
        <v>-1.8444582756728473E-4</v>
      </c>
      <c r="F814" s="23">
        <f>IF(B814=1997, 100, IF(COUNTIF(A$1:A813,A814)=0, "NEW", F813*(1+Table14[[#This Row],[Ávöxtun]])))</f>
        <v>211.84167015625022</v>
      </c>
      <c r="G814" s="18" cm="1">
        <f t="array" ref="G814">IFERROR(_xlfn.IFS(ISNUMBER(Table14[[#This Row],[Column3]]),Table14[[#This Row],[Column3]],Table14[[#This Row],[Column3]]="NEW",Table14[[#This Row],[Column3]]),"")</f>
        <v>211.84167015625022</v>
      </c>
      <c r="H814" s="15" cm="1">
        <f t="array" ref="H814">_xlfn.IFS(Table14[[#This Row],[Column4]]="NEW",AVERAGEIFS(Table14[Column4],Table14[Year],Table14[[#This Row],[Year]]),ISNUMBER(Table14[[#This Row],[Column4]]),Table14[[#This Row],[Column4]],Table14[[#This Row],[Column4]]="",H813*(1+Table14[[#This Row],[Ávöxtun]]))</f>
        <v>211.84167015625022</v>
      </c>
      <c r="I814" cm="1">
        <f t="array" ref="I814">_xlfn.IFS(Table14[[#This Row],[Column4]]="NEW",_xlfn.XLOOKUP(Table14[[#This Row],[Year]],$M$2:$M$27,$O$2:$O$27),ISNUMBER(Table14[[#This Row],[Column4]]),Table14[[#This Row],[Column4]],Table14[[#This Row],[Column4]]="",I813*(1+Table14[[#This Row],[Ávöxtun]]))</f>
        <v>211.84167015625022</v>
      </c>
      <c r="L814" s="33">
        <v>211.84167015625022</v>
      </c>
    </row>
    <row r="815" spans="1:12">
      <c r="A815" t="s">
        <v>104</v>
      </c>
      <c r="B815">
        <v>2017</v>
      </c>
      <c r="C815" s="16">
        <v>0.06</v>
      </c>
      <c r="D815" s="1">
        <v>49019154</v>
      </c>
      <c r="E815" s="29">
        <f>Table14[[#This Row],[Ávöxtun]]*Table14[[#This Row],[Eignir]]/SUMIFS(Table14[Eignir],Table14[Year],Table14[[#This Row],[Year]])</f>
        <v>8.2636252144692121E-4</v>
      </c>
      <c r="F815" s="23">
        <f>IF(B815=1997, 100, IF(COUNTIF(A$1:A814,A815)=0, "NEW", F814*(1+Table14[[#This Row],[Ávöxtun]])))</f>
        <v>224.55217036562524</v>
      </c>
      <c r="G815" s="18" cm="1">
        <f t="array" ref="G815">IFERROR(_xlfn.IFS(ISNUMBER(Table14[[#This Row],[Column3]]),Table14[[#This Row],[Column3]],Table14[[#This Row],[Column3]]="NEW",Table14[[#This Row],[Column3]]),"")</f>
        <v>224.55217036562524</v>
      </c>
      <c r="H815" s="15" cm="1">
        <f t="array" ref="H815">_xlfn.IFS(Table14[[#This Row],[Column4]]="NEW",AVERAGEIFS(Table14[Column4],Table14[Year],Table14[[#This Row],[Year]]),ISNUMBER(Table14[[#This Row],[Column4]]),Table14[[#This Row],[Column4]],Table14[[#This Row],[Column4]]="",H814*(1+Table14[[#This Row],[Ávöxtun]]))</f>
        <v>224.55217036562524</v>
      </c>
      <c r="I815" cm="1">
        <f t="array" ref="I815">_xlfn.IFS(Table14[[#This Row],[Column4]]="NEW",_xlfn.XLOOKUP(Table14[[#This Row],[Year]],$M$2:$M$27,$O$2:$O$27),ISNUMBER(Table14[[#This Row],[Column4]]),Table14[[#This Row],[Column4]],Table14[[#This Row],[Column4]]="",I814*(1+Table14[[#This Row],[Ávöxtun]]))</f>
        <v>224.55217036562524</v>
      </c>
      <c r="L815" s="33">
        <v>224.55217036562524</v>
      </c>
    </row>
    <row r="816" spans="1:12">
      <c r="A816" t="s">
        <v>104</v>
      </c>
      <c r="B816">
        <v>2018</v>
      </c>
      <c r="C816" s="16">
        <v>0.05</v>
      </c>
      <c r="D816" s="1">
        <v>52809678</v>
      </c>
      <c r="E816" s="29">
        <f>Table14[[#This Row],[Ávöxtun]]*Table14[[#This Row],[Eignir]]/SUMIFS(Table14[Eignir],Table14[Year],Table14[[#This Row],[Year]])</f>
        <v>6.91530568295377E-4</v>
      </c>
      <c r="F816" s="23">
        <f>IF(B816=1997, 100, IF(COUNTIF(A$1:A815,A816)=0, "NEW", F815*(1+Table14[[#This Row],[Ávöxtun]])))</f>
        <v>235.77977888390652</v>
      </c>
      <c r="G816" s="18" cm="1">
        <f t="array" ref="G816">IFERROR(_xlfn.IFS(ISNUMBER(Table14[[#This Row],[Column3]]),Table14[[#This Row],[Column3]],Table14[[#This Row],[Column3]]="NEW",Table14[[#This Row],[Column3]]),"")</f>
        <v>235.77977888390652</v>
      </c>
      <c r="H816" s="15" cm="1">
        <f t="array" ref="H816">_xlfn.IFS(Table14[[#This Row],[Column4]]="NEW",AVERAGEIFS(Table14[Column4],Table14[Year],Table14[[#This Row],[Year]]),ISNUMBER(Table14[[#This Row],[Column4]]),Table14[[#This Row],[Column4]],Table14[[#This Row],[Column4]]="",H815*(1+Table14[[#This Row],[Ávöxtun]]))</f>
        <v>235.77977888390652</v>
      </c>
      <c r="I816" cm="1">
        <f t="array" ref="I816">_xlfn.IFS(Table14[[#This Row],[Column4]]="NEW",_xlfn.XLOOKUP(Table14[[#This Row],[Year]],$M$2:$M$27,$O$2:$O$27),ISNUMBER(Table14[[#This Row],[Column4]]),Table14[[#This Row],[Column4]],Table14[[#This Row],[Column4]]="",I815*(1+Table14[[#This Row],[Ávöxtun]]))</f>
        <v>235.77977888390652</v>
      </c>
      <c r="L816" s="33">
        <v>235.77977888390652</v>
      </c>
    </row>
    <row r="817" spans="1:12">
      <c r="A817" t="s">
        <v>104</v>
      </c>
      <c r="B817">
        <v>2019</v>
      </c>
      <c r="C817" s="16">
        <v>0.11609999999999999</v>
      </c>
      <c r="D817" s="1">
        <v>60397914.270000003</v>
      </c>
      <c r="E817" s="29">
        <f>Table14[[#This Row],[Ávöxtun]]*Table14[[#This Row],[Eignir]]/SUMIFS(Table14[Eignir],Table14[Year],Table14[[#This Row],[Year]])</f>
        <v>1.5840048294745637E-3</v>
      </c>
      <c r="F817" s="23">
        <f>IF(B817=1997, 100, IF(COUNTIF(A$1:A816,A817)=0, "NEW", F816*(1+Table14[[#This Row],[Ávöxtun]])))</f>
        <v>263.15381121232809</v>
      </c>
      <c r="G817" s="18" cm="1">
        <f t="array" ref="G817">IFERROR(_xlfn.IFS(ISNUMBER(Table14[[#This Row],[Column3]]),Table14[[#This Row],[Column3]],Table14[[#This Row],[Column3]]="NEW",Table14[[#This Row],[Column3]]),"")</f>
        <v>263.15381121232809</v>
      </c>
      <c r="H817" s="15" cm="1">
        <f t="array" ref="H817">_xlfn.IFS(Table14[[#This Row],[Column4]]="NEW",AVERAGEIFS(Table14[Column4],Table14[Year],Table14[[#This Row],[Year]]),ISNUMBER(Table14[[#This Row],[Column4]]),Table14[[#This Row],[Column4]],Table14[[#This Row],[Column4]]="",H816*(1+Table14[[#This Row],[Ávöxtun]]))</f>
        <v>263.15381121232809</v>
      </c>
      <c r="I817" cm="1">
        <f t="array" ref="I817">_xlfn.IFS(Table14[[#This Row],[Column4]]="NEW",_xlfn.XLOOKUP(Table14[[#This Row],[Year]],$M$2:$M$27,$O$2:$O$27),ISNUMBER(Table14[[#This Row],[Column4]]),Table14[[#This Row],[Column4]],Table14[[#This Row],[Column4]]="",I816*(1+Table14[[#This Row],[Ávöxtun]]))</f>
        <v>263.15381121232809</v>
      </c>
      <c r="L817" s="33">
        <v>263.15381121232809</v>
      </c>
    </row>
    <row r="818" spans="1:12">
      <c r="A818" t="s">
        <v>104</v>
      </c>
      <c r="B818">
        <v>2020</v>
      </c>
      <c r="C818" s="16">
        <v>0.11630000000000001</v>
      </c>
      <c r="D818" s="1">
        <v>69564287.930000007</v>
      </c>
      <c r="E818" s="29">
        <f>Table14[[#This Row],[Ávöxtun]]*Table14[[#This Row],[Eignir]]/SUMIFS(Table14[Eignir],Table14[Year],Table14[[#This Row],[Year]])</f>
        <v>1.5750311961651416E-3</v>
      </c>
      <c r="F818" s="23">
        <f>IF(B818=1997, 100, IF(COUNTIF(A$1:A817,A818)=0, "NEW", F817*(1+Table14[[#This Row],[Ávöxtun]])))</f>
        <v>293.75859945632186</v>
      </c>
      <c r="G818" s="18" cm="1">
        <f t="array" ref="G818">IFERROR(_xlfn.IFS(ISNUMBER(Table14[[#This Row],[Column3]]),Table14[[#This Row],[Column3]],Table14[[#This Row],[Column3]]="NEW",Table14[[#This Row],[Column3]]),"")</f>
        <v>293.75859945632186</v>
      </c>
      <c r="H818" s="15" cm="1">
        <f t="array" ref="H818">_xlfn.IFS(Table14[[#This Row],[Column4]]="NEW",AVERAGEIFS(Table14[Column4],Table14[Year],Table14[[#This Row],[Year]]),ISNUMBER(Table14[[#This Row],[Column4]]),Table14[[#This Row],[Column4]],Table14[[#This Row],[Column4]]="",H817*(1+Table14[[#This Row],[Ávöxtun]]))</f>
        <v>293.75859945632186</v>
      </c>
      <c r="I818" cm="1">
        <f t="array" ref="I818">_xlfn.IFS(Table14[[#This Row],[Column4]]="NEW",_xlfn.XLOOKUP(Table14[[#This Row],[Year]],$M$2:$M$27,$O$2:$O$27),ISNUMBER(Table14[[#This Row],[Column4]]),Table14[[#This Row],[Column4]],Table14[[#This Row],[Column4]]="",I817*(1+Table14[[#This Row],[Ávöxtun]]))</f>
        <v>293.75859945632186</v>
      </c>
      <c r="L818" s="33">
        <v>293.75859945632186</v>
      </c>
    </row>
    <row r="819" spans="1:12">
      <c r="A819" t="s">
        <v>104</v>
      </c>
      <c r="B819">
        <v>2021</v>
      </c>
      <c r="C819" s="16">
        <v>0.17100000000000001</v>
      </c>
      <c r="D819" s="1">
        <v>85203319.5</v>
      </c>
      <c r="E819" s="29">
        <f>Table14[[#This Row],[Ávöxtun]]*Table14[[#This Row],[Eignir]]/SUMIFS(Table14[Eignir],Table14[Year],Table14[[#This Row],[Year]])</f>
        <v>2.4124136018532126E-3</v>
      </c>
      <c r="F819" s="23">
        <f>IF(B819=1997, 100, IF(COUNTIF(A$1:A818,A819)=0, "NEW", F818*(1+Table14[[#This Row],[Ávöxtun]])))</f>
        <v>343.99131996335291</v>
      </c>
      <c r="G819" s="18" cm="1">
        <f t="array" ref="G819">IFERROR(_xlfn.IFS(ISNUMBER(Table14[[#This Row],[Column3]]),Table14[[#This Row],[Column3]],Table14[[#This Row],[Column3]]="NEW",Table14[[#This Row],[Column3]]),"")</f>
        <v>343.99131996335291</v>
      </c>
      <c r="H819" s="15" cm="1">
        <f t="array" ref="H819">_xlfn.IFS(Table14[[#This Row],[Column4]]="NEW",AVERAGEIFS(Table14[Column4],Table14[Year],Table14[[#This Row],[Year]]),ISNUMBER(Table14[[#This Row],[Column4]]),Table14[[#This Row],[Column4]],Table14[[#This Row],[Column4]]="",H818*(1+Table14[[#This Row],[Ávöxtun]]))</f>
        <v>343.99131996335291</v>
      </c>
      <c r="I819" cm="1">
        <f t="array" ref="I819">_xlfn.IFS(Table14[[#This Row],[Column4]]="NEW",_xlfn.XLOOKUP(Table14[[#This Row],[Year]],$M$2:$M$27,$O$2:$O$27),ISNUMBER(Table14[[#This Row],[Column4]]),Table14[[#This Row],[Column4]],Table14[[#This Row],[Column4]]="",I818*(1+Table14[[#This Row],[Ávöxtun]]))</f>
        <v>343.99131996335291</v>
      </c>
      <c r="L819" s="33">
        <v>343.99131996335291</v>
      </c>
    </row>
    <row r="820" spans="1:12">
      <c r="A820" t="s">
        <v>105</v>
      </c>
      <c r="B820">
        <v>1997</v>
      </c>
      <c r="C820" s="16">
        <v>0.06</v>
      </c>
      <c r="D820" s="1">
        <v>4923546</v>
      </c>
      <c r="E820" s="29">
        <f>Table14[[#This Row],[Ávöxtun]]*Table14[[#This Row],[Eignir]]/SUMIFS(Table14[Eignir],Table14[Year],Table14[[#This Row],[Year]])</f>
        <v>8.7135893324618641E-4</v>
      </c>
      <c r="F820" s="23">
        <f>IF(B820=1997, 100, IF(COUNTIF(A$1:A819,A820)=0, "NEW", F819*(1+Table14[[#This Row],[Ávöxtun]])))</f>
        <v>100</v>
      </c>
      <c r="G820" s="18" cm="1">
        <f t="array" ref="G820">IFERROR(_xlfn.IFS(ISNUMBER(Table14[[#This Row],[Column3]]),Table14[[#This Row],[Column3]],Table14[[#This Row],[Column3]]="NEW",Table14[[#This Row],[Column3]]),"")</f>
        <v>100</v>
      </c>
      <c r="H820" s="15" cm="1">
        <f t="array" ref="H820">_xlfn.IFS(Table14[[#This Row],[Column4]]="NEW",AVERAGEIFS(Table14[Column4],Table14[Year],Table14[[#This Row],[Year]]),ISNUMBER(Table14[[#This Row],[Column4]]),Table14[[#This Row],[Column4]],Table14[[#This Row],[Column4]]="",H819*(1+Table14[[#This Row],[Ávöxtun]]))</f>
        <v>100</v>
      </c>
      <c r="I820" cm="1">
        <f t="array" ref="I820">_xlfn.IFS(Table14[[#This Row],[Column4]]="NEW",_xlfn.XLOOKUP(Table14[[#This Row],[Year]],$M$2:$M$27,$O$2:$O$27),ISNUMBER(Table14[[#This Row],[Column4]]),Table14[[#This Row],[Column4]],Table14[[#This Row],[Column4]]="",I819*(1+Table14[[#This Row],[Ávöxtun]]))</f>
        <v>100</v>
      </c>
      <c r="L820" s="33">
        <v>100</v>
      </c>
    </row>
    <row r="821" spans="1:12">
      <c r="A821" t="s">
        <v>105</v>
      </c>
      <c r="B821">
        <v>1998</v>
      </c>
      <c r="C821" s="16">
        <v>7.0000000000000007E-2</v>
      </c>
      <c r="D821" s="1">
        <v>5484034.5800000001</v>
      </c>
      <c r="E821" s="29">
        <f>Table14[[#This Row],[Ávöxtun]]*Table14[[#This Row],[Eignir]]/SUMIFS(Table14[Eignir],Table14[Year],Table14[[#This Row],[Year]])</f>
        <v>9.8020480297895843E-4</v>
      </c>
      <c r="F821" s="23">
        <f>IF(B821=1997, 100, IF(COUNTIF(A$1:A820,A821)=0, "NEW", F820*(1+Table14[[#This Row],[Ávöxtun]])))</f>
        <v>107</v>
      </c>
      <c r="G821" s="18" cm="1">
        <f t="array" ref="G821">IFERROR(_xlfn.IFS(ISNUMBER(Table14[[#This Row],[Column3]]),Table14[[#This Row],[Column3]],Table14[[#This Row],[Column3]]="NEW",Table14[[#This Row],[Column3]]),"")</f>
        <v>107</v>
      </c>
      <c r="H821" s="15" cm="1">
        <f t="array" ref="H821">_xlfn.IFS(Table14[[#This Row],[Column4]]="NEW",AVERAGEIFS(Table14[Column4],Table14[Year],Table14[[#This Row],[Year]]),ISNUMBER(Table14[[#This Row],[Column4]]),Table14[[#This Row],[Column4]],Table14[[#This Row],[Column4]]="",H820*(1+Table14[[#This Row],[Ávöxtun]]))</f>
        <v>107</v>
      </c>
      <c r="I821" cm="1">
        <f t="array" ref="I821">_xlfn.IFS(Table14[[#This Row],[Column4]]="NEW",_xlfn.XLOOKUP(Table14[[#This Row],[Year]],$M$2:$M$27,$O$2:$O$27),ISNUMBER(Table14[[#This Row],[Column4]]),Table14[[#This Row],[Column4]],Table14[[#This Row],[Column4]]="",I820*(1+Table14[[#This Row],[Ávöxtun]]))</f>
        <v>107</v>
      </c>
      <c r="L821" s="33">
        <v>107</v>
      </c>
    </row>
    <row r="822" spans="1:12">
      <c r="A822" t="s">
        <v>105</v>
      </c>
      <c r="B822">
        <v>1999</v>
      </c>
      <c r="C822" s="16">
        <v>0.16</v>
      </c>
      <c r="D822" s="1">
        <v>6901854.4699999997</v>
      </c>
      <c r="E822" s="29">
        <f>Table14[[#This Row],[Ávöxtun]]*Table14[[#This Row],[Eignir]]/SUMIFS(Table14[Eignir],Table14[Year],Table14[[#This Row],[Year]])</f>
        <v>2.1207246554011019E-3</v>
      </c>
      <c r="F822" s="23">
        <f>IF(B822=1997, 100, IF(COUNTIF(A$1:A821,A822)=0, "NEW", F821*(1+Table14[[#This Row],[Ávöxtun]])))</f>
        <v>124.11999999999999</v>
      </c>
      <c r="G822" s="18" cm="1">
        <f t="array" ref="G822">IFERROR(_xlfn.IFS(ISNUMBER(Table14[[#This Row],[Column3]]),Table14[[#This Row],[Column3]],Table14[[#This Row],[Column3]]="NEW",Table14[[#This Row],[Column3]]),"")</f>
        <v>124.11999999999999</v>
      </c>
      <c r="H822" s="15" cm="1">
        <f t="array" ref="H822">_xlfn.IFS(Table14[[#This Row],[Column4]]="NEW",AVERAGEIFS(Table14[Column4],Table14[Year],Table14[[#This Row],[Year]]),ISNUMBER(Table14[[#This Row],[Column4]]),Table14[[#This Row],[Column4]],Table14[[#This Row],[Column4]]="",H821*(1+Table14[[#This Row],[Ávöxtun]]))</f>
        <v>124.11999999999999</v>
      </c>
      <c r="I822" cm="1">
        <f t="array" ref="I822">_xlfn.IFS(Table14[[#This Row],[Column4]]="NEW",_xlfn.XLOOKUP(Table14[[#This Row],[Year]],$M$2:$M$27,$O$2:$O$27),ISNUMBER(Table14[[#This Row],[Column4]]),Table14[[#This Row],[Column4]],Table14[[#This Row],[Column4]]="",I821*(1+Table14[[#This Row],[Ávöxtun]]))</f>
        <v>124.11999999999999</v>
      </c>
      <c r="L822" s="33">
        <v>124.11999999999999</v>
      </c>
    </row>
    <row r="823" spans="1:12">
      <c r="A823" t="s">
        <v>105</v>
      </c>
      <c r="B823">
        <v>2000</v>
      </c>
      <c r="C823" s="16">
        <v>-0.03</v>
      </c>
      <c r="D823" s="1">
        <v>7218164.1299999999</v>
      </c>
      <c r="E823" s="29">
        <f>Table14[[#This Row],[Ávöxtun]]*Table14[[#This Row],[Eignir]]/SUMIFS(Table14[Eignir],Table14[Year],Table14[[#This Row],[Year]])</f>
        <v>-3.0461113812025854E-4</v>
      </c>
      <c r="F823" s="23">
        <f>IF(B823=1997, 100, IF(COUNTIF(A$1:A822,A823)=0, "NEW", F822*(1+Table14[[#This Row],[Ávöxtun]])))</f>
        <v>120.39639999999999</v>
      </c>
      <c r="G823" s="18" cm="1">
        <f t="array" ref="G823">IFERROR(_xlfn.IFS(ISNUMBER(Table14[[#This Row],[Column3]]),Table14[[#This Row],[Column3]],Table14[[#This Row],[Column3]]="NEW",Table14[[#This Row],[Column3]]),"")</f>
        <v>120.39639999999999</v>
      </c>
      <c r="H823" s="15" cm="1">
        <f t="array" ref="H823">_xlfn.IFS(Table14[[#This Row],[Column4]]="NEW",AVERAGEIFS(Table14[Column4],Table14[Year],Table14[[#This Row],[Year]]),ISNUMBER(Table14[[#This Row],[Column4]]),Table14[[#This Row],[Column4]],Table14[[#This Row],[Column4]]="",H822*(1+Table14[[#This Row],[Ávöxtun]]))</f>
        <v>120.39639999999999</v>
      </c>
      <c r="I823" cm="1">
        <f t="array" ref="I823">_xlfn.IFS(Table14[[#This Row],[Column4]]="NEW",_xlfn.XLOOKUP(Table14[[#This Row],[Year]],$M$2:$M$27,$O$2:$O$27),ISNUMBER(Table14[[#This Row],[Column4]]),Table14[[#This Row],[Column4]],Table14[[#This Row],[Column4]]="",I822*(1+Table14[[#This Row],[Ávöxtun]]))</f>
        <v>120.39639999999999</v>
      </c>
      <c r="L823" s="33">
        <v>120.39639999999999</v>
      </c>
    </row>
    <row r="824" spans="1:12">
      <c r="A824" t="s">
        <v>105</v>
      </c>
      <c r="B824">
        <v>2001</v>
      </c>
      <c r="C824" s="16">
        <v>-0.03</v>
      </c>
      <c r="D824" s="1">
        <v>15805979</v>
      </c>
      <c r="E824" s="29">
        <f>Table14[[#This Row],[Ávöxtun]]*Table14[[#This Row],[Eignir]]/SUMIFS(Table14[Eignir],Table14[Year],Table14[[#This Row],[Year]])</f>
        <v>-4.0951112445883364E-4</v>
      </c>
      <c r="F824" s="23">
        <f>IF(B824=1997, 100, IF(COUNTIF(A$1:A823,A824)=0, "NEW", F823*(1+Table14[[#This Row],[Ávöxtun]])))</f>
        <v>116.78450799999999</v>
      </c>
      <c r="G824" s="18" cm="1">
        <f t="array" ref="G824">IFERROR(_xlfn.IFS(ISNUMBER(Table14[[#This Row],[Column3]]),Table14[[#This Row],[Column3]],Table14[[#This Row],[Column3]]="NEW",Table14[[#This Row],[Column3]]),"")</f>
        <v>116.78450799999999</v>
      </c>
      <c r="H824" s="15" cm="1">
        <f t="array" ref="H824">_xlfn.IFS(Table14[[#This Row],[Column4]]="NEW",AVERAGEIFS(Table14[Column4],Table14[Year],Table14[[#This Row],[Year]]),ISNUMBER(Table14[[#This Row],[Column4]]),Table14[[#This Row],[Column4]],Table14[[#This Row],[Column4]]="",H823*(1+Table14[[#This Row],[Ávöxtun]]))</f>
        <v>116.78450799999999</v>
      </c>
      <c r="I824" cm="1">
        <f t="array" ref="I824">_xlfn.IFS(Table14[[#This Row],[Column4]]="NEW",_xlfn.XLOOKUP(Table14[[#This Row],[Year]],$M$2:$M$27,$O$2:$O$27),ISNUMBER(Table14[[#This Row],[Column4]]),Table14[[#This Row],[Column4]],Table14[[#This Row],[Column4]]="",I823*(1+Table14[[#This Row],[Ávöxtun]]))</f>
        <v>116.78450799999999</v>
      </c>
      <c r="L824" s="33">
        <v>116.78450799999999</v>
      </c>
    </row>
    <row r="825" spans="1:12">
      <c r="A825" t="s">
        <v>105</v>
      </c>
      <c r="B825">
        <v>2002</v>
      </c>
      <c r="C825" s="16">
        <v>0</v>
      </c>
      <c r="D825" s="1">
        <v>8247877.7999999998</v>
      </c>
      <c r="E825" s="29">
        <f>Table14[[#This Row],[Ávöxtun]]*Table14[[#This Row],[Eignir]]/SUMIFS(Table14[Eignir],Table14[Year],Table14[[#This Row],[Year]])</f>
        <v>0</v>
      </c>
      <c r="F825" s="23">
        <f>IF(B825=1997, 100, IF(COUNTIF(A$1:A824,A825)=0, "NEW", F824*(1+Table14[[#This Row],[Ávöxtun]])))</f>
        <v>116.78450799999999</v>
      </c>
      <c r="G825" s="18" cm="1">
        <f t="array" ref="G825">IFERROR(_xlfn.IFS(ISNUMBER(Table14[[#This Row],[Column3]]),Table14[[#This Row],[Column3]],Table14[[#This Row],[Column3]]="NEW",Table14[[#This Row],[Column3]]),"")</f>
        <v>116.78450799999999</v>
      </c>
      <c r="H825" s="15" cm="1">
        <f t="array" ref="H825">_xlfn.IFS(Table14[[#This Row],[Column4]]="NEW",AVERAGEIFS(Table14[Column4],Table14[Year],Table14[[#This Row],[Year]]),ISNUMBER(Table14[[#This Row],[Column4]]),Table14[[#This Row],[Column4]],Table14[[#This Row],[Column4]]="",H824*(1+Table14[[#This Row],[Ávöxtun]]))</f>
        <v>116.78450799999999</v>
      </c>
      <c r="I825" cm="1">
        <f t="array" ref="I825">_xlfn.IFS(Table14[[#This Row],[Column4]]="NEW",_xlfn.XLOOKUP(Table14[[#This Row],[Year]],$M$2:$M$27,$O$2:$O$27),ISNUMBER(Table14[[#This Row],[Column4]]),Table14[[#This Row],[Column4]],Table14[[#This Row],[Column4]]="",I824*(1+Table14[[#This Row],[Ávöxtun]]))</f>
        <v>116.78450799999999</v>
      </c>
      <c r="L825" s="33">
        <v>116.78450799999999</v>
      </c>
    </row>
    <row r="826" spans="1:12">
      <c r="A826" t="s">
        <v>105</v>
      </c>
      <c r="B826">
        <v>2003</v>
      </c>
      <c r="C826" s="16">
        <v>0.1</v>
      </c>
      <c r="D826" s="1">
        <v>9546638</v>
      </c>
      <c r="E826" s="29">
        <f>Table14[[#This Row],[Ávöxtun]]*Table14[[#This Row],[Eignir]]/SUMIFS(Table14[Eignir],Table14[Year],Table14[[#This Row],[Year]])</f>
        <v>1.2563161083872006E-3</v>
      </c>
      <c r="F826" s="23">
        <f>IF(B826=1997, 100, IF(COUNTIF(A$1:A825,A826)=0, "NEW", F825*(1+Table14[[#This Row],[Ávöxtun]])))</f>
        <v>128.4629588</v>
      </c>
      <c r="G826" s="18" cm="1">
        <f t="array" ref="G826">IFERROR(_xlfn.IFS(ISNUMBER(Table14[[#This Row],[Column3]]),Table14[[#This Row],[Column3]],Table14[[#This Row],[Column3]]="NEW",Table14[[#This Row],[Column3]]),"")</f>
        <v>128.4629588</v>
      </c>
      <c r="H826" s="15" cm="1">
        <f t="array" ref="H826">_xlfn.IFS(Table14[[#This Row],[Column4]]="NEW",AVERAGEIFS(Table14[Column4],Table14[Year],Table14[[#This Row],[Year]]),ISNUMBER(Table14[[#This Row],[Column4]]),Table14[[#This Row],[Column4]],Table14[[#This Row],[Column4]]="",H825*(1+Table14[[#This Row],[Ávöxtun]]))</f>
        <v>128.4629588</v>
      </c>
      <c r="I826" cm="1">
        <f t="array" ref="I826">_xlfn.IFS(Table14[[#This Row],[Column4]]="NEW",_xlfn.XLOOKUP(Table14[[#This Row],[Year]],$M$2:$M$27,$O$2:$O$27),ISNUMBER(Table14[[#This Row],[Column4]]),Table14[[#This Row],[Column4]],Table14[[#This Row],[Column4]]="",I825*(1+Table14[[#This Row],[Ávöxtun]]))</f>
        <v>128.4629588</v>
      </c>
      <c r="L826" s="33">
        <v>128.4629588</v>
      </c>
    </row>
    <row r="827" spans="1:12">
      <c r="A827" t="s">
        <v>105</v>
      </c>
      <c r="B827">
        <v>2004</v>
      </c>
      <c r="C827" s="16">
        <v>0.11</v>
      </c>
      <c r="D827" s="1">
        <v>11233915</v>
      </c>
      <c r="E827" s="29">
        <f>Table14[[#This Row],[Ávöxtun]]*Table14[[#This Row],[Eignir]]/SUMIFS(Table14[Eignir],Table14[Year],Table14[[#This Row],[Year]])</f>
        <v>1.3614309950714762E-3</v>
      </c>
      <c r="F827" s="23">
        <f>IF(B827=1997, 100, IF(COUNTIF(A$1:A826,A827)=0, "NEW", F826*(1+Table14[[#This Row],[Ávöxtun]])))</f>
        <v>142.59388426800001</v>
      </c>
      <c r="G827" s="18" cm="1">
        <f t="array" ref="G827">IFERROR(_xlfn.IFS(ISNUMBER(Table14[[#This Row],[Column3]]),Table14[[#This Row],[Column3]],Table14[[#This Row],[Column3]]="NEW",Table14[[#This Row],[Column3]]),"")</f>
        <v>142.59388426800001</v>
      </c>
      <c r="H827" s="15" cm="1">
        <f t="array" ref="H827">_xlfn.IFS(Table14[[#This Row],[Column4]]="NEW",AVERAGEIFS(Table14[Column4],Table14[Year],Table14[[#This Row],[Year]]),ISNUMBER(Table14[[#This Row],[Column4]]),Table14[[#This Row],[Column4]],Table14[[#This Row],[Column4]]="",H826*(1+Table14[[#This Row],[Ávöxtun]]))</f>
        <v>142.59388426800001</v>
      </c>
      <c r="I827" cm="1">
        <f t="array" ref="I827">_xlfn.IFS(Table14[[#This Row],[Column4]]="NEW",_xlfn.XLOOKUP(Table14[[#This Row],[Year]],$M$2:$M$27,$O$2:$O$27),ISNUMBER(Table14[[#This Row],[Column4]]),Table14[[#This Row],[Column4]],Table14[[#This Row],[Column4]]="",I826*(1+Table14[[#This Row],[Ávöxtun]]))</f>
        <v>142.59388426800001</v>
      </c>
      <c r="L827" s="33">
        <v>142.59388426800001</v>
      </c>
    </row>
    <row r="828" spans="1:12">
      <c r="A828" t="s">
        <v>105</v>
      </c>
      <c r="B828">
        <v>2005</v>
      </c>
      <c r="C828" s="16">
        <v>0.1</v>
      </c>
      <c r="D828" s="1">
        <v>13271719</v>
      </c>
      <c r="E828" s="29">
        <f>Table14[[#This Row],[Ávöxtun]]*Table14[[#This Row],[Eignir]]/SUMIFS(Table14[Eignir],Table14[Year],Table14[[#This Row],[Year]])</f>
        <v>1.1835612514178278E-3</v>
      </c>
      <c r="F828" s="23">
        <f>IF(B828=1997, 100, IF(COUNTIF(A$1:A827,A828)=0, "NEW", F827*(1+Table14[[#This Row],[Ávöxtun]])))</f>
        <v>156.85327269480001</v>
      </c>
      <c r="G828" s="18" cm="1">
        <f t="array" ref="G828">IFERROR(_xlfn.IFS(ISNUMBER(Table14[[#This Row],[Column3]]),Table14[[#This Row],[Column3]],Table14[[#This Row],[Column3]]="NEW",Table14[[#This Row],[Column3]]),"")</f>
        <v>156.85327269480001</v>
      </c>
      <c r="H828" s="15" cm="1">
        <f t="array" ref="H828">_xlfn.IFS(Table14[[#This Row],[Column4]]="NEW",AVERAGEIFS(Table14[Column4],Table14[Year],Table14[[#This Row],[Year]]),ISNUMBER(Table14[[#This Row],[Column4]]),Table14[[#This Row],[Column4]],Table14[[#This Row],[Column4]]="",H827*(1+Table14[[#This Row],[Ávöxtun]]))</f>
        <v>156.85327269480001</v>
      </c>
      <c r="I828" cm="1">
        <f t="array" ref="I828">_xlfn.IFS(Table14[[#This Row],[Column4]]="NEW",_xlfn.XLOOKUP(Table14[[#This Row],[Year]],$M$2:$M$27,$O$2:$O$27),ISNUMBER(Table14[[#This Row],[Column4]]),Table14[[#This Row],[Column4]],Table14[[#This Row],[Column4]]="",I827*(1+Table14[[#This Row],[Ávöxtun]]))</f>
        <v>156.85327269480001</v>
      </c>
      <c r="L828" s="33">
        <v>156.85327269480001</v>
      </c>
    </row>
    <row r="829" spans="1:12">
      <c r="A829" t="s">
        <v>124</v>
      </c>
      <c r="B829">
        <v>1997</v>
      </c>
      <c r="C829" s="16">
        <v>0.08</v>
      </c>
      <c r="D829" s="1">
        <v>33298933.260000002</v>
      </c>
      <c r="E829" s="29">
        <f>Table14[[#This Row],[Ávöxtun]]*Table14[[#This Row],[Eignir]]/SUMIFS(Table14[Eignir],Table14[Year],Table14[[#This Row],[Year]])</f>
        <v>7.8575679570969253E-3</v>
      </c>
      <c r="F829" s="23">
        <f>IF(B829=1997, 100, IF(COUNTIF(A$1:A828,A829)=0, "NEW", F828*(1+Table14[[#This Row],[Ávöxtun]])))</f>
        <v>100</v>
      </c>
      <c r="G829" s="18" cm="1">
        <f t="array" ref="G829">IFERROR(_xlfn.IFS(ISNUMBER(Table14[[#This Row],[Column3]]),Table14[[#This Row],[Column3]],Table14[[#This Row],[Column3]]="NEW",Table14[[#This Row],[Column3]]),"")</f>
        <v>100</v>
      </c>
      <c r="H829" s="15" cm="1">
        <f t="array" ref="H829">_xlfn.IFS(Table14[[#This Row],[Column4]]="NEW",AVERAGEIFS(Table14[Column4],Table14[Year],Table14[[#This Row],[Year]]),ISNUMBER(Table14[[#This Row],[Column4]]),Table14[[#This Row],[Column4]],Table14[[#This Row],[Column4]]="",H828*(1+Table14[[#This Row],[Ávöxtun]]))</f>
        <v>100</v>
      </c>
      <c r="I829" cm="1">
        <f t="array" ref="I829">_xlfn.IFS(Table14[[#This Row],[Column4]]="NEW",_xlfn.XLOOKUP(Table14[[#This Row],[Year]],$M$2:$M$27,$O$2:$O$27),ISNUMBER(Table14[[#This Row],[Column4]]),Table14[[#This Row],[Column4]],Table14[[#This Row],[Column4]]="",I828*(1+Table14[[#This Row],[Ávöxtun]]))</f>
        <v>100</v>
      </c>
      <c r="L829" s="33">
        <v>100</v>
      </c>
    </row>
    <row r="830" spans="1:12">
      <c r="A830" t="s">
        <v>124</v>
      </c>
      <c r="B830">
        <v>1998</v>
      </c>
      <c r="C830" s="16">
        <v>0.08</v>
      </c>
      <c r="D830" s="1">
        <v>37030389.799999997</v>
      </c>
      <c r="E830" s="29">
        <f>Table14[[#This Row],[Ávöxtun]]*Table14[[#This Row],[Eignir]]/SUMIFS(Table14[Eignir],Table14[Year],Table14[[#This Row],[Year]])</f>
        <v>7.5642673882093409E-3</v>
      </c>
      <c r="F830" s="23">
        <f>IF(B830=1997, 100, IF(COUNTIF(A$1:A829,A830)=0, "NEW", F829*(1+Table14[[#This Row],[Ávöxtun]])))</f>
        <v>108</v>
      </c>
      <c r="G830" s="18" cm="1">
        <f t="array" ref="G830">IFERROR(_xlfn.IFS(ISNUMBER(Table14[[#This Row],[Column3]]),Table14[[#This Row],[Column3]],Table14[[#This Row],[Column3]]="NEW",Table14[[#This Row],[Column3]]),"")</f>
        <v>108</v>
      </c>
      <c r="H830" s="15" cm="1">
        <f t="array" ref="H830">_xlfn.IFS(Table14[[#This Row],[Column4]]="NEW",AVERAGEIFS(Table14[Column4],Table14[Year],Table14[[#This Row],[Year]]),ISNUMBER(Table14[[#This Row],[Column4]]),Table14[[#This Row],[Column4]],Table14[[#This Row],[Column4]]="",H829*(1+Table14[[#This Row],[Ávöxtun]]))</f>
        <v>108</v>
      </c>
      <c r="I830" cm="1">
        <f t="array" ref="I830">_xlfn.IFS(Table14[[#This Row],[Column4]]="NEW",_xlfn.XLOOKUP(Table14[[#This Row],[Year]],$M$2:$M$27,$O$2:$O$27),ISNUMBER(Table14[[#This Row],[Column4]]),Table14[[#This Row],[Column4]],Table14[[#This Row],[Column4]]="",I829*(1+Table14[[#This Row],[Ávöxtun]]))</f>
        <v>108</v>
      </c>
      <c r="L830" s="33">
        <v>108</v>
      </c>
    </row>
    <row r="831" spans="1:12">
      <c r="A831" t="s">
        <v>124</v>
      </c>
      <c r="B831">
        <v>1999</v>
      </c>
      <c r="C831" s="16">
        <v>0.15</v>
      </c>
      <c r="D831" s="1">
        <v>46338131.829999998</v>
      </c>
      <c r="E831" s="29">
        <f>Table14[[#This Row],[Ávöxtun]]*Table14[[#This Row],[Eignir]]/SUMIFS(Table14[Eignir],Table14[Year],Table14[[#This Row],[Year]])</f>
        <v>1.3348371498050198E-2</v>
      </c>
      <c r="F831" s="23">
        <f>IF(B831=1997, 100, IF(COUNTIF(A$1:A830,A831)=0, "NEW", F830*(1+Table14[[#This Row],[Ávöxtun]])))</f>
        <v>124.19999999999999</v>
      </c>
      <c r="G831" s="18" cm="1">
        <f t="array" ref="G831">IFERROR(_xlfn.IFS(ISNUMBER(Table14[[#This Row],[Column3]]),Table14[[#This Row],[Column3]],Table14[[#This Row],[Column3]]="NEW",Table14[[#This Row],[Column3]]),"")</f>
        <v>124.19999999999999</v>
      </c>
      <c r="H831" s="15" cm="1">
        <f t="array" ref="H831">_xlfn.IFS(Table14[[#This Row],[Column4]]="NEW",AVERAGEIFS(Table14[Column4],Table14[Year],Table14[[#This Row],[Year]]),ISNUMBER(Table14[[#This Row],[Column4]]),Table14[[#This Row],[Column4]],Table14[[#This Row],[Column4]]="",H830*(1+Table14[[#This Row],[Ávöxtun]]))</f>
        <v>124.19999999999999</v>
      </c>
      <c r="I831" cm="1">
        <f t="array" ref="I831">_xlfn.IFS(Table14[[#This Row],[Column4]]="NEW",_xlfn.XLOOKUP(Table14[[#This Row],[Year]],$M$2:$M$27,$O$2:$O$27),ISNUMBER(Table14[[#This Row],[Column4]]),Table14[[#This Row],[Column4]],Table14[[#This Row],[Column4]]="",I830*(1+Table14[[#This Row],[Ávöxtun]]))</f>
        <v>124.19999999999999</v>
      </c>
      <c r="L831" s="33">
        <v>124.19999999999999</v>
      </c>
    </row>
    <row r="832" spans="1:12">
      <c r="A832" t="s">
        <v>124</v>
      </c>
      <c r="B832">
        <v>2000</v>
      </c>
      <c r="C832" s="16">
        <v>-0.01</v>
      </c>
      <c r="D832" s="1">
        <v>48711789.770000003</v>
      </c>
      <c r="E832" s="29">
        <f>Table14[[#This Row],[Ávöxtun]]*Table14[[#This Row],[Eignir]]/SUMIFS(Table14[Eignir],Table14[Year],Table14[[#This Row],[Year]])</f>
        <v>-6.8522288375444439E-4</v>
      </c>
      <c r="F832" s="23">
        <f>IF(B832=1997, 100, IF(COUNTIF(A$1:A831,A832)=0, "NEW", F831*(1+Table14[[#This Row],[Ávöxtun]])))</f>
        <v>122.95799999999998</v>
      </c>
      <c r="G832" s="18" cm="1">
        <f t="array" ref="G832">IFERROR(_xlfn.IFS(ISNUMBER(Table14[[#This Row],[Column3]]),Table14[[#This Row],[Column3]],Table14[[#This Row],[Column3]]="NEW",Table14[[#This Row],[Column3]]),"")</f>
        <v>122.95799999999998</v>
      </c>
      <c r="H832" s="15" cm="1">
        <f t="array" ref="H832">_xlfn.IFS(Table14[[#This Row],[Column4]]="NEW",AVERAGEIFS(Table14[Column4],Table14[Year],Table14[[#This Row],[Year]]),ISNUMBER(Table14[[#This Row],[Column4]]),Table14[[#This Row],[Column4]],Table14[[#This Row],[Column4]]="",H831*(1+Table14[[#This Row],[Ávöxtun]]))</f>
        <v>122.95799999999998</v>
      </c>
      <c r="I832" cm="1">
        <f t="array" ref="I832">_xlfn.IFS(Table14[[#This Row],[Column4]]="NEW",_xlfn.XLOOKUP(Table14[[#This Row],[Year]],$M$2:$M$27,$O$2:$O$27),ISNUMBER(Table14[[#This Row],[Column4]]),Table14[[#This Row],[Column4]],Table14[[#This Row],[Column4]]="",I831*(1+Table14[[#This Row],[Ávöxtun]]))</f>
        <v>122.95799999999998</v>
      </c>
      <c r="L832" s="33">
        <v>122.95799999999998</v>
      </c>
    </row>
    <row r="833" spans="1:12">
      <c r="A833" t="s">
        <v>124</v>
      </c>
      <c r="B833">
        <v>2001</v>
      </c>
      <c r="C833" s="16">
        <v>-0.05</v>
      </c>
      <c r="D833" s="1">
        <v>104961845.41</v>
      </c>
      <c r="E833" s="29">
        <f>Table14[[#This Row],[Ávöxtun]]*Table14[[#This Row],[Eignir]]/SUMIFS(Table14[Eignir],Table14[Year],Table14[[#This Row],[Year]])</f>
        <v>-4.5323611758060428E-3</v>
      </c>
      <c r="F833" s="23">
        <f>IF(B833=1997, 100, IF(COUNTIF(A$1:A832,A833)=0, "NEW", F832*(1+Table14[[#This Row],[Ávöxtun]])))</f>
        <v>116.81009999999998</v>
      </c>
      <c r="G833" s="18" cm="1">
        <f t="array" ref="G833">IFERROR(_xlfn.IFS(ISNUMBER(Table14[[#This Row],[Column3]]),Table14[[#This Row],[Column3]],Table14[[#This Row],[Column3]]="NEW",Table14[[#This Row],[Column3]]),"")</f>
        <v>116.81009999999998</v>
      </c>
      <c r="H833" s="15" cm="1">
        <f t="array" ref="H833">_xlfn.IFS(Table14[[#This Row],[Column4]]="NEW",AVERAGEIFS(Table14[Column4],Table14[Year],Table14[[#This Row],[Year]]),ISNUMBER(Table14[[#This Row],[Column4]]),Table14[[#This Row],[Column4]],Table14[[#This Row],[Column4]]="",H832*(1+Table14[[#This Row],[Ávöxtun]]))</f>
        <v>116.81009999999998</v>
      </c>
      <c r="I833" cm="1">
        <f t="array" ref="I833">_xlfn.IFS(Table14[[#This Row],[Column4]]="NEW",_xlfn.XLOOKUP(Table14[[#This Row],[Year]],$M$2:$M$27,$O$2:$O$27),ISNUMBER(Table14[[#This Row],[Column4]]),Table14[[#This Row],[Column4]],Table14[[#This Row],[Column4]]="",I832*(1+Table14[[#This Row],[Ávöxtun]]))</f>
        <v>116.81009999999998</v>
      </c>
      <c r="L833" s="33">
        <v>116.81009999999998</v>
      </c>
    </row>
    <row r="834" spans="1:12">
      <c r="A834" t="s">
        <v>124</v>
      </c>
      <c r="B834">
        <v>2002</v>
      </c>
      <c r="C834" s="16">
        <v>-0.01</v>
      </c>
      <c r="D834" s="1">
        <v>53465137.770000003</v>
      </c>
      <c r="E834" s="29">
        <f>Table14[[#This Row],[Ávöxtun]]*Table14[[#This Row],[Eignir]]/SUMIFS(Table14[Eignir],Table14[Year],Table14[[#This Row],[Year]])</f>
        <v>-8.4175306998204901E-4</v>
      </c>
      <c r="F834" s="23">
        <f>IF(B834=1997, 100, IF(COUNTIF(A$1:A833,A834)=0, "NEW", F833*(1+Table14[[#This Row],[Ávöxtun]])))</f>
        <v>115.64199899999997</v>
      </c>
      <c r="G834" s="18" cm="1">
        <f t="array" ref="G834">IFERROR(_xlfn.IFS(ISNUMBER(Table14[[#This Row],[Column3]]),Table14[[#This Row],[Column3]],Table14[[#This Row],[Column3]]="NEW",Table14[[#This Row],[Column3]]),"")</f>
        <v>115.64199899999997</v>
      </c>
      <c r="H834" s="15" cm="1">
        <f t="array" ref="H834">_xlfn.IFS(Table14[[#This Row],[Column4]]="NEW",AVERAGEIFS(Table14[Column4],Table14[Year],Table14[[#This Row],[Year]]),ISNUMBER(Table14[[#This Row],[Column4]]),Table14[[#This Row],[Column4]],Table14[[#This Row],[Column4]]="",H833*(1+Table14[[#This Row],[Ávöxtun]]))</f>
        <v>115.64199899999997</v>
      </c>
      <c r="I834" cm="1">
        <f t="array" ref="I834">_xlfn.IFS(Table14[[#This Row],[Column4]]="NEW",_xlfn.XLOOKUP(Table14[[#This Row],[Year]],$M$2:$M$27,$O$2:$O$27),ISNUMBER(Table14[[#This Row],[Column4]]),Table14[[#This Row],[Column4]],Table14[[#This Row],[Column4]]="",I833*(1+Table14[[#This Row],[Ávöxtun]]))</f>
        <v>115.64199899999997</v>
      </c>
      <c r="L834" s="33">
        <v>115.64199899999997</v>
      </c>
    </row>
    <row r="835" spans="1:12">
      <c r="A835" t="s">
        <v>124</v>
      </c>
      <c r="B835">
        <v>2003</v>
      </c>
      <c r="C835" s="16">
        <v>0.14000000000000001</v>
      </c>
      <c r="D835" s="1">
        <v>63621502</v>
      </c>
      <c r="E835" s="29">
        <f>Table14[[#This Row],[Ávöxtun]]*Table14[[#This Row],[Eignir]]/SUMIFS(Table14[Eignir],Table14[Year],Table14[[#This Row],[Year]])</f>
        <v>1.1721425377535413E-2</v>
      </c>
      <c r="F835" s="23">
        <f>IF(B835=1997, 100, IF(COUNTIF(A$1:A834,A835)=0, "NEW", F834*(1+Table14[[#This Row],[Ávöxtun]])))</f>
        <v>131.83187885999999</v>
      </c>
      <c r="G835" s="18" cm="1">
        <f t="array" ref="G835">IFERROR(_xlfn.IFS(ISNUMBER(Table14[[#This Row],[Column3]]),Table14[[#This Row],[Column3]],Table14[[#This Row],[Column3]]="NEW",Table14[[#This Row],[Column3]]),"")</f>
        <v>131.83187885999999</v>
      </c>
      <c r="H835" s="15" cm="1">
        <f t="array" ref="H835">_xlfn.IFS(Table14[[#This Row],[Column4]]="NEW",AVERAGEIFS(Table14[Column4],Table14[Year],Table14[[#This Row],[Year]]),ISNUMBER(Table14[[#This Row],[Column4]]),Table14[[#This Row],[Column4]],Table14[[#This Row],[Column4]]="",H834*(1+Table14[[#This Row],[Ávöxtun]]))</f>
        <v>131.83187885999999</v>
      </c>
      <c r="I835" cm="1">
        <f t="array" ref="I835">_xlfn.IFS(Table14[[#This Row],[Column4]]="NEW",_xlfn.XLOOKUP(Table14[[#This Row],[Year]],$M$2:$M$27,$O$2:$O$27),ISNUMBER(Table14[[#This Row],[Column4]]),Table14[[#This Row],[Column4]],Table14[[#This Row],[Column4]]="",I834*(1+Table14[[#This Row],[Ávöxtun]]))</f>
        <v>131.83187885999999</v>
      </c>
      <c r="L835" s="33">
        <v>131.83187885999999</v>
      </c>
    </row>
    <row r="836" spans="1:12">
      <c r="A836" t="s">
        <v>124</v>
      </c>
      <c r="B836">
        <v>2004</v>
      </c>
      <c r="C836" s="16">
        <v>0.14000000000000001</v>
      </c>
      <c r="D836" s="1">
        <v>76386821.939999998</v>
      </c>
      <c r="E836" s="29">
        <f>Table14[[#This Row],[Ávöxtun]]*Table14[[#This Row],[Eignir]]/SUMIFS(Table14[Eignir],Table14[Year],Table14[[#This Row],[Year]])</f>
        <v>1.1781980304993703E-2</v>
      </c>
      <c r="F836" s="23">
        <f>IF(B836=1997, 100, IF(COUNTIF(A$1:A835,A836)=0, "NEW", F835*(1+Table14[[#This Row],[Ávöxtun]])))</f>
        <v>150.28834190040001</v>
      </c>
      <c r="G836" s="18" cm="1">
        <f t="array" ref="G836">IFERROR(_xlfn.IFS(ISNUMBER(Table14[[#This Row],[Column3]]),Table14[[#This Row],[Column3]],Table14[[#This Row],[Column3]]="NEW",Table14[[#This Row],[Column3]]),"")</f>
        <v>150.28834190040001</v>
      </c>
      <c r="H836" s="15" cm="1">
        <f t="array" ref="H836">_xlfn.IFS(Table14[[#This Row],[Column4]]="NEW",AVERAGEIFS(Table14[Column4],Table14[Year],Table14[[#This Row],[Year]]),ISNUMBER(Table14[[#This Row],[Column4]]),Table14[[#This Row],[Column4]],Table14[[#This Row],[Column4]]="",H835*(1+Table14[[#This Row],[Ávöxtun]]))</f>
        <v>150.28834190040001</v>
      </c>
      <c r="I836" cm="1">
        <f t="array" ref="I836">_xlfn.IFS(Table14[[#This Row],[Column4]]="NEW",_xlfn.XLOOKUP(Table14[[#This Row],[Year]],$M$2:$M$27,$O$2:$O$27),ISNUMBER(Table14[[#This Row],[Column4]]),Table14[[#This Row],[Column4]],Table14[[#This Row],[Column4]]="",I835*(1+Table14[[#This Row],[Ávöxtun]]))</f>
        <v>150.28834190040001</v>
      </c>
      <c r="L836" s="33">
        <v>150.28834190040001</v>
      </c>
    </row>
    <row r="837" spans="1:12">
      <c r="A837" t="s">
        <v>125</v>
      </c>
      <c r="B837">
        <v>1997</v>
      </c>
      <c r="C837" s="16">
        <v>0.1</v>
      </c>
      <c r="D837" s="1">
        <v>10050859.49</v>
      </c>
      <c r="E837" s="29">
        <f>Table14[[#This Row],[Ávöxtun]]*Table14[[#This Row],[Eignir]]/SUMIFS(Table14[Eignir],Table14[Year],Table14[[#This Row],[Year]])</f>
        <v>2.9646336886103731E-3</v>
      </c>
      <c r="F837" s="23">
        <f>IF(B837=1997, 100, IF(COUNTIF(A$1:A836,A837)=0, "NEW", F836*(1+Table14[[#This Row],[Ávöxtun]])))</f>
        <v>100</v>
      </c>
      <c r="G837" s="18" cm="1">
        <f t="array" ref="G837">IFERROR(_xlfn.IFS(ISNUMBER(Table14[[#This Row],[Column3]]),Table14[[#This Row],[Column3]],Table14[[#This Row],[Column3]]="NEW",Table14[[#This Row],[Column3]]),"")</f>
        <v>100</v>
      </c>
      <c r="H837" s="15" cm="1">
        <f t="array" ref="H837">_xlfn.IFS(Table14[[#This Row],[Column4]]="NEW",AVERAGEIFS(Table14[Column4],Table14[Year],Table14[[#This Row],[Year]]),ISNUMBER(Table14[[#This Row],[Column4]]),Table14[[#This Row],[Column4]],Table14[[#This Row],[Column4]]="",H836*(1+Table14[[#This Row],[Ávöxtun]]))</f>
        <v>100</v>
      </c>
      <c r="I837" cm="1">
        <f t="array" ref="I837">_xlfn.IFS(Table14[[#This Row],[Column4]]="NEW",_xlfn.XLOOKUP(Table14[[#This Row],[Year]],$M$2:$M$27,$O$2:$O$27),ISNUMBER(Table14[[#This Row],[Column4]]),Table14[[#This Row],[Column4]],Table14[[#This Row],[Column4]]="",I836*(1+Table14[[#This Row],[Ávöxtun]]))</f>
        <v>100</v>
      </c>
      <c r="L837" s="33">
        <v>100</v>
      </c>
    </row>
    <row r="838" spans="1:12">
      <c r="A838" t="s">
        <v>125</v>
      </c>
      <c r="B838">
        <v>1998</v>
      </c>
      <c r="C838" s="16">
        <v>0.05</v>
      </c>
      <c r="D838" s="1">
        <v>11379300.15</v>
      </c>
      <c r="E838" s="29">
        <f>Table14[[#This Row],[Ávöxtun]]*Table14[[#This Row],[Eignir]]/SUMIFS(Table14[Eignir],Table14[Year],Table14[[#This Row],[Year]])</f>
        <v>1.4527944056588534E-3</v>
      </c>
      <c r="F838" s="23">
        <f>IF(B838=1997, 100, IF(COUNTIF(A$1:A837,A838)=0, "NEW", F837*(1+Table14[[#This Row],[Ávöxtun]])))</f>
        <v>105</v>
      </c>
      <c r="G838" s="18" cm="1">
        <f t="array" ref="G838">IFERROR(_xlfn.IFS(ISNUMBER(Table14[[#This Row],[Column3]]),Table14[[#This Row],[Column3]],Table14[[#This Row],[Column3]]="NEW",Table14[[#This Row],[Column3]]),"")</f>
        <v>105</v>
      </c>
      <c r="H838" s="15" cm="1">
        <f t="array" ref="H838">_xlfn.IFS(Table14[[#This Row],[Column4]]="NEW",AVERAGEIFS(Table14[Column4],Table14[Year],Table14[[#This Row],[Year]]),ISNUMBER(Table14[[#This Row],[Column4]]),Table14[[#This Row],[Column4]],Table14[[#This Row],[Column4]]="",H837*(1+Table14[[#This Row],[Ávöxtun]]))</f>
        <v>105</v>
      </c>
      <c r="I838" cm="1">
        <f t="array" ref="I838">_xlfn.IFS(Table14[[#This Row],[Column4]]="NEW",_xlfn.XLOOKUP(Table14[[#This Row],[Year]],$M$2:$M$27,$O$2:$O$27),ISNUMBER(Table14[[#This Row],[Column4]]),Table14[[#This Row],[Column4]],Table14[[#This Row],[Column4]]="",I837*(1+Table14[[#This Row],[Ávöxtun]]))</f>
        <v>105</v>
      </c>
      <c r="L838" s="33">
        <v>105</v>
      </c>
    </row>
    <row r="839" spans="1:12">
      <c r="A839" t="s">
        <v>125</v>
      </c>
      <c r="B839">
        <v>1999</v>
      </c>
      <c r="C839" s="16">
        <v>0.14000000000000001</v>
      </c>
      <c r="D839" s="1">
        <v>14690531.02</v>
      </c>
      <c r="E839" s="29">
        <f>Table14[[#This Row],[Ávöxtun]]*Table14[[#This Row],[Eignir]]/SUMIFS(Table14[Eignir],Table14[Year],Table14[[#This Row],[Year]])</f>
        <v>3.9496993216328446E-3</v>
      </c>
      <c r="F839" s="23">
        <f>IF(B839=1997, 100, IF(COUNTIF(A$1:A838,A839)=0, "NEW", F838*(1+Table14[[#This Row],[Ávöxtun]])))</f>
        <v>119.70000000000002</v>
      </c>
      <c r="G839" s="18" cm="1">
        <f t="array" ref="G839">IFERROR(_xlfn.IFS(ISNUMBER(Table14[[#This Row],[Column3]]),Table14[[#This Row],[Column3]],Table14[[#This Row],[Column3]]="NEW",Table14[[#This Row],[Column3]]),"")</f>
        <v>119.70000000000002</v>
      </c>
      <c r="H839" s="15" cm="1">
        <f t="array" ref="H839">_xlfn.IFS(Table14[[#This Row],[Column4]]="NEW",AVERAGEIFS(Table14[Column4],Table14[Year],Table14[[#This Row],[Year]]),ISNUMBER(Table14[[#This Row],[Column4]]),Table14[[#This Row],[Column4]],Table14[[#This Row],[Column4]]="",H838*(1+Table14[[#This Row],[Ávöxtun]]))</f>
        <v>119.70000000000002</v>
      </c>
      <c r="I839" cm="1">
        <f t="array" ref="I839">_xlfn.IFS(Table14[[#This Row],[Column4]]="NEW",_xlfn.XLOOKUP(Table14[[#This Row],[Year]],$M$2:$M$27,$O$2:$O$27),ISNUMBER(Table14[[#This Row],[Column4]]),Table14[[#This Row],[Column4]],Table14[[#This Row],[Column4]]="",I838*(1+Table14[[#This Row],[Ávöxtun]]))</f>
        <v>119.70000000000002</v>
      </c>
      <c r="L839" s="33">
        <v>119.70000000000002</v>
      </c>
    </row>
    <row r="840" spans="1:12">
      <c r="A840" t="s">
        <v>125</v>
      </c>
      <c r="B840">
        <v>2000</v>
      </c>
      <c r="C840" s="16">
        <v>0</v>
      </c>
      <c r="D840" s="1">
        <v>16290384.630000001</v>
      </c>
      <c r="E840" s="29">
        <f>Table14[[#This Row],[Ávöxtun]]*Table14[[#This Row],[Eignir]]/SUMIFS(Table14[Eignir],Table14[Year],Table14[[#This Row],[Year]])</f>
        <v>0</v>
      </c>
      <c r="F840" s="23">
        <f>IF(B840=1997, 100, IF(COUNTIF(A$1:A839,A840)=0, "NEW", F839*(1+Table14[[#This Row],[Ávöxtun]])))</f>
        <v>119.70000000000002</v>
      </c>
      <c r="G840" s="18" cm="1">
        <f t="array" ref="G840">IFERROR(_xlfn.IFS(ISNUMBER(Table14[[#This Row],[Column3]]),Table14[[#This Row],[Column3]],Table14[[#This Row],[Column3]]="NEW",Table14[[#This Row],[Column3]]),"")</f>
        <v>119.70000000000002</v>
      </c>
      <c r="H840" s="15" cm="1">
        <f t="array" ref="H840">_xlfn.IFS(Table14[[#This Row],[Column4]]="NEW",AVERAGEIFS(Table14[Column4],Table14[Year],Table14[[#This Row],[Year]]),ISNUMBER(Table14[[#This Row],[Column4]]),Table14[[#This Row],[Column4]],Table14[[#This Row],[Column4]]="",H839*(1+Table14[[#This Row],[Ávöxtun]]))</f>
        <v>119.70000000000002</v>
      </c>
      <c r="I840" cm="1">
        <f t="array" ref="I840">_xlfn.IFS(Table14[[#This Row],[Column4]]="NEW",_xlfn.XLOOKUP(Table14[[#This Row],[Year]],$M$2:$M$27,$O$2:$O$27),ISNUMBER(Table14[[#This Row],[Column4]]),Table14[[#This Row],[Column4]],Table14[[#This Row],[Column4]]="",I839*(1+Table14[[#This Row],[Ávöxtun]]))</f>
        <v>119.70000000000002</v>
      </c>
      <c r="L840" s="33">
        <v>119.70000000000002</v>
      </c>
    </row>
    <row r="841" spans="1:12">
      <c r="A841" t="s">
        <v>125</v>
      </c>
      <c r="B841">
        <v>2001</v>
      </c>
      <c r="C841" s="16">
        <v>-0.1</v>
      </c>
      <c r="D841" s="1">
        <v>36572592.369999997</v>
      </c>
      <c r="E841" s="29">
        <f>Table14[[#This Row],[Ávöxtun]]*Table14[[#This Row],[Eignir]]/SUMIFS(Table14[Eignir],Table14[Year],Table14[[#This Row],[Year]])</f>
        <v>-3.1584848210105092E-3</v>
      </c>
      <c r="F841" s="23">
        <f>IF(B841=1997, 100, IF(COUNTIF(A$1:A840,A841)=0, "NEW", F840*(1+Table14[[#This Row],[Ávöxtun]])))</f>
        <v>107.73000000000002</v>
      </c>
      <c r="G841" s="18" cm="1">
        <f t="array" ref="G841">IFERROR(_xlfn.IFS(ISNUMBER(Table14[[#This Row],[Column3]]),Table14[[#This Row],[Column3]],Table14[[#This Row],[Column3]]="NEW",Table14[[#This Row],[Column3]]),"")</f>
        <v>107.73000000000002</v>
      </c>
      <c r="H841" s="15" cm="1">
        <f t="array" ref="H841">_xlfn.IFS(Table14[[#This Row],[Column4]]="NEW",AVERAGEIFS(Table14[Column4],Table14[Year],Table14[[#This Row],[Year]]),ISNUMBER(Table14[[#This Row],[Column4]]),Table14[[#This Row],[Column4]],Table14[[#This Row],[Column4]]="",H840*(1+Table14[[#This Row],[Ávöxtun]]))</f>
        <v>107.73000000000002</v>
      </c>
      <c r="I841" cm="1">
        <f t="array" ref="I841">_xlfn.IFS(Table14[[#This Row],[Column4]]="NEW",_xlfn.XLOOKUP(Table14[[#This Row],[Year]],$M$2:$M$27,$O$2:$O$27),ISNUMBER(Table14[[#This Row],[Column4]]),Table14[[#This Row],[Column4]],Table14[[#This Row],[Column4]]="",I840*(1+Table14[[#This Row],[Ávöxtun]]))</f>
        <v>107.73000000000002</v>
      </c>
      <c r="L841" s="33">
        <v>107.73000000000002</v>
      </c>
    </row>
    <row r="842" spans="1:12">
      <c r="A842" t="s">
        <v>125</v>
      </c>
      <c r="B842">
        <v>2002</v>
      </c>
      <c r="C842" s="16">
        <v>-0.04</v>
      </c>
      <c r="D842" s="1">
        <v>18858028</v>
      </c>
      <c r="E842" s="29">
        <f>Table14[[#This Row],[Ávöxtun]]*Table14[[#This Row],[Eignir]]/SUMIFS(Table14[Eignir],Table14[Year],Table14[[#This Row],[Year]])</f>
        <v>-1.187600266259068E-3</v>
      </c>
      <c r="F842" s="23">
        <f>IF(B842=1997, 100, IF(COUNTIF(A$1:A841,A842)=0, "NEW", F841*(1+Table14[[#This Row],[Ávöxtun]])))</f>
        <v>103.42080000000001</v>
      </c>
      <c r="G842" s="18" cm="1">
        <f t="array" ref="G842">IFERROR(_xlfn.IFS(ISNUMBER(Table14[[#This Row],[Column3]]),Table14[[#This Row],[Column3]],Table14[[#This Row],[Column3]]="NEW",Table14[[#This Row],[Column3]]),"")</f>
        <v>103.42080000000001</v>
      </c>
      <c r="H842" s="15" cm="1">
        <f t="array" ref="H842">_xlfn.IFS(Table14[[#This Row],[Column4]]="NEW",AVERAGEIFS(Table14[Column4],Table14[Year],Table14[[#This Row],[Year]]),ISNUMBER(Table14[[#This Row],[Column4]]),Table14[[#This Row],[Column4]],Table14[[#This Row],[Column4]]="",H841*(1+Table14[[#This Row],[Ávöxtun]]))</f>
        <v>103.42080000000001</v>
      </c>
      <c r="I842" cm="1">
        <f t="array" ref="I842">_xlfn.IFS(Table14[[#This Row],[Column4]]="NEW",_xlfn.XLOOKUP(Table14[[#This Row],[Year]],$M$2:$M$27,$O$2:$O$27),ISNUMBER(Table14[[#This Row],[Column4]]),Table14[[#This Row],[Column4]],Table14[[#This Row],[Column4]]="",I841*(1+Table14[[#This Row],[Ávöxtun]]))</f>
        <v>103.42080000000001</v>
      </c>
      <c r="L842" s="33">
        <v>103.42080000000001</v>
      </c>
    </row>
    <row r="843" spans="1:12">
      <c r="A843" t="s">
        <v>125</v>
      </c>
      <c r="B843">
        <v>2003</v>
      </c>
      <c r="C843" s="16">
        <v>0.1</v>
      </c>
      <c r="D843" s="1">
        <v>22526414</v>
      </c>
      <c r="E843" s="29">
        <f>Table14[[#This Row],[Ávöxtun]]*Table14[[#This Row],[Eignir]]/SUMIFS(Table14[Eignir],Table14[Year],Table14[[#This Row],[Year]])</f>
        <v>2.9644254629115456E-3</v>
      </c>
      <c r="F843" s="23">
        <f>IF(B843=1997, 100, IF(COUNTIF(A$1:A842,A843)=0, "NEW", F842*(1+Table14[[#This Row],[Ávöxtun]])))</f>
        <v>113.76288000000002</v>
      </c>
      <c r="G843" s="18" cm="1">
        <f t="array" ref="G843">IFERROR(_xlfn.IFS(ISNUMBER(Table14[[#This Row],[Column3]]),Table14[[#This Row],[Column3]],Table14[[#This Row],[Column3]]="NEW",Table14[[#This Row],[Column3]]),"")</f>
        <v>113.76288000000002</v>
      </c>
      <c r="H843" s="15" cm="1">
        <f t="array" ref="H843">_xlfn.IFS(Table14[[#This Row],[Column4]]="NEW",AVERAGEIFS(Table14[Column4],Table14[Year],Table14[[#This Row],[Year]]),ISNUMBER(Table14[[#This Row],[Column4]]),Table14[[#This Row],[Column4]],Table14[[#This Row],[Column4]]="",H842*(1+Table14[[#This Row],[Ávöxtun]]))</f>
        <v>113.76288000000002</v>
      </c>
      <c r="I843" cm="1">
        <f t="array" ref="I843">_xlfn.IFS(Table14[[#This Row],[Column4]]="NEW",_xlfn.XLOOKUP(Table14[[#This Row],[Year]],$M$2:$M$27,$O$2:$O$27),ISNUMBER(Table14[[#This Row],[Column4]]),Table14[[#This Row],[Column4]],Table14[[#This Row],[Column4]]="",I842*(1+Table14[[#This Row],[Ávöxtun]]))</f>
        <v>113.76288000000002</v>
      </c>
      <c r="L843" s="33">
        <v>113.76288000000002</v>
      </c>
    </row>
    <row r="844" spans="1:12">
      <c r="A844" t="s">
        <v>125</v>
      </c>
      <c r="B844">
        <v>2004</v>
      </c>
      <c r="C844" s="16">
        <v>0.09</v>
      </c>
      <c r="D844" s="1">
        <v>26830629</v>
      </c>
      <c r="E844" s="29">
        <f>Table14[[#This Row],[Ávöxtun]]*Table14[[#This Row],[Eignir]]/SUMIFS(Table14[Eignir],Table14[Year],Table14[[#This Row],[Year]])</f>
        <v>2.6603892154068729E-3</v>
      </c>
      <c r="F844" s="23">
        <f>IF(B844=1997, 100, IF(COUNTIF(A$1:A843,A844)=0, "NEW", F843*(1+Table14[[#This Row],[Ávöxtun]])))</f>
        <v>124.00153920000004</v>
      </c>
      <c r="G844" s="18" cm="1">
        <f t="array" ref="G844">IFERROR(_xlfn.IFS(ISNUMBER(Table14[[#This Row],[Column3]]),Table14[[#This Row],[Column3]],Table14[[#This Row],[Column3]]="NEW",Table14[[#This Row],[Column3]]),"")</f>
        <v>124.00153920000004</v>
      </c>
      <c r="H844" s="15" cm="1">
        <f t="array" ref="H844">_xlfn.IFS(Table14[[#This Row],[Column4]]="NEW",AVERAGEIFS(Table14[Column4],Table14[Year],Table14[[#This Row],[Year]]),ISNUMBER(Table14[[#This Row],[Column4]]),Table14[[#This Row],[Column4]],Table14[[#This Row],[Column4]]="",H843*(1+Table14[[#This Row],[Ávöxtun]]))</f>
        <v>124.00153920000004</v>
      </c>
      <c r="I844" cm="1">
        <f t="array" ref="I844">_xlfn.IFS(Table14[[#This Row],[Column4]]="NEW",_xlfn.XLOOKUP(Table14[[#This Row],[Year]],$M$2:$M$27,$O$2:$O$27),ISNUMBER(Table14[[#This Row],[Column4]]),Table14[[#This Row],[Column4]],Table14[[#This Row],[Column4]]="",I843*(1+Table14[[#This Row],[Ávöxtun]]))</f>
        <v>124.00153920000004</v>
      </c>
      <c r="L844" s="33">
        <v>124.00153920000004</v>
      </c>
    </row>
    <row r="845" spans="1:12">
      <c r="A845" t="s">
        <v>125</v>
      </c>
      <c r="B845">
        <v>2005</v>
      </c>
      <c r="C845" s="16">
        <v>0.11</v>
      </c>
      <c r="D845" s="1">
        <v>32675798</v>
      </c>
      <c r="E845" s="29">
        <f>Table14[[#This Row],[Ávöxtun]]*Table14[[#This Row],[Eignir]]/SUMIFS(Table14[Eignir],Table14[Year],Table14[[#This Row],[Year]])</f>
        <v>3.2054015918474288E-3</v>
      </c>
      <c r="F845" s="23">
        <f>IF(B845=1997, 100, IF(COUNTIF(A$1:A844,A845)=0, "NEW", F844*(1+Table14[[#This Row],[Ávöxtun]])))</f>
        <v>137.64170851200006</v>
      </c>
      <c r="G845" s="18" cm="1">
        <f t="array" ref="G845">IFERROR(_xlfn.IFS(ISNUMBER(Table14[[#This Row],[Column3]]),Table14[[#This Row],[Column3]],Table14[[#This Row],[Column3]]="NEW",Table14[[#This Row],[Column3]]),"")</f>
        <v>137.64170851200006</v>
      </c>
      <c r="H845" s="15" cm="1">
        <f t="array" ref="H845">_xlfn.IFS(Table14[[#This Row],[Column4]]="NEW",AVERAGEIFS(Table14[Column4],Table14[Year],Table14[[#This Row],[Year]]),ISNUMBER(Table14[[#This Row],[Column4]]),Table14[[#This Row],[Column4]],Table14[[#This Row],[Column4]]="",H844*(1+Table14[[#This Row],[Ávöxtun]]))</f>
        <v>137.64170851200006</v>
      </c>
      <c r="I845" cm="1">
        <f t="array" ref="I845">_xlfn.IFS(Table14[[#This Row],[Column4]]="NEW",_xlfn.XLOOKUP(Table14[[#This Row],[Year]],$M$2:$M$27,$O$2:$O$27),ISNUMBER(Table14[[#This Row],[Column4]]),Table14[[#This Row],[Column4]],Table14[[#This Row],[Column4]]="",I844*(1+Table14[[#This Row],[Ávöxtun]]))</f>
        <v>137.64170851200006</v>
      </c>
      <c r="L845" s="33">
        <v>137.64170851200006</v>
      </c>
    </row>
    <row r="846" spans="1:12">
      <c r="A846" t="s">
        <v>127</v>
      </c>
      <c r="B846">
        <v>2014</v>
      </c>
      <c r="C846" s="16">
        <v>6.3E-2</v>
      </c>
      <c r="D846" s="1">
        <v>49955272</v>
      </c>
      <c r="E846" s="29">
        <f>Table14[[#This Row],[Ávöxtun]]*Table14[[#This Row],[Eignir]]/SUMIFS(Table14[Eignir],Table14[Year],Table14[[#This Row],[Year]])</f>
        <v>1.1862646920707375E-3</v>
      </c>
      <c r="F846" s="23" t="str">
        <f>IF(B846=1997, 100, IF(COUNTIF(A$1:A845,A846)=0, "NEW", F845*(1+Table14[[#This Row],[Ávöxtun]])))</f>
        <v>NEW</v>
      </c>
      <c r="G846" s="18" t="str" cm="1">
        <f t="array" ref="G846">IFERROR(_xlfn.IFS(ISNUMBER(Table14[[#This Row],[Column3]]),Table14[[#This Row],[Column3]],Table14[[#This Row],[Column3]]="NEW",Table14[[#This Row],[Column3]]),"")</f>
        <v>NEW</v>
      </c>
      <c r="H846" s="15" cm="1">
        <f t="array" ref="H846">_xlfn.IFS(Table14[[#This Row],[Column4]]="NEW",AVERAGEIFS(Table14[Column4],Table14[Year],Table14[[#This Row],[Year]]),ISNUMBER(Table14[[#This Row],[Column4]]),Table14[[#This Row],[Column4]],Table14[[#This Row],[Column4]]="",H845*(1+Table14[[#This Row],[Ávöxtun]]))</f>
        <v>185.98027658661198</v>
      </c>
      <c r="I846" cm="1">
        <f t="array" ref="I846">_xlfn.IFS(Table14[[#This Row],[Column4]]="NEW",_xlfn.XLOOKUP(Table14[[#This Row],[Year]],$M$2:$M$27,$O$2:$O$27),ISNUMBER(Table14[[#This Row],[Column4]]),Table14[[#This Row],[Column4]],Table14[[#This Row],[Column4]]="",I845*(1+Table14[[#This Row],[Ávöxtun]]))</f>
        <v>205.80440874766308</v>
      </c>
      <c r="L846" s="33">
        <v>205.80440874766308</v>
      </c>
    </row>
    <row r="847" spans="1:12">
      <c r="A847" t="s">
        <v>127</v>
      </c>
      <c r="B847">
        <v>2015</v>
      </c>
      <c r="C847" s="16">
        <v>0.08</v>
      </c>
      <c r="D847" s="1">
        <v>57277966</v>
      </c>
      <c r="E847" s="29">
        <f>Table14[[#This Row],[Ávöxtun]]*Table14[[#This Row],[Eignir]]/SUMIFS(Table14[Eignir],Table14[Year],Table14[[#This Row],[Year]])</f>
        <v>1.5473326689833696E-3</v>
      </c>
      <c r="F847" s="23" t="e">
        <f>IF(B847=1997, 100, IF(COUNTIF(A$1:A846,A847)=0, "NEW", F846*(1+Table14[[#This Row],[Ávöxtun]])))</f>
        <v>#VALUE!</v>
      </c>
      <c r="G847" s="18" t="str" cm="1">
        <f t="array" ref="G847">IFERROR(_xlfn.IFS(ISNUMBER(Table14[[#This Row],[Column3]]),Table14[[#This Row],[Column3]],Table14[[#This Row],[Column3]]="NEW",Table14[[#This Row],[Column3]]),"")</f>
        <v/>
      </c>
      <c r="H847" s="15" cm="1">
        <f t="array" ref="H847">_xlfn.IFS(Table14[[#This Row],[Column4]]="NEW",AVERAGEIFS(Table14[Column4],Table14[Year],Table14[[#This Row],[Year]]),ISNUMBER(Table14[[#This Row],[Column4]]),Table14[[#This Row],[Column4]],Table14[[#This Row],[Column4]]="",H846*(1+Table14[[#This Row],[Ávöxtun]]))</f>
        <v>200.85869871354095</v>
      </c>
      <c r="I847" cm="1">
        <f t="array" ref="I847">_xlfn.IFS(Table14[[#This Row],[Column4]]="NEW",_xlfn.XLOOKUP(Table14[[#This Row],[Year]],$M$2:$M$27,$O$2:$O$27),ISNUMBER(Table14[[#This Row],[Column4]]),Table14[[#This Row],[Column4]],Table14[[#This Row],[Column4]]="",I846*(1+Table14[[#This Row],[Ávöxtun]]))</f>
        <v>222.26876144747612</v>
      </c>
      <c r="L847" s="33">
        <v>222.26876144747612</v>
      </c>
    </row>
    <row r="848" spans="1:12">
      <c r="A848" t="s">
        <v>127</v>
      </c>
      <c r="B848">
        <v>2016</v>
      </c>
      <c r="C848" s="16">
        <v>2.6000000000000002E-2</v>
      </c>
      <c r="D848" s="1">
        <v>62756983</v>
      </c>
      <c r="E848" s="29">
        <f>Table14[[#This Row],[Ávöxtun]]*Table14[[#This Row],[Eignir]]/SUMIFS(Table14[Eignir],Table14[Year],Table14[[#This Row],[Year]])</f>
        <v>5.0989305234907546E-4</v>
      </c>
      <c r="F848" s="23" t="e">
        <f>IF(B848=1997, 100, IF(COUNTIF(A$1:A847,A848)=0, "NEW", F847*(1+Table14[[#This Row],[Ávöxtun]])))</f>
        <v>#VALUE!</v>
      </c>
      <c r="G848" s="18" t="str" cm="1">
        <f t="array" ref="G848">IFERROR(_xlfn.IFS(ISNUMBER(Table14[[#This Row],[Column3]]),Table14[[#This Row],[Column3]],Table14[[#This Row],[Column3]]="NEW",Table14[[#This Row],[Column3]]),"")</f>
        <v/>
      </c>
      <c r="H848" s="15" cm="1">
        <f t="array" ref="H848">_xlfn.IFS(Table14[[#This Row],[Column4]]="NEW",AVERAGEIFS(Table14[Column4],Table14[Year],Table14[[#This Row],[Year]]),ISNUMBER(Table14[[#This Row],[Column4]]),Table14[[#This Row],[Column4]],Table14[[#This Row],[Column4]]="",H847*(1+Table14[[#This Row],[Ávöxtun]]))</f>
        <v>206.08102488009303</v>
      </c>
      <c r="I848" cm="1">
        <f t="array" ref="I848">_xlfn.IFS(Table14[[#This Row],[Column4]]="NEW",_xlfn.XLOOKUP(Table14[[#This Row],[Year]],$M$2:$M$27,$O$2:$O$27),ISNUMBER(Table14[[#This Row],[Column4]]),Table14[[#This Row],[Column4]],Table14[[#This Row],[Column4]]="",I847*(1+Table14[[#This Row],[Ávöxtun]]))</f>
        <v>228.04774924511051</v>
      </c>
      <c r="L848" s="33">
        <v>228.04774924511051</v>
      </c>
    </row>
    <row r="849" spans="1:12">
      <c r="A849" t="s">
        <v>127</v>
      </c>
      <c r="B849">
        <v>2017</v>
      </c>
      <c r="C849" s="16">
        <v>3.6000000000000004E-2</v>
      </c>
      <c r="D849" s="1">
        <v>68992090</v>
      </c>
      <c r="E849" s="29">
        <f>Table14[[#This Row],[Ávöxtun]]*Table14[[#This Row],[Eignir]]/SUMIFS(Table14[Eignir],Table14[Year],Table14[[#This Row],[Year]])</f>
        <v>6.9783918489037483E-4</v>
      </c>
      <c r="F849" s="23" t="e">
        <f>IF(B849=1997, 100, IF(COUNTIF(A$1:A848,A849)=0, "NEW", F848*(1+Table14[[#This Row],[Ávöxtun]])))</f>
        <v>#VALUE!</v>
      </c>
      <c r="G849" s="18" t="str" cm="1">
        <f t="array" ref="G849">IFERROR(_xlfn.IFS(ISNUMBER(Table14[[#This Row],[Column3]]),Table14[[#This Row],[Column3]],Table14[[#This Row],[Column3]]="NEW",Table14[[#This Row],[Column3]]),"")</f>
        <v/>
      </c>
      <c r="H849" s="15" cm="1">
        <f t="array" ref="H849">_xlfn.IFS(Table14[[#This Row],[Column4]]="NEW",AVERAGEIFS(Table14[Column4],Table14[Year],Table14[[#This Row],[Year]]),ISNUMBER(Table14[[#This Row],[Column4]]),Table14[[#This Row],[Column4]],Table14[[#This Row],[Column4]]="",H848*(1+Table14[[#This Row],[Ávöxtun]]))</f>
        <v>213.49994177577639</v>
      </c>
      <c r="I849" cm="1">
        <f t="array" ref="I849">_xlfn.IFS(Table14[[#This Row],[Column4]]="NEW",_xlfn.XLOOKUP(Table14[[#This Row],[Year]],$M$2:$M$27,$O$2:$O$27),ISNUMBER(Table14[[#This Row],[Column4]]),Table14[[#This Row],[Column4]],Table14[[#This Row],[Column4]]="",I848*(1+Table14[[#This Row],[Ávöxtun]]))</f>
        <v>236.2574682179345</v>
      </c>
      <c r="L849" s="33">
        <v>236.2574682179345</v>
      </c>
    </row>
    <row r="850" spans="1:12">
      <c r="A850" t="s">
        <v>127</v>
      </c>
      <c r="B850">
        <v>2018</v>
      </c>
      <c r="C850" s="16">
        <v>1.1000000000000001E-2</v>
      </c>
      <c r="D850" s="1">
        <v>74497818</v>
      </c>
      <c r="E850" s="29">
        <f>Table14[[#This Row],[Ávöxtun]]*Table14[[#This Row],[Eignir]]/SUMIFS(Table14[Eignir],Table14[Year],Table14[[#This Row],[Year]])</f>
        <v>2.1461698842449342E-4</v>
      </c>
      <c r="F850" s="23" t="e">
        <f>IF(B850=1997, 100, IF(COUNTIF(A$1:A849,A850)=0, "NEW", F849*(1+Table14[[#This Row],[Ávöxtun]])))</f>
        <v>#VALUE!</v>
      </c>
      <c r="G850" s="18" t="str" cm="1">
        <f t="array" ref="G850">IFERROR(_xlfn.IFS(ISNUMBER(Table14[[#This Row],[Column3]]),Table14[[#This Row],[Column3]],Table14[[#This Row],[Column3]]="NEW",Table14[[#This Row],[Column3]]),"")</f>
        <v/>
      </c>
      <c r="H850" s="15" cm="1">
        <f t="array" ref="H850">_xlfn.IFS(Table14[[#This Row],[Column4]]="NEW",AVERAGEIFS(Table14[Column4],Table14[Year],Table14[[#This Row],[Year]]),ISNUMBER(Table14[[#This Row],[Column4]]),Table14[[#This Row],[Column4]],Table14[[#This Row],[Column4]]="",H849*(1+Table14[[#This Row],[Ávöxtun]]))</f>
        <v>215.84844113530991</v>
      </c>
      <c r="I850" cm="1">
        <f t="array" ref="I850">_xlfn.IFS(Table14[[#This Row],[Column4]]="NEW",_xlfn.XLOOKUP(Table14[[#This Row],[Year]],$M$2:$M$27,$O$2:$O$27),ISNUMBER(Table14[[#This Row],[Column4]]),Table14[[#This Row],[Column4]],Table14[[#This Row],[Column4]]="",I849*(1+Table14[[#This Row],[Ávöxtun]]))</f>
        <v>238.85630036833174</v>
      </c>
      <c r="L850" s="33">
        <v>238.85630036833174</v>
      </c>
    </row>
    <row r="851" spans="1:12">
      <c r="A851" t="s">
        <v>127</v>
      </c>
      <c r="B851">
        <v>2019</v>
      </c>
      <c r="C851" s="16">
        <v>0.09</v>
      </c>
      <c r="D851" s="1">
        <v>86144500</v>
      </c>
      <c r="E851" s="29">
        <f>Table14[[#This Row],[Ávöxtun]]*Table14[[#This Row],[Eignir]]/SUMIFS(Table14[Eignir],Table14[Year],Table14[[#This Row],[Year]])</f>
        <v>1.7513478129596092E-3</v>
      </c>
      <c r="F851" s="23" t="e">
        <f>IF(B851=1997, 100, IF(COUNTIF(A$1:A850,A851)=0, "NEW", F850*(1+Table14[[#This Row],[Ávöxtun]])))</f>
        <v>#VALUE!</v>
      </c>
      <c r="G851" s="18" t="str" cm="1">
        <f t="array" ref="G851">IFERROR(_xlfn.IFS(ISNUMBER(Table14[[#This Row],[Column3]]),Table14[[#This Row],[Column3]],Table14[[#This Row],[Column3]]="NEW",Table14[[#This Row],[Column3]]),"")</f>
        <v/>
      </c>
      <c r="H851" s="15" cm="1">
        <f t="array" ref="H851">_xlfn.IFS(Table14[[#This Row],[Column4]]="NEW",AVERAGEIFS(Table14[Column4],Table14[Year],Table14[[#This Row],[Year]]),ISNUMBER(Table14[[#This Row],[Column4]]),Table14[[#This Row],[Column4]],Table14[[#This Row],[Column4]]="",H850*(1+Table14[[#This Row],[Ávöxtun]]))</f>
        <v>235.27480083748782</v>
      </c>
      <c r="I851" cm="1">
        <f t="array" ref="I851">_xlfn.IFS(Table14[[#This Row],[Column4]]="NEW",_xlfn.XLOOKUP(Table14[[#This Row],[Year]],$M$2:$M$27,$O$2:$O$27),ISNUMBER(Table14[[#This Row],[Column4]]),Table14[[#This Row],[Column4]],Table14[[#This Row],[Column4]]="",I850*(1+Table14[[#This Row],[Ávöxtun]]))</f>
        <v>260.35336740148165</v>
      </c>
      <c r="L851" s="33">
        <v>260.35336740148165</v>
      </c>
    </row>
    <row r="852" spans="1:12">
      <c r="A852" t="s">
        <v>127</v>
      </c>
      <c r="B852">
        <v>2020</v>
      </c>
      <c r="C852" s="16">
        <v>9.3000000000000013E-2</v>
      </c>
      <c r="D852" s="1">
        <v>100264199</v>
      </c>
      <c r="E852" s="29">
        <f>Table14[[#This Row],[Ávöxtun]]*Table14[[#This Row],[Eignir]]/SUMIFS(Table14[Eignir],Table14[Year],Table14[[#This Row],[Year]])</f>
        <v>1.8153147590826771E-3</v>
      </c>
      <c r="F852" s="23" t="e">
        <f>IF(B852=1997, 100, IF(COUNTIF(A$1:A851,A852)=0, "NEW", F851*(1+Table14[[#This Row],[Ávöxtun]])))</f>
        <v>#VALUE!</v>
      </c>
      <c r="G852" s="18" t="str" cm="1">
        <f t="array" ref="G852">IFERROR(_xlfn.IFS(ISNUMBER(Table14[[#This Row],[Column3]]),Table14[[#This Row],[Column3]],Table14[[#This Row],[Column3]]="NEW",Table14[[#This Row],[Column3]]),"")</f>
        <v/>
      </c>
      <c r="H852" s="15" cm="1">
        <f t="array" ref="H852">_xlfn.IFS(Table14[[#This Row],[Column4]]="NEW",AVERAGEIFS(Table14[Column4],Table14[Year],Table14[[#This Row],[Year]]),ISNUMBER(Table14[[#This Row],[Column4]]),Table14[[#This Row],[Column4]],Table14[[#This Row],[Column4]]="",H851*(1+Table14[[#This Row],[Ávöxtun]]))</f>
        <v>257.1553573153742</v>
      </c>
      <c r="I852" cm="1">
        <f t="array" ref="I852">_xlfn.IFS(Table14[[#This Row],[Column4]]="NEW",_xlfn.XLOOKUP(Table14[[#This Row],[Year]],$M$2:$M$27,$O$2:$O$27),ISNUMBER(Table14[[#This Row],[Column4]]),Table14[[#This Row],[Column4]],Table14[[#This Row],[Column4]]="",I851*(1+Table14[[#This Row],[Ávöxtun]]))</f>
        <v>284.56623056981942</v>
      </c>
      <c r="L852" s="33">
        <v>284.56623056981942</v>
      </c>
    </row>
    <row r="853" spans="1:12">
      <c r="A853" t="s">
        <v>127</v>
      </c>
      <c r="B853">
        <v>2021</v>
      </c>
      <c r="C853" s="16">
        <v>0.11900000000000001</v>
      </c>
      <c r="D853" s="1">
        <v>121181205</v>
      </c>
      <c r="E853" s="29">
        <f>Table14[[#This Row],[Ávöxtun]]*Table14[[#This Row],[Eignir]]/SUMIFS(Table14[Eignir],Table14[Year],Table14[[#This Row],[Year]])</f>
        <v>2.3877088607857128E-3</v>
      </c>
      <c r="F853" s="23" t="e">
        <f>IF(B853=1997, 100, IF(COUNTIF(A$1:A852,A853)=0, "NEW", F852*(1+Table14[[#This Row],[Ávöxtun]])))</f>
        <v>#VALUE!</v>
      </c>
      <c r="G853" s="18" t="str" cm="1">
        <f t="array" ref="G853">IFERROR(_xlfn.IFS(ISNUMBER(Table14[[#This Row],[Column3]]),Table14[[#This Row],[Column3]],Table14[[#This Row],[Column3]]="NEW",Table14[[#This Row],[Column3]]),"")</f>
        <v/>
      </c>
      <c r="H853" s="15" cm="1">
        <f t="array" ref="H853">_xlfn.IFS(Table14[[#This Row],[Column4]]="NEW",AVERAGEIFS(Table14[Column4],Table14[Year],Table14[[#This Row],[Year]]),ISNUMBER(Table14[[#This Row],[Column4]]),Table14[[#This Row],[Column4]],Table14[[#This Row],[Column4]]="",H852*(1+Table14[[#This Row],[Ávöxtun]]))</f>
        <v>287.75684483590373</v>
      </c>
      <c r="I853" cm="1">
        <f t="array" ref="I853">_xlfn.IFS(Table14[[#This Row],[Column4]]="NEW",_xlfn.XLOOKUP(Table14[[#This Row],[Year]],$M$2:$M$27,$O$2:$O$27),ISNUMBER(Table14[[#This Row],[Column4]]),Table14[[#This Row],[Column4]],Table14[[#This Row],[Column4]]="",I852*(1+Table14[[#This Row],[Ávöxtun]]))</f>
        <v>318.42961200762795</v>
      </c>
      <c r="L853" s="33">
        <v>318.42961200762795</v>
      </c>
    </row>
    <row r="854" spans="1:12">
      <c r="A854" t="s">
        <v>128</v>
      </c>
      <c r="B854">
        <v>1997</v>
      </c>
      <c r="C854" s="16">
        <v>0.08</v>
      </c>
      <c r="D854" s="1">
        <v>27655597.260000002</v>
      </c>
      <c r="E854" s="29">
        <f>Table14[[#This Row],[Ávöxtun]]*Table14[[#This Row],[Eignir]]/SUMIFS(Table14[Eignir],Table14[Year],Table14[[#This Row],[Year]])</f>
        <v>6.5259067961071842E-3</v>
      </c>
      <c r="F854" s="23">
        <f>IF(B854=1997, 100, IF(COUNTIF(A$1:A853,A854)=0, "NEW", F853*(1+Table14[[#This Row],[Ávöxtun]])))</f>
        <v>100</v>
      </c>
      <c r="G854" s="18" cm="1">
        <f t="array" ref="G854">IFERROR(_xlfn.IFS(ISNUMBER(Table14[[#This Row],[Column3]]),Table14[[#This Row],[Column3]],Table14[[#This Row],[Column3]]="NEW",Table14[[#This Row],[Column3]]),"")</f>
        <v>100</v>
      </c>
      <c r="H854" s="15" cm="1">
        <f t="array" ref="H854">_xlfn.IFS(Table14[[#This Row],[Column4]]="NEW",AVERAGEIFS(Table14[Column4],Table14[Year],Table14[[#This Row],[Year]]),ISNUMBER(Table14[[#This Row],[Column4]]),Table14[[#This Row],[Column4]],Table14[[#This Row],[Column4]]="",H853*(1+Table14[[#This Row],[Ávöxtun]]))</f>
        <v>100</v>
      </c>
      <c r="I854" cm="1">
        <f t="array" ref="I854">_xlfn.IFS(Table14[[#This Row],[Column4]]="NEW",_xlfn.XLOOKUP(Table14[[#This Row],[Year]],$M$2:$M$27,$O$2:$O$27),ISNUMBER(Table14[[#This Row],[Column4]]),Table14[[#This Row],[Column4]],Table14[[#This Row],[Column4]]="",I853*(1+Table14[[#This Row],[Ávöxtun]]))</f>
        <v>100</v>
      </c>
      <c r="L854" s="33">
        <v>100</v>
      </c>
    </row>
    <row r="855" spans="1:12">
      <c r="A855" t="s">
        <v>128</v>
      </c>
      <c r="B855">
        <v>1998</v>
      </c>
      <c r="C855" s="16">
        <v>7.0000000000000007E-2</v>
      </c>
      <c r="D855" s="1">
        <v>30852400.739999998</v>
      </c>
      <c r="E855" s="29">
        <f>Table14[[#This Row],[Ávöxtun]]*Table14[[#This Row],[Eignir]]/SUMIFS(Table14[Eignir],Table14[Year],Table14[[#This Row],[Year]])</f>
        <v>5.5144931979585667E-3</v>
      </c>
      <c r="F855" s="23">
        <f>IF(B855=1997, 100, IF(COUNTIF(A$1:A854,A855)=0, "NEW", F854*(1+Table14[[#This Row],[Ávöxtun]])))</f>
        <v>107</v>
      </c>
      <c r="G855" s="18" cm="1">
        <f t="array" ref="G855">IFERROR(_xlfn.IFS(ISNUMBER(Table14[[#This Row],[Column3]]),Table14[[#This Row],[Column3]],Table14[[#This Row],[Column3]]="NEW",Table14[[#This Row],[Column3]]),"")</f>
        <v>107</v>
      </c>
      <c r="H855" s="15" cm="1">
        <f t="array" ref="H855">_xlfn.IFS(Table14[[#This Row],[Column4]]="NEW",AVERAGEIFS(Table14[Column4],Table14[Year],Table14[[#This Row],[Year]]),ISNUMBER(Table14[[#This Row],[Column4]]),Table14[[#This Row],[Column4]],Table14[[#This Row],[Column4]]="",H854*(1+Table14[[#This Row],[Ávöxtun]]))</f>
        <v>107</v>
      </c>
      <c r="I855" cm="1">
        <f t="array" ref="I855">_xlfn.IFS(Table14[[#This Row],[Column4]]="NEW",_xlfn.XLOOKUP(Table14[[#This Row],[Year]],$M$2:$M$27,$O$2:$O$27),ISNUMBER(Table14[[#This Row],[Column4]]),Table14[[#This Row],[Column4]],Table14[[#This Row],[Column4]]="",I854*(1+Table14[[#This Row],[Ávöxtun]]))</f>
        <v>107</v>
      </c>
      <c r="L855" s="33">
        <v>107</v>
      </c>
    </row>
    <row r="856" spans="1:12">
      <c r="A856" t="s">
        <v>128</v>
      </c>
      <c r="B856">
        <v>1999</v>
      </c>
      <c r="C856" s="16">
        <v>0.18</v>
      </c>
      <c r="D856" s="1">
        <v>39575584.240000002</v>
      </c>
      <c r="E856" s="29">
        <f>Table14[[#This Row],[Ávöxtun]]*Table14[[#This Row],[Eignir]]/SUMIFS(Table14[Eignir],Table14[Year],Table14[[#This Row],[Year]])</f>
        <v>1.3680385803017402E-2</v>
      </c>
      <c r="F856" s="23">
        <f>IF(B856=1997, 100, IF(COUNTIF(A$1:A855,A856)=0, "NEW", F855*(1+Table14[[#This Row],[Ávöxtun]])))</f>
        <v>126.25999999999999</v>
      </c>
      <c r="G856" s="18" cm="1">
        <f t="array" ref="G856">IFERROR(_xlfn.IFS(ISNUMBER(Table14[[#This Row],[Column3]]),Table14[[#This Row],[Column3]],Table14[[#This Row],[Column3]]="NEW",Table14[[#This Row],[Column3]]),"")</f>
        <v>126.25999999999999</v>
      </c>
      <c r="H856" s="15" cm="1">
        <f t="array" ref="H856">_xlfn.IFS(Table14[[#This Row],[Column4]]="NEW",AVERAGEIFS(Table14[Column4],Table14[Year],Table14[[#This Row],[Year]]),ISNUMBER(Table14[[#This Row],[Column4]]),Table14[[#This Row],[Column4]],Table14[[#This Row],[Column4]]="",H855*(1+Table14[[#This Row],[Ávöxtun]]))</f>
        <v>126.25999999999999</v>
      </c>
      <c r="I856" cm="1">
        <f t="array" ref="I856">_xlfn.IFS(Table14[[#This Row],[Column4]]="NEW",_xlfn.XLOOKUP(Table14[[#This Row],[Year]],$M$2:$M$27,$O$2:$O$27),ISNUMBER(Table14[[#This Row],[Column4]]),Table14[[#This Row],[Column4]],Table14[[#This Row],[Column4]]="",I855*(1+Table14[[#This Row],[Ávöxtun]]))</f>
        <v>126.25999999999999</v>
      </c>
      <c r="L856" s="33">
        <v>126.25999999999999</v>
      </c>
    </row>
    <row r="857" spans="1:12">
      <c r="A857" t="s">
        <v>128</v>
      </c>
      <c r="B857">
        <v>2000</v>
      </c>
      <c r="C857" s="16">
        <v>0</v>
      </c>
      <c r="D857" s="1">
        <v>84304757</v>
      </c>
      <c r="E857" s="29">
        <f>Table14[[#This Row],[Ávöxtun]]*Table14[[#This Row],[Eignir]]/SUMIFS(Table14[Eignir],Table14[Year],Table14[[#This Row],[Year]])</f>
        <v>0</v>
      </c>
      <c r="F857" s="23">
        <f>IF(B857=1997, 100, IF(COUNTIF(A$1:A856,A857)=0, "NEW", F856*(1+Table14[[#This Row],[Ávöxtun]])))</f>
        <v>126.25999999999999</v>
      </c>
      <c r="G857" s="18" cm="1">
        <f t="array" ref="G857">IFERROR(_xlfn.IFS(ISNUMBER(Table14[[#This Row],[Column3]]),Table14[[#This Row],[Column3]],Table14[[#This Row],[Column3]]="NEW",Table14[[#This Row],[Column3]]),"")</f>
        <v>126.25999999999999</v>
      </c>
      <c r="H857" s="15" cm="1">
        <f t="array" ref="H857">_xlfn.IFS(Table14[[#This Row],[Column4]]="NEW",AVERAGEIFS(Table14[Column4],Table14[Year],Table14[[#This Row],[Year]]),ISNUMBER(Table14[[#This Row],[Column4]]),Table14[[#This Row],[Column4]],Table14[[#This Row],[Column4]]="",H856*(1+Table14[[#This Row],[Ávöxtun]]))</f>
        <v>126.25999999999999</v>
      </c>
      <c r="I857" cm="1">
        <f t="array" ref="I857">_xlfn.IFS(Table14[[#This Row],[Column4]]="NEW",_xlfn.XLOOKUP(Table14[[#This Row],[Year]],$M$2:$M$27,$O$2:$O$27),ISNUMBER(Table14[[#This Row],[Column4]]),Table14[[#This Row],[Column4]],Table14[[#This Row],[Column4]]="",I856*(1+Table14[[#This Row],[Ávöxtun]]))</f>
        <v>126.25999999999999</v>
      </c>
      <c r="L857" s="33">
        <v>126.25999999999999</v>
      </c>
    </row>
    <row r="858" spans="1:12">
      <c r="A858" t="s">
        <v>128</v>
      </c>
      <c r="B858">
        <v>2001</v>
      </c>
      <c r="C858" s="16">
        <v>-0.06</v>
      </c>
      <c r="D858" s="1">
        <v>91947107</v>
      </c>
      <c r="E858" s="29">
        <f>Table14[[#This Row],[Ávöxtun]]*Table14[[#This Row],[Eignir]]/SUMIFS(Table14[Eignir],Table14[Year],Table14[[#This Row],[Year]])</f>
        <v>-4.7644455529526767E-3</v>
      </c>
      <c r="F858" s="23">
        <f>IF(B858=1997, 100, IF(COUNTIF(A$1:A857,A858)=0, "NEW", F857*(1+Table14[[#This Row],[Ávöxtun]])))</f>
        <v>118.68439999999998</v>
      </c>
      <c r="G858" s="18" cm="1">
        <f t="array" ref="G858">IFERROR(_xlfn.IFS(ISNUMBER(Table14[[#This Row],[Column3]]),Table14[[#This Row],[Column3]],Table14[[#This Row],[Column3]]="NEW",Table14[[#This Row],[Column3]]),"")</f>
        <v>118.68439999999998</v>
      </c>
      <c r="H858" s="15" cm="1">
        <f t="array" ref="H858">_xlfn.IFS(Table14[[#This Row],[Column4]]="NEW",AVERAGEIFS(Table14[Column4],Table14[Year],Table14[[#This Row],[Year]]),ISNUMBER(Table14[[#This Row],[Column4]]),Table14[[#This Row],[Column4]],Table14[[#This Row],[Column4]]="",H857*(1+Table14[[#This Row],[Ávöxtun]]))</f>
        <v>118.68439999999998</v>
      </c>
      <c r="I858" cm="1">
        <f t="array" ref="I858">_xlfn.IFS(Table14[[#This Row],[Column4]]="NEW",_xlfn.XLOOKUP(Table14[[#This Row],[Year]],$M$2:$M$27,$O$2:$O$27),ISNUMBER(Table14[[#This Row],[Column4]]),Table14[[#This Row],[Column4]],Table14[[#This Row],[Column4]]="",I857*(1+Table14[[#This Row],[Ávöxtun]]))</f>
        <v>118.68439999999998</v>
      </c>
      <c r="L858" s="33">
        <v>118.68439999999998</v>
      </c>
    </row>
    <row r="859" spans="1:12">
      <c r="A859" t="s">
        <v>128</v>
      </c>
      <c r="B859">
        <v>2002</v>
      </c>
      <c r="C859" s="16">
        <v>-0.19</v>
      </c>
      <c r="D859" s="1">
        <v>49481358</v>
      </c>
      <c r="E859" s="29">
        <f>Table14[[#This Row],[Ávöxtun]]*Table14[[#This Row],[Eignir]]/SUMIFS(Table14[Eignir],Table14[Year],Table14[[#This Row],[Year]])</f>
        <v>-1.480161929945094E-2</v>
      </c>
      <c r="F859" s="23">
        <f>IF(B859=1997, 100, IF(COUNTIF(A$1:A858,A859)=0, "NEW", F858*(1+Table14[[#This Row],[Ávöxtun]])))</f>
        <v>96.134363999999991</v>
      </c>
      <c r="G859" s="18" cm="1">
        <f t="array" ref="G859">IFERROR(_xlfn.IFS(ISNUMBER(Table14[[#This Row],[Column3]]),Table14[[#This Row],[Column3]],Table14[[#This Row],[Column3]]="NEW",Table14[[#This Row],[Column3]]),"")</f>
        <v>96.134363999999991</v>
      </c>
      <c r="H859" s="15" cm="1">
        <f t="array" ref="H859">_xlfn.IFS(Table14[[#This Row],[Column4]]="NEW",AVERAGEIFS(Table14[Column4],Table14[Year],Table14[[#This Row],[Year]]),ISNUMBER(Table14[[#This Row],[Column4]]),Table14[[#This Row],[Column4]],Table14[[#This Row],[Column4]]="",H858*(1+Table14[[#This Row],[Ávöxtun]]))</f>
        <v>96.134363999999991</v>
      </c>
      <c r="I859" cm="1">
        <f t="array" ref="I859">_xlfn.IFS(Table14[[#This Row],[Column4]]="NEW",_xlfn.XLOOKUP(Table14[[#This Row],[Year]],$M$2:$M$27,$O$2:$O$27),ISNUMBER(Table14[[#This Row],[Column4]]),Table14[[#This Row],[Column4]],Table14[[#This Row],[Column4]]="",I858*(1+Table14[[#This Row],[Ávöxtun]]))</f>
        <v>96.134363999999991</v>
      </c>
      <c r="L859" s="33">
        <v>96.134363999999991</v>
      </c>
    </row>
    <row r="860" spans="1:12">
      <c r="A860" t="s">
        <v>128</v>
      </c>
      <c r="B860">
        <v>2003</v>
      </c>
      <c r="C860" s="16">
        <v>0.14000000000000001</v>
      </c>
      <c r="D860" s="1">
        <v>52130044</v>
      </c>
      <c r="E860" s="29">
        <f>Table14[[#This Row],[Ávöxtun]]*Table14[[#This Row],[Eignir]]/SUMIFS(Table14[Eignir],Table14[Year],Table14[[#This Row],[Year]])</f>
        <v>9.604275307326722E-3</v>
      </c>
      <c r="F860" s="23">
        <f>IF(B860=1997, 100, IF(COUNTIF(A$1:A859,A860)=0, "NEW", F859*(1+Table14[[#This Row],[Ávöxtun]])))</f>
        <v>109.59317496</v>
      </c>
      <c r="G860" s="18" cm="1">
        <f t="array" ref="G860">IFERROR(_xlfn.IFS(ISNUMBER(Table14[[#This Row],[Column3]]),Table14[[#This Row],[Column3]],Table14[[#This Row],[Column3]]="NEW",Table14[[#This Row],[Column3]]),"")</f>
        <v>109.59317496</v>
      </c>
      <c r="H860" s="15" cm="1">
        <f t="array" ref="H860">_xlfn.IFS(Table14[[#This Row],[Column4]]="NEW",AVERAGEIFS(Table14[Column4],Table14[Year],Table14[[#This Row],[Year]]),ISNUMBER(Table14[[#This Row],[Column4]]),Table14[[#This Row],[Column4]],Table14[[#This Row],[Column4]]="",H859*(1+Table14[[#This Row],[Ávöxtun]]))</f>
        <v>109.59317496</v>
      </c>
      <c r="I860" cm="1">
        <f t="array" ref="I860">_xlfn.IFS(Table14[[#This Row],[Column4]]="NEW",_xlfn.XLOOKUP(Table14[[#This Row],[Year]],$M$2:$M$27,$O$2:$O$27),ISNUMBER(Table14[[#This Row],[Column4]]),Table14[[#This Row],[Column4]],Table14[[#This Row],[Column4]]="",I859*(1+Table14[[#This Row],[Ávöxtun]]))</f>
        <v>109.59317496</v>
      </c>
      <c r="L860" s="33">
        <v>109.59317496</v>
      </c>
    </row>
    <row r="861" spans="1:12">
      <c r="A861" t="s">
        <v>128</v>
      </c>
      <c r="B861">
        <v>2004</v>
      </c>
      <c r="C861" s="16">
        <v>0.13</v>
      </c>
      <c r="D861" s="1">
        <v>59645759</v>
      </c>
      <c r="E861" s="29">
        <f>Table14[[#This Row],[Ávöxtun]]*Table14[[#This Row],[Eignir]]/SUMIFS(Table14[Eignir],Table14[Year],Table14[[#This Row],[Year]])</f>
        <v>8.5426917698701171E-3</v>
      </c>
      <c r="F861" s="23">
        <f>IF(B861=1997, 100, IF(COUNTIF(A$1:A860,A861)=0, "NEW", F860*(1+Table14[[#This Row],[Ávöxtun]])))</f>
        <v>123.84028770479999</v>
      </c>
      <c r="G861" s="18" cm="1">
        <f t="array" ref="G861">IFERROR(_xlfn.IFS(ISNUMBER(Table14[[#This Row],[Column3]]),Table14[[#This Row],[Column3]],Table14[[#This Row],[Column3]]="NEW",Table14[[#This Row],[Column3]]),"")</f>
        <v>123.84028770479999</v>
      </c>
      <c r="H861" s="15" cm="1">
        <f t="array" ref="H861">_xlfn.IFS(Table14[[#This Row],[Column4]]="NEW",AVERAGEIFS(Table14[Column4],Table14[Year],Table14[[#This Row],[Year]]),ISNUMBER(Table14[[#This Row],[Column4]]),Table14[[#This Row],[Column4]],Table14[[#This Row],[Column4]]="",H860*(1+Table14[[#This Row],[Ávöxtun]]))</f>
        <v>123.84028770479999</v>
      </c>
      <c r="I861" cm="1">
        <f t="array" ref="I861">_xlfn.IFS(Table14[[#This Row],[Column4]]="NEW",_xlfn.XLOOKUP(Table14[[#This Row],[Year]],$M$2:$M$27,$O$2:$O$27),ISNUMBER(Table14[[#This Row],[Column4]]),Table14[[#This Row],[Column4]],Table14[[#This Row],[Column4]]="",I860*(1+Table14[[#This Row],[Ávöxtun]]))</f>
        <v>123.84028770479999</v>
      </c>
      <c r="L861" s="33">
        <v>123.84028770479999</v>
      </c>
    </row>
    <row r="862" spans="1:12">
      <c r="A862" t="s">
        <v>128</v>
      </c>
      <c r="B862">
        <v>2005</v>
      </c>
      <c r="C862" s="16">
        <v>0.24</v>
      </c>
      <c r="D862" s="1">
        <v>73356549</v>
      </c>
      <c r="E862" s="29">
        <f>Table14[[#This Row],[Ávöxtun]]*Table14[[#This Row],[Eignir]]/SUMIFS(Table14[Eignir],Table14[Year],Table14[[#This Row],[Year]])</f>
        <v>1.5700507631446963E-2</v>
      </c>
      <c r="F862" s="23">
        <f>IF(B862=1997, 100, IF(COUNTIF(A$1:A861,A862)=0, "NEW", F861*(1+Table14[[#This Row],[Ávöxtun]])))</f>
        <v>153.56195675395199</v>
      </c>
      <c r="G862" s="18" cm="1">
        <f t="array" ref="G862">IFERROR(_xlfn.IFS(ISNUMBER(Table14[[#This Row],[Column3]]),Table14[[#This Row],[Column3]],Table14[[#This Row],[Column3]]="NEW",Table14[[#This Row],[Column3]]),"")</f>
        <v>153.56195675395199</v>
      </c>
      <c r="H862" s="15" cm="1">
        <f t="array" ref="H862">_xlfn.IFS(Table14[[#This Row],[Column4]]="NEW",AVERAGEIFS(Table14[Column4],Table14[Year],Table14[[#This Row],[Year]]),ISNUMBER(Table14[[#This Row],[Column4]]),Table14[[#This Row],[Column4]],Table14[[#This Row],[Column4]]="",H861*(1+Table14[[#This Row],[Ávöxtun]]))</f>
        <v>153.56195675395199</v>
      </c>
      <c r="I862" cm="1">
        <f t="array" ref="I862">_xlfn.IFS(Table14[[#This Row],[Column4]]="NEW",_xlfn.XLOOKUP(Table14[[#This Row],[Year]],$M$2:$M$27,$O$2:$O$27),ISNUMBER(Table14[[#This Row],[Column4]]),Table14[[#This Row],[Column4]],Table14[[#This Row],[Column4]]="",I861*(1+Table14[[#This Row],[Ávöxtun]]))</f>
        <v>153.56195675395199</v>
      </c>
      <c r="L862" s="33">
        <v>153.56195675395199</v>
      </c>
    </row>
    <row r="863" spans="1:12">
      <c r="A863" t="s">
        <v>128</v>
      </c>
      <c r="B863">
        <v>2006</v>
      </c>
      <c r="C863" s="16">
        <v>0.23570000000000002</v>
      </c>
      <c r="D863" s="1">
        <v>92240401</v>
      </c>
      <c r="E863" s="29">
        <f>Table14[[#This Row],[Ávöxtun]]*Table14[[#This Row],[Eignir]]/SUMIFS(Table14[Eignir],Table14[Year],Table14[[#This Row],[Year]])</f>
        <v>1.5838455846495535E-2</v>
      </c>
      <c r="F863" s="23">
        <f>IF(B863=1997, 100, IF(COUNTIF(A$1:A862,A863)=0, "NEW", F862*(1+Table14[[#This Row],[Ávöxtun]])))</f>
        <v>189.75650996085847</v>
      </c>
      <c r="G863" s="18" cm="1">
        <f t="array" ref="G863">IFERROR(_xlfn.IFS(ISNUMBER(Table14[[#This Row],[Column3]]),Table14[[#This Row],[Column3]],Table14[[#This Row],[Column3]]="NEW",Table14[[#This Row],[Column3]]),"")</f>
        <v>189.75650996085847</v>
      </c>
      <c r="H863" s="15" cm="1">
        <f t="array" ref="H863">_xlfn.IFS(Table14[[#This Row],[Column4]]="NEW",AVERAGEIFS(Table14[Column4],Table14[Year],Table14[[#This Row],[Year]]),ISNUMBER(Table14[[#This Row],[Column4]]),Table14[[#This Row],[Column4]],Table14[[#This Row],[Column4]]="",H862*(1+Table14[[#This Row],[Ávöxtun]]))</f>
        <v>189.75650996085847</v>
      </c>
      <c r="I863" cm="1">
        <f t="array" ref="I863">_xlfn.IFS(Table14[[#This Row],[Column4]]="NEW",_xlfn.XLOOKUP(Table14[[#This Row],[Year]],$M$2:$M$27,$O$2:$O$27),ISNUMBER(Table14[[#This Row],[Column4]]),Table14[[#This Row],[Column4]],Table14[[#This Row],[Column4]]="",I862*(1+Table14[[#This Row],[Ávöxtun]]))</f>
        <v>189.75650996085847</v>
      </c>
      <c r="L863" s="33">
        <v>189.75650996085847</v>
      </c>
    </row>
    <row r="864" spans="1:12">
      <c r="A864" t="s">
        <v>128</v>
      </c>
      <c r="B864">
        <v>2007</v>
      </c>
      <c r="C864" s="16">
        <v>0</v>
      </c>
      <c r="D864" s="1">
        <v>103083102</v>
      </c>
      <c r="E864" s="29">
        <f>Table14[[#This Row],[Ávöxtun]]*Table14[[#This Row],[Eignir]]/SUMIFS(Table14[Eignir],Table14[Year],Table14[[#This Row],[Year]])</f>
        <v>0</v>
      </c>
      <c r="F864" s="23">
        <f>IF(B864=1997, 100, IF(COUNTIF(A$1:A863,A864)=0, "NEW", F863*(1+Table14[[#This Row],[Ávöxtun]])))</f>
        <v>189.75650996085847</v>
      </c>
      <c r="G864" s="18" cm="1">
        <f t="array" ref="G864">IFERROR(_xlfn.IFS(ISNUMBER(Table14[[#This Row],[Column3]]),Table14[[#This Row],[Column3]],Table14[[#This Row],[Column3]]="NEW",Table14[[#This Row],[Column3]]),"")</f>
        <v>189.75650996085847</v>
      </c>
      <c r="H864" s="15" cm="1">
        <f t="array" ref="H864">_xlfn.IFS(Table14[[#This Row],[Column4]]="NEW",AVERAGEIFS(Table14[Column4],Table14[Year],Table14[[#This Row],[Year]]),ISNUMBER(Table14[[#This Row],[Column4]]),Table14[[#This Row],[Column4]],Table14[[#This Row],[Column4]]="",H863*(1+Table14[[#This Row],[Ávöxtun]]))</f>
        <v>189.75650996085847</v>
      </c>
      <c r="I864" cm="1">
        <f t="array" ref="I864">_xlfn.IFS(Table14[[#This Row],[Column4]]="NEW",_xlfn.XLOOKUP(Table14[[#This Row],[Year]],$M$2:$M$27,$O$2:$O$27),ISNUMBER(Table14[[#This Row],[Column4]]),Table14[[#This Row],[Column4]],Table14[[#This Row],[Column4]]="",I863*(1+Table14[[#This Row],[Ávöxtun]]))</f>
        <v>189.75650996085847</v>
      </c>
      <c r="L864" s="33">
        <v>189.75650996085847</v>
      </c>
    </row>
    <row r="865" spans="1:12">
      <c r="A865" t="s">
        <v>128</v>
      </c>
      <c r="B865">
        <v>2008</v>
      </c>
      <c r="C865" s="16">
        <v>-0.22500000000000001</v>
      </c>
      <c r="D865" s="1">
        <v>89813906</v>
      </c>
      <c r="E865" s="29">
        <f>Table14[[#This Row],[Ávöxtun]]*Table14[[#This Row],[Eignir]]/SUMIFS(Table14[Eignir],Table14[Year],Table14[[#This Row],[Year]])</f>
        <v>-1.3496218019571906E-2</v>
      </c>
      <c r="F865" s="23">
        <f>IF(B865=1997, 100, IF(COUNTIF(A$1:A864,A865)=0, "NEW", F864*(1+Table14[[#This Row],[Ávöxtun]])))</f>
        <v>147.06129521966531</v>
      </c>
      <c r="G865" s="18" cm="1">
        <f t="array" ref="G865">IFERROR(_xlfn.IFS(ISNUMBER(Table14[[#This Row],[Column3]]),Table14[[#This Row],[Column3]],Table14[[#This Row],[Column3]]="NEW",Table14[[#This Row],[Column3]]),"")</f>
        <v>147.06129521966531</v>
      </c>
      <c r="H865" s="15" cm="1">
        <f t="array" ref="H865">_xlfn.IFS(Table14[[#This Row],[Column4]]="NEW",AVERAGEIFS(Table14[Column4],Table14[Year],Table14[[#This Row],[Year]]),ISNUMBER(Table14[[#This Row],[Column4]]),Table14[[#This Row],[Column4]],Table14[[#This Row],[Column4]]="",H864*(1+Table14[[#This Row],[Ávöxtun]]))</f>
        <v>147.06129521966531</v>
      </c>
      <c r="I865" cm="1">
        <f t="array" ref="I865">_xlfn.IFS(Table14[[#This Row],[Column4]]="NEW",_xlfn.XLOOKUP(Table14[[#This Row],[Year]],$M$2:$M$27,$O$2:$O$27),ISNUMBER(Table14[[#This Row],[Column4]]),Table14[[#This Row],[Column4]],Table14[[#This Row],[Column4]]="",I864*(1+Table14[[#This Row],[Ávöxtun]]))</f>
        <v>147.06129521966531</v>
      </c>
      <c r="L865" s="33">
        <v>147.06129521966531</v>
      </c>
    </row>
    <row r="866" spans="1:12">
      <c r="A866" t="s">
        <v>128</v>
      </c>
      <c r="B866">
        <v>2009</v>
      </c>
      <c r="C866" s="16">
        <v>-1.3999999999999999E-2</v>
      </c>
      <c r="D866" s="1">
        <v>97926232</v>
      </c>
      <c r="E866" s="29">
        <f>Table14[[#This Row],[Ávöxtun]]*Table14[[#This Row],[Eignir]]/SUMIFS(Table14[Eignir],Table14[Year],Table14[[#This Row],[Year]])</f>
        <v>-8.2179552240660523E-4</v>
      </c>
      <c r="F866" s="23">
        <f>IF(B866=1997, 100, IF(COUNTIF(A$1:A865,A866)=0, "NEW", F865*(1+Table14[[#This Row],[Ávöxtun]])))</f>
        <v>145.00243708658999</v>
      </c>
      <c r="G866" s="18" cm="1">
        <f t="array" ref="G866">IFERROR(_xlfn.IFS(ISNUMBER(Table14[[#This Row],[Column3]]),Table14[[#This Row],[Column3]],Table14[[#This Row],[Column3]]="NEW",Table14[[#This Row],[Column3]]),"")</f>
        <v>145.00243708658999</v>
      </c>
      <c r="H866" s="15" cm="1">
        <f t="array" ref="H866">_xlfn.IFS(Table14[[#This Row],[Column4]]="NEW",AVERAGEIFS(Table14[Column4],Table14[Year],Table14[[#This Row],[Year]]),ISNUMBER(Table14[[#This Row],[Column4]]),Table14[[#This Row],[Column4]],Table14[[#This Row],[Column4]]="",H865*(1+Table14[[#This Row],[Ávöxtun]]))</f>
        <v>145.00243708658999</v>
      </c>
      <c r="I866" cm="1">
        <f t="array" ref="I866">_xlfn.IFS(Table14[[#This Row],[Column4]]="NEW",_xlfn.XLOOKUP(Table14[[#This Row],[Year]],$M$2:$M$27,$O$2:$O$27),ISNUMBER(Table14[[#This Row],[Column4]]),Table14[[#This Row],[Column4]],Table14[[#This Row],[Column4]]="",I865*(1+Table14[[#This Row],[Ávöxtun]]))</f>
        <v>145.00243708658999</v>
      </c>
      <c r="L866" s="33">
        <v>145.00243708658999</v>
      </c>
    </row>
    <row r="867" spans="1:12">
      <c r="A867" t="s">
        <v>128</v>
      </c>
      <c r="B867">
        <v>2010</v>
      </c>
      <c r="C867" s="16">
        <v>1.9599999999999999E-2</v>
      </c>
      <c r="D867" s="1">
        <v>104023968</v>
      </c>
      <c r="E867" s="29">
        <f>Table14[[#This Row],[Ávöxtun]]*Table14[[#This Row],[Eignir]]/SUMIFS(Table14[Eignir],Table14[Year],Table14[[#This Row],[Year]])</f>
        <v>1.1404436186948645E-3</v>
      </c>
      <c r="F867" s="23">
        <f>IF(B867=1997, 100, IF(COUNTIF(A$1:A866,A867)=0, "NEW", F866*(1+Table14[[#This Row],[Ávöxtun]])))</f>
        <v>147.84448485348716</v>
      </c>
      <c r="G867" s="18" cm="1">
        <f t="array" ref="G867">IFERROR(_xlfn.IFS(ISNUMBER(Table14[[#This Row],[Column3]]),Table14[[#This Row],[Column3]],Table14[[#This Row],[Column3]]="NEW",Table14[[#This Row],[Column3]]),"")</f>
        <v>147.84448485348716</v>
      </c>
      <c r="H867" s="15" cm="1">
        <f t="array" ref="H867">_xlfn.IFS(Table14[[#This Row],[Column4]]="NEW",AVERAGEIFS(Table14[Column4],Table14[Year],Table14[[#This Row],[Year]]),ISNUMBER(Table14[[#This Row],[Column4]]),Table14[[#This Row],[Column4]],Table14[[#This Row],[Column4]]="",H866*(1+Table14[[#This Row],[Ávöxtun]]))</f>
        <v>147.84448485348716</v>
      </c>
      <c r="I867" cm="1">
        <f t="array" ref="I867">_xlfn.IFS(Table14[[#This Row],[Column4]]="NEW",_xlfn.XLOOKUP(Table14[[#This Row],[Year]],$M$2:$M$27,$O$2:$O$27),ISNUMBER(Table14[[#This Row],[Column4]]),Table14[[#This Row],[Column4]],Table14[[#This Row],[Column4]]="",I866*(1+Table14[[#This Row],[Ávöxtun]]))</f>
        <v>147.84448485348716</v>
      </c>
      <c r="L867" s="33">
        <v>147.84448485348716</v>
      </c>
    </row>
    <row r="868" spans="1:12">
      <c r="A868" t="s">
        <v>128</v>
      </c>
      <c r="B868">
        <v>2011</v>
      </c>
      <c r="C868" s="16">
        <v>1.9E-2</v>
      </c>
      <c r="D868" s="1">
        <v>113017939</v>
      </c>
      <c r="E868" s="29">
        <f>Table14[[#This Row],[Ávöxtun]]*Table14[[#This Row],[Eignir]]/SUMIFS(Table14[Eignir],Table14[Year],Table14[[#This Row],[Year]])</f>
        <v>1.1008849357252765E-3</v>
      </c>
      <c r="F868" s="23">
        <f>IF(B868=1997, 100, IF(COUNTIF(A$1:A867,A868)=0, "NEW", F867*(1+Table14[[#This Row],[Ávöxtun]])))</f>
        <v>150.65353006570339</v>
      </c>
      <c r="G868" s="18" cm="1">
        <f t="array" ref="G868">IFERROR(_xlfn.IFS(ISNUMBER(Table14[[#This Row],[Column3]]),Table14[[#This Row],[Column3]],Table14[[#This Row],[Column3]]="NEW",Table14[[#This Row],[Column3]]),"")</f>
        <v>150.65353006570339</v>
      </c>
      <c r="H868" s="15" cm="1">
        <f t="array" ref="H868">_xlfn.IFS(Table14[[#This Row],[Column4]]="NEW",AVERAGEIFS(Table14[Column4],Table14[Year],Table14[[#This Row],[Year]]),ISNUMBER(Table14[[#This Row],[Column4]]),Table14[[#This Row],[Column4]],Table14[[#This Row],[Column4]]="",H867*(1+Table14[[#This Row],[Ávöxtun]]))</f>
        <v>150.65353006570339</v>
      </c>
      <c r="I868" cm="1">
        <f t="array" ref="I868">_xlfn.IFS(Table14[[#This Row],[Column4]]="NEW",_xlfn.XLOOKUP(Table14[[#This Row],[Year]],$M$2:$M$27,$O$2:$O$27),ISNUMBER(Table14[[#This Row],[Column4]]),Table14[[#This Row],[Column4]],Table14[[#This Row],[Column4]]="",I867*(1+Table14[[#This Row],[Ávöxtun]]))</f>
        <v>150.65353006570339</v>
      </c>
      <c r="L868" s="33">
        <v>150.65353006570339</v>
      </c>
    </row>
    <row r="869" spans="1:12">
      <c r="A869" t="s">
        <v>128</v>
      </c>
      <c r="B869">
        <v>2012</v>
      </c>
      <c r="C869" s="16">
        <v>8.5999999999999993E-2</v>
      </c>
      <c r="D869" s="1">
        <v>131306266</v>
      </c>
      <c r="E869" s="29">
        <f>Table14[[#This Row],[Ávöxtun]]*Table14[[#This Row],[Eignir]]/SUMIFS(Table14[Eignir],Table14[Year],Table14[[#This Row],[Year]])</f>
        <v>5.1262567738003632E-3</v>
      </c>
      <c r="F869" s="23">
        <f>IF(B869=1997, 100, IF(COUNTIF(A$1:A868,A869)=0, "NEW", F868*(1+Table14[[#This Row],[Ávöxtun]])))</f>
        <v>163.60973365135391</v>
      </c>
      <c r="G869" s="18" cm="1">
        <f t="array" ref="G869">IFERROR(_xlfn.IFS(ISNUMBER(Table14[[#This Row],[Column3]]),Table14[[#This Row],[Column3]],Table14[[#This Row],[Column3]]="NEW",Table14[[#This Row],[Column3]]),"")</f>
        <v>163.60973365135391</v>
      </c>
      <c r="H869" s="15" cm="1">
        <f t="array" ref="H869">_xlfn.IFS(Table14[[#This Row],[Column4]]="NEW",AVERAGEIFS(Table14[Column4],Table14[Year],Table14[[#This Row],[Year]]),ISNUMBER(Table14[[#This Row],[Column4]]),Table14[[#This Row],[Column4]],Table14[[#This Row],[Column4]]="",H868*(1+Table14[[#This Row],[Ávöxtun]]))</f>
        <v>163.60973365135391</v>
      </c>
      <c r="I869" cm="1">
        <f t="array" ref="I869">_xlfn.IFS(Table14[[#This Row],[Column4]]="NEW",_xlfn.XLOOKUP(Table14[[#This Row],[Year]],$M$2:$M$27,$O$2:$O$27),ISNUMBER(Table14[[#This Row],[Column4]]),Table14[[#This Row],[Column4]],Table14[[#This Row],[Column4]]="",I868*(1+Table14[[#This Row],[Ávöxtun]]))</f>
        <v>163.60973365135391</v>
      </c>
      <c r="L869" s="33">
        <v>163.60973365135391</v>
      </c>
    </row>
    <row r="870" spans="1:12">
      <c r="A870" t="s">
        <v>128</v>
      </c>
      <c r="B870">
        <v>2013</v>
      </c>
      <c r="C870" s="16">
        <v>6.0999999999999999E-2</v>
      </c>
      <c r="D870" s="1">
        <v>143173472</v>
      </c>
      <c r="E870" s="29">
        <f>Table14[[#This Row],[Ávöxtun]]*Table14[[#This Row],[Eignir]]/SUMIFS(Table14[Eignir],Table14[Year],Table14[[#This Row],[Year]])</f>
        <v>3.5887800982704844E-3</v>
      </c>
      <c r="F870" s="23">
        <f>IF(B870=1997, 100, IF(COUNTIF(A$1:A869,A870)=0, "NEW", F869*(1+Table14[[#This Row],[Ávöxtun]])))</f>
        <v>173.5899274040865</v>
      </c>
      <c r="G870" s="18" cm="1">
        <f t="array" ref="G870">IFERROR(_xlfn.IFS(ISNUMBER(Table14[[#This Row],[Column3]]),Table14[[#This Row],[Column3]],Table14[[#This Row],[Column3]]="NEW",Table14[[#This Row],[Column3]]),"")</f>
        <v>173.5899274040865</v>
      </c>
      <c r="H870" s="15" cm="1">
        <f t="array" ref="H870">_xlfn.IFS(Table14[[#This Row],[Column4]]="NEW",AVERAGEIFS(Table14[Column4],Table14[Year],Table14[[#This Row],[Year]]),ISNUMBER(Table14[[#This Row],[Column4]]),Table14[[#This Row],[Column4]],Table14[[#This Row],[Column4]]="",H869*(1+Table14[[#This Row],[Ávöxtun]]))</f>
        <v>173.5899274040865</v>
      </c>
      <c r="I870" cm="1">
        <f t="array" ref="I870">_xlfn.IFS(Table14[[#This Row],[Column4]]="NEW",_xlfn.XLOOKUP(Table14[[#This Row],[Year]],$M$2:$M$27,$O$2:$O$27),ISNUMBER(Table14[[#This Row],[Column4]]),Table14[[#This Row],[Column4]],Table14[[#This Row],[Column4]]="",I869*(1+Table14[[#This Row],[Ávöxtun]]))</f>
        <v>173.5899274040865</v>
      </c>
      <c r="L870" s="33">
        <v>173.5899274040865</v>
      </c>
    </row>
    <row r="871" spans="1:12">
      <c r="A871" t="s">
        <v>128</v>
      </c>
      <c r="B871">
        <v>2014</v>
      </c>
      <c r="C871" s="16">
        <v>6.3E-2</v>
      </c>
      <c r="D871" s="1">
        <v>152140551</v>
      </c>
      <c r="E871" s="29">
        <f>Table14[[#This Row],[Ávöxtun]]*Table14[[#This Row],[Eignir]]/SUMIFS(Table14[Eignir],Table14[Year],Table14[[#This Row],[Year]])</f>
        <v>3.6128111540156831E-3</v>
      </c>
      <c r="F871" s="23">
        <f>IF(B871=1997, 100, IF(COUNTIF(A$1:A870,A871)=0, "NEW", F870*(1+Table14[[#This Row],[Ávöxtun]])))</f>
        <v>184.52609283054394</v>
      </c>
      <c r="G871" s="18" cm="1">
        <f t="array" ref="G871">IFERROR(_xlfn.IFS(ISNUMBER(Table14[[#This Row],[Column3]]),Table14[[#This Row],[Column3]],Table14[[#This Row],[Column3]]="NEW",Table14[[#This Row],[Column3]]),"")</f>
        <v>184.52609283054394</v>
      </c>
      <c r="H871" s="15" cm="1">
        <f t="array" ref="H871">_xlfn.IFS(Table14[[#This Row],[Column4]]="NEW",AVERAGEIFS(Table14[Column4],Table14[Year],Table14[[#This Row],[Year]]),ISNUMBER(Table14[[#This Row],[Column4]]),Table14[[#This Row],[Column4]],Table14[[#This Row],[Column4]]="",H870*(1+Table14[[#This Row],[Ávöxtun]]))</f>
        <v>184.52609283054394</v>
      </c>
      <c r="I871" cm="1">
        <f t="array" ref="I871">_xlfn.IFS(Table14[[#This Row],[Column4]]="NEW",_xlfn.XLOOKUP(Table14[[#This Row],[Year]],$M$2:$M$27,$O$2:$O$27),ISNUMBER(Table14[[#This Row],[Column4]]),Table14[[#This Row],[Column4]],Table14[[#This Row],[Column4]]="",I870*(1+Table14[[#This Row],[Ávöxtun]]))</f>
        <v>184.52609283054394</v>
      </c>
      <c r="L871" s="33">
        <v>184.52609283054394</v>
      </c>
    </row>
    <row r="872" spans="1:12">
      <c r="A872" t="s">
        <v>128</v>
      </c>
      <c r="B872">
        <v>2015</v>
      </c>
      <c r="C872" s="16">
        <v>7.0999999999999994E-2</v>
      </c>
      <c r="D872" s="1">
        <v>167057358</v>
      </c>
      <c r="E872" s="29">
        <f>Table14[[#This Row],[Ávöxtun]]*Table14[[#This Row],[Eignir]]/SUMIFS(Table14[Eignir],Table14[Year],Table14[[#This Row],[Year]])</f>
        <v>4.0052541411711804E-3</v>
      </c>
      <c r="F872" s="23">
        <f>IF(B872=1997, 100, IF(COUNTIF(A$1:A871,A872)=0, "NEW", F871*(1+Table14[[#This Row],[Ávöxtun]])))</f>
        <v>197.62744542151256</v>
      </c>
      <c r="G872" s="18" cm="1">
        <f t="array" ref="G872">IFERROR(_xlfn.IFS(ISNUMBER(Table14[[#This Row],[Column3]]),Table14[[#This Row],[Column3]],Table14[[#This Row],[Column3]]="NEW",Table14[[#This Row],[Column3]]),"")</f>
        <v>197.62744542151256</v>
      </c>
      <c r="H872" s="15" cm="1">
        <f t="array" ref="H872">_xlfn.IFS(Table14[[#This Row],[Column4]]="NEW",AVERAGEIFS(Table14[Column4],Table14[Year],Table14[[#This Row],[Year]]),ISNUMBER(Table14[[#This Row],[Column4]]),Table14[[#This Row],[Column4]],Table14[[#This Row],[Column4]]="",H871*(1+Table14[[#This Row],[Ávöxtun]]))</f>
        <v>197.62744542151256</v>
      </c>
      <c r="I872" cm="1">
        <f t="array" ref="I872">_xlfn.IFS(Table14[[#This Row],[Column4]]="NEW",_xlfn.XLOOKUP(Table14[[#This Row],[Year]],$M$2:$M$27,$O$2:$O$27),ISNUMBER(Table14[[#This Row],[Column4]]),Table14[[#This Row],[Column4]],Table14[[#This Row],[Column4]]="",I871*(1+Table14[[#This Row],[Ávöxtun]]))</f>
        <v>197.62744542151256</v>
      </c>
      <c r="L872" s="33">
        <v>197.62744542151256</v>
      </c>
    </row>
    <row r="873" spans="1:12">
      <c r="A873" t="s">
        <v>129</v>
      </c>
      <c r="B873">
        <v>1997</v>
      </c>
      <c r="C873" s="16">
        <v>0.13</v>
      </c>
      <c r="D873" s="1">
        <v>11111288.91</v>
      </c>
      <c r="E873" s="29">
        <f>Table14[[#This Row],[Ávöxtun]]*Table14[[#This Row],[Eignir]]/SUMIFS(Table14[Eignir],Table14[Year],Table14[[#This Row],[Year]])</f>
        <v>4.2606477482861997E-3</v>
      </c>
      <c r="F873" s="23">
        <f>IF(B873=1997, 100, IF(COUNTIF(A$1:A872,A873)=0, "NEW", F872*(1+Table14[[#This Row],[Ávöxtun]])))</f>
        <v>100</v>
      </c>
      <c r="G873" s="18" cm="1">
        <f t="array" ref="G873">IFERROR(_xlfn.IFS(ISNUMBER(Table14[[#This Row],[Column3]]),Table14[[#This Row],[Column3]],Table14[[#This Row],[Column3]]="NEW",Table14[[#This Row],[Column3]]),"")</f>
        <v>100</v>
      </c>
      <c r="H873" s="15" cm="1">
        <f t="array" ref="H873">_xlfn.IFS(Table14[[#This Row],[Column4]]="NEW",AVERAGEIFS(Table14[Column4],Table14[Year],Table14[[#This Row],[Year]]),ISNUMBER(Table14[[#This Row],[Column4]]),Table14[[#This Row],[Column4]],Table14[[#This Row],[Column4]]="",H872*(1+Table14[[#This Row],[Ávöxtun]]))</f>
        <v>100</v>
      </c>
      <c r="I873" cm="1">
        <f t="array" ref="I873">_xlfn.IFS(Table14[[#This Row],[Column4]]="NEW",_xlfn.XLOOKUP(Table14[[#This Row],[Year]],$M$2:$M$27,$O$2:$O$27),ISNUMBER(Table14[[#This Row],[Column4]]),Table14[[#This Row],[Column4]],Table14[[#This Row],[Column4]]="",I872*(1+Table14[[#This Row],[Ávöxtun]]))</f>
        <v>100</v>
      </c>
      <c r="L873" s="33">
        <v>100</v>
      </c>
    </row>
    <row r="874" spans="1:12">
      <c r="A874" t="s">
        <v>129</v>
      </c>
      <c r="B874">
        <v>1998</v>
      </c>
      <c r="C874" s="16">
        <v>7.0000000000000007E-2</v>
      </c>
      <c r="D874" s="1">
        <v>12076141.869999999</v>
      </c>
      <c r="E874" s="29">
        <f>Table14[[#This Row],[Ávöxtun]]*Table14[[#This Row],[Eignir]]/SUMIFS(Table14[Eignir],Table14[Year],Table14[[#This Row],[Year]])</f>
        <v>2.1584641908711849E-3</v>
      </c>
      <c r="F874" s="23">
        <f>IF(B874=1997, 100, IF(COUNTIF(A$1:A873,A874)=0, "NEW", F873*(1+Table14[[#This Row],[Ávöxtun]])))</f>
        <v>107</v>
      </c>
      <c r="G874" s="18" cm="1">
        <f t="array" ref="G874">IFERROR(_xlfn.IFS(ISNUMBER(Table14[[#This Row],[Column3]]),Table14[[#This Row],[Column3]],Table14[[#This Row],[Column3]]="NEW",Table14[[#This Row],[Column3]]),"")</f>
        <v>107</v>
      </c>
      <c r="H874" s="15" cm="1">
        <f t="array" ref="H874">_xlfn.IFS(Table14[[#This Row],[Column4]]="NEW",AVERAGEIFS(Table14[Column4],Table14[Year],Table14[[#This Row],[Year]]),ISNUMBER(Table14[[#This Row],[Column4]]),Table14[[#This Row],[Column4]],Table14[[#This Row],[Column4]]="",H873*(1+Table14[[#This Row],[Ávöxtun]]))</f>
        <v>107</v>
      </c>
      <c r="I874" cm="1">
        <f t="array" ref="I874">_xlfn.IFS(Table14[[#This Row],[Column4]]="NEW",_xlfn.XLOOKUP(Table14[[#This Row],[Year]],$M$2:$M$27,$O$2:$O$27),ISNUMBER(Table14[[#This Row],[Column4]]),Table14[[#This Row],[Column4]],Table14[[#This Row],[Column4]]="",I873*(1+Table14[[#This Row],[Ávöxtun]]))</f>
        <v>107</v>
      </c>
      <c r="L874" s="33">
        <v>107</v>
      </c>
    </row>
    <row r="875" spans="1:12">
      <c r="A875" t="s">
        <v>129</v>
      </c>
      <c r="B875">
        <v>1999</v>
      </c>
      <c r="C875" s="16">
        <v>0.13</v>
      </c>
      <c r="D875" s="1">
        <v>14586564.939999999</v>
      </c>
      <c r="E875" s="29">
        <f>Table14[[#This Row],[Ávöxtun]]*Table14[[#This Row],[Eignir]]/SUMIFS(Table14[Eignir],Table14[Year],Table14[[#This Row],[Year]])</f>
        <v>3.641622194841378E-3</v>
      </c>
      <c r="F875" s="23">
        <f>IF(B875=1997, 100, IF(COUNTIF(A$1:A874,A875)=0, "NEW", F874*(1+Table14[[#This Row],[Ávöxtun]])))</f>
        <v>120.90999999999998</v>
      </c>
      <c r="G875" s="18" cm="1">
        <f t="array" ref="G875">IFERROR(_xlfn.IFS(ISNUMBER(Table14[[#This Row],[Column3]]),Table14[[#This Row],[Column3]],Table14[[#This Row],[Column3]]="NEW",Table14[[#This Row],[Column3]]),"")</f>
        <v>120.90999999999998</v>
      </c>
      <c r="H875" s="15" cm="1">
        <f t="array" ref="H875">_xlfn.IFS(Table14[[#This Row],[Column4]]="NEW",AVERAGEIFS(Table14[Column4],Table14[Year],Table14[[#This Row],[Year]]),ISNUMBER(Table14[[#This Row],[Column4]]),Table14[[#This Row],[Column4]],Table14[[#This Row],[Column4]]="",H874*(1+Table14[[#This Row],[Ávöxtun]]))</f>
        <v>120.90999999999998</v>
      </c>
      <c r="I875" cm="1">
        <f t="array" ref="I875">_xlfn.IFS(Table14[[#This Row],[Column4]]="NEW",_xlfn.XLOOKUP(Table14[[#This Row],[Year]],$M$2:$M$27,$O$2:$O$27),ISNUMBER(Table14[[#This Row],[Column4]]),Table14[[#This Row],[Column4]],Table14[[#This Row],[Column4]]="",I874*(1+Table14[[#This Row],[Ávöxtun]]))</f>
        <v>120.90999999999998</v>
      </c>
      <c r="L875" s="33">
        <v>120.90999999999998</v>
      </c>
    </row>
    <row r="876" spans="1:12">
      <c r="A876" t="s">
        <v>129</v>
      </c>
      <c r="B876">
        <v>2000</v>
      </c>
      <c r="C876" s="16">
        <v>0.02</v>
      </c>
      <c r="D876" s="1">
        <v>15623822.550000001</v>
      </c>
      <c r="E876" s="29">
        <f>Table14[[#This Row],[Ávöxtun]]*Table14[[#This Row],[Eignir]]/SUMIFS(Table14[Eignir],Table14[Year],Table14[[#This Row],[Year]])</f>
        <v>4.395568626621093E-4</v>
      </c>
      <c r="F876" s="23">
        <f>IF(B876=1997, 100, IF(COUNTIF(A$1:A875,A876)=0, "NEW", F875*(1+Table14[[#This Row],[Ávöxtun]])))</f>
        <v>123.32819999999998</v>
      </c>
      <c r="G876" s="18" cm="1">
        <f t="array" ref="G876">IFERROR(_xlfn.IFS(ISNUMBER(Table14[[#This Row],[Column3]]),Table14[[#This Row],[Column3]],Table14[[#This Row],[Column3]]="NEW",Table14[[#This Row],[Column3]]),"")</f>
        <v>123.32819999999998</v>
      </c>
      <c r="H876" s="15" cm="1">
        <f t="array" ref="H876">_xlfn.IFS(Table14[[#This Row],[Column4]]="NEW",AVERAGEIFS(Table14[Column4],Table14[Year],Table14[[#This Row],[Year]]),ISNUMBER(Table14[[#This Row],[Column4]]),Table14[[#This Row],[Column4]],Table14[[#This Row],[Column4]]="",H875*(1+Table14[[#This Row],[Ávöxtun]]))</f>
        <v>123.32819999999998</v>
      </c>
      <c r="I876" cm="1">
        <f t="array" ref="I876">_xlfn.IFS(Table14[[#This Row],[Column4]]="NEW",_xlfn.XLOOKUP(Table14[[#This Row],[Year]],$M$2:$M$27,$O$2:$O$27),ISNUMBER(Table14[[#This Row],[Column4]]),Table14[[#This Row],[Column4]],Table14[[#This Row],[Column4]]="",I875*(1+Table14[[#This Row],[Ávöxtun]]))</f>
        <v>123.32819999999998</v>
      </c>
      <c r="L876" s="33">
        <v>123.32819999999998</v>
      </c>
    </row>
    <row r="877" spans="1:12">
      <c r="A877" t="s">
        <v>129</v>
      </c>
      <c r="B877">
        <v>2001</v>
      </c>
      <c r="C877" s="16">
        <v>0</v>
      </c>
      <c r="D877" s="1">
        <v>34887900</v>
      </c>
      <c r="E877" s="29">
        <f>Table14[[#This Row],[Ávöxtun]]*Table14[[#This Row],[Eignir]]/SUMIFS(Table14[Eignir],Table14[Year],Table14[[#This Row],[Year]])</f>
        <v>0</v>
      </c>
      <c r="F877" s="23">
        <f>IF(B877=1997, 100, IF(COUNTIF(A$1:A876,A877)=0, "NEW", F876*(1+Table14[[#This Row],[Ávöxtun]])))</f>
        <v>123.32819999999998</v>
      </c>
      <c r="G877" s="18" cm="1">
        <f t="array" ref="G877">IFERROR(_xlfn.IFS(ISNUMBER(Table14[[#This Row],[Column3]]),Table14[[#This Row],[Column3]],Table14[[#This Row],[Column3]]="NEW",Table14[[#This Row],[Column3]]),"")</f>
        <v>123.32819999999998</v>
      </c>
      <c r="H877" s="15" cm="1">
        <f t="array" ref="H877">_xlfn.IFS(Table14[[#This Row],[Column4]]="NEW",AVERAGEIFS(Table14[Column4],Table14[Year],Table14[[#This Row],[Year]]),ISNUMBER(Table14[[#This Row],[Column4]]),Table14[[#This Row],[Column4]],Table14[[#This Row],[Column4]]="",H876*(1+Table14[[#This Row],[Ávöxtun]]))</f>
        <v>123.32819999999998</v>
      </c>
      <c r="I877" cm="1">
        <f t="array" ref="I877">_xlfn.IFS(Table14[[#This Row],[Column4]]="NEW",_xlfn.XLOOKUP(Table14[[#This Row],[Year]],$M$2:$M$27,$O$2:$O$27),ISNUMBER(Table14[[#This Row],[Column4]]),Table14[[#This Row],[Column4]],Table14[[#This Row],[Column4]]="",I876*(1+Table14[[#This Row],[Ávöxtun]]))</f>
        <v>123.32819999999998</v>
      </c>
      <c r="L877" s="33">
        <v>123.32819999999998</v>
      </c>
    </row>
    <row r="878" spans="1:12">
      <c r="A878" t="s">
        <v>129</v>
      </c>
      <c r="B878">
        <v>2002</v>
      </c>
      <c r="C878" s="16">
        <v>0.02</v>
      </c>
      <c r="D878" s="1">
        <v>16852138</v>
      </c>
      <c r="E878" s="29">
        <f>Table14[[#This Row],[Ávöxtun]]*Table14[[#This Row],[Eignir]]/SUMIFS(Table14[Eignir],Table14[Year],Table14[[#This Row],[Year]])</f>
        <v>5.3063882331266441E-4</v>
      </c>
      <c r="F878" s="23">
        <f>IF(B878=1997, 100, IF(COUNTIF(A$1:A877,A878)=0, "NEW", F877*(1+Table14[[#This Row],[Ávöxtun]])))</f>
        <v>125.79476399999999</v>
      </c>
      <c r="G878" s="18" cm="1">
        <f t="array" ref="G878">IFERROR(_xlfn.IFS(ISNUMBER(Table14[[#This Row],[Column3]]),Table14[[#This Row],[Column3]],Table14[[#This Row],[Column3]]="NEW",Table14[[#This Row],[Column3]]),"")</f>
        <v>125.79476399999999</v>
      </c>
      <c r="H878" s="15" cm="1">
        <f t="array" ref="H878">_xlfn.IFS(Table14[[#This Row],[Column4]]="NEW",AVERAGEIFS(Table14[Column4],Table14[Year],Table14[[#This Row],[Year]]),ISNUMBER(Table14[[#This Row],[Column4]]),Table14[[#This Row],[Column4]],Table14[[#This Row],[Column4]]="",H877*(1+Table14[[#This Row],[Ávöxtun]]))</f>
        <v>125.79476399999999</v>
      </c>
      <c r="I878" cm="1">
        <f t="array" ref="I878">_xlfn.IFS(Table14[[#This Row],[Column4]]="NEW",_xlfn.XLOOKUP(Table14[[#This Row],[Year]],$M$2:$M$27,$O$2:$O$27),ISNUMBER(Table14[[#This Row],[Column4]]),Table14[[#This Row],[Column4]],Table14[[#This Row],[Column4]]="",I877*(1+Table14[[#This Row],[Ávöxtun]]))</f>
        <v>125.79476399999999</v>
      </c>
      <c r="L878" s="33">
        <v>125.79476399999999</v>
      </c>
    </row>
    <row r="879" spans="1:12">
      <c r="A879" t="s">
        <v>129</v>
      </c>
      <c r="B879">
        <v>2003</v>
      </c>
      <c r="C879" s="16">
        <v>0.24</v>
      </c>
      <c r="D879" s="1">
        <v>19299843</v>
      </c>
      <c r="E879" s="29">
        <f>Table14[[#This Row],[Ávöxtun]]*Table14[[#This Row],[Eignir]]/SUMIFS(Table14[Eignir],Table14[Year],Table14[[#This Row],[Year]])</f>
        <v>6.0955583275060276E-3</v>
      </c>
      <c r="F879" s="23">
        <f>IF(B879=1997, 100, IF(COUNTIF(A$1:A878,A879)=0, "NEW", F878*(1+Table14[[#This Row],[Ávöxtun]])))</f>
        <v>155.98550735999999</v>
      </c>
      <c r="G879" s="18" cm="1">
        <f t="array" ref="G879">IFERROR(_xlfn.IFS(ISNUMBER(Table14[[#This Row],[Column3]]),Table14[[#This Row],[Column3]],Table14[[#This Row],[Column3]]="NEW",Table14[[#This Row],[Column3]]),"")</f>
        <v>155.98550735999999</v>
      </c>
      <c r="H879" s="15" cm="1">
        <f t="array" ref="H879">_xlfn.IFS(Table14[[#This Row],[Column4]]="NEW",AVERAGEIFS(Table14[Column4],Table14[Year],Table14[[#This Row],[Year]]),ISNUMBER(Table14[[#This Row],[Column4]]),Table14[[#This Row],[Column4]],Table14[[#This Row],[Column4]]="",H878*(1+Table14[[#This Row],[Ávöxtun]]))</f>
        <v>155.98550735999999</v>
      </c>
      <c r="I879" cm="1">
        <f t="array" ref="I879">_xlfn.IFS(Table14[[#This Row],[Column4]]="NEW",_xlfn.XLOOKUP(Table14[[#This Row],[Year]],$M$2:$M$27,$O$2:$O$27),ISNUMBER(Table14[[#This Row],[Column4]]),Table14[[#This Row],[Column4]],Table14[[#This Row],[Column4]]="",I878*(1+Table14[[#This Row],[Ávöxtun]]))</f>
        <v>155.98550735999999</v>
      </c>
      <c r="L879" s="33">
        <v>155.98550735999999</v>
      </c>
    </row>
    <row r="880" spans="1:12">
      <c r="A880" t="s">
        <v>129</v>
      </c>
      <c r="B880">
        <v>2004</v>
      </c>
      <c r="C880" s="16">
        <v>0.3</v>
      </c>
      <c r="D880" s="1">
        <v>22971218</v>
      </c>
      <c r="E880" s="29">
        <f>Table14[[#This Row],[Ávöxtun]]*Table14[[#This Row],[Eignir]]/SUMIFS(Table14[Eignir],Table14[Year],Table14[[#This Row],[Year]])</f>
        <v>7.5923652568811355E-3</v>
      </c>
      <c r="F880" s="23">
        <f>IF(B880=1997, 100, IF(COUNTIF(A$1:A879,A880)=0, "NEW", F879*(1+Table14[[#This Row],[Ávöxtun]])))</f>
        <v>202.78115956799999</v>
      </c>
      <c r="G880" s="18" cm="1">
        <f t="array" ref="G880">IFERROR(_xlfn.IFS(ISNUMBER(Table14[[#This Row],[Column3]]),Table14[[#This Row],[Column3]],Table14[[#This Row],[Column3]]="NEW",Table14[[#This Row],[Column3]]),"")</f>
        <v>202.78115956799999</v>
      </c>
      <c r="H880" s="15" cm="1">
        <f t="array" ref="H880">_xlfn.IFS(Table14[[#This Row],[Column4]]="NEW",AVERAGEIFS(Table14[Column4],Table14[Year],Table14[[#This Row],[Year]]),ISNUMBER(Table14[[#This Row],[Column4]]),Table14[[#This Row],[Column4]],Table14[[#This Row],[Column4]]="",H879*(1+Table14[[#This Row],[Ávöxtun]]))</f>
        <v>202.78115956799999</v>
      </c>
      <c r="I880" cm="1">
        <f t="array" ref="I880">_xlfn.IFS(Table14[[#This Row],[Column4]]="NEW",_xlfn.XLOOKUP(Table14[[#This Row],[Year]],$M$2:$M$27,$O$2:$O$27),ISNUMBER(Table14[[#This Row],[Column4]]),Table14[[#This Row],[Column4]],Table14[[#This Row],[Column4]]="",I879*(1+Table14[[#This Row],[Ávöxtun]]))</f>
        <v>202.78115956799999</v>
      </c>
      <c r="L880" s="33">
        <v>202.78115956799999</v>
      </c>
    </row>
    <row r="881" spans="1:12">
      <c r="A881" t="s">
        <v>129</v>
      </c>
      <c r="B881">
        <v>2005</v>
      </c>
      <c r="C881" s="16">
        <v>0.28000000000000003</v>
      </c>
      <c r="D881" s="1">
        <v>27233265</v>
      </c>
      <c r="E881" s="29">
        <f>Table14[[#This Row],[Ávöxtun]]*Table14[[#This Row],[Eignir]]/SUMIFS(Table14[Eignir],Table14[Year],Table14[[#This Row],[Year]])</f>
        <v>6.8001940193324869E-3</v>
      </c>
      <c r="F881" s="23">
        <f>IF(B881=1997, 100, IF(COUNTIF(A$1:A880,A881)=0, "NEW", F880*(1+Table14[[#This Row],[Ávöxtun]])))</f>
        <v>259.55988424703997</v>
      </c>
      <c r="G881" s="18" cm="1">
        <f t="array" ref="G881">IFERROR(_xlfn.IFS(ISNUMBER(Table14[[#This Row],[Column3]]),Table14[[#This Row],[Column3]],Table14[[#This Row],[Column3]]="NEW",Table14[[#This Row],[Column3]]),"")</f>
        <v>259.55988424703997</v>
      </c>
      <c r="H881" s="15" cm="1">
        <f t="array" ref="H881">_xlfn.IFS(Table14[[#This Row],[Column4]]="NEW",AVERAGEIFS(Table14[Column4],Table14[Year],Table14[[#This Row],[Year]]),ISNUMBER(Table14[[#This Row],[Column4]]),Table14[[#This Row],[Column4]],Table14[[#This Row],[Column4]]="",H880*(1+Table14[[#This Row],[Ávöxtun]]))</f>
        <v>259.55988424703997</v>
      </c>
      <c r="I881" cm="1">
        <f t="array" ref="I881">_xlfn.IFS(Table14[[#This Row],[Column4]]="NEW",_xlfn.XLOOKUP(Table14[[#This Row],[Year]],$M$2:$M$27,$O$2:$O$27),ISNUMBER(Table14[[#This Row],[Column4]]),Table14[[#This Row],[Column4]],Table14[[#This Row],[Column4]]="",I880*(1+Table14[[#This Row],[Ávöxtun]]))</f>
        <v>259.55988424703997</v>
      </c>
      <c r="L881" s="33">
        <v>259.55988424703997</v>
      </c>
    </row>
    <row r="882" spans="1:12">
      <c r="A882" t="s">
        <v>132</v>
      </c>
      <c r="B882">
        <v>1999</v>
      </c>
      <c r="C882" s="16">
        <v>0.22</v>
      </c>
      <c r="D882" s="1">
        <v>1053801.1100000001</v>
      </c>
      <c r="E882" s="29">
        <f>Table14[[#This Row],[Ávöxtun]]*Table14[[#This Row],[Eignir]]/SUMIFS(Table14[Eignir],Table14[Year],Table14[[#This Row],[Year]])</f>
        <v>4.4522530251435704E-4</v>
      </c>
      <c r="F882" s="23" t="str">
        <f>IF(B882=1997, 100, IF(COUNTIF(A$1:A881,A882)=0, "NEW", F881*(1+Table14[[#This Row],[Ávöxtun]])))</f>
        <v>NEW</v>
      </c>
      <c r="G882" s="18" t="str" cm="1">
        <f t="array" ref="G882">IFERROR(_xlfn.IFS(ISNUMBER(Table14[[#This Row],[Column3]]),Table14[[#This Row],[Column3]],Table14[[#This Row],[Column3]]="NEW",Table14[[#This Row],[Column3]]),"")</f>
        <v>NEW</v>
      </c>
      <c r="H882" s="15" cm="1">
        <f t="array" ref="H882">_xlfn.IFS(Table14[[#This Row],[Column4]]="NEW",AVERAGEIFS(Table14[Column4],Table14[Year],Table14[[#This Row],[Year]]),ISNUMBER(Table14[[#This Row],[Column4]]),Table14[[#This Row],[Column4]],Table14[[#This Row],[Column4]]="",H881*(1+Table14[[#This Row],[Ávöxtun]]))</f>
        <v>117.05306122448981</v>
      </c>
      <c r="I882" cm="1">
        <f t="array" ref="I882">_xlfn.IFS(Table14[[#This Row],[Column4]]="NEW",_xlfn.XLOOKUP(Table14[[#This Row],[Year]],$M$2:$M$27,$O$2:$O$27),ISNUMBER(Table14[[#This Row],[Column4]]),Table14[[#This Row],[Column4]],Table14[[#This Row],[Column4]]="",I881*(1+Table14[[#This Row],[Ávöxtun]]))</f>
        <v>120.02032965757705</v>
      </c>
      <c r="L882" s="33">
        <v>120.02032965757705</v>
      </c>
    </row>
    <row r="883" spans="1:12">
      <c r="A883" t="s">
        <v>132</v>
      </c>
      <c r="B883">
        <v>2000</v>
      </c>
      <c r="C883" s="16">
        <v>-0.09</v>
      </c>
      <c r="D883" s="1">
        <v>1320671.98</v>
      </c>
      <c r="E883" s="29">
        <f>Table14[[#This Row],[Ávöxtun]]*Table14[[#This Row],[Eignir]]/SUMIFS(Table14[Eignir],Table14[Year],Table14[[#This Row],[Year]])</f>
        <v>-1.6719960408187698E-4</v>
      </c>
      <c r="F883" s="23" t="e">
        <f>IF(B883=1997, 100, IF(COUNTIF(A$1:A882,A883)=0, "NEW", F882*(1+Table14[[#This Row],[Ávöxtun]])))</f>
        <v>#VALUE!</v>
      </c>
      <c r="G883" s="18" t="str" cm="1">
        <f t="array" ref="G883">IFERROR(_xlfn.IFS(ISNUMBER(Table14[[#This Row],[Column3]]),Table14[[#This Row],[Column3]],Table14[[#This Row],[Column3]]="NEW",Table14[[#This Row],[Column3]]),"")</f>
        <v/>
      </c>
      <c r="H883" s="15" cm="1">
        <f t="array" ref="H883">_xlfn.IFS(Table14[[#This Row],[Column4]]="NEW",AVERAGEIFS(Table14[Column4],Table14[Year],Table14[[#This Row],[Year]]),ISNUMBER(Table14[[#This Row],[Column4]]),Table14[[#This Row],[Column4]],Table14[[#This Row],[Column4]]="",H882*(1+Table14[[#This Row],[Ávöxtun]]))</f>
        <v>106.51828571428572</v>
      </c>
      <c r="I883" cm="1">
        <f t="array" ref="I883">_xlfn.IFS(Table14[[#This Row],[Column4]]="NEW",_xlfn.XLOOKUP(Table14[[#This Row],[Year]],$M$2:$M$27,$O$2:$O$27),ISNUMBER(Table14[[#This Row],[Column4]]),Table14[[#This Row],[Column4]],Table14[[#This Row],[Column4]]="",I882*(1+Table14[[#This Row],[Ávöxtun]]))</f>
        <v>109.21849998839512</v>
      </c>
      <c r="L883" s="33">
        <v>109.21849998839512</v>
      </c>
    </row>
    <row r="884" spans="1:12">
      <c r="A884" t="s">
        <v>132</v>
      </c>
      <c r="B884">
        <v>2001</v>
      </c>
      <c r="C884" s="16">
        <v>0</v>
      </c>
      <c r="D884" s="1">
        <v>1921124</v>
      </c>
      <c r="E884" s="29">
        <f>Table14[[#This Row],[Ávöxtun]]*Table14[[#This Row],[Eignir]]/SUMIFS(Table14[Eignir],Table14[Year],Table14[[#This Row],[Year]])</f>
        <v>0</v>
      </c>
      <c r="F884" s="23" t="e">
        <f>IF(B884=1997, 100, IF(COUNTIF(A$1:A883,A884)=0, "NEW", F883*(1+Table14[[#This Row],[Ávöxtun]])))</f>
        <v>#VALUE!</v>
      </c>
      <c r="G884" s="18" t="str" cm="1">
        <f t="array" ref="G884">IFERROR(_xlfn.IFS(ISNUMBER(Table14[[#This Row],[Column3]]),Table14[[#This Row],[Column3]],Table14[[#This Row],[Column3]]="NEW",Table14[[#This Row],[Column3]]),"")</f>
        <v/>
      </c>
      <c r="H884" s="15" cm="1">
        <f t="array" ref="H884">_xlfn.IFS(Table14[[#This Row],[Column4]]="NEW",AVERAGEIFS(Table14[Column4],Table14[Year],Table14[[#This Row],[Year]]),ISNUMBER(Table14[[#This Row],[Column4]]),Table14[[#This Row],[Column4]],Table14[[#This Row],[Column4]]="",H883*(1+Table14[[#This Row],[Ávöxtun]]))</f>
        <v>106.51828571428572</v>
      </c>
      <c r="I884" cm="1">
        <f t="array" ref="I884">_xlfn.IFS(Table14[[#This Row],[Column4]]="NEW",_xlfn.XLOOKUP(Table14[[#This Row],[Year]],$M$2:$M$27,$O$2:$O$27),ISNUMBER(Table14[[#This Row],[Column4]]),Table14[[#This Row],[Column4]],Table14[[#This Row],[Column4]]="",I883*(1+Table14[[#This Row],[Ávöxtun]]))</f>
        <v>109.21849998839512</v>
      </c>
      <c r="L884" s="33">
        <v>109.21849998839512</v>
      </c>
    </row>
    <row r="885" spans="1:12">
      <c r="A885" t="s">
        <v>132</v>
      </c>
      <c r="B885">
        <v>2002</v>
      </c>
      <c r="C885" s="16">
        <v>-0.04</v>
      </c>
      <c r="D885" s="1">
        <v>298748</v>
      </c>
      <c r="E885" s="29">
        <f>Table14[[#This Row],[Ávöxtun]]*Table14[[#This Row],[Eignir]]/SUMIFS(Table14[Eignir],Table14[Year],Table14[[#This Row],[Year]])</f>
        <v>-1.8813908026033474E-5</v>
      </c>
      <c r="F885" s="23" t="e">
        <f>IF(B885=1997, 100, IF(COUNTIF(A$1:A884,A885)=0, "NEW", F884*(1+Table14[[#This Row],[Ávöxtun]])))</f>
        <v>#VALUE!</v>
      </c>
      <c r="G885" s="18" t="str" cm="1">
        <f t="array" ref="G885">IFERROR(_xlfn.IFS(ISNUMBER(Table14[[#This Row],[Column3]]),Table14[[#This Row],[Column3]],Table14[[#This Row],[Column3]]="NEW",Table14[[#This Row],[Column3]]),"")</f>
        <v/>
      </c>
      <c r="H885" s="15" cm="1">
        <f t="array" ref="H885">_xlfn.IFS(Table14[[#This Row],[Column4]]="NEW",AVERAGEIFS(Table14[Column4],Table14[Year],Table14[[#This Row],[Year]]),ISNUMBER(Table14[[#This Row],[Column4]]),Table14[[#This Row],[Column4]],Table14[[#This Row],[Column4]]="",H884*(1+Table14[[#This Row],[Ávöxtun]]))</f>
        <v>102.25755428571429</v>
      </c>
      <c r="I885" cm="1">
        <f t="array" ref="I885">_xlfn.IFS(Table14[[#This Row],[Column4]]="NEW",_xlfn.XLOOKUP(Table14[[#This Row],[Year]],$M$2:$M$27,$O$2:$O$27),ISNUMBER(Table14[[#This Row],[Column4]]),Table14[[#This Row],[Column4]],Table14[[#This Row],[Column4]]="",I884*(1+Table14[[#This Row],[Ávöxtun]]))</f>
        <v>104.84975998885932</v>
      </c>
      <c r="L885" s="33">
        <v>104.84975998885932</v>
      </c>
    </row>
    <row r="886" spans="1:12">
      <c r="A886" t="s">
        <v>132</v>
      </c>
      <c r="B886">
        <v>2003</v>
      </c>
      <c r="C886" s="16">
        <v>0.12</v>
      </c>
      <c r="D886" s="1">
        <v>471251.72</v>
      </c>
      <c r="E886" s="29">
        <f>Table14[[#This Row],[Ávöxtun]]*Table14[[#This Row],[Eignir]]/SUMIFS(Table14[Eignir],Table14[Year],Table14[[#This Row],[Year]])</f>
        <v>7.4418800873083242E-5</v>
      </c>
      <c r="F886" s="23" t="e">
        <f>IF(B886=1997, 100, IF(COUNTIF(A$1:A885,A886)=0, "NEW", F885*(1+Table14[[#This Row],[Ávöxtun]])))</f>
        <v>#VALUE!</v>
      </c>
      <c r="G886" s="18" t="str" cm="1">
        <f t="array" ref="G886">IFERROR(_xlfn.IFS(ISNUMBER(Table14[[#This Row],[Column3]]),Table14[[#This Row],[Column3]],Table14[[#This Row],[Column3]]="NEW",Table14[[#This Row],[Column3]]),"")</f>
        <v/>
      </c>
      <c r="H886" s="15" cm="1">
        <f t="array" ref="H886">_xlfn.IFS(Table14[[#This Row],[Column4]]="NEW",AVERAGEIFS(Table14[Column4],Table14[Year],Table14[[#This Row],[Year]]),ISNUMBER(Table14[[#This Row],[Column4]]),Table14[[#This Row],[Column4]],Table14[[#This Row],[Column4]]="",H885*(1+Table14[[#This Row],[Ávöxtun]]))</f>
        <v>114.52846080000002</v>
      </c>
      <c r="I886" cm="1">
        <f t="array" ref="I886">_xlfn.IFS(Table14[[#This Row],[Column4]]="NEW",_xlfn.XLOOKUP(Table14[[#This Row],[Year]],$M$2:$M$27,$O$2:$O$27),ISNUMBER(Table14[[#This Row],[Column4]]),Table14[[#This Row],[Column4]],Table14[[#This Row],[Column4]]="",I885*(1+Table14[[#This Row],[Ávöxtun]]))</f>
        <v>117.43173118752244</v>
      </c>
      <c r="L886" s="33">
        <v>117.43173118752244</v>
      </c>
    </row>
    <row r="887" spans="1:12">
      <c r="A887" t="s">
        <v>133</v>
      </c>
      <c r="B887">
        <v>1997</v>
      </c>
      <c r="C887" s="16">
        <v>0.09</v>
      </c>
      <c r="D887" s="1">
        <v>13210404.98</v>
      </c>
      <c r="E887" s="29">
        <f>Table14[[#This Row],[Ávöxtun]]*Table14[[#This Row],[Eignir]]/SUMIFS(Table14[Eignir],Table14[Year],Table14[[#This Row],[Year]])</f>
        <v>3.5069250062220118E-3</v>
      </c>
      <c r="F887" s="23">
        <f>IF(B887=1997, 100, IF(COUNTIF(A$1:A886,A887)=0, "NEW", F886*(1+Table14[[#This Row],[Ávöxtun]])))</f>
        <v>100</v>
      </c>
      <c r="G887" s="18" cm="1">
        <f t="array" ref="G887">IFERROR(_xlfn.IFS(ISNUMBER(Table14[[#This Row],[Column3]]),Table14[[#This Row],[Column3]],Table14[[#This Row],[Column3]]="NEW",Table14[[#This Row],[Column3]]),"")</f>
        <v>100</v>
      </c>
      <c r="H887" s="15" cm="1">
        <f t="array" ref="H887">_xlfn.IFS(Table14[[#This Row],[Column4]]="NEW",AVERAGEIFS(Table14[Column4],Table14[Year],Table14[[#This Row],[Year]]),ISNUMBER(Table14[[#This Row],[Column4]]),Table14[[#This Row],[Column4]],Table14[[#This Row],[Column4]]="",H886*(1+Table14[[#This Row],[Ávöxtun]]))</f>
        <v>100</v>
      </c>
      <c r="I887" cm="1">
        <f t="array" ref="I887">_xlfn.IFS(Table14[[#This Row],[Column4]]="NEW",_xlfn.XLOOKUP(Table14[[#This Row],[Year]],$M$2:$M$27,$O$2:$O$27),ISNUMBER(Table14[[#This Row],[Column4]]),Table14[[#This Row],[Column4]],Table14[[#This Row],[Column4]]="",I886*(1+Table14[[#This Row],[Ávöxtun]]))</f>
        <v>100</v>
      </c>
      <c r="L887" s="33">
        <v>100</v>
      </c>
    </row>
    <row r="888" spans="1:12">
      <c r="A888" t="s">
        <v>133</v>
      </c>
      <c r="B888">
        <v>1998</v>
      </c>
      <c r="C888" s="16">
        <v>0.06</v>
      </c>
      <c r="D888" s="1">
        <v>14660015.68</v>
      </c>
      <c r="E888" s="29">
        <f>Table14[[#This Row],[Ávöxtun]]*Table14[[#This Row],[Eignir]]/SUMIFS(Table14[Eignir],Table14[Year],Table14[[#This Row],[Year]])</f>
        <v>2.2459717366827771E-3</v>
      </c>
      <c r="F888" s="23">
        <f>IF(B888=1997, 100, IF(COUNTIF(A$1:A887,A888)=0, "NEW", F887*(1+Table14[[#This Row],[Ávöxtun]])))</f>
        <v>106</v>
      </c>
      <c r="G888" s="18" cm="1">
        <f t="array" ref="G888">IFERROR(_xlfn.IFS(ISNUMBER(Table14[[#This Row],[Column3]]),Table14[[#This Row],[Column3]],Table14[[#This Row],[Column3]]="NEW",Table14[[#This Row],[Column3]]),"")</f>
        <v>106</v>
      </c>
      <c r="H888" s="15" cm="1">
        <f t="array" ref="H888">_xlfn.IFS(Table14[[#This Row],[Column4]]="NEW",AVERAGEIFS(Table14[Column4],Table14[Year],Table14[[#This Row],[Year]]),ISNUMBER(Table14[[#This Row],[Column4]]),Table14[[#This Row],[Column4]],Table14[[#This Row],[Column4]]="",H887*(1+Table14[[#This Row],[Ávöxtun]]))</f>
        <v>106</v>
      </c>
      <c r="I888" cm="1">
        <f t="array" ref="I888">_xlfn.IFS(Table14[[#This Row],[Column4]]="NEW",_xlfn.XLOOKUP(Table14[[#This Row],[Year]],$M$2:$M$27,$O$2:$O$27),ISNUMBER(Table14[[#This Row],[Column4]]),Table14[[#This Row],[Column4]],Table14[[#This Row],[Column4]]="",I887*(1+Table14[[#This Row],[Ávöxtun]]))</f>
        <v>106</v>
      </c>
      <c r="L888" s="33">
        <v>106</v>
      </c>
    </row>
    <row r="889" spans="1:12">
      <c r="A889" t="s">
        <v>133</v>
      </c>
      <c r="B889">
        <v>1999</v>
      </c>
      <c r="C889" s="16">
        <v>0.1</v>
      </c>
      <c r="D889" s="1">
        <v>17707325.149999999</v>
      </c>
      <c r="E889" s="29">
        <f>Table14[[#This Row],[Ávöxtun]]*Table14[[#This Row],[Eignir]]/SUMIFS(Table14[Eignir],Table14[Year],Table14[[#This Row],[Year]])</f>
        <v>3.4005680275892044E-3</v>
      </c>
      <c r="F889" s="23">
        <f>IF(B889=1997, 100, IF(COUNTIF(A$1:A888,A889)=0, "NEW", F888*(1+Table14[[#This Row],[Ávöxtun]])))</f>
        <v>116.60000000000001</v>
      </c>
      <c r="G889" s="18" cm="1">
        <f t="array" ref="G889">IFERROR(_xlfn.IFS(ISNUMBER(Table14[[#This Row],[Column3]]),Table14[[#This Row],[Column3]],Table14[[#This Row],[Column3]]="NEW",Table14[[#This Row],[Column3]]),"")</f>
        <v>116.60000000000001</v>
      </c>
      <c r="H889" s="15" cm="1">
        <f t="array" ref="H889">_xlfn.IFS(Table14[[#This Row],[Column4]]="NEW",AVERAGEIFS(Table14[Column4],Table14[Year],Table14[[#This Row],[Year]]),ISNUMBER(Table14[[#This Row],[Column4]]),Table14[[#This Row],[Column4]],Table14[[#This Row],[Column4]]="",H888*(1+Table14[[#This Row],[Ávöxtun]]))</f>
        <v>116.60000000000001</v>
      </c>
      <c r="I889" cm="1">
        <f t="array" ref="I889">_xlfn.IFS(Table14[[#This Row],[Column4]]="NEW",_xlfn.XLOOKUP(Table14[[#This Row],[Year]],$M$2:$M$27,$O$2:$O$27),ISNUMBER(Table14[[#This Row],[Column4]]),Table14[[#This Row],[Column4]],Table14[[#This Row],[Column4]]="",I888*(1+Table14[[#This Row],[Ávöxtun]]))</f>
        <v>116.60000000000001</v>
      </c>
      <c r="L889" s="33">
        <v>116.60000000000001</v>
      </c>
    </row>
    <row r="890" spans="1:12">
      <c r="A890" t="s">
        <v>133</v>
      </c>
      <c r="B890">
        <v>2000</v>
      </c>
      <c r="C890" s="16">
        <v>0.02</v>
      </c>
      <c r="D890" s="1">
        <v>19243795.02</v>
      </c>
      <c r="E890" s="29">
        <f>Table14[[#This Row],[Ávöxtun]]*Table14[[#This Row],[Eignir]]/SUMIFS(Table14[Eignir],Table14[Year],Table14[[#This Row],[Year]])</f>
        <v>5.4140029673493202E-4</v>
      </c>
      <c r="F890" s="23">
        <f>IF(B890=1997, 100, IF(COUNTIF(A$1:A889,A890)=0, "NEW", F889*(1+Table14[[#This Row],[Ávöxtun]])))</f>
        <v>118.93200000000002</v>
      </c>
      <c r="G890" s="18" cm="1">
        <f t="array" ref="G890">IFERROR(_xlfn.IFS(ISNUMBER(Table14[[#This Row],[Column3]]),Table14[[#This Row],[Column3]],Table14[[#This Row],[Column3]]="NEW",Table14[[#This Row],[Column3]]),"")</f>
        <v>118.93200000000002</v>
      </c>
      <c r="H890" s="15" cm="1">
        <f t="array" ref="H890">_xlfn.IFS(Table14[[#This Row],[Column4]]="NEW",AVERAGEIFS(Table14[Column4],Table14[Year],Table14[[#This Row],[Year]]),ISNUMBER(Table14[[#This Row],[Column4]]),Table14[[#This Row],[Column4]],Table14[[#This Row],[Column4]]="",H889*(1+Table14[[#This Row],[Ávöxtun]]))</f>
        <v>118.93200000000002</v>
      </c>
      <c r="I890" cm="1">
        <f t="array" ref="I890">_xlfn.IFS(Table14[[#This Row],[Column4]]="NEW",_xlfn.XLOOKUP(Table14[[#This Row],[Year]],$M$2:$M$27,$O$2:$O$27),ISNUMBER(Table14[[#This Row],[Column4]]),Table14[[#This Row],[Column4]],Table14[[#This Row],[Column4]]="",I889*(1+Table14[[#This Row],[Ávöxtun]]))</f>
        <v>118.93200000000002</v>
      </c>
      <c r="L890" s="33">
        <v>118.93200000000002</v>
      </c>
    </row>
    <row r="891" spans="1:12">
      <c r="A891" t="s">
        <v>133</v>
      </c>
      <c r="B891">
        <v>2001</v>
      </c>
      <c r="C891" s="16">
        <v>0.02</v>
      </c>
      <c r="D891" s="1">
        <v>44444546.789999999</v>
      </c>
      <c r="E891" s="29">
        <f>Table14[[#This Row],[Ávöxtun]]*Table14[[#This Row],[Eignir]]/SUMIFS(Table14[Eignir],Table14[Year],Table14[[#This Row],[Year]])</f>
        <v>7.6766462159820015E-4</v>
      </c>
      <c r="F891" s="23">
        <f>IF(B891=1997, 100, IF(COUNTIF(A$1:A890,A891)=0, "NEW", F890*(1+Table14[[#This Row],[Ávöxtun]])))</f>
        <v>121.31064000000002</v>
      </c>
      <c r="G891" s="18" cm="1">
        <f t="array" ref="G891">IFERROR(_xlfn.IFS(ISNUMBER(Table14[[#This Row],[Column3]]),Table14[[#This Row],[Column3]],Table14[[#This Row],[Column3]]="NEW",Table14[[#This Row],[Column3]]),"")</f>
        <v>121.31064000000002</v>
      </c>
      <c r="H891" s="15" cm="1">
        <f t="array" ref="H891">_xlfn.IFS(Table14[[#This Row],[Column4]]="NEW",AVERAGEIFS(Table14[Column4],Table14[Year],Table14[[#This Row],[Year]]),ISNUMBER(Table14[[#This Row],[Column4]]),Table14[[#This Row],[Column4]],Table14[[#This Row],[Column4]]="",H890*(1+Table14[[#This Row],[Ávöxtun]]))</f>
        <v>121.31064000000002</v>
      </c>
      <c r="I891" cm="1">
        <f t="array" ref="I891">_xlfn.IFS(Table14[[#This Row],[Column4]]="NEW",_xlfn.XLOOKUP(Table14[[#This Row],[Year]],$M$2:$M$27,$O$2:$O$27),ISNUMBER(Table14[[#This Row],[Column4]]),Table14[[#This Row],[Column4]],Table14[[#This Row],[Column4]]="",I890*(1+Table14[[#This Row],[Ávöxtun]]))</f>
        <v>121.31064000000002</v>
      </c>
      <c r="L891" s="33">
        <v>121.31064000000002</v>
      </c>
    </row>
    <row r="892" spans="1:12">
      <c r="A892" t="s">
        <v>133</v>
      </c>
      <c r="B892">
        <v>2002</v>
      </c>
      <c r="C892" s="16">
        <v>0</v>
      </c>
      <c r="D892" s="1">
        <v>23870648.16</v>
      </c>
      <c r="E892" s="29">
        <f>Table14[[#This Row],[Ávöxtun]]*Table14[[#This Row],[Eignir]]/SUMIFS(Table14[Eignir],Table14[Year],Table14[[#This Row],[Year]])</f>
        <v>0</v>
      </c>
      <c r="F892" s="23">
        <f>IF(B892=1997, 100, IF(COUNTIF(A$1:A891,A892)=0, "NEW", F891*(1+Table14[[#This Row],[Ávöxtun]])))</f>
        <v>121.31064000000002</v>
      </c>
      <c r="G892" s="18" cm="1">
        <f t="array" ref="G892">IFERROR(_xlfn.IFS(ISNUMBER(Table14[[#This Row],[Column3]]),Table14[[#This Row],[Column3]],Table14[[#This Row],[Column3]]="NEW",Table14[[#This Row],[Column3]]),"")</f>
        <v>121.31064000000002</v>
      </c>
      <c r="H892" s="15" cm="1">
        <f t="array" ref="H892">_xlfn.IFS(Table14[[#This Row],[Column4]]="NEW",AVERAGEIFS(Table14[Column4],Table14[Year],Table14[[#This Row],[Year]]),ISNUMBER(Table14[[#This Row],[Column4]]),Table14[[#This Row],[Column4]],Table14[[#This Row],[Column4]]="",H891*(1+Table14[[#This Row],[Ávöxtun]]))</f>
        <v>121.31064000000002</v>
      </c>
      <c r="I892" cm="1">
        <f t="array" ref="I892">_xlfn.IFS(Table14[[#This Row],[Column4]]="NEW",_xlfn.XLOOKUP(Table14[[#This Row],[Year]],$M$2:$M$27,$O$2:$O$27),ISNUMBER(Table14[[#This Row],[Column4]]),Table14[[#This Row],[Column4]],Table14[[#This Row],[Column4]]="",I891*(1+Table14[[#This Row],[Ávöxtun]]))</f>
        <v>121.31064000000002</v>
      </c>
      <c r="L892" s="33">
        <v>121.31064000000002</v>
      </c>
    </row>
    <row r="893" spans="1:12">
      <c r="A893" t="s">
        <v>133</v>
      </c>
      <c r="B893">
        <v>2003</v>
      </c>
      <c r="C893" s="16">
        <v>0.1</v>
      </c>
      <c r="D893" s="1">
        <v>28202335</v>
      </c>
      <c r="E893" s="29">
        <f>Table14[[#This Row],[Ávöxtun]]*Table14[[#This Row],[Eignir]]/SUMIFS(Table14[Eignir],Table14[Year],Table14[[#This Row],[Year]])</f>
        <v>3.7113639120528235E-3</v>
      </c>
      <c r="F893" s="23">
        <f>IF(B893=1997, 100, IF(COUNTIF(A$1:A892,A893)=0, "NEW", F892*(1+Table14[[#This Row],[Ávöxtun]])))</f>
        <v>133.44170400000004</v>
      </c>
      <c r="G893" s="18" cm="1">
        <f t="array" ref="G893">IFERROR(_xlfn.IFS(ISNUMBER(Table14[[#This Row],[Column3]]),Table14[[#This Row],[Column3]],Table14[[#This Row],[Column3]]="NEW",Table14[[#This Row],[Column3]]),"")</f>
        <v>133.44170400000004</v>
      </c>
      <c r="H893" s="15" cm="1">
        <f t="array" ref="H893">_xlfn.IFS(Table14[[#This Row],[Column4]]="NEW",AVERAGEIFS(Table14[Column4],Table14[Year],Table14[[#This Row],[Year]]),ISNUMBER(Table14[[#This Row],[Column4]]),Table14[[#This Row],[Column4]],Table14[[#This Row],[Column4]]="",H892*(1+Table14[[#This Row],[Ávöxtun]]))</f>
        <v>133.44170400000004</v>
      </c>
      <c r="I893" cm="1">
        <f t="array" ref="I893">_xlfn.IFS(Table14[[#This Row],[Column4]]="NEW",_xlfn.XLOOKUP(Table14[[#This Row],[Year]],$M$2:$M$27,$O$2:$O$27),ISNUMBER(Table14[[#This Row],[Column4]]),Table14[[#This Row],[Column4]],Table14[[#This Row],[Column4]]="",I892*(1+Table14[[#This Row],[Ávöxtun]]))</f>
        <v>133.44170400000004</v>
      </c>
      <c r="L893" s="33">
        <v>133.44170400000004</v>
      </c>
    </row>
    <row r="894" spans="1:12">
      <c r="A894" t="s">
        <v>133</v>
      </c>
      <c r="B894">
        <v>2004</v>
      </c>
      <c r="C894" s="16">
        <v>0.1</v>
      </c>
      <c r="D894" s="1">
        <v>33619873</v>
      </c>
      <c r="E894" s="29">
        <f>Table14[[#This Row],[Ávöxtun]]*Table14[[#This Row],[Eignir]]/SUMIFS(Table14[Eignir],Table14[Year],Table14[[#This Row],[Year]])</f>
        <v>3.7039736088577773E-3</v>
      </c>
      <c r="F894" s="23">
        <f>IF(B894=1997, 100, IF(COUNTIF(A$1:A893,A894)=0, "NEW", F893*(1+Table14[[#This Row],[Ávöxtun]])))</f>
        <v>146.78587440000007</v>
      </c>
      <c r="G894" s="18" cm="1">
        <f t="array" ref="G894">IFERROR(_xlfn.IFS(ISNUMBER(Table14[[#This Row],[Column3]]),Table14[[#This Row],[Column3]],Table14[[#This Row],[Column3]]="NEW",Table14[[#This Row],[Column3]]),"")</f>
        <v>146.78587440000007</v>
      </c>
      <c r="H894" s="15" cm="1">
        <f t="array" ref="H894">_xlfn.IFS(Table14[[#This Row],[Column4]]="NEW",AVERAGEIFS(Table14[Column4],Table14[Year],Table14[[#This Row],[Year]]),ISNUMBER(Table14[[#This Row],[Column4]]),Table14[[#This Row],[Column4]],Table14[[#This Row],[Column4]]="",H893*(1+Table14[[#This Row],[Ávöxtun]]))</f>
        <v>146.78587440000007</v>
      </c>
      <c r="I894" cm="1">
        <f t="array" ref="I894">_xlfn.IFS(Table14[[#This Row],[Column4]]="NEW",_xlfn.XLOOKUP(Table14[[#This Row],[Year]],$M$2:$M$27,$O$2:$O$27),ISNUMBER(Table14[[#This Row],[Column4]]),Table14[[#This Row],[Column4]],Table14[[#This Row],[Column4]]="",I893*(1+Table14[[#This Row],[Ávöxtun]]))</f>
        <v>146.78587440000007</v>
      </c>
      <c r="L894" s="33">
        <v>146.78587440000007</v>
      </c>
    </row>
    <row r="895" spans="1:12">
      <c r="A895" t="s">
        <v>133</v>
      </c>
      <c r="B895">
        <v>2005</v>
      </c>
      <c r="C895" s="16">
        <v>0.13</v>
      </c>
      <c r="D895" s="1">
        <v>41382819</v>
      </c>
      <c r="E895" s="29">
        <f>Table14[[#This Row],[Ávöxtun]]*Table14[[#This Row],[Eignir]]/SUMIFS(Table14[Eignir],Table14[Year],Table14[[#This Row],[Year]])</f>
        <v>4.7976325716125165E-3</v>
      </c>
      <c r="F895" s="23">
        <f>IF(B895=1997, 100, IF(COUNTIF(A$1:A894,A895)=0, "NEW", F894*(1+Table14[[#This Row],[Ávöxtun]])))</f>
        <v>165.86803807200008</v>
      </c>
      <c r="G895" s="18" cm="1">
        <f t="array" ref="G895">IFERROR(_xlfn.IFS(ISNUMBER(Table14[[#This Row],[Column3]]),Table14[[#This Row],[Column3]],Table14[[#This Row],[Column3]]="NEW",Table14[[#This Row],[Column3]]),"")</f>
        <v>165.86803807200008</v>
      </c>
      <c r="H895" s="15" cm="1">
        <f t="array" ref="H895">_xlfn.IFS(Table14[[#This Row],[Column4]]="NEW",AVERAGEIFS(Table14[Column4],Table14[Year],Table14[[#This Row],[Year]]),ISNUMBER(Table14[[#This Row],[Column4]]),Table14[[#This Row],[Column4]],Table14[[#This Row],[Column4]]="",H894*(1+Table14[[#This Row],[Ávöxtun]]))</f>
        <v>165.86803807200008</v>
      </c>
      <c r="I895" cm="1">
        <f t="array" ref="I895">_xlfn.IFS(Table14[[#This Row],[Column4]]="NEW",_xlfn.XLOOKUP(Table14[[#This Row],[Year]],$M$2:$M$27,$O$2:$O$27),ISNUMBER(Table14[[#This Row],[Column4]]),Table14[[#This Row],[Column4]],Table14[[#This Row],[Column4]]="",I894*(1+Table14[[#This Row],[Ávöxtun]]))</f>
        <v>165.86803807200008</v>
      </c>
      <c r="L895" s="33">
        <v>165.86803807200008</v>
      </c>
    </row>
    <row r="896" spans="1:12">
      <c r="A896" t="s">
        <v>133</v>
      </c>
      <c r="B896">
        <v>2006</v>
      </c>
      <c r="C896" s="16">
        <v>0.105</v>
      </c>
      <c r="D896" s="1">
        <v>50614033</v>
      </c>
      <c r="E896" s="29">
        <f>Table14[[#This Row],[Ávöxtun]]*Table14[[#This Row],[Eignir]]/SUMIFS(Table14[Eignir],Table14[Year],Table14[[#This Row],[Year]])</f>
        <v>3.8716163601475438E-3</v>
      </c>
      <c r="F896" s="23">
        <f>IF(B896=1997, 100, IF(COUNTIF(A$1:A895,A896)=0, "NEW", F895*(1+Table14[[#This Row],[Ávöxtun]])))</f>
        <v>183.28418206956007</v>
      </c>
      <c r="G896" s="18" cm="1">
        <f t="array" ref="G896">IFERROR(_xlfn.IFS(ISNUMBER(Table14[[#This Row],[Column3]]),Table14[[#This Row],[Column3]],Table14[[#This Row],[Column3]]="NEW",Table14[[#This Row],[Column3]]),"")</f>
        <v>183.28418206956007</v>
      </c>
      <c r="H896" s="15" cm="1">
        <f t="array" ref="H896">_xlfn.IFS(Table14[[#This Row],[Column4]]="NEW",AVERAGEIFS(Table14[Column4],Table14[Year],Table14[[#This Row],[Year]]),ISNUMBER(Table14[[#This Row],[Column4]]),Table14[[#This Row],[Column4]],Table14[[#This Row],[Column4]]="",H895*(1+Table14[[#This Row],[Ávöxtun]]))</f>
        <v>183.28418206956007</v>
      </c>
      <c r="I896" cm="1">
        <f t="array" ref="I896">_xlfn.IFS(Table14[[#This Row],[Column4]]="NEW",_xlfn.XLOOKUP(Table14[[#This Row],[Year]],$M$2:$M$27,$O$2:$O$27),ISNUMBER(Table14[[#This Row],[Column4]]),Table14[[#This Row],[Column4]],Table14[[#This Row],[Column4]]="",I895*(1+Table14[[#This Row],[Ávöxtun]]))</f>
        <v>183.28418206956007</v>
      </c>
      <c r="L896" s="33">
        <v>183.28418206956007</v>
      </c>
    </row>
    <row r="897" spans="1:12">
      <c r="A897" t="s">
        <v>133</v>
      </c>
      <c r="B897">
        <v>2007</v>
      </c>
      <c r="C897" s="16">
        <v>2.0999999999999999E-3</v>
      </c>
      <c r="D897" s="1">
        <v>55643381</v>
      </c>
      <c r="E897" s="29">
        <f>Table14[[#This Row],[Ávöxtun]]*Table14[[#This Row],[Eignir]]/SUMIFS(Table14[Eignir],Table14[Year],Table14[[#This Row],[Year]])</f>
        <v>7.5562917337023121E-5</v>
      </c>
      <c r="F897" s="23">
        <f>IF(B897=1997, 100, IF(COUNTIF(A$1:A896,A897)=0, "NEW", F896*(1+Table14[[#This Row],[Ávöxtun]])))</f>
        <v>183.66907885190614</v>
      </c>
      <c r="G897" s="18" cm="1">
        <f t="array" ref="G897">IFERROR(_xlfn.IFS(ISNUMBER(Table14[[#This Row],[Column3]]),Table14[[#This Row],[Column3]],Table14[[#This Row],[Column3]]="NEW",Table14[[#This Row],[Column3]]),"")</f>
        <v>183.66907885190614</v>
      </c>
      <c r="H897" s="15" cm="1">
        <f t="array" ref="H897">_xlfn.IFS(Table14[[#This Row],[Column4]]="NEW",AVERAGEIFS(Table14[Column4],Table14[Year],Table14[[#This Row],[Year]]),ISNUMBER(Table14[[#This Row],[Column4]]),Table14[[#This Row],[Column4]],Table14[[#This Row],[Column4]]="",H896*(1+Table14[[#This Row],[Ávöxtun]]))</f>
        <v>183.66907885190614</v>
      </c>
      <c r="I897" cm="1">
        <f t="array" ref="I897">_xlfn.IFS(Table14[[#This Row],[Column4]]="NEW",_xlfn.XLOOKUP(Table14[[#This Row],[Year]],$M$2:$M$27,$O$2:$O$27),ISNUMBER(Table14[[#This Row],[Column4]]),Table14[[#This Row],[Column4]],Table14[[#This Row],[Column4]]="",I896*(1+Table14[[#This Row],[Ávöxtun]]))</f>
        <v>183.66907885190614</v>
      </c>
      <c r="L897" s="33">
        <v>183.66907885190614</v>
      </c>
    </row>
    <row r="898" spans="1:12">
      <c r="A898" t="s">
        <v>133</v>
      </c>
      <c r="B898">
        <v>2008</v>
      </c>
      <c r="C898" s="16">
        <v>-0.1384</v>
      </c>
      <c r="D898" s="1">
        <v>57926567</v>
      </c>
      <c r="E898" s="29">
        <f>Table14[[#This Row],[Ávöxtun]]*Table14[[#This Row],[Eignir]]/SUMIFS(Table14[Eignir],Table14[Year],Table14[[#This Row],[Year]])</f>
        <v>-5.3542650242085999E-3</v>
      </c>
      <c r="F898" s="23">
        <f>IF(B898=1997, 100, IF(COUNTIF(A$1:A897,A898)=0, "NEW", F897*(1+Table14[[#This Row],[Ávöxtun]])))</f>
        <v>158.24927833880233</v>
      </c>
      <c r="G898" s="18" cm="1">
        <f t="array" ref="G898">IFERROR(_xlfn.IFS(ISNUMBER(Table14[[#This Row],[Column3]]),Table14[[#This Row],[Column3]],Table14[[#This Row],[Column3]]="NEW",Table14[[#This Row],[Column3]]),"")</f>
        <v>158.24927833880233</v>
      </c>
      <c r="H898" s="15" cm="1">
        <f t="array" ref="H898">_xlfn.IFS(Table14[[#This Row],[Column4]]="NEW",AVERAGEIFS(Table14[Column4],Table14[Year],Table14[[#This Row],[Year]]),ISNUMBER(Table14[[#This Row],[Column4]]),Table14[[#This Row],[Column4]],Table14[[#This Row],[Column4]]="",H897*(1+Table14[[#This Row],[Ávöxtun]]))</f>
        <v>158.24927833880233</v>
      </c>
      <c r="I898" cm="1">
        <f t="array" ref="I898">_xlfn.IFS(Table14[[#This Row],[Column4]]="NEW",_xlfn.XLOOKUP(Table14[[#This Row],[Year]],$M$2:$M$27,$O$2:$O$27),ISNUMBER(Table14[[#This Row],[Column4]]),Table14[[#This Row],[Column4]],Table14[[#This Row],[Column4]]="",I897*(1+Table14[[#This Row],[Ávöxtun]]))</f>
        <v>158.24927833880233</v>
      </c>
      <c r="L898" s="33">
        <v>158.24927833880233</v>
      </c>
    </row>
    <row r="899" spans="1:12">
      <c r="A899" t="s">
        <v>133</v>
      </c>
      <c r="B899">
        <v>2009</v>
      </c>
      <c r="C899" s="16">
        <v>3.7999999999999999E-2</v>
      </c>
      <c r="D899" s="1">
        <v>67367934</v>
      </c>
      <c r="E899" s="29">
        <f>Table14[[#This Row],[Ávöxtun]]*Table14[[#This Row],[Eignir]]/SUMIFS(Table14[Eignir],Table14[Year],Table14[[#This Row],[Year]])</f>
        <v>1.5345234035593685E-3</v>
      </c>
      <c r="F899" s="23">
        <f>IF(B899=1997, 100, IF(COUNTIF(A$1:A898,A899)=0, "NEW", F898*(1+Table14[[#This Row],[Ávöxtun]])))</f>
        <v>164.26275091567683</v>
      </c>
      <c r="G899" s="18" cm="1">
        <f t="array" ref="G899">IFERROR(_xlfn.IFS(ISNUMBER(Table14[[#This Row],[Column3]]),Table14[[#This Row],[Column3]],Table14[[#This Row],[Column3]]="NEW",Table14[[#This Row],[Column3]]),"")</f>
        <v>164.26275091567683</v>
      </c>
      <c r="H899" s="15" cm="1">
        <f t="array" ref="H899">_xlfn.IFS(Table14[[#This Row],[Column4]]="NEW",AVERAGEIFS(Table14[Column4],Table14[Year],Table14[[#This Row],[Year]]),ISNUMBER(Table14[[#This Row],[Column4]]),Table14[[#This Row],[Column4]],Table14[[#This Row],[Column4]]="",H898*(1+Table14[[#This Row],[Ávöxtun]]))</f>
        <v>164.26275091567683</v>
      </c>
      <c r="I899" cm="1">
        <f t="array" ref="I899">_xlfn.IFS(Table14[[#This Row],[Column4]]="NEW",_xlfn.XLOOKUP(Table14[[#This Row],[Year]],$M$2:$M$27,$O$2:$O$27),ISNUMBER(Table14[[#This Row],[Column4]]),Table14[[#This Row],[Column4]],Table14[[#This Row],[Column4]]="",I898*(1+Table14[[#This Row],[Ávöxtun]]))</f>
        <v>164.26275091567683</v>
      </c>
      <c r="L899" s="33">
        <v>164.26275091567683</v>
      </c>
    </row>
    <row r="900" spans="1:12">
      <c r="A900" t="s">
        <v>133</v>
      </c>
      <c r="B900">
        <v>2010</v>
      </c>
      <c r="C900" s="16">
        <v>3.6600000000000001E-2</v>
      </c>
      <c r="D900" s="1">
        <v>79051184</v>
      </c>
      <c r="E900" s="29">
        <f>Table14[[#This Row],[Ávöxtun]]*Table14[[#This Row],[Eignir]]/SUMIFS(Table14[Eignir],Table14[Year],Table14[[#This Row],[Year]])</f>
        <v>1.6183550099058554E-3</v>
      </c>
      <c r="F900" s="23">
        <f>IF(B900=1997, 100, IF(COUNTIF(A$1:A899,A900)=0, "NEW", F899*(1+Table14[[#This Row],[Ávöxtun]])))</f>
        <v>170.2747675991906</v>
      </c>
      <c r="G900" s="18" cm="1">
        <f t="array" ref="G900">IFERROR(_xlfn.IFS(ISNUMBER(Table14[[#This Row],[Column3]]),Table14[[#This Row],[Column3]],Table14[[#This Row],[Column3]]="NEW",Table14[[#This Row],[Column3]]),"")</f>
        <v>170.2747675991906</v>
      </c>
      <c r="H900" s="15" cm="1">
        <f t="array" ref="H900">_xlfn.IFS(Table14[[#This Row],[Column4]]="NEW",AVERAGEIFS(Table14[Column4],Table14[Year],Table14[[#This Row],[Year]]),ISNUMBER(Table14[[#This Row],[Column4]]),Table14[[#This Row],[Column4]],Table14[[#This Row],[Column4]]="",H899*(1+Table14[[#This Row],[Ávöxtun]]))</f>
        <v>170.2747675991906</v>
      </c>
      <c r="I900" cm="1">
        <f t="array" ref="I900">_xlfn.IFS(Table14[[#This Row],[Column4]]="NEW",_xlfn.XLOOKUP(Table14[[#This Row],[Year]],$M$2:$M$27,$O$2:$O$27),ISNUMBER(Table14[[#This Row],[Column4]]),Table14[[#This Row],[Column4]],Table14[[#This Row],[Column4]]="",I899*(1+Table14[[#This Row],[Ávöxtun]]))</f>
        <v>170.2747675991906</v>
      </c>
      <c r="L900" s="33">
        <v>170.2747675991906</v>
      </c>
    </row>
    <row r="901" spans="1:12">
      <c r="A901" t="s">
        <v>133</v>
      </c>
      <c r="B901">
        <v>2011</v>
      </c>
      <c r="C901" s="16">
        <v>0.03</v>
      </c>
      <c r="D901" s="1">
        <v>86463951</v>
      </c>
      <c r="E901" s="29">
        <f>Table14[[#This Row],[Ávöxtun]]*Table14[[#This Row],[Eignir]]/SUMIFS(Table14[Eignir],Table14[Year],Table14[[#This Row],[Year]])</f>
        <v>1.3298335223046473E-3</v>
      </c>
      <c r="F901" s="23">
        <f>IF(B901=1997, 100, IF(COUNTIF(A$1:A900,A901)=0, "NEW", F900*(1+Table14[[#This Row],[Ávöxtun]])))</f>
        <v>175.38301062716633</v>
      </c>
      <c r="G901" s="18" cm="1">
        <f t="array" ref="G901">IFERROR(_xlfn.IFS(ISNUMBER(Table14[[#This Row],[Column3]]),Table14[[#This Row],[Column3]],Table14[[#This Row],[Column3]]="NEW",Table14[[#This Row],[Column3]]),"")</f>
        <v>175.38301062716633</v>
      </c>
      <c r="H901" s="15" cm="1">
        <f t="array" ref="H901">_xlfn.IFS(Table14[[#This Row],[Column4]]="NEW",AVERAGEIFS(Table14[Column4],Table14[Year],Table14[[#This Row],[Year]]),ISNUMBER(Table14[[#This Row],[Column4]]),Table14[[#This Row],[Column4]],Table14[[#This Row],[Column4]]="",H900*(1+Table14[[#This Row],[Ávöxtun]]))</f>
        <v>175.38301062716633</v>
      </c>
      <c r="I901" cm="1">
        <f t="array" ref="I901">_xlfn.IFS(Table14[[#This Row],[Column4]]="NEW",_xlfn.XLOOKUP(Table14[[#This Row],[Year]],$M$2:$M$27,$O$2:$O$27),ISNUMBER(Table14[[#This Row],[Column4]]),Table14[[#This Row],[Column4]],Table14[[#This Row],[Column4]]="",I900*(1+Table14[[#This Row],[Ávöxtun]]))</f>
        <v>175.38301062716633</v>
      </c>
      <c r="L901" s="33">
        <v>175.38301062716633</v>
      </c>
    </row>
    <row r="902" spans="1:12">
      <c r="A902" t="s">
        <v>133</v>
      </c>
      <c r="B902">
        <v>2012</v>
      </c>
      <c r="C902" s="16">
        <v>7.2999999999999995E-2</v>
      </c>
      <c r="D902" s="1">
        <v>106641295</v>
      </c>
      <c r="E902" s="29">
        <f>Table14[[#This Row],[Ávöxtun]]*Table14[[#This Row],[Eignir]]/SUMIFS(Table14[Eignir],Table14[Year],Table14[[#This Row],[Year]])</f>
        <v>3.5339851806642929E-3</v>
      </c>
      <c r="F902" s="23">
        <f>IF(B902=1997, 100, IF(COUNTIF(A$1:A901,A902)=0, "NEW", F901*(1+Table14[[#This Row],[Ávöxtun]])))</f>
        <v>188.18597040294947</v>
      </c>
      <c r="G902" s="18" cm="1">
        <f t="array" ref="G902">IFERROR(_xlfn.IFS(ISNUMBER(Table14[[#This Row],[Column3]]),Table14[[#This Row],[Column3]],Table14[[#This Row],[Column3]]="NEW",Table14[[#This Row],[Column3]]),"")</f>
        <v>188.18597040294947</v>
      </c>
      <c r="H902" s="15" cm="1">
        <f t="array" ref="H902">_xlfn.IFS(Table14[[#This Row],[Column4]]="NEW",AVERAGEIFS(Table14[Column4],Table14[Year],Table14[[#This Row],[Year]]),ISNUMBER(Table14[[#This Row],[Column4]]),Table14[[#This Row],[Column4]],Table14[[#This Row],[Column4]]="",H901*(1+Table14[[#This Row],[Ávöxtun]]))</f>
        <v>188.18597040294947</v>
      </c>
      <c r="I902" cm="1">
        <f t="array" ref="I902">_xlfn.IFS(Table14[[#This Row],[Column4]]="NEW",_xlfn.XLOOKUP(Table14[[#This Row],[Year]],$M$2:$M$27,$O$2:$O$27),ISNUMBER(Table14[[#This Row],[Column4]]),Table14[[#This Row],[Column4]],Table14[[#This Row],[Column4]]="",I901*(1+Table14[[#This Row],[Ávöxtun]]))</f>
        <v>188.18597040294947</v>
      </c>
      <c r="L902" s="33">
        <v>188.18597040294947</v>
      </c>
    </row>
    <row r="903" spans="1:12">
      <c r="A903" t="s">
        <v>133</v>
      </c>
      <c r="B903">
        <v>2013</v>
      </c>
      <c r="C903" s="16">
        <v>6.2000000000000006E-2</v>
      </c>
      <c r="D903" s="1">
        <v>117739653</v>
      </c>
      <c r="E903" s="29">
        <f>Table14[[#This Row],[Ávöxtun]]*Table14[[#This Row],[Eignir]]/SUMIFS(Table14[Eignir],Table14[Year],Table14[[#This Row],[Year]])</f>
        <v>2.9996383475500077E-3</v>
      </c>
      <c r="F903" s="23">
        <f>IF(B903=1997, 100, IF(COUNTIF(A$1:A902,A903)=0, "NEW", F902*(1+Table14[[#This Row],[Ávöxtun]])))</f>
        <v>199.85350056793234</v>
      </c>
      <c r="G903" s="18" cm="1">
        <f t="array" ref="G903">IFERROR(_xlfn.IFS(ISNUMBER(Table14[[#This Row],[Column3]]),Table14[[#This Row],[Column3]],Table14[[#This Row],[Column3]]="NEW",Table14[[#This Row],[Column3]]),"")</f>
        <v>199.85350056793234</v>
      </c>
      <c r="H903" s="15" cm="1">
        <f t="array" ref="H903">_xlfn.IFS(Table14[[#This Row],[Column4]]="NEW",AVERAGEIFS(Table14[Column4],Table14[Year],Table14[[#This Row],[Year]]),ISNUMBER(Table14[[#This Row],[Column4]]),Table14[[#This Row],[Column4]],Table14[[#This Row],[Column4]]="",H902*(1+Table14[[#This Row],[Ávöxtun]]))</f>
        <v>199.85350056793234</v>
      </c>
      <c r="I903" cm="1">
        <f t="array" ref="I903">_xlfn.IFS(Table14[[#This Row],[Column4]]="NEW",_xlfn.XLOOKUP(Table14[[#This Row],[Year]],$M$2:$M$27,$O$2:$O$27),ISNUMBER(Table14[[#This Row],[Column4]]),Table14[[#This Row],[Column4]],Table14[[#This Row],[Column4]]="",I902*(1+Table14[[#This Row],[Ávöxtun]]))</f>
        <v>199.85350056793234</v>
      </c>
      <c r="L903" s="33">
        <v>199.85350056793234</v>
      </c>
    </row>
    <row r="904" spans="1:12">
      <c r="A904" t="s">
        <v>133</v>
      </c>
      <c r="B904">
        <v>2014</v>
      </c>
      <c r="C904" s="16">
        <v>6.7000000000000004E-2</v>
      </c>
      <c r="D904" s="1">
        <v>126928532</v>
      </c>
      <c r="E904" s="29">
        <f>Table14[[#This Row],[Ávöxtun]]*Table14[[#This Row],[Eignir]]/SUMIFS(Table14[Eignir],Table14[Year],Table14[[#This Row],[Year]])</f>
        <v>3.2054852789664039E-3</v>
      </c>
      <c r="F904" s="23">
        <f>IF(B904=1997, 100, IF(COUNTIF(A$1:A903,A904)=0, "NEW", F903*(1+Table14[[#This Row],[Ávöxtun]])))</f>
        <v>213.24368510598379</v>
      </c>
      <c r="G904" s="18" cm="1">
        <f t="array" ref="G904">IFERROR(_xlfn.IFS(ISNUMBER(Table14[[#This Row],[Column3]]),Table14[[#This Row],[Column3]],Table14[[#This Row],[Column3]]="NEW",Table14[[#This Row],[Column3]]),"")</f>
        <v>213.24368510598379</v>
      </c>
      <c r="H904" s="15" cm="1">
        <f t="array" ref="H904">_xlfn.IFS(Table14[[#This Row],[Column4]]="NEW",AVERAGEIFS(Table14[Column4],Table14[Year],Table14[[#This Row],[Year]]),ISNUMBER(Table14[[#This Row],[Column4]]),Table14[[#This Row],[Column4]],Table14[[#This Row],[Column4]]="",H903*(1+Table14[[#This Row],[Ávöxtun]]))</f>
        <v>213.24368510598379</v>
      </c>
      <c r="I904" cm="1">
        <f t="array" ref="I904">_xlfn.IFS(Table14[[#This Row],[Column4]]="NEW",_xlfn.XLOOKUP(Table14[[#This Row],[Year]],$M$2:$M$27,$O$2:$O$27),ISNUMBER(Table14[[#This Row],[Column4]]),Table14[[#This Row],[Column4]],Table14[[#This Row],[Column4]]="",I903*(1+Table14[[#This Row],[Ávöxtun]]))</f>
        <v>213.24368510598379</v>
      </c>
      <c r="L904" s="33">
        <v>213.24368510598379</v>
      </c>
    </row>
    <row r="905" spans="1:12">
      <c r="A905" t="s">
        <v>133</v>
      </c>
      <c r="B905">
        <v>2015</v>
      </c>
      <c r="C905" s="16">
        <v>6.3E-2</v>
      </c>
      <c r="D905" s="1">
        <v>137550117</v>
      </c>
      <c r="E905" s="29">
        <f>Table14[[#This Row],[Ávöxtun]]*Table14[[#This Row],[Eignir]]/SUMIFS(Table14[Eignir],Table14[Year],Table14[[#This Row],[Year]])</f>
        <v>2.9262244464923993E-3</v>
      </c>
      <c r="F905" s="23">
        <f>IF(B905=1997, 100, IF(COUNTIF(A$1:A904,A905)=0, "NEW", F904*(1+Table14[[#This Row],[Ávöxtun]])))</f>
        <v>226.67803726766076</v>
      </c>
      <c r="G905" s="18" cm="1">
        <f t="array" ref="G905">IFERROR(_xlfn.IFS(ISNUMBER(Table14[[#This Row],[Column3]]),Table14[[#This Row],[Column3]],Table14[[#This Row],[Column3]]="NEW",Table14[[#This Row],[Column3]]),"")</f>
        <v>226.67803726766076</v>
      </c>
      <c r="H905" s="15" cm="1">
        <f t="array" ref="H905">_xlfn.IFS(Table14[[#This Row],[Column4]]="NEW",AVERAGEIFS(Table14[Column4],Table14[Year],Table14[[#This Row],[Year]]),ISNUMBER(Table14[[#This Row],[Column4]]),Table14[[#This Row],[Column4]],Table14[[#This Row],[Column4]]="",H904*(1+Table14[[#This Row],[Ávöxtun]]))</f>
        <v>226.67803726766076</v>
      </c>
      <c r="I905" cm="1">
        <f t="array" ref="I905">_xlfn.IFS(Table14[[#This Row],[Column4]]="NEW",_xlfn.XLOOKUP(Table14[[#This Row],[Year]],$M$2:$M$27,$O$2:$O$27),ISNUMBER(Table14[[#This Row],[Column4]]),Table14[[#This Row],[Column4]],Table14[[#This Row],[Column4]]="",I904*(1+Table14[[#This Row],[Ávöxtun]]))</f>
        <v>226.67803726766076</v>
      </c>
      <c r="L905" s="33">
        <v>226.67803726766076</v>
      </c>
    </row>
    <row r="906" spans="1:12">
      <c r="A906" t="s">
        <v>133</v>
      </c>
      <c r="B906">
        <v>2016</v>
      </c>
      <c r="C906" s="16">
        <v>-2E-3</v>
      </c>
      <c r="D906" s="1">
        <v>140617353.77000001</v>
      </c>
      <c r="E906" s="29">
        <f>Table14[[#This Row],[Ávöxtun]]*Table14[[#This Row],[Eignir]]/SUMIFS(Table14[Eignir],Table14[Year],Table14[[#This Row],[Year]])</f>
        <v>-8.7884564700136262E-5</v>
      </c>
      <c r="F906" s="23">
        <f>IF(B906=1997, 100, IF(COUNTIF(A$1:A905,A906)=0, "NEW", F905*(1+Table14[[#This Row],[Ávöxtun]])))</f>
        <v>226.22468119312543</v>
      </c>
      <c r="G906" s="18" cm="1">
        <f t="array" ref="G906">IFERROR(_xlfn.IFS(ISNUMBER(Table14[[#This Row],[Column3]]),Table14[[#This Row],[Column3]],Table14[[#This Row],[Column3]]="NEW",Table14[[#This Row],[Column3]]),"")</f>
        <v>226.22468119312543</v>
      </c>
      <c r="H906" s="15" cm="1">
        <f t="array" ref="H906">_xlfn.IFS(Table14[[#This Row],[Column4]]="NEW",AVERAGEIFS(Table14[Column4],Table14[Year],Table14[[#This Row],[Year]]),ISNUMBER(Table14[[#This Row],[Column4]]),Table14[[#This Row],[Column4]],Table14[[#This Row],[Column4]]="",H905*(1+Table14[[#This Row],[Ávöxtun]]))</f>
        <v>226.22468119312543</v>
      </c>
      <c r="I906" cm="1">
        <f t="array" ref="I906">_xlfn.IFS(Table14[[#This Row],[Column4]]="NEW",_xlfn.XLOOKUP(Table14[[#This Row],[Year]],$M$2:$M$27,$O$2:$O$27),ISNUMBER(Table14[[#This Row],[Column4]]),Table14[[#This Row],[Column4]],Table14[[#This Row],[Column4]]="",I905*(1+Table14[[#This Row],[Ávöxtun]]))</f>
        <v>226.22468119312543</v>
      </c>
      <c r="L906" s="33">
        <v>226.22468119312543</v>
      </c>
    </row>
    <row r="907" spans="1:12">
      <c r="A907" t="s">
        <v>133</v>
      </c>
      <c r="B907">
        <v>2017</v>
      </c>
      <c r="C907" s="16">
        <v>5.2999999999999999E-2</v>
      </c>
      <c r="D907" s="1">
        <v>150849042</v>
      </c>
      <c r="E907" s="29">
        <f>Table14[[#This Row],[Ávöxtun]]*Table14[[#This Row],[Eignir]]/SUMIFS(Table14[Eignir],Table14[Year],Table14[[#This Row],[Year]])</f>
        <v>2.2463218219295608E-3</v>
      </c>
      <c r="F907" s="23">
        <f>IF(B907=1997, 100, IF(COUNTIF(A$1:A906,A907)=0, "NEW", F906*(1+Table14[[#This Row],[Ávöxtun]])))</f>
        <v>238.21458929636105</v>
      </c>
      <c r="G907" s="18" cm="1">
        <f t="array" ref="G907">IFERROR(_xlfn.IFS(ISNUMBER(Table14[[#This Row],[Column3]]),Table14[[#This Row],[Column3]],Table14[[#This Row],[Column3]]="NEW",Table14[[#This Row],[Column3]]),"")</f>
        <v>238.21458929636105</v>
      </c>
      <c r="H907" s="15" cm="1">
        <f t="array" ref="H907">_xlfn.IFS(Table14[[#This Row],[Column4]]="NEW",AVERAGEIFS(Table14[Column4],Table14[Year],Table14[[#This Row],[Year]]),ISNUMBER(Table14[[#This Row],[Column4]]),Table14[[#This Row],[Column4]],Table14[[#This Row],[Column4]]="",H906*(1+Table14[[#This Row],[Ávöxtun]]))</f>
        <v>238.21458929636105</v>
      </c>
      <c r="I907" cm="1">
        <f t="array" ref="I907">_xlfn.IFS(Table14[[#This Row],[Column4]]="NEW",_xlfn.XLOOKUP(Table14[[#This Row],[Year]],$M$2:$M$27,$O$2:$O$27),ISNUMBER(Table14[[#This Row],[Column4]]),Table14[[#This Row],[Column4]],Table14[[#This Row],[Column4]]="",I906*(1+Table14[[#This Row],[Ávöxtun]]))</f>
        <v>238.21458929636105</v>
      </c>
      <c r="L907" s="33">
        <v>238.21458929636105</v>
      </c>
    </row>
    <row r="908" spans="1:12">
      <c r="A908" t="s">
        <v>133</v>
      </c>
      <c r="B908">
        <v>2018</v>
      </c>
      <c r="C908" s="16">
        <v>2.2000000000000002E-2</v>
      </c>
      <c r="D908" s="1">
        <v>159444084</v>
      </c>
      <c r="E908" s="29">
        <f>Table14[[#This Row],[Ávöxtun]]*Table14[[#This Row],[Eignir]]/SUMIFS(Table14[Eignir],Table14[Year],Table14[[#This Row],[Year]])</f>
        <v>9.1866876235709226E-4</v>
      </c>
      <c r="F908" s="23">
        <f>IF(B908=1997, 100, IF(COUNTIF(A$1:A907,A908)=0, "NEW", F907*(1+Table14[[#This Row],[Ávöxtun]])))</f>
        <v>243.45531026088099</v>
      </c>
      <c r="G908" s="18" cm="1">
        <f t="array" ref="G908">IFERROR(_xlfn.IFS(ISNUMBER(Table14[[#This Row],[Column3]]),Table14[[#This Row],[Column3]],Table14[[#This Row],[Column3]]="NEW",Table14[[#This Row],[Column3]]),"")</f>
        <v>243.45531026088099</v>
      </c>
      <c r="H908" s="15" cm="1">
        <f t="array" ref="H908">_xlfn.IFS(Table14[[#This Row],[Column4]]="NEW",AVERAGEIFS(Table14[Column4],Table14[Year],Table14[[#This Row],[Year]]),ISNUMBER(Table14[[#This Row],[Column4]]),Table14[[#This Row],[Column4]],Table14[[#This Row],[Column4]]="",H907*(1+Table14[[#This Row],[Ávöxtun]]))</f>
        <v>243.45531026088099</v>
      </c>
      <c r="I908" cm="1">
        <f t="array" ref="I908">_xlfn.IFS(Table14[[#This Row],[Column4]]="NEW",_xlfn.XLOOKUP(Table14[[#This Row],[Year]],$M$2:$M$27,$O$2:$O$27),ISNUMBER(Table14[[#This Row],[Column4]]),Table14[[#This Row],[Column4]],Table14[[#This Row],[Column4]]="",I907*(1+Table14[[#This Row],[Ávöxtun]]))</f>
        <v>243.45531026088099</v>
      </c>
      <c r="L908" s="33">
        <v>243.45531026088099</v>
      </c>
    </row>
    <row r="909" spans="1:12">
      <c r="A909" t="s">
        <v>133</v>
      </c>
      <c r="B909">
        <v>2019</v>
      </c>
      <c r="C909" s="16">
        <v>0.107</v>
      </c>
      <c r="D909" s="1">
        <v>181285248.5</v>
      </c>
      <c r="E909" s="29">
        <f>Table14[[#This Row],[Ávöxtun]]*Table14[[#This Row],[Eignir]]/SUMIFS(Table14[Eignir],Table14[Year],Table14[[#This Row],[Year]])</f>
        <v>4.3817599772743117E-3</v>
      </c>
      <c r="F909" s="23">
        <f>IF(B909=1997, 100, IF(COUNTIF(A$1:A908,A909)=0, "NEW", F908*(1+Table14[[#This Row],[Ávöxtun]])))</f>
        <v>269.50502845879527</v>
      </c>
      <c r="G909" s="18" cm="1">
        <f t="array" ref="G909">IFERROR(_xlfn.IFS(ISNUMBER(Table14[[#This Row],[Column3]]),Table14[[#This Row],[Column3]],Table14[[#This Row],[Column3]]="NEW",Table14[[#This Row],[Column3]]),"")</f>
        <v>269.50502845879527</v>
      </c>
      <c r="H909" s="15" cm="1">
        <f t="array" ref="H909">_xlfn.IFS(Table14[[#This Row],[Column4]]="NEW",AVERAGEIFS(Table14[Column4],Table14[Year],Table14[[#This Row],[Year]]),ISNUMBER(Table14[[#This Row],[Column4]]),Table14[[#This Row],[Column4]],Table14[[#This Row],[Column4]]="",H908*(1+Table14[[#This Row],[Ávöxtun]]))</f>
        <v>269.50502845879527</v>
      </c>
      <c r="I909" cm="1">
        <f t="array" ref="I909">_xlfn.IFS(Table14[[#This Row],[Column4]]="NEW",_xlfn.XLOOKUP(Table14[[#This Row],[Year]],$M$2:$M$27,$O$2:$O$27),ISNUMBER(Table14[[#This Row],[Column4]]),Table14[[#This Row],[Column4]],Table14[[#This Row],[Column4]]="",I908*(1+Table14[[#This Row],[Ávöxtun]]))</f>
        <v>269.50502845879527</v>
      </c>
      <c r="L909" s="33">
        <v>269.50502845879527</v>
      </c>
    </row>
    <row r="910" spans="1:12">
      <c r="A910" t="s">
        <v>133</v>
      </c>
      <c r="B910">
        <v>2020</v>
      </c>
      <c r="C910" s="16">
        <v>9.6999999999999989E-2</v>
      </c>
      <c r="D910" s="1">
        <v>205138515.94999999</v>
      </c>
      <c r="E910" s="29">
        <f>Table14[[#This Row],[Ávöxtun]]*Table14[[#This Row],[Eignir]]/SUMIFS(Table14[Eignir],Table14[Year],Table14[[#This Row],[Year]])</f>
        <v>3.8738432630154116E-3</v>
      </c>
      <c r="F910" s="23">
        <f>IF(B910=1997, 100, IF(COUNTIF(A$1:A909,A910)=0, "NEW", F909*(1+Table14[[#This Row],[Ávöxtun]])))</f>
        <v>295.64701621929839</v>
      </c>
      <c r="G910" s="18" cm="1">
        <f t="array" ref="G910">IFERROR(_xlfn.IFS(ISNUMBER(Table14[[#This Row],[Column3]]),Table14[[#This Row],[Column3]],Table14[[#This Row],[Column3]]="NEW",Table14[[#This Row],[Column3]]),"")</f>
        <v>295.64701621929839</v>
      </c>
      <c r="H910" s="15" cm="1">
        <f t="array" ref="H910">_xlfn.IFS(Table14[[#This Row],[Column4]]="NEW",AVERAGEIFS(Table14[Column4],Table14[Year],Table14[[#This Row],[Year]]),ISNUMBER(Table14[[#This Row],[Column4]]),Table14[[#This Row],[Column4]],Table14[[#This Row],[Column4]]="",H909*(1+Table14[[#This Row],[Ávöxtun]]))</f>
        <v>295.64701621929839</v>
      </c>
      <c r="I910" cm="1">
        <f t="array" ref="I910">_xlfn.IFS(Table14[[#This Row],[Column4]]="NEW",_xlfn.XLOOKUP(Table14[[#This Row],[Year]],$M$2:$M$27,$O$2:$O$27),ISNUMBER(Table14[[#This Row],[Column4]]),Table14[[#This Row],[Column4]],Table14[[#This Row],[Column4]]="",I909*(1+Table14[[#This Row],[Ávöxtun]]))</f>
        <v>295.64701621929839</v>
      </c>
      <c r="L910" s="33">
        <v>295.64701621929839</v>
      </c>
    </row>
    <row r="911" spans="1:12">
      <c r="A911" t="s">
        <v>133</v>
      </c>
      <c r="B911">
        <v>2021</v>
      </c>
      <c r="C911" s="16">
        <v>0.11699999999999999</v>
      </c>
      <c r="D911" s="1">
        <v>239022427.03</v>
      </c>
      <c r="E911" s="29">
        <f>Table14[[#This Row],[Ávöxtun]]*Table14[[#This Row],[Eignir]]/SUMIFS(Table14[Eignir],Table14[Year],Table14[[#This Row],[Year]])</f>
        <v>4.630454879165029E-3</v>
      </c>
      <c r="F911" s="23">
        <f>IF(B911=1997, 100, IF(COUNTIF(A$1:A910,A911)=0, "NEW", F910*(1+Table14[[#This Row],[Ávöxtun]])))</f>
        <v>330.23771711695628</v>
      </c>
      <c r="G911" s="18" cm="1">
        <f t="array" ref="G911">IFERROR(_xlfn.IFS(ISNUMBER(Table14[[#This Row],[Column3]]),Table14[[#This Row],[Column3]],Table14[[#This Row],[Column3]]="NEW",Table14[[#This Row],[Column3]]),"")</f>
        <v>330.23771711695628</v>
      </c>
      <c r="H911" s="15" cm="1">
        <f t="array" ref="H911">_xlfn.IFS(Table14[[#This Row],[Column4]]="NEW",AVERAGEIFS(Table14[Column4],Table14[Year],Table14[[#This Row],[Year]]),ISNUMBER(Table14[[#This Row],[Column4]]),Table14[[#This Row],[Column4]],Table14[[#This Row],[Column4]]="",H910*(1+Table14[[#This Row],[Ávöxtun]]))</f>
        <v>330.23771711695628</v>
      </c>
      <c r="I911" cm="1">
        <f t="array" ref="I911">_xlfn.IFS(Table14[[#This Row],[Column4]]="NEW",_xlfn.XLOOKUP(Table14[[#This Row],[Year]],$M$2:$M$27,$O$2:$O$27),ISNUMBER(Table14[[#This Row],[Column4]]),Table14[[#This Row],[Column4]],Table14[[#This Row],[Column4]]="",I910*(1+Table14[[#This Row],[Ávöxtun]]))</f>
        <v>330.23771711695628</v>
      </c>
      <c r="L911" s="33">
        <v>330.23771711695628</v>
      </c>
    </row>
    <row r="912" spans="1:12">
      <c r="A912" t="s">
        <v>130</v>
      </c>
      <c r="B912">
        <v>2006</v>
      </c>
      <c r="C912" s="16">
        <v>8.9900000000000008E-2</v>
      </c>
      <c r="D912" s="1">
        <v>71929667</v>
      </c>
      <c r="E912" s="29">
        <f>Table14[[#This Row],[Ávöxtun]]*Table14[[#This Row],[Eignir]]/SUMIFS(Table14[Eignir],Table14[Year],Table14[[#This Row],[Year]])</f>
        <v>4.7108558459593563E-3</v>
      </c>
      <c r="F912" s="23" t="str">
        <f>IF(B912=1997, 100, IF(COUNTIF(A$1:A911,A912)=0, "NEW", F911*(1+Table14[[#This Row],[Ávöxtun]])))</f>
        <v>NEW</v>
      </c>
      <c r="G912" s="18" t="str" cm="1">
        <f t="array" ref="G912">IFERROR(_xlfn.IFS(ISNUMBER(Table14[[#This Row],[Column3]]),Table14[[#This Row],[Column3]],Table14[[#This Row],[Column3]]="NEW",Table14[[#This Row],[Column3]]),"")</f>
        <v>NEW</v>
      </c>
      <c r="H912" s="15" cm="1">
        <f t="array" ref="H912">_xlfn.IFS(Table14[[#This Row],[Column4]]="NEW",AVERAGEIFS(Table14[Column4],Table14[Year],Table14[[#This Row],[Year]]),ISNUMBER(Table14[[#This Row],[Column4]]),Table14[[#This Row],[Column4]],Table14[[#This Row],[Column4]]="",H911*(1+Table14[[#This Row],[Ávöxtun]]))</f>
        <v>173.57107422928632</v>
      </c>
      <c r="I912" cm="1">
        <f t="array" ref="I912">_xlfn.IFS(Table14[[#This Row],[Column4]]="NEW",_xlfn.XLOOKUP(Table14[[#This Row],[Year]],$M$2:$M$27,$O$2:$O$27),ISNUMBER(Table14[[#This Row],[Column4]]),Table14[[#This Row],[Column4]],Table14[[#This Row],[Column4]]="",I911*(1+Table14[[#This Row],[Ávöxtun]]))</f>
        <v>203.57786186085158</v>
      </c>
      <c r="L912" s="33">
        <v>203.57786186085158</v>
      </c>
    </row>
    <row r="913" spans="1:12">
      <c r="A913" t="s">
        <v>130</v>
      </c>
      <c r="B913">
        <v>2007</v>
      </c>
      <c r="C913" s="16">
        <v>8.8000000000000005E-3</v>
      </c>
      <c r="D913" s="1">
        <v>79226222</v>
      </c>
      <c r="E913" s="29">
        <f>Table14[[#This Row],[Ávöxtun]]*Table14[[#This Row],[Eignir]]/SUMIFS(Table14[Eignir],Table14[Year],Table14[[#This Row],[Year]])</f>
        <v>4.508452829055878E-4</v>
      </c>
      <c r="F913" s="23" t="e">
        <f>IF(B913=1997, 100, IF(COUNTIF(A$1:A912,A913)=0, "NEW", F912*(1+Table14[[#This Row],[Ávöxtun]])))</f>
        <v>#VALUE!</v>
      </c>
      <c r="G913" s="18" t="str" cm="1">
        <f t="array" ref="G913">IFERROR(_xlfn.IFS(ISNUMBER(Table14[[#This Row],[Column3]]),Table14[[#This Row],[Column3]],Table14[[#This Row],[Column3]]="NEW",Table14[[#This Row],[Column3]]),"")</f>
        <v/>
      </c>
      <c r="H913" s="15" cm="1">
        <f t="array" ref="H913">_xlfn.IFS(Table14[[#This Row],[Column4]]="NEW",AVERAGEIFS(Table14[Column4],Table14[Year],Table14[[#This Row],[Year]]),ISNUMBER(Table14[[#This Row],[Column4]]),Table14[[#This Row],[Column4]],Table14[[#This Row],[Column4]]="",H912*(1+Table14[[#This Row],[Ávöxtun]]))</f>
        <v>175.09849968250404</v>
      </c>
      <c r="I913" cm="1">
        <f t="array" ref="I913">_xlfn.IFS(Table14[[#This Row],[Column4]]="NEW",_xlfn.XLOOKUP(Table14[[#This Row],[Year]],$M$2:$M$27,$O$2:$O$27),ISNUMBER(Table14[[#This Row],[Column4]]),Table14[[#This Row],[Column4]],Table14[[#This Row],[Column4]]="",I912*(1+Table14[[#This Row],[Ávöxtun]]))</f>
        <v>205.36934704522707</v>
      </c>
      <c r="L913" s="33">
        <v>205.36934704522707</v>
      </c>
    </row>
    <row r="914" spans="1:12">
      <c r="A914" t="s">
        <v>130</v>
      </c>
      <c r="B914">
        <v>2008</v>
      </c>
      <c r="C914" s="16">
        <v>-0.23300000000000001</v>
      </c>
      <c r="D914" s="1">
        <v>74164112</v>
      </c>
      <c r="E914" s="29">
        <f>Table14[[#This Row],[Ávöxtun]]*Table14[[#This Row],[Eignir]]/SUMIFS(Table14[Eignir],Table14[Year],Table14[[#This Row],[Year]])</f>
        <v>-1.154079442509731E-2</v>
      </c>
      <c r="F914" s="23" t="e">
        <f>IF(B914=1997, 100, IF(COUNTIF(A$1:A913,A914)=0, "NEW", F913*(1+Table14[[#This Row],[Ávöxtun]])))</f>
        <v>#VALUE!</v>
      </c>
      <c r="G914" s="18" t="str" cm="1">
        <f t="array" ref="G914">IFERROR(_xlfn.IFS(ISNUMBER(Table14[[#This Row],[Column3]]),Table14[[#This Row],[Column3]],Table14[[#This Row],[Column3]]="NEW",Table14[[#This Row],[Column3]]),"")</f>
        <v/>
      </c>
      <c r="H914" s="15" cm="1">
        <f t="array" ref="H914">_xlfn.IFS(Table14[[#This Row],[Column4]]="NEW",AVERAGEIFS(Table14[Column4],Table14[Year],Table14[[#This Row],[Year]]),ISNUMBER(Table14[[#This Row],[Column4]]),Table14[[#This Row],[Column4]],Table14[[#This Row],[Column4]]="",H913*(1+Table14[[#This Row],[Ávöxtun]]))</f>
        <v>134.30054925648059</v>
      </c>
      <c r="I914" cm="1">
        <f t="array" ref="I914">_xlfn.IFS(Table14[[#This Row],[Column4]]="NEW",_xlfn.XLOOKUP(Table14[[#This Row],[Year]],$M$2:$M$27,$O$2:$O$27),ISNUMBER(Table14[[#This Row],[Column4]]),Table14[[#This Row],[Column4]],Table14[[#This Row],[Column4]]="",I913*(1+Table14[[#This Row],[Ávöxtun]]))</f>
        <v>157.51828918368918</v>
      </c>
      <c r="L914" s="33">
        <v>157.51828918368918</v>
      </c>
    </row>
    <row r="915" spans="1:12">
      <c r="A915" t="s">
        <v>130</v>
      </c>
      <c r="B915">
        <v>2009</v>
      </c>
      <c r="C915" s="16">
        <v>-4.9000000000000002E-2</v>
      </c>
      <c r="D915" s="1">
        <v>77244833</v>
      </c>
      <c r="E915" s="29">
        <f>Table14[[#This Row],[Ávöxtun]]*Table14[[#This Row],[Eignir]]/SUMIFS(Table14[Eignir],Table14[Year],Table14[[#This Row],[Year]])</f>
        <v>-2.2688313240681103E-3</v>
      </c>
      <c r="F915" s="23" t="e">
        <f>IF(B915=1997, 100, IF(COUNTIF(A$1:A914,A915)=0, "NEW", F914*(1+Table14[[#This Row],[Ávöxtun]])))</f>
        <v>#VALUE!</v>
      </c>
      <c r="G915" s="18" t="str" cm="1">
        <f t="array" ref="G915">IFERROR(_xlfn.IFS(ISNUMBER(Table14[[#This Row],[Column3]]),Table14[[#This Row],[Column3]],Table14[[#This Row],[Column3]]="NEW",Table14[[#This Row],[Column3]]),"")</f>
        <v/>
      </c>
      <c r="H915" s="15" cm="1">
        <f t="array" ref="H915">_xlfn.IFS(Table14[[#This Row],[Column4]]="NEW",AVERAGEIFS(Table14[Column4],Table14[Year],Table14[[#This Row],[Year]]),ISNUMBER(Table14[[#This Row],[Column4]]),Table14[[#This Row],[Column4]],Table14[[#This Row],[Column4]]="",H914*(1+Table14[[#This Row],[Ávöxtun]]))</f>
        <v>127.71982234291303</v>
      </c>
      <c r="I915" cm="1">
        <f t="array" ref="I915">_xlfn.IFS(Table14[[#This Row],[Column4]]="NEW",_xlfn.XLOOKUP(Table14[[#This Row],[Year]],$M$2:$M$27,$O$2:$O$27),ISNUMBER(Table14[[#This Row],[Column4]]),Table14[[#This Row],[Column4]],Table14[[#This Row],[Column4]]="",I914*(1+Table14[[#This Row],[Ávöxtun]]))</f>
        <v>149.7998930136884</v>
      </c>
      <c r="L915" s="33">
        <v>149.7998930136884</v>
      </c>
    </row>
    <row r="916" spans="1:12">
      <c r="A916" t="s">
        <v>130</v>
      </c>
      <c r="B916">
        <v>2010</v>
      </c>
      <c r="C916" s="16">
        <v>8.0000000000000004E-4</v>
      </c>
      <c r="D916" s="1">
        <v>81970653</v>
      </c>
      <c r="E916" s="29">
        <f>Table14[[#This Row],[Ávöxtun]]*Table14[[#This Row],[Eignir]]/SUMIFS(Table14[Eignir],Table14[Year],Table14[[#This Row],[Year]])</f>
        <v>3.6680286060926806E-5</v>
      </c>
      <c r="F916" s="23" t="e">
        <f>IF(B916=1997, 100, IF(COUNTIF(A$1:A915,A916)=0, "NEW", F915*(1+Table14[[#This Row],[Ávöxtun]])))</f>
        <v>#VALUE!</v>
      </c>
      <c r="G916" s="18" t="str" cm="1">
        <f t="array" ref="G916">IFERROR(_xlfn.IFS(ISNUMBER(Table14[[#This Row],[Column3]]),Table14[[#This Row],[Column3]],Table14[[#This Row],[Column3]]="NEW",Table14[[#This Row],[Column3]]),"")</f>
        <v/>
      </c>
      <c r="H916" s="15" cm="1">
        <f t="array" ref="H916">_xlfn.IFS(Table14[[#This Row],[Column4]]="NEW",AVERAGEIFS(Table14[Column4],Table14[Year],Table14[[#This Row],[Year]]),ISNUMBER(Table14[[#This Row],[Column4]]),Table14[[#This Row],[Column4]],Table14[[#This Row],[Column4]]="",H915*(1+Table14[[#This Row],[Ávöxtun]]))</f>
        <v>127.82199820078735</v>
      </c>
      <c r="I916" cm="1">
        <f t="array" ref="I916">_xlfn.IFS(Table14[[#This Row],[Column4]]="NEW",_xlfn.XLOOKUP(Table14[[#This Row],[Year]],$M$2:$M$27,$O$2:$O$27),ISNUMBER(Table14[[#This Row],[Column4]]),Table14[[#This Row],[Column4]],Table14[[#This Row],[Column4]]="",I915*(1+Table14[[#This Row],[Ávöxtun]]))</f>
        <v>149.91973292809934</v>
      </c>
      <c r="L916" s="33">
        <v>149.91973292809934</v>
      </c>
    </row>
    <row r="917" spans="1:12">
      <c r="A917" t="s">
        <v>130</v>
      </c>
      <c r="B917">
        <v>2011</v>
      </c>
      <c r="C917" s="16">
        <v>2.2000000000000002E-2</v>
      </c>
      <c r="D917" s="1">
        <v>89691783</v>
      </c>
      <c r="E917" s="29">
        <f>Table14[[#This Row],[Ávöxtun]]*Table14[[#This Row],[Eignir]]/SUMIFS(Table14[Eignir],Table14[Year],Table14[[#This Row],[Year]])</f>
        <v>1.0116173824437078E-3</v>
      </c>
      <c r="F917" s="23" t="e">
        <f>IF(B917=1997, 100, IF(COUNTIF(A$1:A916,A917)=0, "NEW", F916*(1+Table14[[#This Row],[Ávöxtun]])))</f>
        <v>#VALUE!</v>
      </c>
      <c r="G917" s="18" t="str" cm="1">
        <f t="array" ref="G917">IFERROR(_xlfn.IFS(ISNUMBER(Table14[[#This Row],[Column3]]),Table14[[#This Row],[Column3]],Table14[[#This Row],[Column3]]="NEW",Table14[[#This Row],[Column3]]),"")</f>
        <v/>
      </c>
      <c r="H917" s="15" cm="1">
        <f t="array" ref="H917">_xlfn.IFS(Table14[[#This Row],[Column4]]="NEW",AVERAGEIFS(Table14[Column4],Table14[Year],Table14[[#This Row],[Year]]),ISNUMBER(Table14[[#This Row],[Column4]]),Table14[[#This Row],[Column4]],Table14[[#This Row],[Column4]]="",H916*(1+Table14[[#This Row],[Ávöxtun]]))</f>
        <v>130.63408216120467</v>
      </c>
      <c r="I917" cm="1">
        <f t="array" ref="I917">_xlfn.IFS(Table14[[#This Row],[Column4]]="NEW",_xlfn.XLOOKUP(Table14[[#This Row],[Year]],$M$2:$M$27,$O$2:$O$27),ISNUMBER(Table14[[#This Row],[Column4]]),Table14[[#This Row],[Column4]],Table14[[#This Row],[Column4]]="",I916*(1+Table14[[#This Row],[Ávöxtun]]))</f>
        <v>153.21796705251754</v>
      </c>
      <c r="L917" s="33">
        <v>153.21796705251754</v>
      </c>
    </row>
    <row r="918" spans="1:12">
      <c r="A918" t="s">
        <v>130</v>
      </c>
      <c r="B918">
        <v>2012</v>
      </c>
      <c r="C918" s="16">
        <v>0.06</v>
      </c>
      <c r="D918" s="1">
        <v>99280705</v>
      </c>
      <c r="E918" s="29">
        <f>Table14[[#This Row],[Ávöxtun]]*Table14[[#This Row],[Eignir]]/SUMIFS(Table14[Eignir],Table14[Year],Table14[[#This Row],[Year]])</f>
        <v>2.7041610711608564E-3</v>
      </c>
      <c r="F918" s="23" t="e">
        <f>IF(B918=1997, 100, IF(COUNTIF(A$1:A917,A918)=0, "NEW", F917*(1+Table14[[#This Row],[Ávöxtun]])))</f>
        <v>#VALUE!</v>
      </c>
      <c r="G918" s="18" t="str" cm="1">
        <f t="array" ref="G918">IFERROR(_xlfn.IFS(ISNUMBER(Table14[[#This Row],[Column3]]),Table14[[#This Row],[Column3]],Table14[[#This Row],[Column3]]="NEW",Table14[[#This Row],[Column3]]),"")</f>
        <v/>
      </c>
      <c r="H918" s="15" cm="1">
        <f t="array" ref="H918">_xlfn.IFS(Table14[[#This Row],[Column4]]="NEW",AVERAGEIFS(Table14[Column4],Table14[Year],Table14[[#This Row],[Year]]),ISNUMBER(Table14[[#This Row],[Column4]]),Table14[[#This Row],[Column4]],Table14[[#This Row],[Column4]]="",H917*(1+Table14[[#This Row],[Ávöxtun]]))</f>
        <v>138.47212709087697</v>
      </c>
      <c r="I918" cm="1">
        <f t="array" ref="I918">_xlfn.IFS(Table14[[#This Row],[Column4]]="NEW",_xlfn.XLOOKUP(Table14[[#This Row],[Year]],$M$2:$M$27,$O$2:$O$27),ISNUMBER(Table14[[#This Row],[Column4]]),Table14[[#This Row],[Column4]],Table14[[#This Row],[Column4]]="",I917*(1+Table14[[#This Row],[Ávöxtun]]))</f>
        <v>162.4110450756686</v>
      </c>
      <c r="L918" s="33">
        <v>162.4110450756686</v>
      </c>
    </row>
    <row r="919" spans="1:12">
      <c r="A919" t="s">
        <v>130</v>
      </c>
      <c r="B919">
        <v>2013</v>
      </c>
      <c r="C919" s="16">
        <v>4.9000000000000002E-2</v>
      </c>
      <c r="D919" s="1">
        <v>109519758</v>
      </c>
      <c r="E919" s="29">
        <f>Table14[[#This Row],[Ávöxtun]]*Table14[[#This Row],[Eignir]]/SUMIFS(Table14[Eignir],Table14[Year],Table14[[#This Row],[Year]])</f>
        <v>2.2051747524313085E-3</v>
      </c>
      <c r="F919" s="23" t="e">
        <f>IF(B919=1997, 100, IF(COUNTIF(A$1:A918,A919)=0, "NEW", F918*(1+Table14[[#This Row],[Ávöxtun]])))</f>
        <v>#VALUE!</v>
      </c>
      <c r="G919" s="18" t="str" cm="1">
        <f t="array" ref="G919">IFERROR(_xlfn.IFS(ISNUMBER(Table14[[#This Row],[Column3]]),Table14[[#This Row],[Column3]],Table14[[#This Row],[Column3]]="NEW",Table14[[#This Row],[Column3]]),"")</f>
        <v/>
      </c>
      <c r="H919" s="15" cm="1">
        <f t="array" ref="H919">_xlfn.IFS(Table14[[#This Row],[Column4]]="NEW",AVERAGEIFS(Table14[Column4],Table14[Year],Table14[[#This Row],[Year]]),ISNUMBER(Table14[[#This Row],[Column4]]),Table14[[#This Row],[Column4]],Table14[[#This Row],[Column4]]="",H918*(1+Table14[[#This Row],[Ávöxtun]]))</f>
        <v>145.25726131832994</v>
      </c>
      <c r="I919" cm="1">
        <f t="array" ref="I919">_xlfn.IFS(Table14[[#This Row],[Column4]]="NEW",_xlfn.XLOOKUP(Table14[[#This Row],[Year]],$M$2:$M$27,$O$2:$O$27),ISNUMBER(Table14[[#This Row],[Column4]]),Table14[[#This Row],[Column4]],Table14[[#This Row],[Column4]]="",I918*(1+Table14[[#This Row],[Ávöxtun]]))</f>
        <v>170.36918628437635</v>
      </c>
      <c r="L919" s="33">
        <v>170.36918628437635</v>
      </c>
    </row>
    <row r="920" spans="1:12">
      <c r="A920" t="s">
        <v>130</v>
      </c>
      <c r="B920">
        <v>2014</v>
      </c>
      <c r="C920" s="16">
        <v>7.400000000000001E-2</v>
      </c>
      <c r="D920" s="1">
        <v>119847017</v>
      </c>
      <c r="E920" s="29">
        <f>Table14[[#This Row],[Ávöxtun]]*Table14[[#This Row],[Eignir]]/SUMIFS(Table14[Eignir],Table14[Year],Table14[[#This Row],[Year]])</f>
        <v>3.3428637474528134E-3</v>
      </c>
      <c r="F920" s="23" t="e">
        <f>IF(B920=1997, 100, IF(COUNTIF(A$1:A919,A920)=0, "NEW", F919*(1+Table14[[#This Row],[Ávöxtun]])))</f>
        <v>#VALUE!</v>
      </c>
      <c r="G920" s="18" t="str" cm="1">
        <f t="array" ref="G920">IFERROR(_xlfn.IFS(ISNUMBER(Table14[[#This Row],[Column3]]),Table14[[#This Row],[Column3]],Table14[[#This Row],[Column3]]="NEW",Table14[[#This Row],[Column3]]),"")</f>
        <v/>
      </c>
      <c r="H920" s="15" cm="1">
        <f t="array" ref="H920">_xlfn.IFS(Table14[[#This Row],[Column4]]="NEW",AVERAGEIFS(Table14[Column4],Table14[Year],Table14[[#This Row],[Year]]),ISNUMBER(Table14[[#This Row],[Column4]]),Table14[[#This Row],[Column4]],Table14[[#This Row],[Column4]]="",H919*(1+Table14[[#This Row],[Ávöxtun]]))</f>
        <v>156.00629865588635</v>
      </c>
      <c r="I920" cm="1">
        <f t="array" ref="I920">_xlfn.IFS(Table14[[#This Row],[Column4]]="NEW",_xlfn.XLOOKUP(Table14[[#This Row],[Year]],$M$2:$M$27,$O$2:$O$27),ISNUMBER(Table14[[#This Row],[Column4]]),Table14[[#This Row],[Column4]],Table14[[#This Row],[Column4]]="",I919*(1+Table14[[#This Row],[Ávöxtun]]))</f>
        <v>182.97650606942022</v>
      </c>
      <c r="L920" s="33">
        <v>182.97650606942022</v>
      </c>
    </row>
    <row r="921" spans="1:12">
      <c r="A921" t="s">
        <v>130</v>
      </c>
      <c r="B921">
        <v>2015</v>
      </c>
      <c r="C921" s="16">
        <v>9.6999999999999989E-2</v>
      </c>
      <c r="D921" s="1">
        <v>135157003</v>
      </c>
      <c r="E921" s="29">
        <f>Table14[[#This Row],[Ávöxtun]]*Table14[[#This Row],[Eignir]]/SUMIFS(Table14[Eignir],Table14[Year],Table14[[#This Row],[Year]])</f>
        <v>4.4270701930623239E-3</v>
      </c>
      <c r="F921" s="23" t="e">
        <f>IF(B921=1997, 100, IF(COUNTIF(A$1:A920,A921)=0, "NEW", F920*(1+Table14[[#This Row],[Ávöxtun]])))</f>
        <v>#VALUE!</v>
      </c>
      <c r="G921" s="18" t="str" cm="1">
        <f t="array" ref="G921">IFERROR(_xlfn.IFS(ISNUMBER(Table14[[#This Row],[Column3]]),Table14[[#This Row],[Column3]],Table14[[#This Row],[Column3]]="NEW",Table14[[#This Row],[Column3]]),"")</f>
        <v/>
      </c>
      <c r="H921" s="15" cm="1">
        <f t="array" ref="H921">_xlfn.IFS(Table14[[#This Row],[Column4]]="NEW",AVERAGEIFS(Table14[Column4],Table14[Year],Table14[[#This Row],[Year]]),ISNUMBER(Table14[[#This Row],[Column4]]),Table14[[#This Row],[Column4]],Table14[[#This Row],[Column4]]="",H920*(1+Table14[[#This Row],[Ávöxtun]]))</f>
        <v>171.13890962550732</v>
      </c>
      <c r="I921" cm="1">
        <f t="array" ref="I921">_xlfn.IFS(Table14[[#This Row],[Column4]]="NEW",_xlfn.XLOOKUP(Table14[[#This Row],[Year]],$M$2:$M$27,$O$2:$O$27),ISNUMBER(Table14[[#This Row],[Column4]]),Table14[[#This Row],[Column4]],Table14[[#This Row],[Column4]]="",I920*(1+Table14[[#This Row],[Ávöxtun]]))</f>
        <v>200.72522715815398</v>
      </c>
      <c r="L921" s="33">
        <v>200.72522715815398</v>
      </c>
    </row>
    <row r="922" spans="1:12">
      <c r="A922" t="s">
        <v>131</v>
      </c>
      <c r="B922">
        <v>2007</v>
      </c>
      <c r="C922" s="16">
        <v>-5.6999999999999993E-3</v>
      </c>
      <c r="D922" s="1">
        <v>89507279</v>
      </c>
      <c r="E922" s="29">
        <f>Table14[[#This Row],[Ávöxtun]]*Table14[[#This Row],[Eignir]]/SUMIFS(Table14[Eignir],Table14[Year],Table14[[#This Row],[Year]])</f>
        <v>-3.2992036339066975E-4</v>
      </c>
      <c r="F922" s="23" t="str">
        <f>IF(B922=1997, 100, IF(COUNTIF(A$1:A921,A922)=0, "NEW", F921*(1+Table14[[#This Row],[Ávöxtun]])))</f>
        <v>NEW</v>
      </c>
      <c r="G922" s="18" t="str" cm="1">
        <f t="array" ref="G922">IFERROR(_xlfn.IFS(ISNUMBER(Table14[[#This Row],[Column3]]),Table14[[#This Row],[Column3]],Table14[[#This Row],[Column3]]="NEW",Table14[[#This Row],[Column3]]),"")</f>
        <v>NEW</v>
      </c>
      <c r="H922" s="15" cm="1">
        <f t="array" ref="H922">_xlfn.IFS(Table14[[#This Row],[Column4]]="NEW",AVERAGEIFS(Table14[Column4],Table14[Year],Table14[[#This Row],[Year]]),ISNUMBER(Table14[[#This Row],[Column4]]),Table14[[#This Row],[Column4]],Table14[[#This Row],[Column4]]="",H921*(1+Table14[[#This Row],[Ávöxtun]]))</f>
        <v>178.53851178563048</v>
      </c>
      <c r="I922" cm="1">
        <f t="array" ref="I922">_xlfn.IFS(Table14[[#This Row],[Column4]]="NEW",_xlfn.XLOOKUP(Table14[[#This Row],[Year]],$M$2:$M$27,$O$2:$O$27),ISNUMBER(Table14[[#This Row],[Column4]]),Table14[[#This Row],[Column4]],Table14[[#This Row],[Column4]]="",I921*(1+Table14[[#This Row],[Ávöxtun]]))</f>
        <v>205.00759198272704</v>
      </c>
      <c r="L922" s="33">
        <v>205.00759198272704</v>
      </c>
    </row>
    <row r="923" spans="1:12">
      <c r="A923" t="s">
        <v>131</v>
      </c>
      <c r="B923">
        <v>2008</v>
      </c>
      <c r="C923" s="16">
        <v>-0.13880000000000001</v>
      </c>
      <c r="D923" s="1">
        <v>97960752</v>
      </c>
      <c r="E923" s="29">
        <f>Table14[[#This Row],[Ávöxtun]]*Table14[[#This Row],[Eignir]]/SUMIFS(Table14[Eignir],Table14[Year],Table14[[#This Row],[Year]])</f>
        <v>-9.0808721110181463E-3</v>
      </c>
      <c r="F923" s="23" t="e">
        <f>IF(B923=1997, 100, IF(COUNTIF(A$1:A922,A923)=0, "NEW", F922*(1+Table14[[#This Row],[Ávöxtun]])))</f>
        <v>#VALUE!</v>
      </c>
      <c r="G923" s="18" t="str" cm="1">
        <f t="array" ref="G923">IFERROR(_xlfn.IFS(ISNUMBER(Table14[[#This Row],[Column3]]),Table14[[#This Row],[Column3]],Table14[[#This Row],[Column3]]="NEW",Table14[[#This Row],[Column3]]),"")</f>
        <v/>
      </c>
      <c r="H923" s="15" cm="1">
        <f t="array" ref="H923">_xlfn.IFS(Table14[[#This Row],[Column4]]="NEW",AVERAGEIFS(Table14[Column4],Table14[Year],Table14[[#This Row],[Year]]),ISNUMBER(Table14[[#This Row],[Column4]]),Table14[[#This Row],[Column4]],Table14[[#This Row],[Column4]]="",H922*(1+Table14[[#This Row],[Ávöxtun]]))</f>
        <v>153.75736634978497</v>
      </c>
      <c r="I923" cm="1">
        <f t="array" ref="I923">_xlfn.IFS(Table14[[#This Row],[Column4]]="NEW",_xlfn.XLOOKUP(Table14[[#This Row],[Year]],$M$2:$M$27,$O$2:$O$27),ISNUMBER(Table14[[#This Row],[Column4]]),Table14[[#This Row],[Column4]],Table14[[#This Row],[Column4]]="",I922*(1+Table14[[#This Row],[Ávöxtun]]))</f>
        <v>176.55253821552452</v>
      </c>
      <c r="L923" s="33">
        <v>176.55253821552452</v>
      </c>
    </row>
    <row r="924" spans="1:12">
      <c r="A924" t="s">
        <v>131</v>
      </c>
      <c r="B924">
        <v>2009</v>
      </c>
      <c r="C924" s="16">
        <v>-6.1699999999999998E-2</v>
      </c>
      <c r="D924" s="1">
        <v>101919842</v>
      </c>
      <c r="E924" s="29">
        <f>Table14[[#This Row],[Ávöxtun]]*Table14[[#This Row],[Eignir]]/SUMIFS(Table14[Eignir],Table14[Year],Table14[[#This Row],[Year]])</f>
        <v>-3.7694726509318482E-3</v>
      </c>
      <c r="F924" s="23" t="e">
        <f>IF(B924=1997, 100, IF(COUNTIF(A$1:A923,A924)=0, "NEW", F923*(1+Table14[[#This Row],[Ávöxtun]])))</f>
        <v>#VALUE!</v>
      </c>
      <c r="G924" s="18" t="str" cm="1">
        <f t="array" ref="G924">IFERROR(_xlfn.IFS(ISNUMBER(Table14[[#This Row],[Column3]]),Table14[[#This Row],[Column3]],Table14[[#This Row],[Column3]]="NEW",Table14[[#This Row],[Column3]]),"")</f>
        <v/>
      </c>
      <c r="H924" s="15" cm="1">
        <f t="array" ref="H924">_xlfn.IFS(Table14[[#This Row],[Column4]]="NEW",AVERAGEIFS(Table14[Column4],Table14[Year],Table14[[#This Row],[Year]]),ISNUMBER(Table14[[#This Row],[Column4]]),Table14[[#This Row],[Column4]],Table14[[#This Row],[Column4]]="",H923*(1+Table14[[#This Row],[Ávöxtun]]))</f>
        <v>144.27053684600324</v>
      </c>
      <c r="I924" cm="1">
        <f t="array" ref="I924">_xlfn.IFS(Table14[[#This Row],[Column4]]="NEW",_xlfn.XLOOKUP(Table14[[#This Row],[Year]],$M$2:$M$27,$O$2:$O$27),ISNUMBER(Table14[[#This Row],[Column4]]),Table14[[#This Row],[Column4]],Table14[[#This Row],[Column4]]="",I923*(1+Table14[[#This Row],[Ávöxtun]]))</f>
        <v>165.65924660762667</v>
      </c>
      <c r="L924" s="33">
        <v>165.65924660762667</v>
      </c>
    </row>
    <row r="925" spans="1:12">
      <c r="A925" t="s">
        <v>131</v>
      </c>
      <c r="B925">
        <v>2010</v>
      </c>
      <c r="C925" s="16">
        <v>3.4700000000000002E-2</v>
      </c>
      <c r="D925" s="1">
        <v>111264997</v>
      </c>
      <c r="E925" s="29">
        <f>Table14[[#This Row],[Ávöxtun]]*Table14[[#This Row],[Eignir]]/SUMIFS(Table14[Eignir],Table14[Year],Table14[[#This Row],[Year]])</f>
        <v>2.1595952696162987E-3</v>
      </c>
      <c r="F925" s="23" t="e">
        <f>IF(B925=1997, 100, IF(COUNTIF(A$1:A924,A925)=0, "NEW", F924*(1+Table14[[#This Row],[Ávöxtun]])))</f>
        <v>#VALUE!</v>
      </c>
      <c r="G925" s="18" t="str" cm="1">
        <f t="array" ref="G925">IFERROR(_xlfn.IFS(ISNUMBER(Table14[[#This Row],[Column3]]),Table14[[#This Row],[Column3]],Table14[[#This Row],[Column3]]="NEW",Table14[[#This Row],[Column3]]),"")</f>
        <v/>
      </c>
      <c r="H925" s="15" cm="1">
        <f t="array" ref="H925">_xlfn.IFS(Table14[[#This Row],[Column4]]="NEW",AVERAGEIFS(Table14[Column4],Table14[Year],Table14[[#This Row],[Year]]),ISNUMBER(Table14[[#This Row],[Column4]]),Table14[[#This Row],[Column4]],Table14[[#This Row],[Column4]]="",H924*(1+Table14[[#This Row],[Ávöxtun]]))</f>
        <v>149.27672447455956</v>
      </c>
      <c r="I925" cm="1">
        <f t="array" ref="I925">_xlfn.IFS(Table14[[#This Row],[Column4]]="NEW",_xlfn.XLOOKUP(Table14[[#This Row],[Year]],$M$2:$M$27,$O$2:$O$27),ISNUMBER(Table14[[#This Row],[Column4]]),Table14[[#This Row],[Column4]],Table14[[#This Row],[Column4]]="",I924*(1+Table14[[#This Row],[Ávöxtun]]))</f>
        <v>171.4076224649113</v>
      </c>
      <c r="L925" s="33">
        <v>171.4076224649113</v>
      </c>
    </row>
    <row r="926" spans="1:12">
      <c r="A926" t="s">
        <v>131</v>
      </c>
      <c r="B926">
        <v>2011</v>
      </c>
      <c r="C926" s="16">
        <v>0</v>
      </c>
      <c r="D926" s="1">
        <v>114699867</v>
      </c>
      <c r="E926" s="29">
        <f>Table14[[#This Row],[Ávöxtun]]*Table14[[#This Row],[Eignir]]/SUMIFS(Table14[Eignir],Table14[Year],Table14[[#This Row],[Year]])</f>
        <v>0</v>
      </c>
      <c r="F926" s="23" t="e">
        <f>IF(B926=1997, 100, IF(COUNTIF(A$1:A925,A926)=0, "NEW", F925*(1+Table14[[#This Row],[Ávöxtun]])))</f>
        <v>#VALUE!</v>
      </c>
      <c r="G926" s="18" t="str" cm="1">
        <f t="array" ref="G926">IFERROR(_xlfn.IFS(ISNUMBER(Table14[[#This Row],[Column3]]),Table14[[#This Row],[Column3]],Table14[[#This Row],[Column3]]="NEW",Table14[[#This Row],[Column3]]),"")</f>
        <v/>
      </c>
      <c r="H926" s="15" cm="1">
        <f t="array" ref="H926">_xlfn.IFS(Table14[[#This Row],[Column4]]="NEW",AVERAGEIFS(Table14[Column4],Table14[Year],Table14[[#This Row],[Year]]),ISNUMBER(Table14[[#This Row],[Column4]]),Table14[[#This Row],[Column4]],Table14[[#This Row],[Column4]]="",H925*(1+Table14[[#This Row],[Ávöxtun]]))</f>
        <v>149.27672447455956</v>
      </c>
      <c r="I926" cm="1">
        <f t="array" ref="I926">_xlfn.IFS(Table14[[#This Row],[Column4]]="NEW",_xlfn.XLOOKUP(Table14[[#This Row],[Year]],$M$2:$M$27,$O$2:$O$27),ISNUMBER(Table14[[#This Row],[Column4]]),Table14[[#This Row],[Column4]],Table14[[#This Row],[Column4]]="",I925*(1+Table14[[#This Row],[Ávöxtun]]))</f>
        <v>171.4076224649113</v>
      </c>
      <c r="L926" s="33">
        <v>171.4076224649113</v>
      </c>
    </row>
    <row r="927" spans="1:12">
      <c r="A927" t="s">
        <v>131</v>
      </c>
      <c r="B927">
        <v>2012</v>
      </c>
      <c r="C927" s="16">
        <v>5.2999999999999999E-2</v>
      </c>
      <c r="D927" s="1">
        <v>128997144</v>
      </c>
      <c r="E927" s="29">
        <f>Table14[[#This Row],[Ávöxtun]]*Table14[[#This Row],[Eignir]]/SUMIFS(Table14[Eignir],Table14[Year],Table14[[#This Row],[Year]])</f>
        <v>3.1036477027558303E-3</v>
      </c>
      <c r="F927" s="23" t="e">
        <f>IF(B927=1997, 100, IF(COUNTIF(A$1:A926,A927)=0, "NEW", F926*(1+Table14[[#This Row],[Ávöxtun]])))</f>
        <v>#VALUE!</v>
      </c>
      <c r="G927" s="18" t="str" cm="1">
        <f t="array" ref="G927">IFERROR(_xlfn.IFS(ISNUMBER(Table14[[#This Row],[Column3]]),Table14[[#This Row],[Column3]],Table14[[#This Row],[Column3]]="NEW",Table14[[#This Row],[Column3]]),"")</f>
        <v/>
      </c>
      <c r="H927" s="15" cm="1">
        <f t="array" ref="H927">_xlfn.IFS(Table14[[#This Row],[Column4]]="NEW",AVERAGEIFS(Table14[Column4],Table14[Year],Table14[[#This Row],[Year]]),ISNUMBER(Table14[[#This Row],[Column4]]),Table14[[#This Row],[Column4]],Table14[[#This Row],[Column4]]="",H926*(1+Table14[[#This Row],[Ávöxtun]]))</f>
        <v>157.18839087171119</v>
      </c>
      <c r="I927" cm="1">
        <f t="array" ref="I927">_xlfn.IFS(Table14[[#This Row],[Column4]]="NEW",_xlfn.XLOOKUP(Table14[[#This Row],[Year]],$M$2:$M$27,$O$2:$O$27),ISNUMBER(Table14[[#This Row],[Column4]]),Table14[[#This Row],[Column4]],Table14[[#This Row],[Column4]]="",I926*(1+Table14[[#This Row],[Ávöxtun]]))</f>
        <v>180.49222645555159</v>
      </c>
      <c r="L927" s="33">
        <v>180.49222645555159</v>
      </c>
    </row>
    <row r="928" spans="1:12">
      <c r="A928" t="s">
        <v>131</v>
      </c>
      <c r="B928">
        <v>2013</v>
      </c>
      <c r="C928" s="16">
        <v>0.03</v>
      </c>
      <c r="D928" s="1">
        <v>140207162</v>
      </c>
      <c r="E928" s="29">
        <f>Table14[[#This Row],[Ávöxtun]]*Table14[[#This Row],[Eignir]]/SUMIFS(Table14[Eignir],Table14[Year],Table14[[#This Row],[Year]])</f>
        <v>1.728406573399796E-3</v>
      </c>
      <c r="F928" s="23" t="e">
        <f>IF(B928=1997, 100, IF(COUNTIF(A$1:A927,A928)=0, "NEW", F927*(1+Table14[[#This Row],[Ávöxtun]])))</f>
        <v>#VALUE!</v>
      </c>
      <c r="G928" s="18" t="str" cm="1">
        <f t="array" ref="G928">IFERROR(_xlfn.IFS(ISNUMBER(Table14[[#This Row],[Column3]]),Table14[[#This Row],[Column3]],Table14[[#This Row],[Column3]]="NEW",Table14[[#This Row],[Column3]]),"")</f>
        <v/>
      </c>
      <c r="H928" s="15" cm="1">
        <f t="array" ref="H928">_xlfn.IFS(Table14[[#This Row],[Column4]]="NEW",AVERAGEIFS(Table14[Column4],Table14[Year],Table14[[#This Row],[Year]]),ISNUMBER(Table14[[#This Row],[Column4]]),Table14[[#This Row],[Column4]],Table14[[#This Row],[Column4]]="",H927*(1+Table14[[#This Row],[Ávöxtun]]))</f>
        <v>161.90404259786254</v>
      </c>
      <c r="I928" cm="1">
        <f t="array" ref="I928">_xlfn.IFS(Table14[[#This Row],[Column4]]="NEW",_xlfn.XLOOKUP(Table14[[#This Row],[Year]],$M$2:$M$27,$O$2:$O$27),ISNUMBER(Table14[[#This Row],[Column4]]),Table14[[#This Row],[Column4]],Table14[[#This Row],[Column4]]="",I927*(1+Table14[[#This Row],[Ávöxtun]]))</f>
        <v>185.90699324921815</v>
      </c>
      <c r="L928" s="33">
        <v>185.90699324921815</v>
      </c>
    </row>
    <row r="929" spans="1:12">
      <c r="A929" t="s">
        <v>131</v>
      </c>
      <c r="B929">
        <v>2014</v>
      </c>
      <c r="C929" s="16">
        <v>6.2000000000000006E-2</v>
      </c>
      <c r="D929" s="1">
        <v>153236792</v>
      </c>
      <c r="E929" s="29">
        <f>Table14[[#This Row],[Ávöxtun]]*Table14[[#This Row],[Eignir]]/SUMIFS(Table14[Eignir],Table14[Year],Table14[[#This Row],[Year]])</f>
        <v>3.5810836669984314E-3</v>
      </c>
      <c r="F929" s="23" t="e">
        <f>IF(B929=1997, 100, IF(COUNTIF(A$1:A928,A929)=0, "NEW", F928*(1+Table14[[#This Row],[Ávöxtun]])))</f>
        <v>#VALUE!</v>
      </c>
      <c r="G929" s="18" t="str" cm="1">
        <f t="array" ref="G929">IFERROR(_xlfn.IFS(ISNUMBER(Table14[[#This Row],[Column3]]),Table14[[#This Row],[Column3]],Table14[[#This Row],[Column3]]="NEW",Table14[[#This Row],[Column3]]),"")</f>
        <v/>
      </c>
      <c r="H929" s="15" cm="1">
        <f t="array" ref="H929">_xlfn.IFS(Table14[[#This Row],[Column4]]="NEW",AVERAGEIFS(Table14[Column4],Table14[Year],Table14[[#This Row],[Year]]),ISNUMBER(Table14[[#This Row],[Column4]]),Table14[[#This Row],[Column4]],Table14[[#This Row],[Column4]]="",H928*(1+Table14[[#This Row],[Ávöxtun]]))</f>
        <v>171.94209323893003</v>
      </c>
      <c r="I929" cm="1">
        <f t="array" ref="I929">_xlfn.IFS(Table14[[#This Row],[Column4]]="NEW",_xlfn.XLOOKUP(Table14[[#This Row],[Year]],$M$2:$M$27,$O$2:$O$27),ISNUMBER(Table14[[#This Row],[Column4]]),Table14[[#This Row],[Column4]],Table14[[#This Row],[Column4]]="",I928*(1+Table14[[#This Row],[Ávöxtun]]))</f>
        <v>197.4332268306697</v>
      </c>
      <c r="L929" s="33">
        <v>197.4332268306697</v>
      </c>
    </row>
    <row r="930" spans="1:12">
      <c r="A930" t="s">
        <v>131</v>
      </c>
      <c r="B930">
        <v>2015</v>
      </c>
      <c r="C930" s="16">
        <v>9.1799999999999993E-2</v>
      </c>
      <c r="D930" s="1">
        <v>174550785</v>
      </c>
      <c r="E930" s="29">
        <f>Table14[[#This Row],[Ávöxtun]]*Table14[[#This Row],[Eignir]]/SUMIFS(Table14[Eignir],Table14[Year],Table14[[#This Row],[Year]])</f>
        <v>5.4109137098409385E-3</v>
      </c>
      <c r="F930" s="23" t="e">
        <f>IF(B930=1997, 100, IF(COUNTIF(A$1:A929,A930)=0, "NEW", F929*(1+Table14[[#This Row],[Ávöxtun]])))</f>
        <v>#VALUE!</v>
      </c>
      <c r="G930" s="18" t="str" cm="1">
        <f t="array" ref="G930">IFERROR(_xlfn.IFS(ISNUMBER(Table14[[#This Row],[Column3]]),Table14[[#This Row],[Column3]],Table14[[#This Row],[Column3]]="NEW",Table14[[#This Row],[Column3]]),"")</f>
        <v/>
      </c>
      <c r="H930" s="15" cm="1">
        <f t="array" ref="H930">_xlfn.IFS(Table14[[#This Row],[Column4]]="NEW",AVERAGEIFS(Table14[Column4],Table14[Year],Table14[[#This Row],[Year]]),ISNUMBER(Table14[[#This Row],[Column4]]),Table14[[#This Row],[Column4]],Table14[[#This Row],[Column4]]="",H929*(1+Table14[[#This Row],[Ávöxtun]]))</f>
        <v>187.72637739826382</v>
      </c>
      <c r="I930" cm="1">
        <f t="array" ref="I930">_xlfn.IFS(Table14[[#This Row],[Column4]]="NEW",_xlfn.XLOOKUP(Table14[[#This Row],[Year]],$M$2:$M$27,$O$2:$O$27),ISNUMBER(Table14[[#This Row],[Column4]]),Table14[[#This Row],[Column4]],Table14[[#This Row],[Column4]]="",I929*(1+Table14[[#This Row],[Ávöxtun]]))</f>
        <v>215.5575970537252</v>
      </c>
      <c r="L930" s="33">
        <v>215.5575970537252</v>
      </c>
    </row>
    <row r="931" spans="1:12">
      <c r="A931" t="s">
        <v>131</v>
      </c>
      <c r="B931">
        <v>2016</v>
      </c>
      <c r="C931" s="16">
        <v>-1.3000000000000002E-3</v>
      </c>
      <c r="D931" s="1">
        <v>182176040.52000001</v>
      </c>
      <c r="E931" s="29">
        <f>Table14[[#This Row],[Ávöxtun]]*Table14[[#This Row],[Eignir]]/SUMIFS(Table14[Eignir],Table14[Year],Table14[[#This Row],[Year]])</f>
        <v>-7.4007937384124774E-5</v>
      </c>
      <c r="F931" s="23" t="e">
        <f>IF(B931=1997, 100, IF(COUNTIF(A$1:A930,A931)=0, "NEW", F930*(1+Table14[[#This Row],[Ávöxtun]])))</f>
        <v>#VALUE!</v>
      </c>
      <c r="G931" s="18" t="str" cm="1">
        <f t="array" ref="G931">IFERROR(_xlfn.IFS(ISNUMBER(Table14[[#This Row],[Column3]]),Table14[[#This Row],[Column3]],Table14[[#This Row],[Column3]]="NEW",Table14[[#This Row],[Column3]]),"")</f>
        <v/>
      </c>
      <c r="H931" s="15" cm="1">
        <f t="array" ref="H931">_xlfn.IFS(Table14[[#This Row],[Column4]]="NEW",AVERAGEIFS(Table14[Column4],Table14[Year],Table14[[#This Row],[Year]]),ISNUMBER(Table14[[#This Row],[Column4]]),Table14[[#This Row],[Column4]],Table14[[#This Row],[Column4]]="",H930*(1+Table14[[#This Row],[Ávöxtun]]))</f>
        <v>187.48233310764607</v>
      </c>
      <c r="I931" cm="1">
        <f t="array" ref="I931">_xlfn.IFS(Table14[[#This Row],[Column4]]="NEW",_xlfn.XLOOKUP(Table14[[#This Row],[Year]],$M$2:$M$27,$O$2:$O$27),ISNUMBER(Table14[[#This Row],[Column4]]),Table14[[#This Row],[Column4]],Table14[[#This Row],[Column4]]="",I930*(1+Table14[[#This Row],[Ávöxtun]]))</f>
        <v>215.27737217755538</v>
      </c>
      <c r="L931" s="33">
        <v>215.27737217755538</v>
      </c>
    </row>
    <row r="932" spans="1:12">
      <c r="A932" t="s">
        <v>131</v>
      </c>
      <c r="B932">
        <v>2017</v>
      </c>
      <c r="C932" s="16">
        <v>5.2000000000000005E-2</v>
      </c>
      <c r="D932" s="1">
        <v>199479231</v>
      </c>
      <c r="E932" s="29">
        <f>Table14[[#This Row],[Ávöxtun]]*Table14[[#This Row],[Eignir]]/SUMIFS(Table14[Eignir],Table14[Year],Table14[[#This Row],[Year]])</f>
        <v>2.9144363772181615E-3</v>
      </c>
      <c r="F932" s="23" t="e">
        <f>IF(B932=1997, 100, IF(COUNTIF(A$1:A931,A932)=0, "NEW", F931*(1+Table14[[#This Row],[Ávöxtun]])))</f>
        <v>#VALUE!</v>
      </c>
      <c r="G932" s="18" t="str" cm="1">
        <f t="array" ref="G932">IFERROR(_xlfn.IFS(ISNUMBER(Table14[[#This Row],[Column3]]),Table14[[#This Row],[Column3]],Table14[[#This Row],[Column3]]="NEW",Table14[[#This Row],[Column3]]),"")</f>
        <v/>
      </c>
      <c r="H932" s="15" cm="1">
        <f t="array" ref="H932">_xlfn.IFS(Table14[[#This Row],[Column4]]="NEW",AVERAGEIFS(Table14[Column4],Table14[Year],Table14[[#This Row],[Year]]),ISNUMBER(Table14[[#This Row],[Column4]]),Table14[[#This Row],[Column4]],Table14[[#This Row],[Column4]]="",H931*(1+Table14[[#This Row],[Ávöxtun]]))</f>
        <v>197.23141442924367</v>
      </c>
      <c r="I932" cm="1">
        <f t="array" ref="I932">_xlfn.IFS(Table14[[#This Row],[Column4]]="NEW",_xlfn.XLOOKUP(Table14[[#This Row],[Year]],$M$2:$M$27,$O$2:$O$27),ISNUMBER(Table14[[#This Row],[Column4]]),Table14[[#This Row],[Column4]],Table14[[#This Row],[Column4]]="",I931*(1+Table14[[#This Row],[Ávöxtun]]))</f>
        <v>226.47179553078826</v>
      </c>
      <c r="L932" s="33">
        <v>226.47179553078826</v>
      </c>
    </row>
    <row r="933" spans="1:12">
      <c r="A933" t="s">
        <v>131</v>
      </c>
      <c r="B933">
        <v>2018</v>
      </c>
      <c r="C933" s="16">
        <v>1.4999999999999999E-2</v>
      </c>
      <c r="D933" s="1">
        <v>215276198</v>
      </c>
      <c r="E933" s="29">
        <f>Table14[[#This Row],[Ávöxtun]]*Table14[[#This Row],[Eignir]]/SUMIFS(Table14[Eignir],Table14[Year],Table14[[#This Row],[Year]])</f>
        <v>8.4569766668568633E-4</v>
      </c>
      <c r="F933" s="23" t="e">
        <f>IF(B933=1997, 100, IF(COUNTIF(A$1:A932,A933)=0, "NEW", F932*(1+Table14[[#This Row],[Ávöxtun]])))</f>
        <v>#VALUE!</v>
      </c>
      <c r="G933" s="18" t="str" cm="1">
        <f t="array" ref="G933">IFERROR(_xlfn.IFS(ISNUMBER(Table14[[#This Row],[Column3]]),Table14[[#This Row],[Column3]],Table14[[#This Row],[Column3]]="NEW",Table14[[#This Row],[Column3]]),"")</f>
        <v/>
      </c>
      <c r="H933" s="15" cm="1">
        <f t="array" ref="H933">_xlfn.IFS(Table14[[#This Row],[Column4]]="NEW",AVERAGEIFS(Table14[Column4],Table14[Year],Table14[[#This Row],[Year]]),ISNUMBER(Table14[[#This Row],[Column4]]),Table14[[#This Row],[Column4]],Table14[[#This Row],[Column4]]="",H932*(1+Table14[[#This Row],[Ávöxtun]]))</f>
        <v>200.1898856456823</v>
      </c>
      <c r="I933" cm="1">
        <f t="array" ref="I933">_xlfn.IFS(Table14[[#This Row],[Column4]]="NEW",_xlfn.XLOOKUP(Table14[[#This Row],[Year]],$M$2:$M$27,$O$2:$O$27),ISNUMBER(Table14[[#This Row],[Column4]]),Table14[[#This Row],[Column4]],Table14[[#This Row],[Column4]]="",I932*(1+Table14[[#This Row],[Ávöxtun]]))</f>
        <v>229.86887246375005</v>
      </c>
      <c r="L933" s="33">
        <v>229.86887246375005</v>
      </c>
    </row>
    <row r="934" spans="1:12">
      <c r="A934" t="s">
        <v>131</v>
      </c>
      <c r="B934">
        <v>2019</v>
      </c>
      <c r="C934" s="16">
        <v>9.98E-2</v>
      </c>
      <c r="D934" s="1">
        <v>249839841.91</v>
      </c>
      <c r="E934" s="29">
        <f>Table14[[#This Row],[Ávöxtun]]*Table14[[#This Row],[Eignir]]/SUMIFS(Table14[Eignir],Table14[Year],Table14[[#This Row],[Year]])</f>
        <v>5.6324141129512296E-3</v>
      </c>
      <c r="F934" s="23" t="e">
        <f>IF(B934=1997, 100, IF(COUNTIF(A$1:A933,A934)=0, "NEW", F933*(1+Table14[[#This Row],[Ávöxtun]])))</f>
        <v>#VALUE!</v>
      </c>
      <c r="G934" s="18" t="str" cm="1">
        <f t="array" ref="G934">IFERROR(_xlfn.IFS(ISNUMBER(Table14[[#This Row],[Column3]]),Table14[[#This Row],[Column3]],Table14[[#This Row],[Column3]]="NEW",Table14[[#This Row],[Column3]]),"")</f>
        <v/>
      </c>
      <c r="H934" s="15" cm="1">
        <f t="array" ref="H934">_xlfn.IFS(Table14[[#This Row],[Column4]]="NEW",AVERAGEIFS(Table14[Column4],Table14[Year],Table14[[#This Row],[Year]]),ISNUMBER(Table14[[#This Row],[Column4]]),Table14[[#This Row],[Column4]],Table14[[#This Row],[Column4]]="",H933*(1+Table14[[#This Row],[Ávöxtun]]))</f>
        <v>220.1688362331214</v>
      </c>
      <c r="I934" cm="1">
        <f t="array" ref="I934">_xlfn.IFS(Table14[[#This Row],[Column4]]="NEW",_xlfn.XLOOKUP(Table14[[#This Row],[Year]],$M$2:$M$27,$O$2:$O$27),ISNUMBER(Table14[[#This Row],[Column4]]),Table14[[#This Row],[Column4]],Table14[[#This Row],[Column4]]="",I933*(1+Table14[[#This Row],[Ávöxtun]]))</f>
        <v>252.80978593563233</v>
      </c>
      <c r="L934" s="33">
        <v>252.80978593563233</v>
      </c>
    </row>
    <row r="935" spans="1:12">
      <c r="A935" t="s">
        <v>131</v>
      </c>
      <c r="B935">
        <v>2020</v>
      </c>
      <c r="C935" s="16">
        <v>9.1500000000000012E-2</v>
      </c>
      <c r="D935" s="1">
        <v>288411567.56999999</v>
      </c>
      <c r="E935" s="29">
        <f>Table14[[#This Row],[Ávöxtun]]*Table14[[#This Row],[Eignir]]/SUMIFS(Table14[Eignir],Table14[Year],Table14[[#This Row],[Year]])</f>
        <v>5.1375595695250876E-3</v>
      </c>
      <c r="F935" s="23" t="e">
        <f>IF(B935=1997, 100, IF(COUNTIF(A$1:A934,A935)=0, "NEW", F934*(1+Table14[[#This Row],[Ávöxtun]])))</f>
        <v>#VALUE!</v>
      </c>
      <c r="G935" s="18" t="str" cm="1">
        <f t="array" ref="G935">IFERROR(_xlfn.IFS(ISNUMBER(Table14[[#This Row],[Column3]]),Table14[[#This Row],[Column3]],Table14[[#This Row],[Column3]]="NEW",Table14[[#This Row],[Column3]]),"")</f>
        <v/>
      </c>
      <c r="H935" s="15" cm="1">
        <f t="array" ref="H935">_xlfn.IFS(Table14[[#This Row],[Column4]]="NEW",AVERAGEIFS(Table14[Column4],Table14[Year],Table14[[#This Row],[Year]]),ISNUMBER(Table14[[#This Row],[Column4]]),Table14[[#This Row],[Column4]],Table14[[#This Row],[Column4]]="",H934*(1+Table14[[#This Row],[Ávöxtun]]))</f>
        <v>240.314284748452</v>
      </c>
      <c r="I935" cm="1">
        <f t="array" ref="I935">_xlfn.IFS(Table14[[#This Row],[Column4]]="NEW",_xlfn.XLOOKUP(Table14[[#This Row],[Year]],$M$2:$M$27,$O$2:$O$27),ISNUMBER(Table14[[#This Row],[Column4]]),Table14[[#This Row],[Column4]],Table14[[#This Row],[Column4]]="",I934*(1+Table14[[#This Row],[Ávöxtun]]))</f>
        <v>275.9418813487427</v>
      </c>
      <c r="L935" s="33">
        <v>275.9418813487427</v>
      </c>
    </row>
    <row r="936" spans="1:12">
      <c r="A936" t="s">
        <v>131</v>
      </c>
      <c r="B936">
        <v>2021</v>
      </c>
      <c r="C936" s="16">
        <v>0.12770000000000001</v>
      </c>
      <c r="D936" s="1">
        <v>348755833.67000002</v>
      </c>
      <c r="E936" s="29">
        <f>Table14[[#This Row],[Ávöxtun]]*Table14[[#This Row],[Eignir]]/SUMIFS(Table14[Eignir],Table14[Year],Table14[[#This Row],[Year]])</f>
        <v>7.3741424200918487E-3</v>
      </c>
      <c r="F936" s="23" t="e">
        <f>IF(B936=1997, 100, IF(COUNTIF(A$1:A935,A936)=0, "NEW", F935*(1+Table14[[#This Row],[Ávöxtun]])))</f>
        <v>#VALUE!</v>
      </c>
      <c r="G936" s="18" t="str" cm="1">
        <f t="array" ref="G936">IFERROR(_xlfn.IFS(ISNUMBER(Table14[[#This Row],[Column3]]),Table14[[#This Row],[Column3]],Table14[[#This Row],[Column3]]="NEW",Table14[[#This Row],[Column3]]),"")</f>
        <v/>
      </c>
      <c r="H936" s="15" cm="1">
        <f t="array" ref="H936">_xlfn.IFS(Table14[[#This Row],[Column4]]="NEW",AVERAGEIFS(Table14[Column4],Table14[Year],Table14[[#This Row],[Year]]),ISNUMBER(Table14[[#This Row],[Column4]]),Table14[[#This Row],[Column4]],Table14[[#This Row],[Column4]]="",H935*(1+Table14[[#This Row],[Ávöxtun]]))</f>
        <v>271.00241891082931</v>
      </c>
      <c r="I936" cm="1">
        <f t="array" ref="I936">_xlfn.IFS(Table14[[#This Row],[Column4]]="NEW",_xlfn.XLOOKUP(Table14[[#This Row],[Year]],$M$2:$M$27,$O$2:$O$27),ISNUMBER(Table14[[#This Row],[Column4]]),Table14[[#This Row],[Column4]],Table14[[#This Row],[Column4]]="",I935*(1+Table14[[#This Row],[Ávöxtun]]))</f>
        <v>311.1796595969771</v>
      </c>
      <c r="L936" s="33">
        <v>311.1796595969771</v>
      </c>
    </row>
    <row r="937" spans="1:12">
      <c r="A937" t="s">
        <v>134</v>
      </c>
      <c r="B937">
        <v>1999</v>
      </c>
      <c r="C937" s="16">
        <v>0.05</v>
      </c>
      <c r="D937" s="1">
        <v>106690.08</v>
      </c>
      <c r="E937" s="29">
        <f>Table14[[#This Row],[Ávöxtun]]*Table14[[#This Row],[Eignir]]/SUMIFS(Table14[Eignir],Table14[Year],Table14[[#This Row],[Year]])</f>
        <v>1.0244542070458747E-5</v>
      </c>
      <c r="F937" s="23" t="str">
        <f>IF(B937=1997, 100, IF(COUNTIF(A$1:A936,A937)=0, "NEW", F936*(1+Table14[[#This Row],[Ávöxtun]])))</f>
        <v>NEW</v>
      </c>
      <c r="G937" s="18" t="str" cm="1">
        <f t="array" ref="G937">IFERROR(_xlfn.IFS(ISNUMBER(Table14[[#This Row],[Column3]]),Table14[[#This Row],[Column3]],Table14[[#This Row],[Column3]]="NEW",Table14[[#This Row],[Column3]]),"")</f>
        <v>NEW</v>
      </c>
      <c r="H937" s="15" cm="1">
        <f t="array" ref="H937">_xlfn.IFS(Table14[[#This Row],[Column4]]="NEW",AVERAGEIFS(Table14[Column4],Table14[Year],Table14[[#This Row],[Year]]),ISNUMBER(Table14[[#This Row],[Column4]]),Table14[[#This Row],[Column4]],Table14[[#This Row],[Column4]]="",H936*(1+Table14[[#This Row],[Ávöxtun]]))</f>
        <v>117.05306122448981</v>
      </c>
      <c r="I937" cm="1">
        <f t="array" ref="I937">_xlfn.IFS(Table14[[#This Row],[Column4]]="NEW",_xlfn.XLOOKUP(Table14[[#This Row],[Year]],$M$2:$M$27,$O$2:$O$27),ISNUMBER(Table14[[#This Row],[Column4]]),Table14[[#This Row],[Column4]],Table14[[#This Row],[Column4]]="",I936*(1+Table14[[#This Row],[Ávöxtun]]))</f>
        <v>120.02032965757705</v>
      </c>
      <c r="L937" s="33">
        <v>120.02032965757705</v>
      </c>
    </row>
    <row r="938" spans="1:12">
      <c r="A938" t="s">
        <v>134</v>
      </c>
      <c r="B938">
        <v>2000</v>
      </c>
      <c r="C938" s="16">
        <v>0.05</v>
      </c>
      <c r="D938" s="1">
        <v>84365.35</v>
      </c>
      <c r="E938" s="29">
        <f>Table14[[#This Row],[Ávöxtun]]*Table14[[#This Row],[Eignir]]/SUMIFS(Table14[Eignir],Table14[Year],Table14[[#This Row],[Year]])</f>
        <v>5.9337861212765103E-6</v>
      </c>
      <c r="F938" s="23" t="e">
        <f>IF(B938=1997, 100, IF(COUNTIF(A$1:A937,A938)=0, "NEW", F937*(1+Table14[[#This Row],[Ávöxtun]])))</f>
        <v>#VALUE!</v>
      </c>
      <c r="G938" s="18" t="str" cm="1">
        <f t="array" ref="G938">IFERROR(_xlfn.IFS(ISNUMBER(Table14[[#This Row],[Column3]]),Table14[[#This Row],[Column3]],Table14[[#This Row],[Column3]]="NEW",Table14[[#This Row],[Column3]]),"")</f>
        <v/>
      </c>
      <c r="H938" s="15" cm="1">
        <f t="array" ref="H938">_xlfn.IFS(Table14[[#This Row],[Column4]]="NEW",AVERAGEIFS(Table14[Column4],Table14[Year],Table14[[#This Row],[Year]]),ISNUMBER(Table14[[#This Row],[Column4]]),Table14[[#This Row],[Column4]],Table14[[#This Row],[Column4]]="",H937*(1+Table14[[#This Row],[Ávöxtun]]))</f>
        <v>122.90571428571431</v>
      </c>
      <c r="I938" cm="1">
        <f t="array" ref="I938">_xlfn.IFS(Table14[[#This Row],[Column4]]="NEW",_xlfn.XLOOKUP(Table14[[#This Row],[Year]],$M$2:$M$27,$O$2:$O$27),ISNUMBER(Table14[[#This Row],[Column4]]),Table14[[#This Row],[Column4]],Table14[[#This Row],[Column4]]="",I937*(1+Table14[[#This Row],[Ávöxtun]]))</f>
        <v>126.0213461404559</v>
      </c>
      <c r="L938" s="33">
        <v>126.0213461404559</v>
      </c>
    </row>
    <row r="939" spans="1:12">
      <c r="A939" t="s">
        <v>134</v>
      </c>
      <c r="B939">
        <v>2001</v>
      </c>
      <c r="C939" s="16">
        <v>0</v>
      </c>
      <c r="D939" s="1">
        <v>0</v>
      </c>
      <c r="E939" s="29">
        <f>Table14[[#This Row],[Ávöxtun]]*Table14[[#This Row],[Eignir]]/SUMIFS(Table14[Eignir],Table14[Year],Table14[[#This Row],[Year]])</f>
        <v>0</v>
      </c>
      <c r="F939" s="23" t="e">
        <f>IF(B939=1997, 100, IF(COUNTIF(A$1:A938,A939)=0, "NEW", F938*(1+Table14[[#This Row],[Ávöxtun]])))</f>
        <v>#VALUE!</v>
      </c>
      <c r="G939" s="18" t="str" cm="1">
        <f t="array" ref="G939">IFERROR(_xlfn.IFS(ISNUMBER(Table14[[#This Row],[Column3]]),Table14[[#This Row],[Column3]],Table14[[#This Row],[Column3]]="NEW",Table14[[#This Row],[Column3]]),"")</f>
        <v/>
      </c>
      <c r="H939" s="15" cm="1">
        <f t="array" ref="H939">_xlfn.IFS(Table14[[#This Row],[Column4]]="NEW",AVERAGEIFS(Table14[Column4],Table14[Year],Table14[[#This Row],[Year]]),ISNUMBER(Table14[[#This Row],[Column4]]),Table14[[#This Row],[Column4]],Table14[[#This Row],[Column4]]="",H938*(1+Table14[[#This Row],[Ávöxtun]]))</f>
        <v>122.90571428571431</v>
      </c>
      <c r="I939" cm="1">
        <f t="array" ref="I939">_xlfn.IFS(Table14[[#This Row],[Column4]]="NEW",_xlfn.XLOOKUP(Table14[[#This Row],[Year]],$M$2:$M$27,$O$2:$O$27),ISNUMBER(Table14[[#This Row],[Column4]]),Table14[[#This Row],[Column4]],Table14[[#This Row],[Column4]]="",I938*(1+Table14[[#This Row],[Ávöxtun]]))</f>
        <v>126.0213461404559</v>
      </c>
      <c r="L939" s="33">
        <v>126.0213461404559</v>
      </c>
    </row>
    <row r="940" spans="1:12">
      <c r="A940" t="s">
        <v>146</v>
      </c>
      <c r="C940" s="19"/>
      <c r="D940" s="21">
        <f>SUBTOTAL(109,Table14[Eignir])</f>
        <v>52798577897.604027</v>
      </c>
      <c r="E940" s="31"/>
      <c r="F940" s="21"/>
      <c r="G940" s="21"/>
      <c r="H940" s="20">
        <f>SUBTOTAL(109,Table14[Vísitalan án Eignavigtun])</f>
        <v>142548.44174317029</v>
      </c>
      <c r="I940" s="24"/>
    </row>
  </sheetData>
  <conditionalFormatting sqref="Y58:DF58">
    <cfRule type="top10" dxfId="22" priority="2" percent="1" rank="10"/>
    <cfRule type="top10" dxfId="21" priority="1" percent="1" bottom="1" rank="10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121EC-C075-9C4C-B5D2-FB53FA9DE91E}">
  <dimension ref="A1:V940"/>
  <sheetViews>
    <sheetView topLeftCell="F1" zoomScale="75" workbookViewId="0">
      <selection activeCell="P28" sqref="P28"/>
    </sheetView>
  </sheetViews>
  <sheetFormatPr baseColWidth="10" defaultRowHeight="16"/>
  <cols>
    <col min="1" max="1" width="47.33203125" bestFit="1" customWidth="1"/>
    <col min="3" max="3" width="11" customWidth="1"/>
    <col min="4" max="4" width="16.83203125" style="1" customWidth="1"/>
    <col min="5" max="5" width="15" style="29" customWidth="1"/>
    <col min="6" max="7" width="15" style="1" customWidth="1"/>
    <col min="8" max="8" width="26.6640625" style="15" bestFit="1" customWidth="1"/>
    <col min="12" max="12" width="15" style="33" bestFit="1" customWidth="1"/>
    <col min="13" max="13" width="10.83203125" style="33"/>
  </cols>
  <sheetData>
    <row r="1" spans="1:22">
      <c r="A1" t="s">
        <v>144</v>
      </c>
      <c r="B1" t="s">
        <v>142</v>
      </c>
      <c r="C1" t="s">
        <v>143</v>
      </c>
      <c r="D1" s="1" t="s">
        <v>137</v>
      </c>
      <c r="E1" s="29" t="s">
        <v>145</v>
      </c>
      <c r="F1" s="1" t="s">
        <v>147</v>
      </c>
      <c r="G1" s="1" t="s">
        <v>148</v>
      </c>
      <c r="H1" s="15" t="s">
        <v>149</v>
      </c>
      <c r="I1" t="s">
        <v>150</v>
      </c>
      <c r="L1" s="32" t="s">
        <v>149</v>
      </c>
      <c r="M1" s="33" t="s">
        <v>150</v>
      </c>
      <c r="O1" t="s">
        <v>154</v>
      </c>
    </row>
    <row r="2" spans="1:22">
      <c r="A2" t="s">
        <v>54</v>
      </c>
      <c r="B2">
        <v>2003</v>
      </c>
      <c r="C2" s="16">
        <v>0.13</v>
      </c>
      <c r="D2" s="1">
        <v>4920402</v>
      </c>
      <c r="E2" s="29">
        <f>Table15[[#This Row],[Ávöxtun]]*Table15[[#This Row],[Eignir]]/SUMIFS(Table15[Eignir],Table15[Year],Table15[[#This Row],[Year]])</f>
        <v>8.4176800042515265E-4</v>
      </c>
      <c r="F2" s="23" t="str">
        <f>IFERROR(IF(B2=1997, 100, IF(COUNTIF(A$1:A1,A2)=0, "NEW", "")),"")</f>
        <v>NEW</v>
      </c>
      <c r="G2" s="18" t="str" cm="1">
        <f t="array" ref="G2">IFERROR(_xlfn.IFS(ISNUMBER(Table15[[#This Row],[Column3]]),Table15[[#This Row],[Column3]],Table15[[#This Row],[Column3]]="NEW",Table15[[#This Row],[Column3]]),"")</f>
        <v>NEW</v>
      </c>
      <c r="H2" s="30" cm="1">
        <f t="array" ref="H2">_xlfn.IFS(Table15[[#This Row],[Column4]]="NEW",AVERAGEIFS(Table15[Column4],Table15[Year],Table15[[#This Row],[Year]]),ISNUMBER(Table15[[#This Row],[Column4]]),Table15[[#This Row],[Column4]],Table15[[#This Row],[Column4]]="",H1*(1+Table15[[#This Row],[Ávöxtun]]))</f>
        <v>126.12287587932381</v>
      </c>
      <c r="I2" s="30" cm="1">
        <f t="array" ref="I2">_xlfn.IFS(Table15[[#This Row],[Column4]]="NEW",_xlfn.XLOOKUP(Table15[[#This Row],[Year]]-1,$N$2:$N$27,$P$2:$P$27)*(1+Table15[[#This Row],[Ávöxtun]]),ISNUMBER(Table15[[#This Row],[Column4]]),Table15[[#This Row],[Column4]],Table15[[#This Row],[Column4]]="",I1*(1+Table15[[#This Row],[Ávöxtun]]))</f>
        <v>130.42938744715394</v>
      </c>
      <c r="K2">
        <f>P8*(1+Table15[[#This Row],[Ávöxtun]])</f>
        <v>130.42938744715394</v>
      </c>
      <c r="L2" s="33">
        <v>126.12287587932381</v>
      </c>
      <c r="M2" s="33">
        <v>143.45657513984816</v>
      </c>
      <c r="N2" t="s">
        <v>4</v>
      </c>
      <c r="O2" t="s">
        <v>154</v>
      </c>
      <c r="P2" t="s">
        <v>155</v>
      </c>
      <c r="Q2" t="s">
        <v>151</v>
      </c>
      <c r="R2" t="s">
        <v>152</v>
      </c>
      <c r="S2" t="s">
        <v>156</v>
      </c>
      <c r="T2" t="s">
        <v>157</v>
      </c>
      <c r="U2" t="s">
        <v>158</v>
      </c>
      <c r="V2" t="s">
        <v>159</v>
      </c>
    </row>
    <row r="3" spans="1:22">
      <c r="A3" t="s">
        <v>54</v>
      </c>
      <c r="B3">
        <v>2004</v>
      </c>
      <c r="C3" s="16">
        <v>0.08</v>
      </c>
      <c r="D3" s="1">
        <v>6646067</v>
      </c>
      <c r="E3" s="29">
        <f>Table15[[#This Row],[Ávöxtun]]*Table15[[#This Row],[Eignir]]/SUMIFS(Table15[Eignir],Table15[Year],Table15[[#This Row],[Year]])</f>
        <v>5.8576917933510523E-4</v>
      </c>
      <c r="F3" s="23" t="e">
        <f>IF(B3=1997, 100, IF(COUNTIF(A$1:A2,A3)=0, "NEW", F2*(1+Table15[[#This Row],[Ávöxtun]])))</f>
        <v>#VALUE!</v>
      </c>
      <c r="G3" s="18" t="str" cm="1">
        <f t="array" ref="G3">IFERROR(_xlfn.IFS(ISNUMBER(Table15[[#This Row],[Column3]]),Table15[[#This Row],[Column3]],Table15[[#This Row],[Column3]]="NEW",Table15[[#This Row],[Column3]]),"")</f>
        <v/>
      </c>
      <c r="H3" s="15" cm="1">
        <f t="array" ref="H3">_xlfn.IFS(Table15[[#This Row],[Column4]]="NEW",AVERAGEIFS(Table15[Column4],Table15[Year],Table15[[#This Row],[Year]]),ISNUMBER(Table15[[#This Row],[Column4]]),Table15[[#This Row],[Column4]],Table15[[#This Row],[Column4]]="",H2*(1+Table15[[#This Row],[Ávöxtun]]))</f>
        <v>136.21270594966973</v>
      </c>
      <c r="I3" s="30" cm="1">
        <f t="array" ref="I3">_xlfn.IFS(Table15[[#This Row],[Column4]]="NEW",_xlfn.XLOOKUP(Table15[[#This Row],[Year]]-1,$N$2:$N$27,$P$2:$P$27)*(1+Table15[[#This Row],[Ávöxtun]]),ISNUMBER(Table15[[#This Row],[Column4]]),Table15[[#This Row],[Column4]],Table15[[#This Row],[Column4]]="",I2*(1+Table15[[#This Row],[Ávöxtun]]))</f>
        <v>140.86373844292626</v>
      </c>
      <c r="L3" s="33">
        <v>136.21270594966973</v>
      </c>
      <c r="M3" s="33">
        <v>154.93310115103603</v>
      </c>
      <c r="N3">
        <v>1997</v>
      </c>
      <c r="O3" s="27">
        <f>SUMIFS(Table15[Column2],Table15[Year],N3)</f>
        <v>7.7066562556927135E-2</v>
      </c>
      <c r="P3">
        <v>100</v>
      </c>
      <c r="Q3" s="26" cm="1">
        <f t="array" ref="Q3">_xlfn.QUARTILE.EXC(IF($B$2:$B$939 = N3, $I$2:$I$939), 3)</f>
        <v>100</v>
      </c>
      <c r="R3" s="26" cm="1">
        <f t="array" ref="R3">_xlfn.QUARTILE.EXC(IF($B$2:$B$939 = N3, $I$2:$I$939), 1)</f>
        <v>100</v>
      </c>
      <c r="S3" s="26" cm="1">
        <f t="array" ref="S3">_xlfn.QUARTILE.EXC(IF($B$2:$B$939 = N3, $I$2:$I$939), 2)</f>
        <v>100</v>
      </c>
      <c r="T3" s="17" cm="1">
        <f t="array" ref="T3">_xlfn.QUARTILE.EXC(IF($B$2:$B$939 = N3, $C$2:$C$939), 3)</f>
        <v>0.08</v>
      </c>
      <c r="U3" s="17" cm="1">
        <f t="array" ref="U3">_xlfn.QUARTILE.EXC(IF($B$2:$B$939 = N3, $C$2:$C$939), 1)</f>
        <v>5.7499999999999996E-2</v>
      </c>
      <c r="V3" s="17" cm="1">
        <f t="array" ref="V3">_xlfn.QUARTILE.EXC(IF($B$2:$B$939 = N3, $C$2:$C$939), 2)</f>
        <v>0.06</v>
      </c>
    </row>
    <row r="4" spans="1:22">
      <c r="A4" t="s">
        <v>54</v>
      </c>
      <c r="B4">
        <v>2005</v>
      </c>
      <c r="C4" s="16">
        <v>0.1</v>
      </c>
      <c r="D4" s="1">
        <v>8442599</v>
      </c>
      <c r="E4" s="29">
        <f>Table15[[#This Row],[Ávöxtun]]*Table15[[#This Row],[Eignir]]/SUMIFS(Table15[Eignir],Table15[Year],Table15[[#This Row],[Year]])</f>
        <v>7.529042046217902E-4</v>
      </c>
      <c r="F4" s="23" t="e">
        <f>IF(B4=1997, 100, IF(COUNTIF(A$1:A3,A4)=0, "NEW", F3*(1+Table15[[#This Row],[Ávöxtun]])))</f>
        <v>#VALUE!</v>
      </c>
      <c r="G4" s="18" t="str" cm="1">
        <f t="array" ref="G4">IFERROR(_xlfn.IFS(ISNUMBER(Table15[[#This Row],[Column3]]),Table15[[#This Row],[Column3]],Table15[[#This Row],[Column3]]="NEW",Table15[[#This Row],[Column3]]),"")</f>
        <v/>
      </c>
      <c r="H4" s="15" cm="1">
        <f t="array" ref="H4">_xlfn.IFS(Table15[[#This Row],[Column4]]="NEW",AVERAGEIFS(Table15[Column4],Table15[Year],Table15[[#This Row],[Year]]),ISNUMBER(Table15[[#This Row],[Column4]]),Table15[[#This Row],[Column4]],Table15[[#This Row],[Column4]]="",H3*(1+Table15[[#This Row],[Ávöxtun]]))</f>
        <v>149.8339765446367</v>
      </c>
      <c r="I4" s="30" cm="1">
        <f t="array" ref="I4">_xlfn.IFS(Table15[[#This Row],[Column4]]="NEW",_xlfn.XLOOKUP(Table15[[#This Row],[Year]]-1,$N$2:$N$27,$P$2:$P$27)*(1+Table15[[#This Row],[Ávöxtun]]),ISNUMBER(Table15[[#This Row],[Column4]]),Table15[[#This Row],[Column4]],Table15[[#This Row],[Column4]]="",I3*(1+Table15[[#This Row],[Ávöxtun]]))</f>
        <v>154.9501122872189</v>
      </c>
      <c r="L4" s="33">
        <v>149.8339765446367</v>
      </c>
      <c r="M4" s="33">
        <v>170.42641126613964</v>
      </c>
      <c r="N4">
        <v>1998</v>
      </c>
      <c r="O4" s="27">
        <f>SUMIFS(Table15[Column2],Table15[Year],N4)</f>
        <v>7.1118656567369598E-2</v>
      </c>
      <c r="P4">
        <f t="shared" ref="P4:P26" si="0">P3*(1+O4)</f>
        <v>107.11186565673697</v>
      </c>
      <c r="Q4" s="26" cm="1">
        <f t="array" ref="Q4">_xlfn.QUARTILE.EXC(IF($B$2:$B$939 = N4, $I$2:$I$939), 3)</f>
        <v>108</v>
      </c>
      <c r="R4" s="26" cm="1">
        <f t="array" ref="R4">_xlfn.QUARTILE.EXC(IF($B$2:$B$939 = N4, $I$2:$I$939), 1)</f>
        <v>105</v>
      </c>
      <c r="S4" s="26" cm="1">
        <f t="array" ref="S4">_xlfn.QUARTILE.EXC(IF($B$2:$B$939 = N4, $I$2:$I$939), 2)</f>
        <v>107</v>
      </c>
      <c r="T4" s="17" cm="1">
        <f t="array" ref="T4">_xlfn.QUARTILE.EXC(IF($B$2:$B$939 = N4, $C$2:$C$939), 3)</f>
        <v>0.08</v>
      </c>
      <c r="U4" s="17" cm="1">
        <f t="array" ref="U4">_xlfn.QUARTILE.EXC(IF($B$2:$B$939 = N4, $C$2:$C$939), 1)</f>
        <v>0.05</v>
      </c>
      <c r="V4" s="17" cm="1">
        <f t="array" ref="V4">_xlfn.QUARTILE.EXC(IF($B$2:$B$939 = N4, $C$2:$C$939), 2)</f>
        <v>7.0000000000000007E-2</v>
      </c>
    </row>
    <row r="5" spans="1:22">
      <c r="A5" t="s">
        <v>54</v>
      </c>
      <c r="B5">
        <v>2006</v>
      </c>
      <c r="C5" s="16">
        <v>0.26400000000000001</v>
      </c>
      <c r="D5" s="1">
        <v>36287972</v>
      </c>
      <c r="E5" s="29">
        <f>Table15[[#This Row],[Ávöxtun]]*Table15[[#This Row],[Eignir]]/SUMIFS(Table15[Eignir],Table15[Year],Table15[[#This Row],[Year]])</f>
        <v>6.9790883795388114E-3</v>
      </c>
      <c r="F5" s="23" t="e">
        <f>IF(B5=1997, 100, IF(COUNTIF(A$1:A4,A5)=0, "NEW", F4*(1+Table15[[#This Row],[Ávöxtun]])))</f>
        <v>#VALUE!</v>
      </c>
      <c r="G5" s="18" t="str" cm="1">
        <f t="array" ref="G5">IFERROR(_xlfn.IFS(ISNUMBER(Table15[[#This Row],[Column3]]),Table15[[#This Row],[Column3]],Table15[[#This Row],[Column3]]="NEW",Table15[[#This Row],[Column3]]),"")</f>
        <v/>
      </c>
      <c r="H5" s="15" cm="1">
        <f t="array" ref="H5">_xlfn.IFS(Table15[[#This Row],[Column4]]="NEW",AVERAGEIFS(Table15[Column4],Table15[Year],Table15[[#This Row],[Year]]),ISNUMBER(Table15[[#This Row],[Column4]]),Table15[[#This Row],[Column4]],Table15[[#This Row],[Column4]]="",H4*(1+Table15[[#This Row],[Ávöxtun]]))</f>
        <v>189.3901463524208</v>
      </c>
      <c r="I5" s="30" cm="1">
        <f t="array" ref="I5">_xlfn.IFS(Table15[[#This Row],[Column4]]="NEW",_xlfn.XLOOKUP(Table15[[#This Row],[Year]]-1,$N$2:$N$27,$P$2:$P$27)*(1+Table15[[#This Row],[Ávöxtun]]),ISNUMBER(Table15[[#This Row],[Column4]]),Table15[[#This Row],[Column4]],Table15[[#This Row],[Column4]]="",I4*(1+Table15[[#This Row],[Ávöxtun]]))</f>
        <v>195.8569419310447</v>
      </c>
      <c r="L5" s="33">
        <v>189.3901463524208</v>
      </c>
      <c r="M5" s="33">
        <v>215.4189838404005</v>
      </c>
      <c r="N5">
        <v>1999</v>
      </c>
      <c r="O5" s="27">
        <f>SUMIFS(Table15[Column2],Table15[Year],N5)</f>
        <v>0.12051385644059291</v>
      </c>
      <c r="P5">
        <f t="shared" si="0"/>
        <v>120.02032965757705</v>
      </c>
      <c r="Q5" s="26" cm="1">
        <f t="array" ref="Q5">_xlfn.QUARTILE.EXC(IF($B$2:$B$939 = N5, $I$2:$I$939), 3)</f>
        <v>120.90999999999998</v>
      </c>
      <c r="R5" s="26" cm="1">
        <f t="array" ref="R5">_xlfn.QUARTILE.EXC(IF($B$2:$B$939 = N5, $I$2:$I$939), 1)</f>
        <v>112.38686473489345</v>
      </c>
      <c r="S5" s="26" cm="1">
        <f t="array" ref="S5">_xlfn.QUARTILE.EXC(IF($B$2:$B$939 = N5, $I$2:$I$939), 2)</f>
        <v>116.63000000000001</v>
      </c>
      <c r="T5" s="17" cm="1">
        <f t="array" ref="T5">_xlfn.QUARTILE.EXC(IF($B$2:$B$939 = N5, $C$2:$C$939), 3)</f>
        <v>0.1275</v>
      </c>
      <c r="U5" s="17" cm="1">
        <f t="array" ref="U5">_xlfn.QUARTILE.EXC(IF($B$2:$B$939 = N5, $C$2:$C$939), 1)</f>
        <v>0.06</v>
      </c>
      <c r="V5" s="17" cm="1">
        <f t="array" ref="V5">_xlfn.QUARTILE.EXC(IF($B$2:$B$939 = N5, $C$2:$C$939), 2)</f>
        <v>0.08</v>
      </c>
    </row>
    <row r="6" spans="1:22">
      <c r="A6" t="s">
        <v>54</v>
      </c>
      <c r="B6">
        <v>2007</v>
      </c>
      <c r="C6" s="16">
        <v>2.2000000000000002E-2</v>
      </c>
      <c r="D6" s="1">
        <v>39961749</v>
      </c>
      <c r="E6" s="29">
        <f>Table15[[#This Row],[Ávöxtun]]*Table15[[#This Row],[Eignir]]/SUMIFS(Table15[Eignir],Table15[Year],Table15[[#This Row],[Year]])</f>
        <v>5.6851650812363272E-4</v>
      </c>
      <c r="F6" s="23" t="e">
        <f>IF(B6=1997, 100, IF(COUNTIF(A$1:A5,A6)=0, "NEW", F5*(1+Table15[[#This Row],[Ávöxtun]])))</f>
        <v>#VALUE!</v>
      </c>
      <c r="G6" s="18" t="str" cm="1">
        <f t="array" ref="G6">IFERROR(_xlfn.IFS(ISNUMBER(Table15[[#This Row],[Column3]]),Table15[[#This Row],[Column3]],Table15[[#This Row],[Column3]]="NEW",Table15[[#This Row],[Column3]]),"")</f>
        <v/>
      </c>
      <c r="H6" s="15" cm="1">
        <f t="array" ref="H6">_xlfn.IFS(Table15[[#This Row],[Column4]]="NEW",AVERAGEIFS(Table15[Column4],Table15[Year],Table15[[#This Row],[Year]]),ISNUMBER(Table15[[#This Row],[Column4]]),Table15[[#This Row],[Column4]],Table15[[#This Row],[Column4]]="",H5*(1+Table15[[#This Row],[Ávöxtun]]))</f>
        <v>193.55672957217405</v>
      </c>
      <c r="I6" s="30" cm="1">
        <f t="array" ref="I6">_xlfn.IFS(Table15[[#This Row],[Column4]]="NEW",_xlfn.XLOOKUP(Table15[[#This Row],[Year]]-1,$N$2:$N$27,$P$2:$P$27)*(1+Table15[[#This Row],[Ávöxtun]]),ISNUMBER(Table15[[#This Row],[Column4]]),Table15[[#This Row],[Column4]],Table15[[#This Row],[Column4]]="",I5*(1+Table15[[#This Row],[Ávöxtun]]))</f>
        <v>200.16579465352768</v>
      </c>
      <c r="L6" s="33">
        <v>193.55672957217405</v>
      </c>
      <c r="M6" s="33">
        <v>220.1582014848893</v>
      </c>
      <c r="N6">
        <v>2000</v>
      </c>
      <c r="O6" s="27">
        <f>SUMIFS(Table15[Column2],Table15[Year],N6)</f>
        <v>2.3923047182192883E-3</v>
      </c>
      <c r="P6">
        <f t="shared" si="0"/>
        <v>120.3074548584991</v>
      </c>
      <c r="Q6" s="26" cm="1">
        <f t="array" ref="Q6">_xlfn.QUARTILE.EXC(IF($B$2:$B$939 = N6, $I$2:$I$939), 3)</f>
        <v>120.11017500000001</v>
      </c>
      <c r="R6" s="26" cm="1">
        <f t="array" ref="R6">_xlfn.QUARTILE.EXC(IF($B$2:$B$939 = N6, $I$2:$I$939), 1)</f>
        <v>111.94012470846761</v>
      </c>
      <c r="S6" s="26" cm="1">
        <f t="array" ref="S6">_xlfn.QUARTILE.EXC(IF($B$2:$B$939 = N6, $I$2:$I$939), 2)</f>
        <v>117.64915000000002</v>
      </c>
      <c r="T6" s="17" cm="1">
        <f t="array" ref="T6">_xlfn.QUARTILE.EXC(IF($B$2:$B$939 = N6, $C$2:$C$939), 3)</f>
        <v>2.75E-2</v>
      </c>
      <c r="U6" s="17" cm="1">
        <f t="array" ref="U6">_xlfn.QUARTILE.EXC(IF($B$2:$B$939 = N6, $C$2:$C$939), 1)</f>
        <v>-0.04</v>
      </c>
      <c r="V6" s="17" cm="1">
        <f t="array" ref="V6">_xlfn.QUARTILE.EXC(IF($B$2:$B$939 = N6, $C$2:$C$939), 2)</f>
        <v>-5.0000000000000001E-3</v>
      </c>
    </row>
    <row r="7" spans="1:22">
      <c r="A7" t="s">
        <v>54</v>
      </c>
      <c r="B7">
        <v>2008</v>
      </c>
      <c r="C7" s="16">
        <v>-0.45900000000000002</v>
      </c>
      <c r="D7" s="1">
        <v>38610698</v>
      </c>
      <c r="E7" s="29">
        <f>Table15[[#This Row],[Ávöxtun]]*Table15[[#This Row],[Eignir]]/SUMIFS(Table15[Eignir],Table15[Year],Table15[[#This Row],[Year]])</f>
        <v>-1.1836037195793842E-2</v>
      </c>
      <c r="F7" s="23" t="e">
        <f>IF(B7=1997, 100, IF(COUNTIF(A$1:A6,A7)=0, "NEW", F6*(1+Table15[[#This Row],[Ávöxtun]])))</f>
        <v>#VALUE!</v>
      </c>
      <c r="G7" s="18" t="str" cm="1">
        <f t="array" ref="G7">IFERROR(_xlfn.IFS(ISNUMBER(Table15[[#This Row],[Column3]]),Table15[[#This Row],[Column3]],Table15[[#This Row],[Column3]]="NEW",Table15[[#This Row],[Column3]]),"")</f>
        <v/>
      </c>
      <c r="H7" s="15" cm="1">
        <f t="array" ref="H7">_xlfn.IFS(Table15[[#This Row],[Column4]]="NEW",AVERAGEIFS(Table15[Column4],Table15[Year],Table15[[#This Row],[Year]]),ISNUMBER(Table15[[#This Row],[Column4]]),Table15[[#This Row],[Column4]],Table15[[#This Row],[Column4]]="",H6*(1+Table15[[#This Row],[Ávöxtun]]))</f>
        <v>104.71419069854615</v>
      </c>
      <c r="I7" s="30" cm="1">
        <f t="array" ref="I7">_xlfn.IFS(Table15[[#This Row],[Column4]]="NEW",_xlfn.XLOOKUP(Table15[[#This Row],[Year]]-1,$N$2:$N$27,$P$2:$P$27)*(1+Table15[[#This Row],[Ávöxtun]]),ISNUMBER(Table15[[#This Row],[Column4]]),Table15[[#This Row],[Column4]],Table15[[#This Row],[Column4]]="",I6*(1+Table15[[#This Row],[Ávöxtun]]))</f>
        <v>108.28969490755846</v>
      </c>
      <c r="L7" s="33">
        <v>104.71419069854615</v>
      </c>
      <c r="M7" s="33">
        <v>119.1055870033251</v>
      </c>
      <c r="N7">
        <v>2001</v>
      </c>
      <c r="O7" s="27">
        <f>SUMIFS(Table15[Column2],Table15[Year],N7)</f>
        <v>-2.7250195392976701E-2</v>
      </c>
      <c r="P7">
        <f t="shared" si="0"/>
        <v>117.02905320637328</v>
      </c>
      <c r="Q7" s="26" cm="1">
        <f t="array" ref="Q7">_xlfn.QUARTILE.EXC(IF($B$2:$B$939 = N7, $I$2:$I$939), 3)</f>
        <v>119.34997200000001</v>
      </c>
      <c r="R7" s="26" cm="1">
        <f t="array" ref="R7">_xlfn.QUARTILE.EXC(IF($B$2:$B$939 = N7, $I$2:$I$939), 1)</f>
        <v>107.47404000000002</v>
      </c>
      <c r="S7" s="26" cm="1">
        <f t="array" ref="S7">_xlfn.QUARTILE.EXC(IF($B$2:$B$939 = N7, $I$2:$I$939), 2)</f>
        <v>113.17245800000001</v>
      </c>
      <c r="T7" s="17" cm="1">
        <f t="array" ref="T7">_xlfn.QUARTILE.EXC(IF($B$2:$B$939 = N7, $C$2:$C$939), 3)</f>
        <v>0.01</v>
      </c>
      <c r="U7" s="17" cm="1">
        <f t="array" ref="U7">_xlfn.QUARTILE.EXC(IF($B$2:$B$939 = N7, $C$2:$C$939), 1)</f>
        <v>-0.05</v>
      </c>
      <c r="V7" s="17" cm="1">
        <f t="array" ref="V7">_xlfn.QUARTILE.EXC(IF($B$2:$B$939 = N7, $C$2:$C$939), 2)</f>
        <v>-0.02</v>
      </c>
    </row>
    <row r="8" spans="1:22">
      <c r="A8" t="s">
        <v>54</v>
      </c>
      <c r="B8">
        <v>2009</v>
      </c>
      <c r="C8" s="16">
        <v>0</v>
      </c>
      <c r="D8" s="1">
        <v>42395259</v>
      </c>
      <c r="E8" s="29">
        <f>Table15[[#This Row],[Ávöxtun]]*Table15[[#This Row],[Eignir]]/SUMIFS(Table15[Eignir],Table15[Year],Table15[[#This Row],[Year]])</f>
        <v>0</v>
      </c>
      <c r="F8" s="23" t="e">
        <f>IF(B8=1997, 100, IF(COUNTIF(A$1:A7,A8)=0, "NEW", F7*(1+Table15[[#This Row],[Ávöxtun]])))</f>
        <v>#VALUE!</v>
      </c>
      <c r="G8" s="18" t="str" cm="1">
        <f t="array" ref="G8">IFERROR(_xlfn.IFS(ISNUMBER(Table15[[#This Row],[Column3]]),Table15[[#This Row],[Column3]],Table15[[#This Row],[Column3]]="NEW",Table15[[#This Row],[Column3]]),"")</f>
        <v/>
      </c>
      <c r="H8" s="15" cm="1">
        <f t="array" ref="H8">_xlfn.IFS(Table15[[#This Row],[Column4]]="NEW",AVERAGEIFS(Table15[Column4],Table15[Year],Table15[[#This Row],[Year]]),ISNUMBER(Table15[[#This Row],[Column4]]),Table15[[#This Row],[Column4]],Table15[[#This Row],[Column4]]="",H7*(1+Table15[[#This Row],[Ávöxtun]]))</f>
        <v>104.71419069854615</v>
      </c>
      <c r="I8" s="30" cm="1">
        <f t="array" ref="I8">_xlfn.IFS(Table15[[#This Row],[Column4]]="NEW",_xlfn.XLOOKUP(Table15[[#This Row],[Year]]-1,$N$2:$N$27,$P$2:$P$27)*(1+Table15[[#This Row],[Ávöxtun]]),ISNUMBER(Table15[[#This Row],[Column4]]),Table15[[#This Row],[Column4]],Table15[[#This Row],[Column4]]="",I7*(1+Table15[[#This Row],[Ávöxtun]]))</f>
        <v>108.28969490755846</v>
      </c>
      <c r="L8" s="33">
        <v>104.71419069854615</v>
      </c>
      <c r="M8" s="33">
        <v>119.1055870033251</v>
      </c>
      <c r="N8">
        <v>2002</v>
      </c>
      <c r="O8" s="27">
        <f>SUMIFS(Table15[Column2],Table15[Year],N8)</f>
        <v>-1.3712975398049009E-2</v>
      </c>
      <c r="P8">
        <f t="shared" si="0"/>
        <v>115.4242366788973</v>
      </c>
      <c r="Q8" s="26" cm="1">
        <f t="array" ref="Q8">_xlfn.QUARTILE.EXC(IF($B$2:$B$939 = N8, $I$2:$I$939), 3)</f>
        <v>121.12854048</v>
      </c>
      <c r="R8" s="26" cm="1">
        <f t="array" ref="R8">_xlfn.QUARTILE.EXC(IF($B$2:$B$939 = N8, $I$2:$I$939), 1)</f>
        <v>104.35566312965781</v>
      </c>
      <c r="S8" s="26" cm="1">
        <f t="array" ref="S8">_xlfn.QUARTILE.EXC(IF($B$2:$B$939 = N8, $I$2:$I$939), 2)</f>
        <v>113.11978689000001</v>
      </c>
      <c r="T8" s="17" cm="1">
        <f t="array" ref="T8">_xlfn.QUARTILE.EXC(IF($B$2:$B$939 = N8, $C$2:$C$939), 3)</f>
        <v>0.03</v>
      </c>
      <c r="U8" s="17" cm="1">
        <f t="array" ref="U8">_xlfn.QUARTILE.EXC(IF($B$2:$B$939 = N8, $C$2:$C$939), 1)</f>
        <v>-0.04</v>
      </c>
      <c r="V8" s="17" cm="1">
        <f t="array" ref="V8">_xlfn.QUARTILE.EXC(IF($B$2:$B$939 = N8, $C$2:$C$939), 2)</f>
        <v>-0.02</v>
      </c>
    </row>
    <row r="9" spans="1:22">
      <c r="A9" t="s">
        <v>54</v>
      </c>
      <c r="B9">
        <v>2010</v>
      </c>
      <c r="C9" s="16">
        <v>1.4999999999999999E-2</v>
      </c>
      <c r="D9" s="1">
        <v>46597920</v>
      </c>
      <c r="E9" s="29">
        <f>Table15[[#This Row],[Ávöxtun]]*Table15[[#This Row],[Eignir]]/SUMIFS(Table15[Eignir],Table15[Year],Table15[[#This Row],[Year]])</f>
        <v>3.909688192258078E-4</v>
      </c>
      <c r="F9" s="23" t="e">
        <f>IF(B9=1997, 100, IF(COUNTIF(A$1:A8,A9)=0, "NEW", F8*(1+Table15[[#This Row],[Ávöxtun]])))</f>
        <v>#VALUE!</v>
      </c>
      <c r="G9" s="18" t="str" cm="1">
        <f t="array" ref="G9">IFERROR(_xlfn.IFS(ISNUMBER(Table15[[#This Row],[Column3]]),Table15[[#This Row],[Column3]],Table15[[#This Row],[Column3]]="NEW",Table15[[#This Row],[Column3]]),"")</f>
        <v/>
      </c>
      <c r="H9" s="15" cm="1">
        <f t="array" ref="H9">_xlfn.IFS(Table15[[#This Row],[Column4]]="NEW",AVERAGEIFS(Table15[Column4],Table15[Year],Table15[[#This Row],[Year]]),ISNUMBER(Table15[[#This Row],[Column4]]),Table15[[#This Row],[Column4]],Table15[[#This Row],[Column4]]="",H8*(1+Table15[[#This Row],[Ávöxtun]]))</f>
        <v>106.28490355902433</v>
      </c>
      <c r="I9" s="30" cm="1">
        <f t="array" ref="I9">_xlfn.IFS(Table15[[#This Row],[Column4]]="NEW",_xlfn.XLOOKUP(Table15[[#This Row],[Year]]-1,$N$2:$N$27,$P$2:$P$27)*(1+Table15[[#This Row],[Ávöxtun]]),ISNUMBER(Table15[[#This Row],[Column4]]),Table15[[#This Row],[Column4]],Table15[[#This Row],[Column4]]="",I8*(1+Table15[[#This Row],[Ávöxtun]]))</f>
        <v>109.91404033117182</v>
      </c>
      <c r="L9" s="33">
        <v>106.28490355902433</v>
      </c>
      <c r="M9" s="33">
        <v>120.89217080837496</v>
      </c>
      <c r="N9">
        <v>2003</v>
      </c>
      <c r="O9" s="27">
        <f>SUMIFS(Table15[Column2],Table15[Year],N9)</f>
        <v>0.15393382447133958</v>
      </c>
      <c r="P9">
        <f t="shared" si="0"/>
        <v>133.19193086756502</v>
      </c>
      <c r="Q9" s="26" cm="1">
        <f t="array" ref="Q9">_xlfn.QUARTILE.EXC(IF($B$2:$B$939 = N9, $I$2:$I$939), 3)</f>
        <v>133.18680283200001</v>
      </c>
      <c r="R9" s="26" cm="1">
        <f t="array" ref="R9">_xlfn.QUARTILE.EXC(IF($B$2:$B$939 = N9, $I$2:$I$939), 1)</f>
        <v>114.57773987394168</v>
      </c>
      <c r="S9" s="26" cm="1">
        <f t="array" ref="S9">_xlfn.QUARTILE.EXC(IF($B$2:$B$939 = N9, $I$2:$I$939), 2)</f>
        <v>126.30853380000001</v>
      </c>
      <c r="T9" s="17" cm="1">
        <f t="array" ref="T9">_xlfn.QUARTILE.EXC(IF($B$2:$B$939 = N9, $C$2:$C$939), 3)</f>
        <v>0.13</v>
      </c>
      <c r="U9" s="17" cm="1">
        <f t="array" ref="U9">_xlfn.QUARTILE.EXC(IF($B$2:$B$939 = N9, $C$2:$C$939), 1)</f>
        <v>8.7499999999999994E-2</v>
      </c>
      <c r="V9" s="17" cm="1">
        <f t="array" ref="V9">_xlfn.QUARTILE.EXC(IF($B$2:$B$939 = N9, $C$2:$C$939), 2)</f>
        <v>0.1</v>
      </c>
    </row>
    <row r="10" spans="1:22">
      <c r="A10" t="s">
        <v>54</v>
      </c>
      <c r="B10">
        <v>2011</v>
      </c>
      <c r="C10" s="16">
        <v>4.2000000000000003E-2</v>
      </c>
      <c r="D10" s="1">
        <v>53278550</v>
      </c>
      <c r="E10" s="29">
        <f>Table15[[#This Row],[Ávöxtun]]*Table15[[#This Row],[Eignir]]/SUMIFS(Table15[Eignir],Table15[Year],Table15[[#This Row],[Year]])</f>
        <v>1.1472092286610633E-3</v>
      </c>
      <c r="F10" s="23" t="e">
        <f>IF(B10=1997, 100, IF(COUNTIF(A$1:A9,A10)=0, "NEW", F9*(1+Table15[[#This Row],[Ávöxtun]])))</f>
        <v>#VALUE!</v>
      </c>
      <c r="G10" s="18" t="str" cm="1">
        <f t="array" ref="G10">IFERROR(_xlfn.IFS(ISNUMBER(Table15[[#This Row],[Column3]]),Table15[[#This Row],[Column3]],Table15[[#This Row],[Column3]]="NEW",Table15[[#This Row],[Column3]]),"")</f>
        <v/>
      </c>
      <c r="H10" s="15" cm="1">
        <f t="array" ref="H10">_xlfn.IFS(Table15[[#This Row],[Column4]]="NEW",AVERAGEIFS(Table15[Column4],Table15[Year],Table15[[#This Row],[Year]]),ISNUMBER(Table15[[#This Row],[Column4]]),Table15[[#This Row],[Column4]],Table15[[#This Row],[Column4]]="",H9*(1+Table15[[#This Row],[Ávöxtun]]))</f>
        <v>110.74886950850336</v>
      </c>
      <c r="I10" s="30" cm="1">
        <f t="array" ref="I10">_xlfn.IFS(Table15[[#This Row],[Column4]]="NEW",_xlfn.XLOOKUP(Table15[[#This Row],[Year]]-1,$N$2:$N$27,$P$2:$P$27)*(1+Table15[[#This Row],[Ávöxtun]]),ISNUMBER(Table15[[#This Row],[Column4]]),Table15[[#This Row],[Column4]],Table15[[#This Row],[Column4]]="",I9*(1+Table15[[#This Row],[Ávöxtun]]))</f>
        <v>114.53043002508105</v>
      </c>
      <c r="L10" s="33">
        <v>110.74886950850336</v>
      </c>
      <c r="M10" s="33">
        <v>125.96964198232671</v>
      </c>
      <c r="N10">
        <v>2004</v>
      </c>
      <c r="O10" s="27">
        <f>SUMIFS(Table15[Column2],Table15[Year],N10)</f>
        <v>0.13684586600562734</v>
      </c>
      <c r="P10">
        <f t="shared" si="0"/>
        <v>151.41869599209861</v>
      </c>
      <c r="Q10" s="26" cm="1">
        <f t="array" ref="Q10">_xlfn.QUARTILE.EXC(IF($B$2:$B$939 = N10, $I$2:$I$939), 3)</f>
        <v>146.96377096698004</v>
      </c>
      <c r="R10" s="26" cm="1">
        <f t="array" ref="R10">_xlfn.QUARTILE.EXC(IF($B$2:$B$939 = N10, $I$2:$I$939), 1)</f>
        <v>124.19781000062403</v>
      </c>
      <c r="S10" s="26" cm="1">
        <f t="array" ref="S10">_xlfn.QUARTILE.EXC(IF($B$2:$B$939 = N10, $I$2:$I$939), 2)</f>
        <v>139.31306322570003</v>
      </c>
      <c r="T10" s="17" cm="1">
        <f t="array" ref="T10">_xlfn.QUARTILE.EXC(IF($B$2:$B$939 = N10, $C$2:$C$939), 3)</f>
        <v>0.12</v>
      </c>
      <c r="U10" s="17" cm="1">
        <f t="array" ref="U10">_xlfn.QUARTILE.EXC(IF($B$2:$B$939 = N10, $C$2:$C$939), 1)</f>
        <v>0.06</v>
      </c>
      <c r="V10" s="17" cm="1">
        <f t="array" ref="V10">_xlfn.QUARTILE.EXC(IF($B$2:$B$939 = N10, $C$2:$C$939), 2)</f>
        <v>0.09</v>
      </c>
    </row>
    <row r="11" spans="1:22">
      <c r="A11" t="s">
        <v>54</v>
      </c>
      <c r="B11">
        <v>2012</v>
      </c>
      <c r="C11" s="16">
        <v>9.8000000000000004E-2</v>
      </c>
      <c r="D11" s="1">
        <v>60677032</v>
      </c>
      <c r="E11" s="29">
        <f>Table15[[#This Row],[Ávöxtun]]*Table15[[#This Row],[Eignir]]/SUMIFS(Table15[Eignir],Table15[Year],Table15[[#This Row],[Year]])</f>
        <v>2.6993976068666772E-3</v>
      </c>
      <c r="F11" s="23" t="e">
        <f>IF(B11=1997, 100, IF(COUNTIF(A$1:A10,A11)=0, "NEW", F10*(1+Table15[[#This Row],[Ávöxtun]])))</f>
        <v>#VALUE!</v>
      </c>
      <c r="G11" s="18" t="str" cm="1">
        <f t="array" ref="G11">IFERROR(_xlfn.IFS(ISNUMBER(Table15[[#This Row],[Column3]]),Table15[[#This Row],[Column3]],Table15[[#This Row],[Column3]]="NEW",Table15[[#This Row],[Column3]]),"")</f>
        <v/>
      </c>
      <c r="H11" s="15" cm="1">
        <f t="array" ref="H11">_xlfn.IFS(Table15[[#This Row],[Column4]]="NEW",AVERAGEIFS(Table15[Column4],Table15[Year],Table15[[#This Row],[Year]]),ISNUMBER(Table15[[#This Row],[Column4]]),Table15[[#This Row],[Column4]],Table15[[#This Row],[Column4]]="",H10*(1+Table15[[#This Row],[Ávöxtun]]))</f>
        <v>121.60225872033671</v>
      </c>
      <c r="I11" s="30" cm="1">
        <f t="array" ref="I11">_xlfn.IFS(Table15[[#This Row],[Column4]]="NEW",_xlfn.XLOOKUP(Table15[[#This Row],[Year]]-1,$N$2:$N$27,$P$2:$P$27)*(1+Table15[[#This Row],[Ávöxtun]]),ISNUMBER(Table15[[#This Row],[Column4]]),Table15[[#This Row],[Column4]],Table15[[#This Row],[Column4]]="",I10*(1+Table15[[#This Row],[Ávöxtun]]))</f>
        <v>125.754412167539</v>
      </c>
      <c r="L11" s="33">
        <v>121.60225872033671</v>
      </c>
      <c r="M11" s="33">
        <v>138.31466689659473</v>
      </c>
      <c r="N11">
        <v>2005</v>
      </c>
      <c r="O11" s="27">
        <f>SUMIFS(Table15[Column2],Table15[Year],N11)</f>
        <v>0.17835940065803957</v>
      </c>
      <c r="P11">
        <f t="shared" si="0"/>
        <v>178.42564385767122</v>
      </c>
      <c r="Q11" s="26" cm="1">
        <f t="array" ref="Q11">_xlfn.QUARTILE.EXC(IF($B$2:$B$939 = N11, $I$2:$I$939), 3)</f>
        <v>164.09532811700163</v>
      </c>
      <c r="R11" s="26" cm="1">
        <f t="array" ref="R11">_xlfn.QUARTILE.EXC(IF($B$2:$B$939 = N11, $I$2:$I$939), 1)</f>
        <v>133.27878626600801</v>
      </c>
      <c r="S11" s="26" cm="1">
        <f t="array" ref="S11">_xlfn.QUARTILE.EXC(IF($B$2:$B$939 = N11, $I$2:$I$939), 2)</f>
        <v>153.05068942551361</v>
      </c>
      <c r="T11" s="17" cm="1">
        <f t="array" ref="T11">_xlfn.QUARTILE.EXC(IF($B$2:$B$939 = N11, $C$2:$C$939), 3)</f>
        <v>0.14000000000000001</v>
      </c>
      <c r="U11" s="17" cm="1">
        <f t="array" ref="U11">_xlfn.QUARTILE.EXC(IF($B$2:$B$939 = N11, $C$2:$C$939), 1)</f>
        <v>0.06</v>
      </c>
      <c r="V11" s="17" cm="1">
        <f t="array" ref="V11">_xlfn.QUARTILE.EXC(IF($B$2:$B$939 = N11, $C$2:$C$939), 2)</f>
        <v>0.1</v>
      </c>
    </row>
    <row r="12" spans="1:22">
      <c r="A12" t="s">
        <v>54</v>
      </c>
      <c r="B12">
        <v>2013</v>
      </c>
      <c r="C12" s="16">
        <v>3.7000000000000005E-2</v>
      </c>
      <c r="D12" s="1">
        <v>67548582</v>
      </c>
      <c r="E12" s="29">
        <f>Table15[[#This Row],[Ávöxtun]]*Table15[[#This Row],[Eignir]]/SUMIFS(Table15[Eignir],Table15[Year],Table15[[#This Row],[Year]])</f>
        <v>1.0270046658166915E-3</v>
      </c>
      <c r="F12" s="23" t="e">
        <f>IF(B12=1997, 100, IF(COUNTIF(A$1:A11,A12)=0, "NEW", F11*(1+Table15[[#This Row],[Ávöxtun]])))</f>
        <v>#VALUE!</v>
      </c>
      <c r="G12" s="18" t="str" cm="1">
        <f t="array" ref="G12">IFERROR(_xlfn.IFS(ISNUMBER(Table15[[#This Row],[Column3]]),Table15[[#This Row],[Column3]],Table15[[#This Row],[Column3]]="NEW",Table15[[#This Row],[Column3]]),"")</f>
        <v/>
      </c>
      <c r="H12" s="15" cm="1">
        <f t="array" ref="H12">_xlfn.IFS(Table15[[#This Row],[Column4]]="NEW",AVERAGEIFS(Table15[Column4],Table15[Year],Table15[[#This Row],[Year]]),ISNUMBER(Table15[[#This Row],[Column4]]),Table15[[#This Row],[Column4]],Table15[[#This Row],[Column4]]="",H11*(1+Table15[[#This Row],[Ávöxtun]]))</f>
        <v>126.10154229298915</v>
      </c>
      <c r="I12" s="30" cm="1">
        <f t="array" ref="I12">_xlfn.IFS(Table15[[#This Row],[Column4]]="NEW",_xlfn.XLOOKUP(Table15[[#This Row],[Year]]-1,$N$2:$N$27,$P$2:$P$27)*(1+Table15[[#This Row],[Ávöxtun]]),ISNUMBER(Table15[[#This Row],[Column4]]),Table15[[#This Row],[Column4]],Table15[[#This Row],[Column4]]="",I11*(1+Table15[[#This Row],[Ávöxtun]]))</f>
        <v>130.40732541773792</v>
      </c>
      <c r="L12" s="33">
        <v>126.10154229298915</v>
      </c>
      <c r="M12" s="33">
        <v>143.43230957176871</v>
      </c>
      <c r="N12">
        <v>2006</v>
      </c>
      <c r="O12" s="27">
        <f>SUMIFS(Table15[Column2],Table15[Year],N12)</f>
        <v>0.14096750589979143</v>
      </c>
      <c r="P12">
        <f t="shared" si="0"/>
        <v>203.57786186085158</v>
      </c>
      <c r="Q12" s="26" cm="1">
        <f t="array" ref="Q12">_xlfn.QUARTILE.EXC(IF($B$2:$B$939 = N12, $I$2:$I$939), 3)</f>
        <v>190.03520725028659</v>
      </c>
      <c r="R12" s="26" cm="1">
        <f t="array" ref="R12">_xlfn.QUARTILE.EXC(IF($B$2:$B$939 = N12, $I$2:$I$939), 1)</f>
        <v>147.51786968326084</v>
      </c>
      <c r="S12" s="26" cm="1">
        <f t="array" ref="S12">_xlfn.QUARTILE.EXC(IF($B$2:$B$939 = N12, $I$2:$I$939), 2)</f>
        <v>171.28070015881707</v>
      </c>
      <c r="T12" s="17" cm="1">
        <f t="array" ref="T12">_xlfn.QUARTILE.EXC(IF($B$2:$B$939 = N12, $C$2:$C$939), 3)</f>
        <v>0.11075</v>
      </c>
      <c r="U12" s="17" cm="1">
        <f t="array" ref="U12">_xlfn.QUARTILE.EXC(IF($B$2:$B$939 = N12, $C$2:$C$939), 1)</f>
        <v>6.25E-2</v>
      </c>
      <c r="V12" s="17" cm="1">
        <f t="array" ref="V12">_xlfn.QUARTILE.EXC(IF($B$2:$B$939 = N12, $C$2:$C$939), 2)</f>
        <v>8.6500000000000007E-2</v>
      </c>
    </row>
    <row r="13" spans="1:22">
      <c r="A13" t="s">
        <v>54</v>
      </c>
      <c r="B13">
        <v>2014</v>
      </c>
      <c r="C13" s="16">
        <v>6.2000000000000006E-2</v>
      </c>
      <c r="D13" s="1">
        <v>74000497</v>
      </c>
      <c r="E13" s="29">
        <f>Table15[[#This Row],[Ávöxtun]]*Table15[[#This Row],[Eignir]]/SUMIFS(Table15[Eignir],Table15[Year],Table15[[#This Row],[Year]])</f>
        <v>1.7293625616781798E-3</v>
      </c>
      <c r="F13" s="23" t="e">
        <f>IF(B13=1997, 100, IF(COUNTIF(A$1:A12,A13)=0, "NEW", F12*(1+Table15[[#This Row],[Ávöxtun]])))</f>
        <v>#VALUE!</v>
      </c>
      <c r="G13" s="18" t="str" cm="1">
        <f t="array" ref="G13">IFERROR(_xlfn.IFS(ISNUMBER(Table15[[#This Row],[Column3]]),Table15[[#This Row],[Column3]],Table15[[#This Row],[Column3]]="NEW",Table15[[#This Row],[Column3]]),"")</f>
        <v/>
      </c>
      <c r="H13" s="15" cm="1">
        <f t="array" ref="H13">_xlfn.IFS(Table15[[#This Row],[Column4]]="NEW",AVERAGEIFS(Table15[Column4],Table15[Year],Table15[[#This Row],[Year]]),ISNUMBER(Table15[[#This Row],[Column4]]),Table15[[#This Row],[Column4]],Table15[[#This Row],[Column4]]="",H12*(1+Table15[[#This Row],[Ávöxtun]]))</f>
        <v>133.91983791515449</v>
      </c>
      <c r="I13" s="30" cm="1">
        <f t="array" ref="I13">_xlfn.IFS(Table15[[#This Row],[Column4]]="NEW",_xlfn.XLOOKUP(Table15[[#This Row],[Year]]-1,$N$2:$N$27,$P$2:$P$27)*(1+Table15[[#This Row],[Ávöxtun]]),ISNUMBER(Table15[[#This Row],[Column4]]),Table15[[#This Row],[Column4]],Table15[[#This Row],[Column4]]="",I12*(1+Table15[[#This Row],[Ávöxtun]]))</f>
        <v>138.49257959363769</v>
      </c>
      <c r="L13" s="33">
        <v>133.91983791515449</v>
      </c>
      <c r="M13" s="33">
        <v>152.32511276521839</v>
      </c>
      <c r="N13">
        <v>2007</v>
      </c>
      <c r="O13" s="27">
        <f>SUMIFS(Table15[Column2],Table15[Year],N13)</f>
        <v>7.0230137442582824E-3</v>
      </c>
      <c r="P13">
        <f t="shared" si="0"/>
        <v>205.00759198272704</v>
      </c>
      <c r="Q13" s="26" cm="1">
        <f t="array" ref="Q13">_xlfn.QUARTILE.EXC(IF($B$2:$B$939 = N13, $I$2:$I$939), 3)</f>
        <v>198.10252259234389</v>
      </c>
      <c r="R13" s="26" cm="1">
        <f t="array" ref="R13">_xlfn.QUARTILE.EXC(IF($B$2:$B$939 = N13, $I$2:$I$939), 1)</f>
        <v>151.68778450001457</v>
      </c>
      <c r="S13" s="26" cm="1">
        <f t="array" ref="S13">_xlfn.QUARTILE.EXC(IF($B$2:$B$939 = N13, $I$2:$I$939), 2)</f>
        <v>174.93423311804446</v>
      </c>
      <c r="T13" s="17" cm="1">
        <f t="array" ref="T13">_xlfn.QUARTILE.EXC(IF($B$2:$B$939 = N13, $C$2:$C$939), 3)</f>
        <v>2.64E-2</v>
      </c>
      <c r="U13" s="17" cm="1">
        <f t="array" ref="U13">_xlfn.QUARTILE.EXC(IF($B$2:$B$939 = N13, $C$2:$C$939), 1)</f>
        <v>-5.4000000000000003E-3</v>
      </c>
      <c r="V13" s="17" cm="1">
        <f t="array" ref="V13">_xlfn.QUARTILE.EXC(IF($B$2:$B$939 = N13, $C$2:$C$939), 2)</f>
        <v>1.0500000000000001E-2</v>
      </c>
    </row>
    <row r="14" spans="1:22">
      <c r="A14" t="s">
        <v>54</v>
      </c>
      <c r="B14">
        <v>2015</v>
      </c>
      <c r="C14" s="16">
        <v>6.5000000000000002E-2</v>
      </c>
      <c r="D14" s="1">
        <v>82937052.870000005</v>
      </c>
      <c r="E14" s="29">
        <f>Table15[[#This Row],[Ávöxtun]]*Table15[[#This Row],[Eignir]]/SUMIFS(Table15[Eignir],Table15[Year],Table15[[#This Row],[Year]])</f>
        <v>1.8204052364944043E-3</v>
      </c>
      <c r="F14" s="23" t="e">
        <f>IF(B14=1997, 100, IF(COUNTIF(A$1:A13,A14)=0, "NEW", F13*(1+Table15[[#This Row],[Ávöxtun]])))</f>
        <v>#VALUE!</v>
      </c>
      <c r="G14" s="18" t="str" cm="1">
        <f t="array" ref="G14">IFERROR(_xlfn.IFS(ISNUMBER(Table15[[#This Row],[Column3]]),Table15[[#This Row],[Column3]],Table15[[#This Row],[Column3]]="NEW",Table15[[#This Row],[Column3]]),"")</f>
        <v/>
      </c>
      <c r="H14" s="15" cm="1">
        <f t="array" ref="H14">_xlfn.IFS(Table15[[#This Row],[Column4]]="NEW",AVERAGEIFS(Table15[Column4],Table15[Year],Table15[[#This Row],[Year]]),ISNUMBER(Table15[[#This Row],[Column4]]),Table15[[#This Row],[Column4]],Table15[[#This Row],[Column4]]="",H13*(1+Table15[[#This Row],[Ávöxtun]]))</f>
        <v>142.62462737963952</v>
      </c>
      <c r="I14" s="30" cm="1">
        <f t="array" ref="I14">_xlfn.IFS(Table15[[#This Row],[Column4]]="NEW",_xlfn.XLOOKUP(Table15[[#This Row],[Year]]-1,$N$2:$N$27,$P$2:$P$27)*(1+Table15[[#This Row],[Ávöxtun]]),ISNUMBER(Table15[[#This Row],[Column4]]),Table15[[#This Row],[Column4]],Table15[[#This Row],[Column4]]="",I13*(1+Table15[[#This Row],[Ávöxtun]]))</f>
        <v>147.49459726722412</v>
      </c>
      <c r="L14" s="33">
        <v>142.62462737963952</v>
      </c>
      <c r="M14" s="33">
        <v>162.22624509495759</v>
      </c>
      <c r="N14">
        <v>2008</v>
      </c>
      <c r="O14" s="27">
        <f>SUMIFS(Table15[Column2],Table15[Year],N14)</f>
        <v>-0.27172610479093834</v>
      </c>
      <c r="P14">
        <f t="shared" si="0"/>
        <v>149.30167756069062</v>
      </c>
      <c r="Q14" s="26" cm="1">
        <f t="array" ref="Q14">_xlfn.QUARTILE.EXC(IF($B$2:$B$939 = N14, $I$2:$I$939), 3)</f>
        <v>156.72354427777955</v>
      </c>
      <c r="R14" s="26" cm="1">
        <f t="array" ref="R14">_xlfn.QUARTILE.EXC(IF($B$2:$B$939 = N14, $I$2:$I$939), 1)</f>
        <v>123.99728807747967</v>
      </c>
      <c r="S14" s="26" cm="1">
        <f t="array" ref="S14">_xlfn.QUARTILE.EXC(IF($B$2:$B$939 = N14, $I$2:$I$939), 2)</f>
        <v>145.17043265813277</v>
      </c>
      <c r="T14" s="17" cm="1">
        <f t="array" ref="T14">_xlfn.QUARTILE.EXC(IF($B$2:$B$939 = N14, $C$2:$C$939), 3)</f>
        <v>-0.10755000000000001</v>
      </c>
      <c r="U14" s="17" cm="1">
        <f t="array" ref="U14">_xlfn.QUARTILE.EXC(IF($B$2:$B$939 = N14, $C$2:$C$939), 1)</f>
        <v>-0.26715</v>
      </c>
      <c r="V14" s="17" cm="1">
        <f t="array" ref="V14">_xlfn.QUARTILE.EXC(IF($B$2:$B$939 = N14, $C$2:$C$939), 2)</f>
        <v>-0.20620000000000002</v>
      </c>
    </row>
    <row r="15" spans="1:22">
      <c r="A15" t="s">
        <v>54</v>
      </c>
      <c r="B15">
        <v>2016</v>
      </c>
      <c r="C15" s="16">
        <v>6.0000000000000001E-3</v>
      </c>
      <c r="D15" s="1">
        <v>88362854.120000005</v>
      </c>
      <c r="E15" s="29">
        <f>Table15[[#This Row],[Ávöxtun]]*Table15[[#This Row],[Eignir]]/SUMIFS(Table15[Eignir],Table15[Year],Table15[[#This Row],[Year]])</f>
        <v>1.6567793579802003E-4</v>
      </c>
      <c r="F15" s="23" t="e">
        <f>IF(B15=1997, 100, IF(COUNTIF(A$1:A14,A15)=0, "NEW", F14*(1+Table15[[#This Row],[Ávöxtun]])))</f>
        <v>#VALUE!</v>
      </c>
      <c r="G15" s="18" t="str" cm="1">
        <f t="array" ref="G15">IFERROR(_xlfn.IFS(ISNUMBER(Table15[[#This Row],[Column3]]),Table15[[#This Row],[Column3]],Table15[[#This Row],[Column3]]="NEW",Table15[[#This Row],[Column3]]),"")</f>
        <v/>
      </c>
      <c r="H15" s="15" cm="1">
        <f t="array" ref="H15">_xlfn.IFS(Table15[[#This Row],[Column4]]="NEW",AVERAGEIFS(Table15[Column4],Table15[Year],Table15[[#This Row],[Year]]),ISNUMBER(Table15[[#This Row],[Column4]]),Table15[[#This Row],[Column4]],Table15[[#This Row],[Column4]]="",H14*(1+Table15[[#This Row],[Ávöxtun]]))</f>
        <v>143.48037514391737</v>
      </c>
      <c r="I15" s="30" cm="1">
        <f t="array" ref="I15">_xlfn.IFS(Table15[[#This Row],[Column4]]="NEW",_xlfn.XLOOKUP(Table15[[#This Row],[Year]]-1,$N$2:$N$27,$P$2:$P$27)*(1+Table15[[#This Row],[Ávöxtun]]),ISNUMBER(Table15[[#This Row],[Column4]]),Table15[[#This Row],[Column4]],Table15[[#This Row],[Column4]]="",I14*(1+Table15[[#This Row],[Ávöxtun]]))</f>
        <v>148.37956485082748</v>
      </c>
      <c r="L15" s="33">
        <v>143.48037514391737</v>
      </c>
      <c r="M15" s="33">
        <v>163.19960256552733</v>
      </c>
      <c r="N15">
        <v>2009</v>
      </c>
      <c r="O15" s="27">
        <f>SUMIFS(Table15[Column2],Table15[Year],N15)</f>
        <v>8.1503518225744462E-3</v>
      </c>
      <c r="P15">
        <f t="shared" si="0"/>
        <v>150.51853876051084</v>
      </c>
      <c r="Q15" s="26" cm="1">
        <f t="array" ref="Q15">_xlfn.QUARTILE.EXC(IF($B$2:$B$939 = N15, $I$2:$I$939), 3)</f>
        <v>158.15865975851881</v>
      </c>
      <c r="R15" s="26" cm="1">
        <f t="array" ref="R15">_xlfn.QUARTILE.EXC(IF($B$2:$B$939 = N15, $I$2:$I$939), 1)</f>
        <v>124.95335028181388</v>
      </c>
      <c r="S15" s="26" cm="1">
        <f t="array" ref="S15">_xlfn.QUARTILE.EXC(IF($B$2:$B$939 = N15, $I$2:$I$939), 2)</f>
        <v>144.2984552403056</v>
      </c>
      <c r="T15" s="17" cm="1">
        <f t="array" ref="T15">_xlfn.QUARTILE.EXC(IF($B$2:$B$939 = N15, $C$2:$C$939), 3)</f>
        <v>3.3799999999999997E-2</v>
      </c>
      <c r="U15" s="17" cm="1">
        <f t="array" ref="U15">_xlfn.QUARTILE.EXC(IF($B$2:$B$939 = N15, $C$2:$C$939), 1)</f>
        <v>-1.38E-2</v>
      </c>
      <c r="V15" s="17" cm="1">
        <f t="array" ref="V15">_xlfn.QUARTILE.EXC(IF($B$2:$B$939 = N15, $C$2:$C$939), 2)</f>
        <v>9.4000000000000004E-3</v>
      </c>
    </row>
    <row r="16" spans="1:22">
      <c r="A16" t="s">
        <v>54</v>
      </c>
      <c r="B16">
        <v>2017</v>
      </c>
      <c r="C16" s="16">
        <v>7.0000000000000007E-2</v>
      </c>
      <c r="D16" s="1">
        <v>100102385</v>
      </c>
      <c r="E16" s="29">
        <f>Table15[[#This Row],[Ávöxtun]]*Table15[[#This Row],[Eignir]]/SUMIFS(Table15[Eignir],Table15[Year],Table15[[#This Row],[Year]])</f>
        <v>1.9687746783640034E-3</v>
      </c>
      <c r="F16" s="23" t="e">
        <f>IF(B16=1997, 100, IF(COUNTIF(A$1:A15,A16)=0, "NEW", F15*(1+Table15[[#This Row],[Ávöxtun]])))</f>
        <v>#VALUE!</v>
      </c>
      <c r="G16" s="18" t="str" cm="1">
        <f t="array" ref="G16">IFERROR(_xlfn.IFS(ISNUMBER(Table15[[#This Row],[Column3]]),Table15[[#This Row],[Column3]],Table15[[#This Row],[Column3]]="NEW",Table15[[#This Row],[Column3]]),"")</f>
        <v/>
      </c>
      <c r="H16" s="15" cm="1">
        <f t="array" ref="H16">_xlfn.IFS(Table15[[#This Row],[Column4]]="NEW",AVERAGEIFS(Table15[Column4],Table15[Year],Table15[[#This Row],[Year]]),ISNUMBER(Table15[[#This Row],[Column4]]),Table15[[#This Row],[Column4]],Table15[[#This Row],[Column4]]="",H15*(1+Table15[[#This Row],[Ávöxtun]]))</f>
        <v>153.5240014039916</v>
      </c>
      <c r="I16" s="30" cm="1">
        <f t="array" ref="I16">_xlfn.IFS(Table15[[#This Row],[Column4]]="NEW",_xlfn.XLOOKUP(Table15[[#This Row],[Year]]-1,$N$2:$N$27,$P$2:$P$27)*(1+Table15[[#This Row],[Ávöxtun]]),ISNUMBER(Table15[[#This Row],[Column4]]),Table15[[#This Row],[Column4]],Table15[[#This Row],[Column4]]="",I15*(1+Table15[[#This Row],[Ávöxtun]]))</f>
        <v>158.76613439038542</v>
      </c>
      <c r="L16" s="33">
        <v>153.5240014039916</v>
      </c>
      <c r="M16" s="33">
        <v>174.62357474511424</v>
      </c>
      <c r="N16">
        <v>2010</v>
      </c>
      <c r="O16" s="27">
        <f>SUMIFS(Table15[Column2],Table15[Year],N16)</f>
        <v>2.9219762498001865E-2</v>
      </c>
      <c r="P16">
        <f t="shared" si="0"/>
        <v>154.91665471463926</v>
      </c>
      <c r="Q16" s="26" cm="1">
        <f t="array" ref="Q16">_xlfn.QUARTILE.EXC(IF($B$2:$B$939 = N16, $I$2:$I$939), 3)</f>
        <v>164.43008780383184</v>
      </c>
      <c r="R16" s="26" cm="1">
        <f t="array" ref="R16">_xlfn.QUARTILE.EXC(IF($B$2:$B$939 = N16, $I$2:$I$939), 1)</f>
        <v>129.27446445741617</v>
      </c>
      <c r="S16" s="26" cm="1">
        <f t="array" ref="S16">_xlfn.QUARTILE.EXC(IF($B$2:$B$939 = N16, $I$2:$I$939), 2)</f>
        <v>147.84448485348716</v>
      </c>
      <c r="T16" s="17" cm="1">
        <f t="array" ref="T16">_xlfn.QUARTILE.EXC(IF($B$2:$B$939 = N16, $C$2:$C$939), 3)</f>
        <v>4.3749999999999997E-2</v>
      </c>
      <c r="U16" s="17" cm="1">
        <f t="array" ref="U16">_xlfn.QUARTILE.EXC(IF($B$2:$B$939 = N16, $C$2:$C$939), 1)</f>
        <v>1.6649999999999998E-2</v>
      </c>
      <c r="V16" s="17" cm="1">
        <f t="array" ref="V16">_xlfn.QUARTILE.EXC(IF($B$2:$B$939 = N16, $C$2:$C$939), 2)</f>
        <v>3.2500000000000001E-2</v>
      </c>
    </row>
    <row r="17" spans="1:22">
      <c r="A17" t="s">
        <v>54</v>
      </c>
      <c r="B17">
        <v>2018</v>
      </c>
      <c r="C17" s="16">
        <v>2.3E-2</v>
      </c>
      <c r="D17" s="1">
        <v>109493968</v>
      </c>
      <c r="E17" s="29">
        <f>Table15[[#This Row],[Ávöxtun]]*Table15[[#This Row],[Eignir]]/SUMIFS(Table15[Eignir],Table15[Year],Table15[[#This Row],[Year]])</f>
        <v>6.5954721256470598E-4</v>
      </c>
      <c r="F17" s="23" t="e">
        <f>IF(B17=1997, 100, IF(COUNTIF(A$1:A16,A17)=0, "NEW", F16*(1+Table15[[#This Row],[Ávöxtun]])))</f>
        <v>#VALUE!</v>
      </c>
      <c r="G17" s="18" t="str" cm="1">
        <f t="array" ref="G17">IFERROR(_xlfn.IFS(ISNUMBER(Table15[[#This Row],[Column3]]),Table15[[#This Row],[Column3]],Table15[[#This Row],[Column3]]="NEW",Table15[[#This Row],[Column3]]),"")</f>
        <v/>
      </c>
      <c r="H17" s="15" cm="1">
        <f t="array" ref="H17">_xlfn.IFS(Table15[[#This Row],[Column4]]="NEW",AVERAGEIFS(Table15[Column4],Table15[Year],Table15[[#This Row],[Year]]),ISNUMBER(Table15[[#This Row],[Column4]]),Table15[[#This Row],[Column4]],Table15[[#This Row],[Column4]]="",H16*(1+Table15[[#This Row],[Ávöxtun]]))</f>
        <v>157.0550534362834</v>
      </c>
      <c r="I17" s="30" cm="1">
        <f t="array" ref="I17">_xlfn.IFS(Table15[[#This Row],[Column4]]="NEW",_xlfn.XLOOKUP(Table15[[#This Row],[Year]]-1,$N$2:$N$27,$P$2:$P$27)*(1+Table15[[#This Row],[Ávöxtun]]),ISNUMBER(Table15[[#This Row],[Column4]]),Table15[[#This Row],[Column4]],Table15[[#This Row],[Column4]]="",I16*(1+Table15[[#This Row],[Ávöxtun]]))</f>
        <v>162.41775548136428</v>
      </c>
      <c r="L17" s="33">
        <v>157.0550534362834</v>
      </c>
      <c r="M17" s="33">
        <v>178.63991696425185</v>
      </c>
      <c r="N17">
        <v>2011</v>
      </c>
      <c r="O17" s="27">
        <f>SUMIFS(Table15[Column2],Table15[Year],N17)</f>
        <v>2.8525332201232476E-2</v>
      </c>
      <c r="P17">
        <f t="shared" si="0"/>
        <v>159.33570375387797</v>
      </c>
      <c r="Q17" s="26" cm="1">
        <f t="array" ref="Q17">_xlfn.QUARTILE.EXC(IF($B$2:$B$939 = N17, $I$2:$I$939), 3)</f>
        <v>167.78958714823381</v>
      </c>
      <c r="R17" s="26" cm="1">
        <f t="array" ref="R17">_xlfn.QUARTILE.EXC(IF($B$2:$B$939 = N17, $I$2:$I$939), 1)</f>
        <v>132.96765898531527</v>
      </c>
      <c r="S17" s="26" cm="1">
        <f t="array" ref="S17">_xlfn.QUARTILE.EXC(IF($B$2:$B$939 = N17, $I$2:$I$939), 2)</f>
        <v>150.65353006570339</v>
      </c>
      <c r="T17" s="17" cm="1">
        <f t="array" ref="T17">_xlfn.QUARTILE.EXC(IF($B$2:$B$939 = N17, $C$2:$C$939), 3)</f>
        <v>3.3000000000000002E-2</v>
      </c>
      <c r="U17" s="17" cm="1">
        <f t="array" ref="U17">_xlfn.QUARTILE.EXC(IF($B$2:$B$939 = N17, $C$2:$C$939), 1)</f>
        <v>1.0000000000000002E-2</v>
      </c>
      <c r="V17" s="17" cm="1">
        <f t="array" ref="V17">_xlfn.QUARTILE.EXC(IF($B$2:$B$939 = N17, $C$2:$C$939), 2)</f>
        <v>2.3E-2</v>
      </c>
    </row>
    <row r="18" spans="1:22">
      <c r="A18" t="s">
        <v>54</v>
      </c>
      <c r="B18">
        <v>2019</v>
      </c>
      <c r="C18" s="16">
        <v>0.10400000000000001</v>
      </c>
      <c r="D18" s="1">
        <v>127971866.76000001</v>
      </c>
      <c r="E18" s="29">
        <f>Table15[[#This Row],[Ávöxtun]]*Table15[[#This Row],[Eignir]]/SUMIFS(Table15[Eignir],Table15[Year],Table15[[#This Row],[Year]])</f>
        <v>3.0064236889993483E-3</v>
      </c>
      <c r="F18" s="23" t="e">
        <f>IF(B18=1997, 100, IF(COUNTIF(A$1:A17,A18)=0, "NEW", F17*(1+Table15[[#This Row],[Ávöxtun]])))</f>
        <v>#VALUE!</v>
      </c>
      <c r="G18" s="18" t="str" cm="1">
        <f t="array" ref="G18">IFERROR(_xlfn.IFS(ISNUMBER(Table15[[#This Row],[Column3]]),Table15[[#This Row],[Column3]],Table15[[#This Row],[Column3]]="NEW",Table15[[#This Row],[Column3]]),"")</f>
        <v/>
      </c>
      <c r="H18" s="15" cm="1">
        <f t="array" ref="H18">_xlfn.IFS(Table15[[#This Row],[Column4]]="NEW",AVERAGEIFS(Table15[Column4],Table15[Year],Table15[[#This Row],[Year]]),ISNUMBER(Table15[[#This Row],[Column4]]),Table15[[#This Row],[Column4]],Table15[[#This Row],[Column4]]="",H17*(1+Table15[[#This Row],[Ávöxtun]]))</f>
        <v>173.3887789936569</v>
      </c>
      <c r="I18" s="30" cm="1">
        <f t="array" ref="I18">_xlfn.IFS(Table15[[#This Row],[Column4]]="NEW",_xlfn.XLOOKUP(Table15[[#This Row],[Year]]-1,$N$2:$N$27,$P$2:$P$27)*(1+Table15[[#This Row],[Ávöxtun]]),ISNUMBER(Table15[[#This Row],[Column4]]),Table15[[#This Row],[Column4]],Table15[[#This Row],[Column4]]="",I17*(1+Table15[[#This Row],[Ávöxtun]]))</f>
        <v>179.30920205142618</v>
      </c>
      <c r="L18" s="33">
        <v>173.3887789936569</v>
      </c>
      <c r="M18" s="33">
        <v>197.21846832853407</v>
      </c>
      <c r="N18">
        <v>2012</v>
      </c>
      <c r="O18" s="27">
        <f>SUMIFS(Table15[Column2],Table15[Year],N18)</f>
        <v>9.5533906610380512E-2</v>
      </c>
      <c r="P18">
        <f t="shared" si="0"/>
        <v>174.5576659960002</v>
      </c>
      <c r="Q18" s="26" cm="1">
        <f t="array" ref="Q18">_xlfn.QUARTILE.EXC(IF($B$2:$B$939 = N18, $I$2:$I$939), 3)</f>
        <v>176.91653113596095</v>
      </c>
      <c r="R18" s="26" cm="1">
        <f t="array" ref="R18">_xlfn.QUARTILE.EXC(IF($B$2:$B$939 = N18, $I$2:$I$939), 1)</f>
        <v>136.53219311404001</v>
      </c>
      <c r="S18" s="26" cm="1">
        <f t="array" ref="S18">_xlfn.QUARTILE.EXC(IF($B$2:$B$939 = N18, $I$2:$I$939), 2)</f>
        <v>157.86536185058006</v>
      </c>
      <c r="T18" s="17" cm="1">
        <f t="array" ref="T18">_xlfn.QUARTILE.EXC(IF($B$2:$B$939 = N18, $C$2:$C$939), 3)</f>
        <v>7.9749999999999988E-2</v>
      </c>
      <c r="U18" s="17" cm="1">
        <f t="array" ref="U18">_xlfn.QUARTILE.EXC(IF($B$2:$B$939 = N18, $C$2:$C$939), 1)</f>
        <v>3.5500000000000004E-2</v>
      </c>
      <c r="V18" s="17" cm="1">
        <f t="array" ref="V18">_xlfn.QUARTILE.EXC(IF($B$2:$B$939 = N18, $C$2:$C$939), 2)</f>
        <v>5.9499999999999997E-2</v>
      </c>
    </row>
    <row r="19" spans="1:22">
      <c r="A19" t="s">
        <v>54</v>
      </c>
      <c r="B19">
        <v>2020</v>
      </c>
      <c r="C19" s="16">
        <v>8.199999999999999E-2</v>
      </c>
      <c r="D19" s="1">
        <v>147342690.66999999</v>
      </c>
      <c r="E19" s="29">
        <f>Table15[[#This Row],[Ávöxtun]]*Table15[[#This Row],[Eignir]]/SUMIFS(Table15[Eignir],Table15[Year],Table15[[#This Row],[Year]])</f>
        <v>2.3521529047223879E-3</v>
      </c>
      <c r="F19" s="23" t="e">
        <f>IF(B19=1997, 100, IF(COUNTIF(A$1:A18,A19)=0, "NEW", F18*(1+Table15[[#This Row],[Ávöxtun]])))</f>
        <v>#VALUE!</v>
      </c>
      <c r="G19" s="18" t="str" cm="1">
        <f t="array" ref="G19">IFERROR(_xlfn.IFS(ISNUMBER(Table15[[#This Row],[Column3]]),Table15[[#This Row],[Column3]],Table15[[#This Row],[Column3]]="NEW",Table15[[#This Row],[Column3]]),"")</f>
        <v/>
      </c>
      <c r="H19" s="15" cm="1">
        <f t="array" ref="H19">_xlfn.IFS(Table15[[#This Row],[Column4]]="NEW",AVERAGEIFS(Table15[Column4],Table15[Year],Table15[[#This Row],[Year]]),ISNUMBER(Table15[[#This Row],[Column4]]),Table15[[#This Row],[Column4]],Table15[[#This Row],[Column4]]="",H18*(1+Table15[[#This Row],[Ávöxtun]]))</f>
        <v>187.60665887113677</v>
      </c>
      <c r="I19" s="30" cm="1">
        <f t="array" ref="I19">_xlfn.IFS(Table15[[#This Row],[Column4]]="NEW",_xlfn.XLOOKUP(Table15[[#This Row],[Year]]-1,$N$2:$N$27,$P$2:$P$27)*(1+Table15[[#This Row],[Ávöxtun]]),ISNUMBER(Table15[[#This Row],[Column4]]),Table15[[#This Row],[Column4]],Table15[[#This Row],[Column4]]="",I18*(1+Table15[[#This Row],[Ávöxtun]]))</f>
        <v>194.01255661964314</v>
      </c>
      <c r="L19" s="33">
        <v>187.60665887113677</v>
      </c>
      <c r="M19" s="33">
        <v>213.39038273147389</v>
      </c>
      <c r="N19">
        <v>2013</v>
      </c>
      <c r="O19" s="27">
        <f>SUMIFS(Table15[Column2],Table15[Year],N19)</f>
        <v>7.2897100202312173E-2</v>
      </c>
      <c r="P19">
        <f t="shared" si="0"/>
        <v>187.28241366519237</v>
      </c>
      <c r="Q19" s="26" cm="1">
        <f t="array" ref="Q19">_xlfn.QUARTILE.EXC(IF($B$2:$B$939 = N19, $I$2:$I$939), 3)</f>
        <v>184.66426155437162</v>
      </c>
      <c r="R19" s="26" cm="1">
        <f t="array" ref="R19">_xlfn.QUARTILE.EXC(IF($B$2:$B$939 = N19, $I$2:$I$939), 1)</f>
        <v>147.0644394412349</v>
      </c>
      <c r="S19" s="26" cm="1">
        <f t="array" ref="S19">_xlfn.QUARTILE.EXC(IF($B$2:$B$939 = N19, $I$2:$I$939), 2)</f>
        <v>169.53347893209215</v>
      </c>
      <c r="T19" s="17" cm="1">
        <f t="array" ref="T19">_xlfn.QUARTILE.EXC(IF($B$2:$B$939 = N19, $C$2:$C$939), 3)</f>
        <v>7.2000000000000008E-2</v>
      </c>
      <c r="U19" s="17" cm="1">
        <f t="array" ref="U19">_xlfn.QUARTILE.EXC(IF($B$2:$B$939 = N19, $C$2:$C$939), 1)</f>
        <v>4.5999999999999999E-2</v>
      </c>
      <c r="V19" s="17" cm="1">
        <f t="array" ref="V19">_xlfn.QUARTILE.EXC(IF($B$2:$B$939 = N19, $C$2:$C$939), 2)</f>
        <v>5.7000000000000002E-2</v>
      </c>
    </row>
    <row r="20" spans="1:22">
      <c r="A20" t="s">
        <v>54</v>
      </c>
      <c r="B20">
        <v>2021</v>
      </c>
      <c r="C20" s="16">
        <v>0.10199999999999999</v>
      </c>
      <c r="D20" s="1">
        <v>175142574.49000001</v>
      </c>
      <c r="E20" s="29">
        <f>Table15[[#This Row],[Ávöxtun]]*Table15[[#This Row],[Eignir]]/SUMIFS(Table15[Eignir],Table15[Year],Table15[[#This Row],[Year]])</f>
        <v>2.9579514674073284E-3</v>
      </c>
      <c r="F20" s="23" t="e">
        <f>IF(B20=1997, 100, IF(COUNTIF(A$1:A19,A20)=0, "NEW", F19*(1+Table15[[#This Row],[Ávöxtun]])))</f>
        <v>#VALUE!</v>
      </c>
      <c r="G20" s="18" t="str" cm="1">
        <f t="array" ref="G20">IFERROR(_xlfn.IFS(ISNUMBER(Table15[[#This Row],[Column3]]),Table15[[#This Row],[Column3]],Table15[[#This Row],[Column3]]="NEW",Table15[[#This Row],[Column3]]),"")</f>
        <v/>
      </c>
      <c r="H20" s="15" cm="1">
        <f t="array" ref="H20">_xlfn.IFS(Table15[[#This Row],[Column4]]="NEW",AVERAGEIFS(Table15[Column4],Table15[Year],Table15[[#This Row],[Year]]),ISNUMBER(Table15[[#This Row],[Column4]]),Table15[[#This Row],[Column4]],Table15[[#This Row],[Column4]]="",H19*(1+Table15[[#This Row],[Ávöxtun]]))</f>
        <v>206.74253807599274</v>
      </c>
      <c r="I20" s="30" cm="1">
        <f t="array" ref="I20">_xlfn.IFS(Table15[[#This Row],[Column4]]="NEW",_xlfn.XLOOKUP(Table15[[#This Row],[Year]]-1,$N$2:$N$27,$P$2:$P$27)*(1+Table15[[#This Row],[Ávöxtun]]),ISNUMBER(Table15[[#This Row],[Column4]]),Table15[[#This Row],[Column4]],Table15[[#This Row],[Column4]]="",I19*(1+Table15[[#This Row],[Ávöxtun]]))</f>
        <v>213.80183739484676</v>
      </c>
      <c r="L20" s="33">
        <v>206.74253807599274</v>
      </c>
      <c r="M20" s="33">
        <v>235.15620177008424</v>
      </c>
      <c r="N20">
        <v>2014</v>
      </c>
      <c r="O20" s="27">
        <f>SUMIFS(Table15[Column2],Table15[Year],N20)</f>
        <v>9.8898741851879191E-2</v>
      </c>
      <c r="P20">
        <f t="shared" si="0"/>
        <v>205.80440874766308</v>
      </c>
      <c r="Q20" s="26" cm="1">
        <f t="array" ref="Q20">_xlfn.QUARTILE.EXC(IF($B$2:$B$939 = N20, $I$2:$I$939), 3)</f>
        <v>198.91740932047125</v>
      </c>
      <c r="R20" s="26" cm="1">
        <f t="array" ref="R20">_xlfn.QUARTILE.EXC(IF($B$2:$B$939 = N20, $I$2:$I$939), 1)</f>
        <v>156.96525758251701</v>
      </c>
      <c r="S20" s="26" cm="1">
        <f t="array" ref="S20">_xlfn.QUARTILE.EXC(IF($B$2:$B$939 = N20, $I$2:$I$939), 2)</f>
        <v>184.45242507811628</v>
      </c>
      <c r="T20" s="17" cm="1">
        <f t="array" ref="T20">_xlfn.QUARTILE.EXC(IF($B$2:$B$939 = N20, $C$2:$C$939), 3)</f>
        <v>7.8E-2</v>
      </c>
      <c r="U20" s="17" cm="1">
        <f t="array" ref="U20">_xlfn.QUARTILE.EXC(IF($B$2:$B$939 = N20, $C$2:$C$939), 1)</f>
        <v>4.9000000000000002E-2</v>
      </c>
      <c r="V20" s="17" cm="1">
        <f t="array" ref="V20">_xlfn.QUARTILE.EXC(IF($B$2:$B$939 = N20, $C$2:$C$939), 2)</f>
        <v>6.2000000000000006E-2</v>
      </c>
    </row>
    <row r="21" spans="1:22">
      <c r="A21" t="s">
        <v>55</v>
      </c>
      <c r="B21">
        <v>1999</v>
      </c>
      <c r="C21" s="16">
        <v>0.08</v>
      </c>
      <c r="D21" s="1">
        <v>6618608.3600000003</v>
      </c>
      <c r="E21" s="29">
        <f>Table15[[#This Row],[Ávöxtun]]*Table15[[#This Row],[Eignir]]/SUMIFS(Table15[Eignir],Table15[Year],Table15[[#This Row],[Year]])</f>
        <v>1.0168459791862179E-3</v>
      </c>
      <c r="F21" s="23" t="str">
        <f>IF(B21=1997, 100, IF(COUNTIF(A$1:A20,A21)=0, "NEW", F20*(1+Table15[[#This Row],[Ávöxtun]])))</f>
        <v>NEW</v>
      </c>
      <c r="G21" s="18" t="str" cm="1">
        <f t="array" ref="G21">IFERROR(_xlfn.IFS(ISNUMBER(Table15[[#This Row],[Column3]]),Table15[[#This Row],[Column3]],Table15[[#This Row],[Column3]]="NEW",Table15[[#This Row],[Column3]]),"")</f>
        <v>NEW</v>
      </c>
      <c r="H21" s="15" cm="1">
        <f t="array" ref="H21">_xlfn.IFS(Table15[[#This Row],[Column4]]="NEW",AVERAGEIFS(Table15[Column4],Table15[Year],Table15[[#This Row],[Year]]),ISNUMBER(Table15[[#This Row],[Column4]]),Table15[[#This Row],[Column4]],Table15[[#This Row],[Column4]]="",H20*(1+Table15[[#This Row],[Ávöxtun]]))</f>
        <v>117.05306122448981</v>
      </c>
      <c r="I21" s="30" cm="1">
        <f t="array" ref="I21">_xlfn.IFS(Table15[[#This Row],[Column4]]="NEW",_xlfn.XLOOKUP(Table15[[#This Row],[Year]]-1,$N$2:$N$27,$P$2:$P$27)*(1+Table15[[#This Row],[Ávöxtun]]),ISNUMBER(Table15[[#This Row],[Column4]]),Table15[[#This Row],[Column4]],Table15[[#This Row],[Column4]]="",I20*(1+Table15[[#This Row],[Ávöxtun]]))</f>
        <v>115.68081490927594</v>
      </c>
      <c r="L21" s="33">
        <v>117.05306122448981</v>
      </c>
      <c r="M21" s="33">
        <v>129.26988390123572</v>
      </c>
      <c r="N21">
        <v>2015</v>
      </c>
      <c r="O21" s="27">
        <f>SUMIFS(Table15[Column2],Table15[Year],N21)</f>
        <v>0.10025072126171815</v>
      </c>
      <c r="P21">
        <f t="shared" si="0"/>
        <v>226.43644916345775</v>
      </c>
      <c r="Q21" s="26" cm="1">
        <f t="array" ref="Q21">_xlfn.QUARTILE.EXC(IF($B$2:$B$939 = N21, $I$2:$I$939), 3)</f>
        <v>215.43734099696033</v>
      </c>
      <c r="R21" s="26" cm="1">
        <f t="array" ref="R21">_xlfn.QUARTILE.EXC(IF($B$2:$B$939 = N21, $I$2:$I$939), 1)</f>
        <v>169.50310407056574</v>
      </c>
      <c r="S21" s="26" cm="1">
        <f t="array" ref="S21">_xlfn.QUARTILE.EXC(IF($B$2:$B$939 = N21, $I$2:$I$939), 2)</f>
        <v>198.14135361532189</v>
      </c>
      <c r="T21" s="17" cm="1">
        <f t="array" ref="T21">_xlfn.QUARTILE.EXC(IF($B$2:$B$939 = N21, $C$2:$C$939), 3)</f>
        <v>0.10375</v>
      </c>
      <c r="U21" s="17" cm="1">
        <f t="array" ref="U21">_xlfn.QUARTILE.EXC(IF($B$2:$B$939 = N21, $C$2:$C$939), 1)</f>
        <v>6.6500000000000004E-2</v>
      </c>
      <c r="V21" s="17" cm="1">
        <f t="array" ref="V21">_xlfn.QUARTILE.EXC(IF($B$2:$B$939 = N21, $C$2:$C$939), 2)</f>
        <v>8.299999999999999E-2</v>
      </c>
    </row>
    <row r="22" spans="1:22">
      <c r="A22" t="s">
        <v>55</v>
      </c>
      <c r="B22">
        <v>2000</v>
      </c>
      <c r="C22" s="16">
        <v>-0.03</v>
      </c>
      <c r="D22" s="1">
        <v>8504168.3599999994</v>
      </c>
      <c r="E22" s="29">
        <f>Table15[[#This Row],[Ávöxtun]]*Table15[[#This Row],[Eignir]]/SUMIFS(Table15[Eignir],Table15[Year],Table15[[#This Row],[Year]])</f>
        <v>-3.5888133828094213E-4</v>
      </c>
      <c r="F22" s="23" t="e">
        <f>IF(B22=1997, 100, IF(COUNTIF(A$1:A21,A22)=0, "NEW", F21*(1+Table15[[#This Row],[Ávöxtun]])))</f>
        <v>#VALUE!</v>
      </c>
      <c r="G22" s="18" t="str" cm="1">
        <f t="array" ref="G22">IFERROR(_xlfn.IFS(ISNUMBER(Table15[[#This Row],[Column3]]),Table15[[#This Row],[Column3]],Table15[[#This Row],[Column3]]="NEW",Table15[[#This Row],[Column3]]),"")</f>
        <v/>
      </c>
      <c r="H22" s="15" cm="1">
        <f t="array" ref="H22">_xlfn.IFS(Table15[[#This Row],[Column4]]="NEW",AVERAGEIFS(Table15[Column4],Table15[Year],Table15[[#This Row],[Year]]),ISNUMBER(Table15[[#This Row],[Column4]]),Table15[[#This Row],[Column4]],Table15[[#This Row],[Column4]]="",H21*(1+Table15[[#This Row],[Ávöxtun]]))</f>
        <v>113.54146938775511</v>
      </c>
      <c r="I22" s="30" cm="1">
        <f t="array" ref="I22">_xlfn.IFS(Table15[[#This Row],[Column4]]="NEW",_xlfn.XLOOKUP(Table15[[#This Row],[Year]]-1,$N$2:$N$27,$P$2:$P$27)*(1+Table15[[#This Row],[Ávöxtun]]),ISNUMBER(Table15[[#This Row],[Column4]]),Table15[[#This Row],[Column4]],Table15[[#This Row],[Column4]]="",I21*(1+Table15[[#This Row],[Ávöxtun]]))</f>
        <v>112.21039046199766</v>
      </c>
      <c r="L22" s="33">
        <v>113.54146938775511</v>
      </c>
      <c r="M22" s="33">
        <v>125.39178738419864</v>
      </c>
      <c r="N22">
        <v>2016</v>
      </c>
      <c r="O22" s="27">
        <f>SUMIFS(Table15[Column2],Table15[Year],N22)</f>
        <v>-3.1990753254988354E-3</v>
      </c>
      <c r="P22">
        <f t="shared" si="0"/>
        <v>225.71206190614538</v>
      </c>
      <c r="Q22" s="26" cm="1">
        <f t="array" ref="Q22">_xlfn.QUARTILE.EXC(IF($B$2:$B$939 = N22, $I$2:$I$939), 3)</f>
        <v>223.85307985147301</v>
      </c>
      <c r="R22" s="26" cm="1">
        <f t="array" ref="R22">_xlfn.QUARTILE.EXC(IF($B$2:$B$939 = N22, $I$2:$I$939), 1)</f>
        <v>168.83091677062342</v>
      </c>
      <c r="S22" s="26" cm="1">
        <f t="array" ref="S22">_xlfn.QUARTILE.EXC(IF($B$2:$B$939 = N22, $I$2:$I$939), 2)</f>
        <v>207.20871647622775</v>
      </c>
      <c r="T22" s="17" cm="1">
        <f t="array" ref="T22">_xlfn.QUARTILE.EXC(IF($B$2:$B$939 = N22, $C$2:$C$939), 3)</f>
        <v>7.6500000000000005E-3</v>
      </c>
      <c r="U22" s="17" cm="1">
        <f t="array" ref="U22">_xlfn.QUARTILE.EXC(IF($B$2:$B$939 = N22, $C$2:$C$939), 1)</f>
        <v>-1.3000000000000001E-2</v>
      </c>
      <c r="V22" s="17" cm="1">
        <f t="array" ref="V22">_xlfn.QUARTILE.EXC(IF($B$2:$B$939 = N22, $C$2:$C$939), 2)</f>
        <v>-5.0000000000000001E-4</v>
      </c>
    </row>
    <row r="23" spans="1:22">
      <c r="A23" t="s">
        <v>55</v>
      </c>
      <c r="B23">
        <v>2001</v>
      </c>
      <c r="C23" s="16">
        <v>0</v>
      </c>
      <c r="D23" s="1">
        <v>12565186.439999999</v>
      </c>
      <c r="E23" s="29">
        <f>Table15[[#This Row],[Ávöxtun]]*Table15[[#This Row],[Eignir]]/SUMIFS(Table15[Eignir],Table15[Year],Table15[[#This Row],[Year]])</f>
        <v>0</v>
      </c>
      <c r="F23" s="23" t="e">
        <f>IF(B23=1997, 100, IF(COUNTIF(A$1:A22,A23)=0, "NEW", F22*(1+Table15[[#This Row],[Ávöxtun]])))</f>
        <v>#VALUE!</v>
      </c>
      <c r="G23" s="18" t="str" cm="1">
        <f t="array" ref="G23">IFERROR(_xlfn.IFS(ISNUMBER(Table15[[#This Row],[Column3]]),Table15[[#This Row],[Column3]],Table15[[#This Row],[Column3]]="NEW",Table15[[#This Row],[Column3]]),"")</f>
        <v/>
      </c>
      <c r="H23" s="15" cm="1">
        <f t="array" ref="H23">_xlfn.IFS(Table15[[#This Row],[Column4]]="NEW",AVERAGEIFS(Table15[Column4],Table15[Year],Table15[[#This Row],[Year]]),ISNUMBER(Table15[[#This Row],[Column4]]),Table15[[#This Row],[Column4]],Table15[[#This Row],[Column4]]="",H22*(1+Table15[[#This Row],[Ávöxtun]]))</f>
        <v>113.54146938775511</v>
      </c>
      <c r="I23" s="30" cm="1">
        <f t="array" ref="I23">_xlfn.IFS(Table15[[#This Row],[Column4]]="NEW",_xlfn.XLOOKUP(Table15[[#This Row],[Year]]-1,$N$2:$N$27,$P$2:$P$27)*(1+Table15[[#This Row],[Ávöxtun]]),ISNUMBER(Table15[[#This Row],[Column4]]),Table15[[#This Row],[Column4]],Table15[[#This Row],[Column4]]="",I22*(1+Table15[[#This Row],[Ávöxtun]]))</f>
        <v>112.21039046199766</v>
      </c>
      <c r="L23" s="33">
        <v>113.54146938775511</v>
      </c>
      <c r="M23" s="33">
        <v>125.39178738419864</v>
      </c>
      <c r="N23">
        <v>2017</v>
      </c>
      <c r="O23" s="27">
        <f>SUMIFS(Table15[Column2],Table15[Year],N23)</f>
        <v>7.5034418664388688E-2</v>
      </c>
      <c r="P23">
        <f t="shared" si="0"/>
        <v>242.64823525681354</v>
      </c>
      <c r="Q23" s="26" cm="1">
        <f t="array" ref="Q23">_xlfn.QUARTILE.EXC(IF($B$2:$B$939 = N23, $I$2:$I$939), 3)</f>
        <v>237.32639158892334</v>
      </c>
      <c r="R23" s="26" cm="1">
        <f t="array" ref="R23">_xlfn.QUARTILE.EXC(IF($B$2:$B$939 = N23, $I$2:$I$939), 1)</f>
        <v>178.56336510387146</v>
      </c>
      <c r="S23" s="26" cm="1">
        <f t="array" ref="S23">_xlfn.QUARTILE.EXC(IF($B$2:$B$939 = N23, $I$2:$I$939), 2)</f>
        <v>217.52868545561176</v>
      </c>
      <c r="T23" s="17" cm="1">
        <f t="array" ref="T23">_xlfn.QUARTILE.EXC(IF($B$2:$B$939 = N23, $C$2:$C$939), 3)</f>
        <v>6.7500000000000004E-2</v>
      </c>
      <c r="U23" s="17" cm="1">
        <f t="array" ref="U23">_xlfn.QUARTILE.EXC(IF($B$2:$B$939 = N23, $C$2:$C$939), 1)</f>
        <v>4.4249999999999998E-2</v>
      </c>
      <c r="V23" s="17" cm="1">
        <f t="array" ref="V23">_xlfn.QUARTILE.EXC(IF($B$2:$B$939 = N23, $C$2:$C$939), 2)</f>
        <v>5.2999999999999999E-2</v>
      </c>
    </row>
    <row r="24" spans="1:22">
      <c r="A24" t="s">
        <v>55</v>
      </c>
      <c r="B24">
        <v>2002</v>
      </c>
      <c r="C24" s="16">
        <v>-7.0000000000000007E-2</v>
      </c>
      <c r="D24" s="1">
        <v>1762963.72</v>
      </c>
      <c r="E24" s="29">
        <f>Table15[[#This Row],[Ávöxtun]]*Table15[[#This Row],[Eignir]]/SUMIFS(Table15[Eignir],Table15[Year],Table15[[#This Row],[Year]])</f>
        <v>-1.9429223038246017E-4</v>
      </c>
      <c r="F24" s="23" t="e">
        <f>IF(B24=1997, 100, IF(COUNTIF(A$1:A23,A24)=0, "NEW", F23*(1+Table15[[#This Row],[Ávöxtun]])))</f>
        <v>#VALUE!</v>
      </c>
      <c r="G24" s="18" t="str" cm="1">
        <f t="array" ref="G24">IFERROR(_xlfn.IFS(ISNUMBER(Table15[[#This Row],[Column3]]),Table15[[#This Row],[Column3]],Table15[[#This Row],[Column3]]="NEW",Table15[[#This Row],[Column3]]),"")</f>
        <v/>
      </c>
      <c r="H24" s="15" cm="1">
        <f t="array" ref="H24">_xlfn.IFS(Table15[[#This Row],[Column4]]="NEW",AVERAGEIFS(Table15[Column4],Table15[Year],Table15[[#This Row],[Year]]),ISNUMBER(Table15[[#This Row],[Column4]]),Table15[[#This Row],[Column4]],Table15[[#This Row],[Column4]]="",H23*(1+Table15[[#This Row],[Ávöxtun]]))</f>
        <v>105.59356653061225</v>
      </c>
      <c r="I24" s="30" cm="1">
        <f t="array" ref="I24">_xlfn.IFS(Table15[[#This Row],[Column4]]="NEW",_xlfn.XLOOKUP(Table15[[#This Row],[Year]]-1,$N$2:$N$27,$P$2:$P$27)*(1+Table15[[#This Row],[Ávöxtun]]),ISNUMBER(Table15[[#This Row],[Column4]]),Table15[[#This Row],[Column4]],Table15[[#This Row],[Column4]]="",I23*(1+Table15[[#This Row],[Ávöxtun]]))</f>
        <v>104.35566312965781</v>
      </c>
      <c r="L24" s="33">
        <v>105.59356653061225</v>
      </c>
      <c r="M24" s="33">
        <v>116.61436226730473</v>
      </c>
      <c r="N24">
        <v>2018</v>
      </c>
      <c r="O24" s="27">
        <f>SUMIFS(Table15[Column2],Table15[Year],N24)</f>
        <v>2.8816787762600448E-2</v>
      </c>
      <c r="P24">
        <f t="shared" si="0"/>
        <v>249.64057795317868</v>
      </c>
      <c r="Q24" s="26" cm="1">
        <f t="array" ref="Q24">_xlfn.QUARTILE.EXC(IF($B$2:$B$939 = N24, $I$2:$I$939), 3)</f>
        <v>248.56923413369816</v>
      </c>
      <c r="R24" s="26" cm="1">
        <f t="array" ref="R24">_xlfn.QUARTILE.EXC(IF($B$2:$B$939 = N24, $I$2:$I$939), 1)</f>
        <v>185.13625525782157</v>
      </c>
      <c r="S24" s="26" cm="1">
        <f t="array" ref="S24">_xlfn.QUARTILE.EXC(IF($B$2:$B$939 = N24, $I$2:$I$939), 2)</f>
        <v>228.58603603039589</v>
      </c>
      <c r="T24" s="17" cm="1">
        <f t="array" ref="T24">_xlfn.QUARTILE.EXC(IF($B$2:$B$939 = N24, $C$2:$C$939), 3)</f>
        <v>3.7000000000000005E-2</v>
      </c>
      <c r="U24" s="17" cm="1">
        <f t="array" ref="U24">_xlfn.QUARTILE.EXC(IF($B$2:$B$939 = N24, $C$2:$C$939), 1)</f>
        <v>1.35E-2</v>
      </c>
      <c r="V24" s="17" cm="1">
        <f t="array" ref="V24">_xlfn.QUARTILE.EXC(IF($B$2:$B$939 = N24, $C$2:$C$939), 2)</f>
        <v>2.2000000000000002E-2</v>
      </c>
    </row>
    <row r="25" spans="1:22">
      <c r="A25" t="s">
        <v>58</v>
      </c>
      <c r="B25">
        <v>2016</v>
      </c>
      <c r="C25" s="16">
        <v>-1.49E-2</v>
      </c>
      <c r="D25" s="1">
        <v>308270082.58999997</v>
      </c>
      <c r="E25" s="29">
        <f>Table15[[#This Row],[Ávöxtun]]*Table15[[#This Row],[Eignir]]/SUMIFS(Table15[Eignir],Table15[Year],Table15[[#This Row],[Year]])</f>
        <v>-1.4353616436840173E-3</v>
      </c>
      <c r="F25" s="23" t="str">
        <f>IF(B25=1997, 100, IF(COUNTIF(A$1:A24,A25)=0, "NEW", F24*(1+Table15[[#This Row],[Ávöxtun]])))</f>
        <v>NEW</v>
      </c>
      <c r="G25" s="18" t="str" cm="1">
        <f t="array" ref="G25">IFERROR(_xlfn.IFS(ISNUMBER(Table15[[#This Row],[Column3]]),Table15[[#This Row],[Column3]],Table15[[#This Row],[Column3]]="NEW",Table15[[#This Row],[Column3]]),"")</f>
        <v>NEW</v>
      </c>
      <c r="H25" s="15" cm="1">
        <f t="array" ref="H25">_xlfn.IFS(Table15[[#This Row],[Column4]]="NEW",AVERAGEIFS(Table15[Column4],Table15[Year],Table15[[#This Row],[Year]]),ISNUMBER(Table15[[#This Row],[Column4]]),Table15[[#This Row],[Column4]],Table15[[#This Row],[Column4]]="",H24*(1+Table15[[#This Row],[Ávöxtun]]))</f>
        <v>203.54245352961544</v>
      </c>
      <c r="I25" s="30" cm="1">
        <f t="array" ref="I25">_xlfn.IFS(Table15[[#This Row],[Column4]]="NEW",_xlfn.XLOOKUP(Table15[[#This Row],[Year]]-1,$N$2:$N$27,$P$2:$P$27)*(1+Table15[[#This Row],[Ávöxtun]]),ISNUMBER(Table15[[#This Row],[Column4]]),Table15[[#This Row],[Column4]],Table15[[#This Row],[Column4]]="",I24*(1+Table15[[#This Row],[Ávöxtun]]))</f>
        <v>223.06254607092222</v>
      </c>
      <c r="L25" s="33">
        <v>203.54245352961544</v>
      </c>
      <c r="M25" s="33">
        <v>243.10691464488829</v>
      </c>
      <c r="N25">
        <v>2019</v>
      </c>
      <c r="O25" s="27">
        <f>SUMIFS(Table15[Column2],Table15[Year],N25)</f>
        <v>0.16035282354463598</v>
      </c>
      <c r="P25">
        <f t="shared" si="0"/>
        <v>289.67114949928572</v>
      </c>
      <c r="Q25" s="26" cm="1">
        <f t="array" ref="Q25">_xlfn.QUARTILE.EXC(IF($B$2:$B$939 = N25, $I$2:$I$939), 3)</f>
        <v>270.09247902587356</v>
      </c>
      <c r="R25" s="26" cm="1">
        <f t="array" ref="R25">_xlfn.QUARTILE.EXC(IF($B$2:$B$939 = N25, $I$2:$I$939), 1)</f>
        <v>202.9818781068646</v>
      </c>
      <c r="S25" s="26" cm="1">
        <f t="array" ref="S25">_xlfn.QUARTILE.EXC(IF($B$2:$B$939 = N25, $I$2:$I$939), 2)</f>
        <v>251.84816308132503</v>
      </c>
      <c r="T25" s="17" cm="1">
        <f t="array" ref="T25">_xlfn.QUARTILE.EXC(IF($B$2:$B$939 = N25, $C$2:$C$939), 3)</f>
        <v>0.11854999999999999</v>
      </c>
      <c r="U25" s="17" cm="1">
        <f t="array" ref="U25">_xlfn.QUARTILE.EXC(IF($B$2:$B$939 = N25, $C$2:$C$939), 1)</f>
        <v>0.09</v>
      </c>
      <c r="V25" s="17" cm="1">
        <f t="array" ref="V25">_xlfn.QUARTILE.EXC(IF($B$2:$B$939 = N25, $C$2:$C$939), 2)</f>
        <v>0.10189999999999999</v>
      </c>
    </row>
    <row r="26" spans="1:22">
      <c r="A26" t="s">
        <v>58</v>
      </c>
      <c r="B26">
        <v>2017</v>
      </c>
      <c r="C26" s="16">
        <v>5.2000000000000005E-2</v>
      </c>
      <c r="D26" s="1">
        <v>334817869</v>
      </c>
      <c r="E26" s="29">
        <f>Table15[[#This Row],[Ávöxtun]]*Table15[[#This Row],[Eignir]]/SUMIFS(Table15[Eignir],Table15[Year],Table15[[#This Row],[Year]])</f>
        <v>4.8917642817475314E-3</v>
      </c>
      <c r="F26" s="23" t="e">
        <f>IF(B26=1997, 100, IF(COUNTIF(A$1:A25,A26)=0, "NEW", F25*(1+Table15[[#This Row],[Ávöxtun]])))</f>
        <v>#VALUE!</v>
      </c>
      <c r="G26" s="18" t="str" cm="1">
        <f t="array" ref="G26">IFERROR(_xlfn.IFS(ISNUMBER(Table15[[#This Row],[Column3]]),Table15[[#This Row],[Column3]],Table15[[#This Row],[Column3]]="NEW",Table15[[#This Row],[Column3]]),"")</f>
        <v/>
      </c>
      <c r="H26" s="15" cm="1">
        <f t="array" ref="H26">_xlfn.IFS(Table15[[#This Row],[Column4]]="NEW",AVERAGEIFS(Table15[Column4],Table15[Year],Table15[[#This Row],[Year]]),ISNUMBER(Table15[[#This Row],[Column4]]),Table15[[#This Row],[Column4]],Table15[[#This Row],[Column4]]="",H25*(1+Table15[[#This Row],[Ávöxtun]]))</f>
        <v>214.12666111315545</v>
      </c>
      <c r="I26" s="30" cm="1">
        <f t="array" ref="I26">_xlfn.IFS(Table15[[#This Row],[Column4]]="NEW",_xlfn.XLOOKUP(Table15[[#This Row],[Year]]-1,$N$2:$N$27,$P$2:$P$27)*(1+Table15[[#This Row],[Ávöxtun]]),ISNUMBER(Table15[[#This Row],[Column4]]),Table15[[#This Row],[Column4]],Table15[[#This Row],[Column4]]="",I25*(1+Table15[[#This Row],[Ávöxtun]]))</f>
        <v>234.66179846661018</v>
      </c>
      <c r="L26" s="33">
        <v>214.12666111315545</v>
      </c>
      <c r="M26" s="33">
        <v>255.74847420642249</v>
      </c>
      <c r="N26">
        <v>2020</v>
      </c>
      <c r="O26" s="27">
        <f>SUMIFS(Table15[Column2],Table15[Year],N26)</f>
        <v>0.13104509362166816</v>
      </c>
      <c r="P26">
        <f t="shared" si="0"/>
        <v>327.63113240491583</v>
      </c>
      <c r="Q26" s="26" cm="1">
        <f t="array" ref="Q26">_xlfn.QUARTILE.EXC(IF($B$2:$B$939 = N26, $I$2:$I$939), 3)</f>
        <v>294.70280783781016</v>
      </c>
      <c r="R26" s="26" cm="1">
        <f t="array" ref="R26">_xlfn.QUARTILE.EXC(IF($B$2:$B$939 = N26, $I$2:$I$939), 1)</f>
        <v>220.29301590195661</v>
      </c>
      <c r="S26" s="26" cm="1">
        <f t="array" ref="S26">_xlfn.QUARTILE.EXC(IF($B$2:$B$939 = N26, $I$2:$I$939), 2)</f>
        <v>274.95008685779243</v>
      </c>
      <c r="T26" s="17" cm="1">
        <f t="array" ref="T26">_xlfn.QUARTILE.EXC(IF($B$2:$B$939 = N26, $C$2:$C$939), 3)</f>
        <v>0.10250000000000001</v>
      </c>
      <c r="U26" s="17" cm="1">
        <f t="array" ref="U26">_xlfn.QUARTILE.EXC(IF($B$2:$B$939 = N26, $C$2:$C$939), 1)</f>
        <v>7.8649999999999998E-2</v>
      </c>
      <c r="V26" s="17" cm="1">
        <f t="array" ref="V26">_xlfn.QUARTILE.EXC(IF($B$2:$B$939 = N26, $C$2:$C$939), 2)</f>
        <v>8.8900000000000007E-2</v>
      </c>
    </row>
    <row r="27" spans="1:22">
      <c r="A27" t="s">
        <v>58</v>
      </c>
      <c r="B27">
        <v>2018</v>
      </c>
      <c r="C27" s="16">
        <v>1.7000000000000001E-2</v>
      </c>
      <c r="D27" s="1">
        <v>357802547</v>
      </c>
      <c r="E27" s="29">
        <f>Table15[[#This Row],[Ávöxtun]]*Table15[[#This Row],[Eignir]]/SUMIFS(Table15[Eignir],Table15[Year],Table15[[#This Row],[Year]])</f>
        <v>1.5930162563367785E-3</v>
      </c>
      <c r="F27" s="23" t="e">
        <f>IF(B27=1997, 100, IF(COUNTIF(A$1:A26,A27)=0, "NEW", F26*(1+Table15[[#This Row],[Ávöxtun]])))</f>
        <v>#VALUE!</v>
      </c>
      <c r="G27" s="18" t="str" cm="1">
        <f t="array" ref="G27">IFERROR(_xlfn.IFS(ISNUMBER(Table15[[#This Row],[Column3]]),Table15[[#This Row],[Column3]],Table15[[#This Row],[Column3]]="NEW",Table15[[#This Row],[Column3]]),"")</f>
        <v/>
      </c>
      <c r="H27" s="15" cm="1">
        <f t="array" ref="H27">_xlfn.IFS(Table15[[#This Row],[Column4]]="NEW",AVERAGEIFS(Table15[Column4],Table15[Year],Table15[[#This Row],[Year]]),ISNUMBER(Table15[[#This Row],[Column4]]),Table15[[#This Row],[Column4]],Table15[[#This Row],[Column4]]="",H26*(1+Table15[[#This Row],[Ávöxtun]]))</f>
        <v>217.76681435207908</v>
      </c>
      <c r="I27" s="30" cm="1">
        <f t="array" ref="I27">_xlfn.IFS(Table15[[#This Row],[Column4]]="NEW",_xlfn.XLOOKUP(Table15[[#This Row],[Year]]-1,$N$2:$N$27,$P$2:$P$27)*(1+Table15[[#This Row],[Ávöxtun]]),ISNUMBER(Table15[[#This Row],[Column4]]),Table15[[#This Row],[Column4]],Table15[[#This Row],[Column4]]="",I26*(1+Table15[[#This Row],[Ávöxtun]]))</f>
        <v>238.65104904054252</v>
      </c>
      <c r="L27" s="33">
        <v>217.76681435207908</v>
      </c>
      <c r="M27" s="33">
        <v>260.09619826793164</v>
      </c>
      <c r="N27">
        <v>2021</v>
      </c>
      <c r="O27" s="27">
        <f>SUMIFS(Table15[Column2],Table15[Year],N27)</f>
        <v>0.13997775777110577</v>
      </c>
      <c r="P27">
        <f>P26*(1+O27)</f>
        <v>373.49220369496425</v>
      </c>
      <c r="Q27" s="26" cm="1">
        <f t="array" ref="Q27">_xlfn.QUARTILE.EXC(IF($B$2:$B$939 = N27, $I$2:$I$939), 3)</f>
        <v>337.11451854015456</v>
      </c>
      <c r="R27" s="26" cm="1">
        <f t="array" ref="R27">_xlfn.QUARTILE.EXC(IF($B$2:$B$939 = N27, $I$2:$I$939), 1)</f>
        <v>240.30972797317685</v>
      </c>
      <c r="S27" s="26" cm="1">
        <f t="array" ref="S27">_xlfn.QUARTILE.EXC(IF($B$2:$B$939 = N27, $I$2:$I$939), 2)</f>
        <v>307.24812771344517</v>
      </c>
      <c r="T27" s="17" cm="1">
        <f t="array" ref="T27">_xlfn.QUARTILE.EXC(IF($B$2:$B$939 = N27, $C$2:$C$939), 3)</f>
        <v>0.12585000000000002</v>
      </c>
      <c r="U27" s="17" cm="1">
        <f t="array" ref="U27">_xlfn.QUARTILE.EXC(IF($B$2:$B$939 = N27, $C$2:$C$939), 1)</f>
        <v>8.030000000000001E-2</v>
      </c>
      <c r="V27" s="17" cm="1">
        <f t="array" ref="V27">_xlfn.QUARTILE.EXC(IF($B$2:$B$939 = N27, $C$2:$C$939), 2)</f>
        <v>0.11</v>
      </c>
    </row>
    <row r="28" spans="1:22">
      <c r="A28" t="s">
        <v>58</v>
      </c>
      <c r="B28">
        <v>2019</v>
      </c>
      <c r="C28" s="16">
        <v>0.11210000000000001</v>
      </c>
      <c r="D28" s="1">
        <v>415234049.41000003</v>
      </c>
      <c r="E28" s="29">
        <f>Table15[[#This Row],[Ávöxtun]]*Table15[[#This Row],[Eignir]]/SUMIFS(Table15[Eignir],Table15[Year],Table15[[#This Row],[Year]])</f>
        <v>1.0514797460609588E-2</v>
      </c>
      <c r="F28" s="23" t="e">
        <f>IF(B28=1997, 100, IF(COUNTIF(A$1:A27,A28)=0, "NEW", F27*(1+Table15[[#This Row],[Ávöxtun]])))</f>
        <v>#VALUE!</v>
      </c>
      <c r="G28" s="18" t="str" cm="1">
        <f t="array" ref="G28">IFERROR(_xlfn.IFS(ISNUMBER(Table15[[#This Row],[Column3]]),Table15[[#This Row],[Column3]],Table15[[#This Row],[Column3]]="NEW",Table15[[#This Row],[Column3]]),"")</f>
        <v/>
      </c>
      <c r="H28" s="15" cm="1">
        <f t="array" ref="H28">_xlfn.IFS(Table15[[#This Row],[Column4]]="NEW",AVERAGEIFS(Table15[Column4],Table15[Year],Table15[[#This Row],[Year]]),ISNUMBER(Table15[[#This Row],[Column4]]),Table15[[#This Row],[Column4]],Table15[[#This Row],[Column4]]="",H27*(1+Table15[[#This Row],[Ávöxtun]]))</f>
        <v>242.17847424094717</v>
      </c>
      <c r="I28" s="30" cm="1">
        <f t="array" ref="I28">_xlfn.IFS(Table15[[#This Row],[Column4]]="NEW",_xlfn.XLOOKUP(Table15[[#This Row],[Year]]-1,$N$2:$N$27,$P$2:$P$27)*(1+Table15[[#This Row],[Ávöxtun]]),ISNUMBER(Table15[[#This Row],[Column4]]),Table15[[#This Row],[Column4]],Table15[[#This Row],[Column4]]="",I27*(1+Table15[[#This Row],[Ávöxtun]]))</f>
        <v>265.40383163798737</v>
      </c>
      <c r="L28" s="33">
        <v>242.17847424094717</v>
      </c>
      <c r="M28" s="33">
        <v>289.25298209376678</v>
      </c>
    </row>
    <row r="29" spans="1:22">
      <c r="A29" t="s">
        <v>58</v>
      </c>
      <c r="B29">
        <v>2020</v>
      </c>
      <c r="C29" s="16">
        <v>8.8900000000000007E-2</v>
      </c>
      <c r="D29" s="1">
        <v>472667958.5</v>
      </c>
      <c r="E29" s="29">
        <f>Table15[[#This Row],[Ávöxtun]]*Table15[[#This Row],[Eignir]]/SUMIFS(Table15[Eignir],Table15[Year],Table15[[#This Row],[Year]])</f>
        <v>8.1805221611389294E-3</v>
      </c>
      <c r="F29" s="23" t="e">
        <f>IF(B29=1997, 100, IF(COUNTIF(A$1:A28,A29)=0, "NEW", F28*(1+Table15[[#This Row],[Ávöxtun]])))</f>
        <v>#VALUE!</v>
      </c>
      <c r="G29" s="18" t="str" cm="1">
        <f t="array" ref="G29">IFERROR(_xlfn.IFS(ISNUMBER(Table15[[#This Row],[Column3]]),Table15[[#This Row],[Column3]],Table15[[#This Row],[Column3]]="NEW",Table15[[#This Row],[Column3]]),"")</f>
        <v/>
      </c>
      <c r="H29" s="15" cm="1">
        <f t="array" ref="H29">_xlfn.IFS(Table15[[#This Row],[Column4]]="NEW",AVERAGEIFS(Table15[Column4],Table15[Year],Table15[[#This Row],[Year]]),ISNUMBER(Table15[[#This Row],[Column4]]),Table15[[#This Row],[Column4]],Table15[[#This Row],[Column4]]="",H28*(1+Table15[[#This Row],[Ávöxtun]]))</f>
        <v>263.70814060096734</v>
      </c>
      <c r="I29" s="30" cm="1">
        <f t="array" ref="I29">_xlfn.IFS(Table15[[#This Row],[Column4]]="NEW",_xlfn.XLOOKUP(Table15[[#This Row],[Year]]-1,$N$2:$N$27,$P$2:$P$27)*(1+Table15[[#This Row],[Ávöxtun]]),ISNUMBER(Table15[[#This Row],[Column4]]),Table15[[#This Row],[Column4]],Table15[[#This Row],[Column4]]="",I28*(1+Table15[[#This Row],[Ávöxtun]]))</f>
        <v>288.99823227060443</v>
      </c>
      <c r="L29" s="33">
        <v>263.70814060096734</v>
      </c>
      <c r="M29" s="33">
        <v>314.96757220190261</v>
      </c>
    </row>
    <row r="30" spans="1:22">
      <c r="A30" t="s">
        <v>58</v>
      </c>
      <c r="B30">
        <v>2021</v>
      </c>
      <c r="C30" s="16">
        <v>0.1011</v>
      </c>
      <c r="D30" s="1">
        <v>550440991.62</v>
      </c>
      <c r="E30" s="29">
        <f>Table15[[#This Row],[Ávöxtun]]*Table15[[#This Row],[Eignir]]/SUMIFS(Table15[Eignir],Table15[Year],Table15[[#This Row],[Year]])</f>
        <v>9.2142728255319058E-3</v>
      </c>
      <c r="F30" s="23" t="e">
        <f>IF(B30=1997, 100, IF(COUNTIF(A$1:A29,A30)=0, "NEW", F29*(1+Table15[[#This Row],[Ávöxtun]])))</f>
        <v>#VALUE!</v>
      </c>
      <c r="G30" s="18" t="str" cm="1">
        <f t="array" ref="G30">IFERROR(_xlfn.IFS(ISNUMBER(Table15[[#This Row],[Column3]]),Table15[[#This Row],[Column3]],Table15[[#This Row],[Column3]]="NEW",Table15[[#This Row],[Column3]]),"")</f>
        <v/>
      </c>
      <c r="H30" s="15" cm="1">
        <f t="array" ref="H30">_xlfn.IFS(Table15[[#This Row],[Column4]]="NEW",AVERAGEIFS(Table15[Column4],Table15[Year],Table15[[#This Row],[Year]]),ISNUMBER(Table15[[#This Row],[Column4]]),Table15[[#This Row],[Column4]],Table15[[#This Row],[Column4]]="",H29*(1+Table15[[#This Row],[Ávöxtun]]))</f>
        <v>290.36903361572513</v>
      </c>
      <c r="I30" s="30" cm="1">
        <f t="array" ref="I30">_xlfn.IFS(Table15[[#This Row],[Column4]]="NEW",_xlfn.XLOOKUP(Table15[[#This Row],[Year]]-1,$N$2:$N$27,$P$2:$P$27)*(1+Table15[[#This Row],[Ávöxtun]]),ISNUMBER(Table15[[#This Row],[Column4]]),Table15[[#This Row],[Column4]],Table15[[#This Row],[Column4]]="",I29*(1+Table15[[#This Row],[Ávöxtun]]))</f>
        <v>318.21595355316254</v>
      </c>
      <c r="L30" s="33">
        <v>290.36903361572513</v>
      </c>
      <c r="M30" s="33">
        <v>346.81079375151495</v>
      </c>
    </row>
    <row r="31" spans="1:22">
      <c r="A31" t="s">
        <v>59</v>
      </c>
      <c r="B31">
        <v>2016</v>
      </c>
      <c r="C31" s="16">
        <v>0</v>
      </c>
      <c r="D31" s="1">
        <v>0</v>
      </c>
      <c r="E31" s="29">
        <f>Table15[[#This Row],[Ávöxtun]]*Table15[[#This Row],[Eignir]]/SUMIFS(Table15[Eignir],Table15[Year],Table15[[#This Row],[Year]])</f>
        <v>0</v>
      </c>
      <c r="F31" s="23" t="str">
        <f>IF(B31=1997, 100, IF(COUNTIF(A$1:A30,A31)=0, "NEW", F30*(1+Table15[[#This Row],[Ávöxtun]])))</f>
        <v>NEW</v>
      </c>
      <c r="G31" s="18" t="str" cm="1">
        <f t="array" ref="G31">IFERROR(_xlfn.IFS(ISNUMBER(Table15[[#This Row],[Column3]]),Table15[[#This Row],[Column3]],Table15[[#This Row],[Column3]]="NEW",Table15[[#This Row],[Column3]]),"")</f>
        <v>NEW</v>
      </c>
      <c r="H31" s="15" cm="1">
        <f t="array" ref="H31">_xlfn.IFS(Table15[[#This Row],[Column4]]="NEW",AVERAGEIFS(Table15[Column4],Table15[Year],Table15[[#This Row],[Year]]),ISNUMBER(Table15[[#This Row],[Column4]]),Table15[[#This Row],[Column4]],Table15[[#This Row],[Column4]]="",H30*(1+Table15[[#This Row],[Ávöxtun]]))</f>
        <v>203.54245352961544</v>
      </c>
      <c r="I31" s="30" cm="1">
        <f t="array" ref="I31">_xlfn.IFS(Table15[[#This Row],[Column4]]="NEW",_xlfn.XLOOKUP(Table15[[#This Row],[Year]]-1,$N$2:$N$27,$P$2:$P$27)*(1+Table15[[#This Row],[Ávöxtun]]),ISNUMBER(Table15[[#This Row],[Column4]]),Table15[[#This Row],[Column4]],Table15[[#This Row],[Column4]]="",I30*(1+Table15[[#This Row],[Ávöxtun]]))</f>
        <v>226.43644916345775</v>
      </c>
      <c r="L31" s="33">
        <v>203.54245352961544</v>
      </c>
      <c r="M31" s="33">
        <v>243.10691464488829</v>
      </c>
    </row>
    <row r="32" spans="1:22">
      <c r="A32" t="s">
        <v>59</v>
      </c>
      <c r="B32">
        <v>2017</v>
      </c>
      <c r="C32" s="16">
        <v>0.16500000000000001</v>
      </c>
      <c r="D32" s="1">
        <v>193252610</v>
      </c>
      <c r="E32" s="29">
        <f>Table15[[#This Row],[Ávöxtun]]*Table15[[#This Row],[Eignir]]/SUMIFS(Table15[Eignir],Table15[Year],Table15[[#This Row],[Year]])</f>
        <v>8.9590686062930806E-3</v>
      </c>
      <c r="F32" s="23" t="e">
        <f>IF(B32=1997, 100, IF(COUNTIF(A$1:A31,A32)=0, "NEW", F31*(1+Table15[[#This Row],[Ávöxtun]])))</f>
        <v>#VALUE!</v>
      </c>
      <c r="G32" s="18" t="str" cm="1">
        <f t="array" ref="G32">IFERROR(_xlfn.IFS(ISNUMBER(Table15[[#This Row],[Column3]]),Table15[[#This Row],[Column3]],Table15[[#This Row],[Column3]]="NEW",Table15[[#This Row],[Column3]]),"")</f>
        <v/>
      </c>
      <c r="H32" s="15" cm="1">
        <f t="array" ref="H32">_xlfn.IFS(Table15[[#This Row],[Column4]]="NEW",AVERAGEIFS(Table15[Column4],Table15[Year],Table15[[#This Row],[Year]]),ISNUMBER(Table15[[#This Row],[Column4]]),Table15[[#This Row],[Column4]],Table15[[#This Row],[Column4]]="",H31*(1+Table15[[#This Row],[Ávöxtun]]))</f>
        <v>237.126958362002</v>
      </c>
      <c r="I32" s="30" cm="1">
        <f t="array" ref="I32">_xlfn.IFS(Table15[[#This Row],[Column4]]="NEW",_xlfn.XLOOKUP(Table15[[#This Row],[Year]]-1,$N$2:$N$27,$P$2:$P$27)*(1+Table15[[#This Row],[Ávöxtun]]),ISNUMBER(Table15[[#This Row],[Column4]]),Table15[[#This Row],[Column4]],Table15[[#This Row],[Column4]]="",I31*(1+Table15[[#This Row],[Ávöxtun]]))</f>
        <v>263.79846327542828</v>
      </c>
      <c r="L32" s="33">
        <v>237.126958362002</v>
      </c>
      <c r="M32" s="33">
        <v>283.2195555612949</v>
      </c>
    </row>
    <row r="33" spans="1:13">
      <c r="A33" t="s">
        <v>59</v>
      </c>
      <c r="B33">
        <v>2018</v>
      </c>
      <c r="C33" s="16">
        <v>7.400000000000001E-2</v>
      </c>
      <c r="D33" s="1">
        <v>216996109</v>
      </c>
      <c r="E33" s="29">
        <f>Table15[[#This Row],[Ávöxtun]]*Table15[[#This Row],[Eignir]]/SUMIFS(Table15[Eignir],Table15[Year],Table15[[#This Row],[Year]])</f>
        <v>4.205440809741166E-3</v>
      </c>
      <c r="F33" s="23" t="e">
        <f>IF(B33=1997, 100, IF(COUNTIF(A$1:A32,A33)=0, "NEW", F32*(1+Table15[[#This Row],[Ávöxtun]])))</f>
        <v>#VALUE!</v>
      </c>
      <c r="G33" s="18" t="str" cm="1">
        <f t="array" ref="G33">IFERROR(_xlfn.IFS(ISNUMBER(Table15[[#This Row],[Column3]]),Table15[[#This Row],[Column3]],Table15[[#This Row],[Column3]]="NEW",Table15[[#This Row],[Column3]]),"")</f>
        <v/>
      </c>
      <c r="H33" s="15" cm="1">
        <f t="array" ref="H33">_xlfn.IFS(Table15[[#This Row],[Column4]]="NEW",AVERAGEIFS(Table15[Column4],Table15[Year],Table15[[#This Row],[Year]]),ISNUMBER(Table15[[#This Row],[Column4]]),Table15[[#This Row],[Column4]],Table15[[#This Row],[Column4]]="",H32*(1+Table15[[#This Row],[Ávöxtun]]))</f>
        <v>254.67435328079017</v>
      </c>
      <c r="I33" s="30" cm="1">
        <f t="array" ref="I33">_xlfn.IFS(Table15[[#This Row],[Column4]]="NEW",_xlfn.XLOOKUP(Table15[[#This Row],[Year]]-1,$N$2:$N$27,$P$2:$P$27)*(1+Table15[[#This Row],[Ávöxtun]]),ISNUMBER(Table15[[#This Row],[Column4]]),Table15[[#This Row],[Column4]],Table15[[#This Row],[Column4]]="",I32*(1+Table15[[#This Row],[Ávöxtun]]))</f>
        <v>283.31954955780998</v>
      </c>
      <c r="L33" s="33">
        <v>254.67435328079017</v>
      </c>
      <c r="M33" s="33">
        <v>304.17780267283075</v>
      </c>
    </row>
    <row r="34" spans="1:13">
      <c r="A34" t="s">
        <v>59</v>
      </c>
      <c r="B34">
        <v>2019</v>
      </c>
      <c r="C34" s="16">
        <v>0.22600000000000001</v>
      </c>
      <c r="D34" s="1">
        <v>249497222.91999999</v>
      </c>
      <c r="E34" s="29">
        <f>Table15[[#This Row],[Ávöxtun]]*Table15[[#This Row],[Eignir]]/SUMIFS(Table15[Eignir],Table15[Year],Table15[[#This Row],[Year]])</f>
        <v>1.2737274121234154E-2</v>
      </c>
      <c r="F34" s="23" t="e">
        <f>IF(B34=1997, 100, IF(COUNTIF(A$1:A33,A34)=0, "NEW", F33*(1+Table15[[#This Row],[Ávöxtun]])))</f>
        <v>#VALUE!</v>
      </c>
      <c r="G34" s="18" t="str" cm="1">
        <f t="array" ref="G34">IFERROR(_xlfn.IFS(ISNUMBER(Table15[[#This Row],[Column3]]),Table15[[#This Row],[Column3]],Table15[[#This Row],[Column3]]="NEW",Table15[[#This Row],[Column3]]),"")</f>
        <v/>
      </c>
      <c r="H34" s="15" cm="1">
        <f t="array" ref="H34">_xlfn.IFS(Table15[[#This Row],[Column4]]="NEW",AVERAGEIFS(Table15[Column4],Table15[Year],Table15[[#This Row],[Year]]),ISNUMBER(Table15[[#This Row],[Column4]]),Table15[[#This Row],[Column4]],Table15[[#This Row],[Column4]]="",H33*(1+Table15[[#This Row],[Ávöxtun]]))</f>
        <v>312.23075712224875</v>
      </c>
      <c r="I34" s="30" cm="1">
        <f t="array" ref="I34">_xlfn.IFS(Table15[[#This Row],[Column4]]="NEW",_xlfn.XLOOKUP(Table15[[#This Row],[Year]]-1,$N$2:$N$27,$P$2:$P$27)*(1+Table15[[#This Row],[Ávöxtun]]),ISNUMBER(Table15[[#This Row],[Column4]]),Table15[[#This Row],[Column4]],Table15[[#This Row],[Column4]]="",I33*(1+Table15[[#This Row],[Ávöxtun]]))</f>
        <v>347.34976775787504</v>
      </c>
      <c r="L34" s="33">
        <v>312.23075712224875</v>
      </c>
      <c r="M34" s="33">
        <v>372.92198607689051</v>
      </c>
    </row>
    <row r="35" spans="1:13">
      <c r="A35" t="s">
        <v>59</v>
      </c>
      <c r="B35">
        <v>2020</v>
      </c>
      <c r="C35" s="16">
        <v>0.20800000000000002</v>
      </c>
      <c r="D35" s="1">
        <v>289890993.74000001</v>
      </c>
      <c r="E35" s="29">
        <f>Table15[[#This Row],[Ávöxtun]]*Table15[[#This Row],[Eignir]]/SUMIFS(Table15[Eignir],Table15[Year],Table15[[#This Row],[Year]])</f>
        <v>1.173873123762569E-2</v>
      </c>
      <c r="F35" s="23" t="e">
        <f>IF(B35=1997, 100, IF(COUNTIF(A$1:A34,A35)=0, "NEW", F34*(1+Table15[[#This Row],[Ávöxtun]])))</f>
        <v>#VALUE!</v>
      </c>
      <c r="G35" s="18" t="str" cm="1">
        <f t="array" ref="G35">IFERROR(_xlfn.IFS(ISNUMBER(Table15[[#This Row],[Column3]]),Table15[[#This Row],[Column3]],Table15[[#This Row],[Column3]]="NEW",Table15[[#This Row],[Column3]]),"")</f>
        <v/>
      </c>
      <c r="H35" s="15" cm="1">
        <f t="array" ref="H35">_xlfn.IFS(Table15[[#This Row],[Column4]]="NEW",AVERAGEIFS(Table15[Column4],Table15[Year],Table15[[#This Row],[Year]]),ISNUMBER(Table15[[#This Row],[Column4]]),Table15[[#This Row],[Column4]],Table15[[#This Row],[Column4]]="",H34*(1+Table15[[#This Row],[Ávöxtun]]))</f>
        <v>377.17475460367649</v>
      </c>
      <c r="I35" s="30" cm="1">
        <f t="array" ref="I35">_xlfn.IFS(Table15[[#This Row],[Column4]]="NEW",_xlfn.XLOOKUP(Table15[[#This Row],[Year]]-1,$N$2:$N$27,$P$2:$P$27)*(1+Table15[[#This Row],[Ávöxtun]]),ISNUMBER(Table15[[#This Row],[Column4]]),Table15[[#This Row],[Column4]],Table15[[#This Row],[Column4]]="",I34*(1+Table15[[#This Row],[Ávöxtun]]))</f>
        <v>419.59851945151303</v>
      </c>
      <c r="L35" s="33">
        <v>377.17475460367649</v>
      </c>
      <c r="M35" s="33">
        <v>450.48975918088371</v>
      </c>
    </row>
    <row r="36" spans="1:13">
      <c r="A36" t="s">
        <v>59</v>
      </c>
      <c r="B36">
        <v>2021</v>
      </c>
      <c r="C36" s="16">
        <v>0.249</v>
      </c>
      <c r="D36" s="1">
        <v>342407199.69999999</v>
      </c>
      <c r="E36" s="29">
        <f>Table15[[#This Row],[Ávöxtun]]*Table15[[#This Row],[Eignir]]/SUMIFS(Table15[Eignir],Table15[Year],Table15[[#This Row],[Year]])</f>
        <v>1.4116966300081767E-2</v>
      </c>
      <c r="F36" s="23" t="e">
        <f>IF(B36=1997, 100, IF(COUNTIF(A$1:A35,A36)=0, "NEW", F35*(1+Table15[[#This Row],[Ávöxtun]])))</f>
        <v>#VALUE!</v>
      </c>
      <c r="G36" s="18" t="str" cm="1">
        <f t="array" ref="G36">IFERROR(_xlfn.IFS(ISNUMBER(Table15[[#This Row],[Column3]]),Table15[[#This Row],[Column3]],Table15[[#This Row],[Column3]]="NEW",Table15[[#This Row],[Column3]]),"")</f>
        <v/>
      </c>
      <c r="H36" s="15" cm="1">
        <f t="array" ref="H36">_xlfn.IFS(Table15[[#This Row],[Column4]]="NEW",AVERAGEIFS(Table15[Column4],Table15[Year],Table15[[#This Row],[Year]]),ISNUMBER(Table15[[#This Row],[Column4]]),Table15[[#This Row],[Column4]],Table15[[#This Row],[Column4]]="",H35*(1+Table15[[#This Row],[Ávöxtun]]))</f>
        <v>471.091268499992</v>
      </c>
      <c r="I36" s="30" cm="1">
        <f t="array" ref="I36">_xlfn.IFS(Table15[[#This Row],[Column4]]="NEW",_xlfn.XLOOKUP(Table15[[#This Row],[Year]]-1,$N$2:$N$27,$P$2:$P$27)*(1+Table15[[#This Row],[Ávöxtun]]),ISNUMBER(Table15[[#This Row],[Column4]]),Table15[[#This Row],[Column4]],Table15[[#This Row],[Column4]]="",I35*(1+Table15[[#This Row],[Ávöxtun]]))</f>
        <v>524.07855079493982</v>
      </c>
      <c r="L36" s="33">
        <v>471.091268499992</v>
      </c>
      <c r="M36" s="33">
        <v>562.66170921692378</v>
      </c>
    </row>
    <row r="37" spans="1:13">
      <c r="A37" t="s">
        <v>60</v>
      </c>
      <c r="B37">
        <v>1997</v>
      </c>
      <c r="C37" s="16">
        <v>0.05</v>
      </c>
      <c r="D37" s="1">
        <v>7098596.3200000003</v>
      </c>
      <c r="E37" s="29">
        <f>Table15[[#This Row],[Ávöxtun]]*Table15[[#This Row],[Eignir]]/SUMIFS(Table15[Eignir],Table15[Year],Table15[[#This Row],[Year]])</f>
        <v>1.0469123468025729E-3</v>
      </c>
      <c r="F37" s="23">
        <f>IF(B37=1997, 100, IF(COUNTIF(A$1:A36,A37)=0, "NEW", F36*(1+Table15[[#This Row],[Ávöxtun]])))</f>
        <v>100</v>
      </c>
      <c r="G37" s="18" cm="1">
        <f t="array" ref="G37">IFERROR(_xlfn.IFS(ISNUMBER(Table15[[#This Row],[Column3]]),Table15[[#This Row],[Column3]],Table15[[#This Row],[Column3]]="NEW",Table15[[#This Row],[Column3]]),"")</f>
        <v>100</v>
      </c>
      <c r="H37" s="15" cm="1">
        <f t="array" ref="H37">_xlfn.IFS(Table15[[#This Row],[Column4]]="NEW",AVERAGEIFS(Table15[Column4],Table15[Year],Table15[[#This Row],[Year]]),ISNUMBER(Table15[[#This Row],[Column4]]),Table15[[#This Row],[Column4]],Table15[[#This Row],[Column4]]="",H36*(1+Table15[[#This Row],[Ávöxtun]]))</f>
        <v>100</v>
      </c>
      <c r="I37" s="30" cm="1">
        <f t="array" ref="I37">_xlfn.IFS(Table15[[#This Row],[Column4]]="NEW",_xlfn.XLOOKUP(Table15[[#This Row],[Year]]-1,$N$2:$N$27,$P$2:$P$27)*(1+Table15[[#This Row],[Ávöxtun]]),ISNUMBER(Table15[[#This Row],[Column4]]),Table15[[#This Row],[Column4]],Table15[[#This Row],[Column4]]="",I36*(1+Table15[[#This Row],[Ávöxtun]]))</f>
        <v>100</v>
      </c>
      <c r="L37" s="33">
        <v>100</v>
      </c>
      <c r="M37" s="33">
        <v>100</v>
      </c>
    </row>
    <row r="38" spans="1:13">
      <c r="A38" t="s">
        <v>61</v>
      </c>
      <c r="B38">
        <v>1997</v>
      </c>
      <c r="C38" s="16">
        <v>7.0000000000000007E-2</v>
      </c>
      <c r="D38" s="1">
        <v>620570.21</v>
      </c>
      <c r="E38" s="29">
        <f>Table15[[#This Row],[Ávöxtun]]*Table15[[#This Row],[Eignir]]/SUMIFS(Table15[Eignir],Table15[Year],Table15[[#This Row],[Year]])</f>
        <v>1.2813176293839619E-4</v>
      </c>
      <c r="F38" s="23">
        <f>IF(B38=1997, 100, IF(COUNTIF(A$1:A37,A38)=0, "NEW", F37*(1+Table15[[#This Row],[Ávöxtun]])))</f>
        <v>100</v>
      </c>
      <c r="G38" s="18" cm="1">
        <f t="array" ref="G38">IFERROR(_xlfn.IFS(ISNUMBER(Table15[[#This Row],[Column3]]),Table15[[#This Row],[Column3]],Table15[[#This Row],[Column3]]="NEW",Table15[[#This Row],[Column3]]),"")</f>
        <v>100</v>
      </c>
      <c r="H38" s="15" cm="1">
        <f t="array" ref="H38">_xlfn.IFS(Table15[[#This Row],[Column4]]="NEW",AVERAGEIFS(Table15[Column4],Table15[Year],Table15[[#This Row],[Year]]),ISNUMBER(Table15[[#This Row],[Column4]]),Table15[[#This Row],[Column4]],Table15[[#This Row],[Column4]]="",H37*(1+Table15[[#This Row],[Ávöxtun]]))</f>
        <v>100</v>
      </c>
      <c r="I38" s="30" cm="1">
        <f t="array" ref="I38">_xlfn.IFS(Table15[[#This Row],[Column4]]="NEW",_xlfn.XLOOKUP(Table15[[#This Row],[Year]]-1,$N$2:$N$27,$P$2:$P$27)*(1+Table15[[#This Row],[Ávöxtun]]),ISNUMBER(Table15[[#This Row],[Column4]]),Table15[[#This Row],[Column4]],Table15[[#This Row],[Column4]]="",I37*(1+Table15[[#This Row],[Ávöxtun]]))</f>
        <v>100</v>
      </c>
      <c r="L38" s="33">
        <v>100</v>
      </c>
      <c r="M38" s="33">
        <v>100</v>
      </c>
    </row>
    <row r="39" spans="1:13">
      <c r="A39" t="s">
        <v>61</v>
      </c>
      <c r="B39">
        <v>1998</v>
      </c>
      <c r="C39" s="16">
        <v>7.0000000000000007E-2</v>
      </c>
      <c r="D39" s="1">
        <v>632094.66</v>
      </c>
      <c r="E39" s="29">
        <f>Table15[[#This Row],[Ávöxtun]]*Table15[[#This Row],[Eignir]]/SUMIFS(Table15[Eignir],Table15[Year],Table15[[#This Row],[Year]])</f>
        <v>1.1297926966561025E-4</v>
      </c>
      <c r="F39" s="23">
        <f>IF(B39=1997, 100, IF(COUNTIF(A$1:A38,A39)=0, "NEW", F38*(1+Table15[[#This Row],[Ávöxtun]])))</f>
        <v>107</v>
      </c>
      <c r="G39" s="18" cm="1">
        <f t="array" ref="G39">IFERROR(_xlfn.IFS(ISNUMBER(Table15[[#This Row],[Column3]]),Table15[[#This Row],[Column3]],Table15[[#This Row],[Column3]]="NEW",Table15[[#This Row],[Column3]]),"")</f>
        <v>107</v>
      </c>
      <c r="H39" s="15" cm="1">
        <f t="array" ref="H39">_xlfn.IFS(Table15[[#This Row],[Column4]]="NEW",AVERAGEIFS(Table15[Column4],Table15[Year],Table15[[#This Row],[Year]]),ISNUMBER(Table15[[#This Row],[Column4]]),Table15[[#This Row],[Column4]],Table15[[#This Row],[Column4]]="",H38*(1+Table15[[#This Row],[Ávöxtun]]))</f>
        <v>107</v>
      </c>
      <c r="I39" s="30" cm="1">
        <f t="array" ref="I39">_xlfn.IFS(Table15[[#This Row],[Column4]]="NEW",_xlfn.XLOOKUP(Table15[[#This Row],[Year]]-1,$N$2:$N$27,$P$2:$P$27)*(1+Table15[[#This Row],[Ávöxtun]]),ISNUMBER(Table15[[#This Row],[Column4]]),Table15[[#This Row],[Column4]],Table15[[#This Row],[Column4]]="",I38*(1+Table15[[#This Row],[Ávöxtun]]))</f>
        <v>107</v>
      </c>
      <c r="L39" s="33">
        <v>107</v>
      </c>
      <c r="M39" s="33">
        <v>107</v>
      </c>
    </row>
    <row r="40" spans="1:13">
      <c r="A40" t="s">
        <v>61</v>
      </c>
      <c r="B40">
        <v>1999</v>
      </c>
      <c r="C40" s="16">
        <v>0.08</v>
      </c>
      <c r="D40" s="1">
        <v>665400.62</v>
      </c>
      <c r="E40" s="29">
        <f>Table15[[#This Row],[Ávöxtun]]*Table15[[#This Row],[Eignir]]/SUMIFS(Table15[Eignir],Table15[Year],Table15[[#This Row],[Year]])</f>
        <v>1.0222843053898669E-4</v>
      </c>
      <c r="F40" s="23">
        <f>IF(B40=1997, 100, IF(COUNTIF(A$1:A39,A40)=0, "NEW", F39*(1+Table15[[#This Row],[Ávöxtun]])))</f>
        <v>115.56</v>
      </c>
      <c r="G40" s="18" cm="1">
        <f t="array" ref="G40">IFERROR(_xlfn.IFS(ISNUMBER(Table15[[#This Row],[Column3]]),Table15[[#This Row],[Column3]],Table15[[#This Row],[Column3]]="NEW",Table15[[#This Row],[Column3]]),"")</f>
        <v>115.56</v>
      </c>
      <c r="H40" s="15" cm="1">
        <f t="array" ref="H40">_xlfn.IFS(Table15[[#This Row],[Column4]]="NEW",AVERAGEIFS(Table15[Column4],Table15[Year],Table15[[#This Row],[Year]]),ISNUMBER(Table15[[#This Row],[Column4]]),Table15[[#This Row],[Column4]],Table15[[#This Row],[Column4]]="",H39*(1+Table15[[#This Row],[Ávöxtun]]))</f>
        <v>115.56</v>
      </c>
      <c r="I40" s="30" cm="1">
        <f t="array" ref="I40">_xlfn.IFS(Table15[[#This Row],[Column4]]="NEW",_xlfn.XLOOKUP(Table15[[#This Row],[Year]]-1,$N$2:$N$27,$P$2:$P$27)*(1+Table15[[#This Row],[Ávöxtun]]),ISNUMBER(Table15[[#This Row],[Column4]]),Table15[[#This Row],[Column4]],Table15[[#This Row],[Column4]]="",I39*(1+Table15[[#This Row],[Ávöxtun]]))</f>
        <v>115.56</v>
      </c>
      <c r="L40" s="33">
        <v>115.56</v>
      </c>
      <c r="M40" s="33">
        <v>115.56</v>
      </c>
    </row>
    <row r="41" spans="1:13">
      <c r="A41" t="s">
        <v>61</v>
      </c>
      <c r="B41">
        <v>2000</v>
      </c>
      <c r="C41" s="16">
        <v>-0.02</v>
      </c>
      <c r="D41" s="1">
        <v>638557.34</v>
      </c>
      <c r="E41" s="29">
        <f>Table15[[#This Row],[Ávöxtun]]*Table15[[#This Row],[Eignir]]/SUMIFS(Table15[Eignir],Table15[Year],Table15[[#This Row],[Year]])</f>
        <v>-1.7965018490322129E-5</v>
      </c>
      <c r="F41" s="23">
        <f>IF(B41=1997, 100, IF(COUNTIF(A$1:A40,A41)=0, "NEW", F40*(1+Table15[[#This Row],[Ávöxtun]])))</f>
        <v>113.2488</v>
      </c>
      <c r="G41" s="18" cm="1">
        <f t="array" ref="G41">IFERROR(_xlfn.IFS(ISNUMBER(Table15[[#This Row],[Column3]]),Table15[[#This Row],[Column3]],Table15[[#This Row],[Column3]]="NEW",Table15[[#This Row],[Column3]]),"")</f>
        <v>113.2488</v>
      </c>
      <c r="H41" s="15" cm="1">
        <f t="array" ref="H41">_xlfn.IFS(Table15[[#This Row],[Column4]]="NEW",AVERAGEIFS(Table15[Column4],Table15[Year],Table15[[#This Row],[Year]]),ISNUMBER(Table15[[#This Row],[Column4]]),Table15[[#This Row],[Column4]],Table15[[#This Row],[Column4]]="",H40*(1+Table15[[#This Row],[Ávöxtun]]))</f>
        <v>113.2488</v>
      </c>
      <c r="I41" s="30" cm="1">
        <f t="array" ref="I41">_xlfn.IFS(Table15[[#This Row],[Column4]]="NEW",_xlfn.XLOOKUP(Table15[[#This Row],[Year]]-1,$N$2:$N$27,$P$2:$P$27)*(1+Table15[[#This Row],[Ávöxtun]]),ISNUMBER(Table15[[#This Row],[Column4]]),Table15[[#This Row],[Column4]],Table15[[#This Row],[Column4]]="",I40*(1+Table15[[#This Row],[Ávöxtun]]))</f>
        <v>113.2488</v>
      </c>
      <c r="L41" s="33">
        <v>113.2488</v>
      </c>
      <c r="M41" s="33">
        <v>113.2488</v>
      </c>
    </row>
    <row r="42" spans="1:13">
      <c r="A42" t="s">
        <v>61</v>
      </c>
      <c r="B42">
        <v>2001</v>
      </c>
      <c r="C42" s="16">
        <v>-0.08</v>
      </c>
      <c r="D42" s="1">
        <v>628263</v>
      </c>
      <c r="E42" s="29">
        <f>Table15[[#This Row],[Ávöxtun]]*Table15[[#This Row],[Eignir]]/SUMIFS(Table15[Eignir],Table15[Year],Table15[[#This Row],[Year]])</f>
        <v>-4.340647507897785E-5</v>
      </c>
      <c r="F42" s="23">
        <f>IF(B42=1997, 100, IF(COUNTIF(A$1:A41,A42)=0, "NEW", F41*(1+Table15[[#This Row],[Ávöxtun]])))</f>
        <v>104.18889600000001</v>
      </c>
      <c r="G42" s="18" cm="1">
        <f t="array" ref="G42">IFERROR(_xlfn.IFS(ISNUMBER(Table15[[#This Row],[Column3]]),Table15[[#This Row],[Column3]],Table15[[#This Row],[Column3]]="NEW",Table15[[#This Row],[Column3]]),"")</f>
        <v>104.18889600000001</v>
      </c>
      <c r="H42" s="15" cm="1">
        <f t="array" ref="H42">_xlfn.IFS(Table15[[#This Row],[Column4]]="NEW",AVERAGEIFS(Table15[Column4],Table15[Year],Table15[[#This Row],[Year]]),ISNUMBER(Table15[[#This Row],[Column4]]),Table15[[#This Row],[Column4]],Table15[[#This Row],[Column4]]="",H41*(1+Table15[[#This Row],[Ávöxtun]]))</f>
        <v>104.18889600000001</v>
      </c>
      <c r="I42" s="30" cm="1">
        <f t="array" ref="I42">_xlfn.IFS(Table15[[#This Row],[Column4]]="NEW",_xlfn.XLOOKUP(Table15[[#This Row],[Year]]-1,$N$2:$N$27,$P$2:$P$27)*(1+Table15[[#This Row],[Ávöxtun]]),ISNUMBER(Table15[[#This Row],[Column4]]),Table15[[#This Row],[Column4]],Table15[[#This Row],[Column4]]="",I41*(1+Table15[[#This Row],[Ávöxtun]]))</f>
        <v>104.18889600000001</v>
      </c>
      <c r="L42" s="33">
        <v>104.18889600000001</v>
      </c>
      <c r="M42" s="33">
        <v>104.18889600000001</v>
      </c>
    </row>
    <row r="43" spans="1:13">
      <c r="A43" t="s">
        <v>61</v>
      </c>
      <c r="B43">
        <v>2002</v>
      </c>
      <c r="C43" s="16">
        <v>0.03</v>
      </c>
      <c r="D43" s="1">
        <v>582127.9</v>
      </c>
      <c r="E43" s="29">
        <f>Table15[[#This Row],[Ávöxtun]]*Table15[[#This Row],[Eignir]]/SUMIFS(Table15[Eignir],Table15[Year],Table15[[#This Row],[Year]])</f>
        <v>2.7494997715435783E-5</v>
      </c>
      <c r="F43" s="23">
        <f>IF(B43=1997, 100, IF(COUNTIF(A$1:A42,A43)=0, "NEW", F42*(1+Table15[[#This Row],[Ávöxtun]])))</f>
        <v>107.31456288000001</v>
      </c>
      <c r="G43" s="18" cm="1">
        <f t="array" ref="G43">IFERROR(_xlfn.IFS(ISNUMBER(Table15[[#This Row],[Column3]]),Table15[[#This Row],[Column3]],Table15[[#This Row],[Column3]]="NEW",Table15[[#This Row],[Column3]]),"")</f>
        <v>107.31456288000001</v>
      </c>
      <c r="H43" s="15" cm="1">
        <f t="array" ref="H43">_xlfn.IFS(Table15[[#This Row],[Column4]]="NEW",AVERAGEIFS(Table15[Column4],Table15[Year],Table15[[#This Row],[Year]]),ISNUMBER(Table15[[#This Row],[Column4]]),Table15[[#This Row],[Column4]],Table15[[#This Row],[Column4]]="",H42*(1+Table15[[#This Row],[Ávöxtun]]))</f>
        <v>107.31456288000001</v>
      </c>
      <c r="I43" s="30" cm="1">
        <f t="array" ref="I43">_xlfn.IFS(Table15[[#This Row],[Column4]]="NEW",_xlfn.XLOOKUP(Table15[[#This Row],[Year]]-1,$N$2:$N$27,$P$2:$P$27)*(1+Table15[[#This Row],[Ávöxtun]]),ISNUMBER(Table15[[#This Row],[Column4]]),Table15[[#This Row],[Column4]],Table15[[#This Row],[Column4]]="",I42*(1+Table15[[#This Row],[Ávöxtun]]))</f>
        <v>107.31456288000001</v>
      </c>
      <c r="L43" s="33">
        <v>107.31456288000001</v>
      </c>
      <c r="M43" s="33">
        <v>107.31456288000001</v>
      </c>
    </row>
    <row r="44" spans="1:13">
      <c r="A44" t="s">
        <v>61</v>
      </c>
      <c r="B44">
        <v>2003</v>
      </c>
      <c r="C44" s="16">
        <v>7.0000000000000007E-2</v>
      </c>
      <c r="D44" s="1">
        <v>596996</v>
      </c>
      <c r="E44" s="29">
        <f>Table15[[#This Row],[Ávöxtun]]*Table15[[#This Row],[Eignir]]/SUMIFS(Table15[Eignir],Table15[Year],Table15[[#This Row],[Year]])</f>
        <v>5.4994332456086392E-5</v>
      </c>
      <c r="F44" s="23">
        <f>IF(B44=1997, 100, IF(COUNTIF(A$1:A43,A44)=0, "NEW", F43*(1+Table15[[#This Row],[Ávöxtun]])))</f>
        <v>114.82658228160003</v>
      </c>
      <c r="G44" s="18" cm="1">
        <f t="array" ref="G44">IFERROR(_xlfn.IFS(ISNUMBER(Table15[[#This Row],[Column3]]),Table15[[#This Row],[Column3]],Table15[[#This Row],[Column3]]="NEW",Table15[[#This Row],[Column3]]),"")</f>
        <v>114.82658228160003</v>
      </c>
      <c r="H44" s="15" cm="1">
        <f t="array" ref="H44">_xlfn.IFS(Table15[[#This Row],[Column4]]="NEW",AVERAGEIFS(Table15[Column4],Table15[Year],Table15[[#This Row],[Year]]),ISNUMBER(Table15[[#This Row],[Column4]]),Table15[[#This Row],[Column4]],Table15[[#This Row],[Column4]]="",H43*(1+Table15[[#This Row],[Ávöxtun]]))</f>
        <v>114.82658228160003</v>
      </c>
      <c r="I44" s="30" cm="1">
        <f t="array" ref="I44">_xlfn.IFS(Table15[[#This Row],[Column4]]="NEW",_xlfn.XLOOKUP(Table15[[#This Row],[Year]]-1,$N$2:$N$27,$P$2:$P$27)*(1+Table15[[#This Row],[Ávöxtun]]),ISNUMBER(Table15[[#This Row],[Column4]]),Table15[[#This Row],[Column4]],Table15[[#This Row],[Column4]]="",I43*(1+Table15[[#This Row],[Ávöxtun]]))</f>
        <v>114.82658228160003</v>
      </c>
      <c r="L44" s="33">
        <v>114.82658228160003</v>
      </c>
      <c r="M44" s="33">
        <v>114.82658228160003</v>
      </c>
    </row>
    <row r="45" spans="1:13">
      <c r="A45" t="s">
        <v>61</v>
      </c>
      <c r="B45">
        <v>2004</v>
      </c>
      <c r="C45" s="16">
        <v>0.06</v>
      </c>
      <c r="D45" s="1">
        <v>614781.72</v>
      </c>
      <c r="E45" s="29">
        <f>Table15[[#This Row],[Ávöxtun]]*Table15[[#This Row],[Eignir]]/SUMIFS(Table15[Eignir],Table15[Year],Table15[[#This Row],[Year]])</f>
        <v>4.0639093421111811E-5</v>
      </c>
      <c r="F45" s="23">
        <f>IF(B45=1997, 100, IF(COUNTIF(A$1:A44,A45)=0, "NEW", F44*(1+Table15[[#This Row],[Ávöxtun]])))</f>
        <v>121.71617721849603</v>
      </c>
      <c r="G45" s="18" cm="1">
        <f t="array" ref="G45">IFERROR(_xlfn.IFS(ISNUMBER(Table15[[#This Row],[Column3]]),Table15[[#This Row],[Column3]],Table15[[#This Row],[Column3]]="NEW",Table15[[#This Row],[Column3]]),"")</f>
        <v>121.71617721849603</v>
      </c>
      <c r="H45" s="15" cm="1">
        <f t="array" ref="H45">_xlfn.IFS(Table15[[#This Row],[Column4]]="NEW",AVERAGEIFS(Table15[Column4],Table15[Year],Table15[[#This Row],[Year]]),ISNUMBER(Table15[[#This Row],[Column4]]),Table15[[#This Row],[Column4]],Table15[[#This Row],[Column4]]="",H44*(1+Table15[[#This Row],[Ávöxtun]]))</f>
        <v>121.71617721849603</v>
      </c>
      <c r="I45" s="30" cm="1">
        <f t="array" ref="I45">_xlfn.IFS(Table15[[#This Row],[Column4]]="NEW",_xlfn.XLOOKUP(Table15[[#This Row],[Year]]-1,$N$2:$N$27,$P$2:$P$27)*(1+Table15[[#This Row],[Ávöxtun]]),ISNUMBER(Table15[[#This Row],[Column4]]),Table15[[#This Row],[Column4]],Table15[[#This Row],[Column4]]="",I44*(1+Table15[[#This Row],[Ávöxtun]]))</f>
        <v>121.71617721849603</v>
      </c>
      <c r="L45" s="33">
        <v>121.71617721849603</v>
      </c>
      <c r="M45" s="33">
        <v>121.71617721849603</v>
      </c>
    </row>
    <row r="46" spans="1:13">
      <c r="A46" t="s">
        <v>61</v>
      </c>
      <c r="B46">
        <v>2005</v>
      </c>
      <c r="C46" s="16">
        <v>0.08</v>
      </c>
      <c r="D46" s="1">
        <v>648950</v>
      </c>
      <c r="E46" s="29">
        <f>Table15[[#This Row],[Ávöxtun]]*Table15[[#This Row],[Eignir]]/SUMIFS(Table15[Eignir],Table15[Year],Table15[[#This Row],[Year]])</f>
        <v>4.6298272234823493E-5</v>
      </c>
      <c r="F46" s="23">
        <f>IF(B46=1997, 100, IF(COUNTIF(A$1:A45,A46)=0, "NEW", F45*(1+Table15[[#This Row],[Ávöxtun]])))</f>
        <v>131.45347139597573</v>
      </c>
      <c r="G46" s="18" cm="1">
        <f t="array" ref="G46">IFERROR(_xlfn.IFS(ISNUMBER(Table15[[#This Row],[Column3]]),Table15[[#This Row],[Column3]],Table15[[#This Row],[Column3]]="NEW",Table15[[#This Row],[Column3]]),"")</f>
        <v>131.45347139597573</v>
      </c>
      <c r="H46" s="15" cm="1">
        <f t="array" ref="H46">_xlfn.IFS(Table15[[#This Row],[Column4]]="NEW",AVERAGEIFS(Table15[Column4],Table15[Year],Table15[[#This Row],[Year]]),ISNUMBER(Table15[[#This Row],[Column4]]),Table15[[#This Row],[Column4]],Table15[[#This Row],[Column4]]="",H45*(1+Table15[[#This Row],[Ávöxtun]]))</f>
        <v>131.45347139597573</v>
      </c>
      <c r="I46" s="30" cm="1">
        <f t="array" ref="I46">_xlfn.IFS(Table15[[#This Row],[Column4]]="NEW",_xlfn.XLOOKUP(Table15[[#This Row],[Year]]-1,$N$2:$N$27,$P$2:$P$27)*(1+Table15[[#This Row],[Ávöxtun]]),ISNUMBER(Table15[[#This Row],[Column4]]),Table15[[#This Row],[Column4]],Table15[[#This Row],[Column4]]="",I45*(1+Table15[[#This Row],[Ávöxtun]]))</f>
        <v>131.45347139597573</v>
      </c>
      <c r="L46" s="33">
        <v>131.45347139597573</v>
      </c>
      <c r="M46" s="33">
        <v>131.45347139597573</v>
      </c>
    </row>
    <row r="47" spans="1:13">
      <c r="A47" t="s">
        <v>61</v>
      </c>
      <c r="B47">
        <v>2006</v>
      </c>
      <c r="C47" s="16">
        <v>6.0400000000000002E-2</v>
      </c>
      <c r="D47" s="1">
        <v>723893</v>
      </c>
      <c r="E47" s="29">
        <f>Table15[[#This Row],[Ávöxtun]]*Table15[[#This Row],[Eignir]]/SUMIFS(Table15[Eignir],Table15[Year],Table15[[#This Row],[Year]])</f>
        <v>3.1852490075514125E-5</v>
      </c>
      <c r="F47" s="23">
        <f>IF(B47=1997, 100, IF(COUNTIF(A$1:A46,A47)=0, "NEW", F46*(1+Table15[[#This Row],[Ávöxtun]])))</f>
        <v>139.39326106829267</v>
      </c>
      <c r="G47" s="18" cm="1">
        <f t="array" ref="G47">IFERROR(_xlfn.IFS(ISNUMBER(Table15[[#This Row],[Column3]]),Table15[[#This Row],[Column3]],Table15[[#This Row],[Column3]]="NEW",Table15[[#This Row],[Column3]]),"")</f>
        <v>139.39326106829267</v>
      </c>
      <c r="H47" s="15" cm="1">
        <f t="array" ref="H47">_xlfn.IFS(Table15[[#This Row],[Column4]]="NEW",AVERAGEIFS(Table15[Column4],Table15[Year],Table15[[#This Row],[Year]]),ISNUMBER(Table15[[#This Row],[Column4]]),Table15[[#This Row],[Column4]],Table15[[#This Row],[Column4]]="",H46*(1+Table15[[#This Row],[Ávöxtun]]))</f>
        <v>139.39326106829267</v>
      </c>
      <c r="I47" s="30" cm="1">
        <f t="array" ref="I47">_xlfn.IFS(Table15[[#This Row],[Column4]]="NEW",_xlfn.XLOOKUP(Table15[[#This Row],[Year]]-1,$N$2:$N$27,$P$2:$P$27)*(1+Table15[[#This Row],[Ávöxtun]]),ISNUMBER(Table15[[#This Row],[Column4]]),Table15[[#This Row],[Column4]],Table15[[#This Row],[Column4]]="",I46*(1+Table15[[#This Row],[Ávöxtun]]))</f>
        <v>139.39326106829267</v>
      </c>
      <c r="L47" s="33">
        <v>139.39326106829267</v>
      </c>
      <c r="M47" s="33">
        <v>139.39326106829267</v>
      </c>
    </row>
    <row r="48" spans="1:13">
      <c r="A48" t="s">
        <v>61</v>
      </c>
      <c r="B48">
        <v>2007</v>
      </c>
      <c r="C48" s="16">
        <v>9.8000000000000004E-2</v>
      </c>
      <c r="D48" s="1">
        <v>762872</v>
      </c>
      <c r="E48" s="29">
        <f>Table15[[#This Row],[Ávöxtun]]*Table15[[#This Row],[Eignir]]/SUMIFS(Table15[Eignir],Table15[Year],Table15[[#This Row],[Year]])</f>
        <v>4.8345233505623554E-5</v>
      </c>
      <c r="F48" s="23">
        <f>IF(B48=1997, 100, IF(COUNTIF(A$1:A47,A48)=0, "NEW", F47*(1+Table15[[#This Row],[Ávöxtun]])))</f>
        <v>153.05380065298536</v>
      </c>
      <c r="G48" s="18" cm="1">
        <f t="array" ref="G48">IFERROR(_xlfn.IFS(ISNUMBER(Table15[[#This Row],[Column3]]),Table15[[#This Row],[Column3]],Table15[[#This Row],[Column3]]="NEW",Table15[[#This Row],[Column3]]),"")</f>
        <v>153.05380065298536</v>
      </c>
      <c r="H48" s="15" cm="1">
        <f t="array" ref="H48">_xlfn.IFS(Table15[[#This Row],[Column4]]="NEW",AVERAGEIFS(Table15[Column4],Table15[Year],Table15[[#This Row],[Year]]),ISNUMBER(Table15[[#This Row],[Column4]]),Table15[[#This Row],[Column4]],Table15[[#This Row],[Column4]]="",H47*(1+Table15[[#This Row],[Ávöxtun]]))</f>
        <v>153.05380065298536</v>
      </c>
      <c r="I48" s="30" cm="1">
        <f t="array" ref="I48">_xlfn.IFS(Table15[[#This Row],[Column4]]="NEW",_xlfn.XLOOKUP(Table15[[#This Row],[Year]]-1,$N$2:$N$27,$P$2:$P$27)*(1+Table15[[#This Row],[Ávöxtun]]),ISNUMBER(Table15[[#This Row],[Column4]]),Table15[[#This Row],[Column4]],Table15[[#This Row],[Column4]]="",I47*(1+Table15[[#This Row],[Ávöxtun]]))</f>
        <v>153.05380065298536</v>
      </c>
      <c r="L48" s="33">
        <v>153.05380065298536</v>
      </c>
      <c r="M48" s="33">
        <v>153.05380065298536</v>
      </c>
    </row>
    <row r="49" spans="1:13">
      <c r="A49" t="s">
        <v>61</v>
      </c>
      <c r="B49">
        <v>2008</v>
      </c>
      <c r="C49" s="16">
        <v>-0.10310000000000001</v>
      </c>
      <c r="D49" s="1">
        <v>751473</v>
      </c>
      <c r="E49" s="29">
        <f>Table15[[#This Row],[Ávöxtun]]*Table15[[#This Row],[Eignir]]/SUMIFS(Table15[Eignir],Table15[Year],Table15[[#This Row],[Year]])</f>
        <v>-5.174376543318722E-5</v>
      </c>
      <c r="F49" s="23">
        <f>IF(B49=1997, 100, IF(COUNTIF(A$1:A48,A49)=0, "NEW", F48*(1+Table15[[#This Row],[Ávöxtun]])))</f>
        <v>137.27395380566259</v>
      </c>
      <c r="G49" s="18" cm="1">
        <f t="array" ref="G49">IFERROR(_xlfn.IFS(ISNUMBER(Table15[[#This Row],[Column3]]),Table15[[#This Row],[Column3]],Table15[[#This Row],[Column3]]="NEW",Table15[[#This Row],[Column3]]),"")</f>
        <v>137.27395380566259</v>
      </c>
      <c r="H49" s="15" cm="1">
        <f t="array" ref="H49">_xlfn.IFS(Table15[[#This Row],[Column4]]="NEW",AVERAGEIFS(Table15[Column4],Table15[Year],Table15[[#This Row],[Year]]),ISNUMBER(Table15[[#This Row],[Column4]]),Table15[[#This Row],[Column4]],Table15[[#This Row],[Column4]]="",H48*(1+Table15[[#This Row],[Ávöxtun]]))</f>
        <v>137.27395380566259</v>
      </c>
      <c r="I49" s="30" cm="1">
        <f t="array" ref="I49">_xlfn.IFS(Table15[[#This Row],[Column4]]="NEW",_xlfn.XLOOKUP(Table15[[#This Row],[Year]]-1,$N$2:$N$27,$P$2:$P$27)*(1+Table15[[#This Row],[Ávöxtun]]),ISNUMBER(Table15[[#This Row],[Column4]]),Table15[[#This Row],[Column4]],Table15[[#This Row],[Column4]]="",I48*(1+Table15[[#This Row],[Ávöxtun]]))</f>
        <v>137.27395380566259</v>
      </c>
      <c r="L49" s="33">
        <v>137.27395380566259</v>
      </c>
      <c r="M49" s="33">
        <v>137.27395380566259</v>
      </c>
    </row>
    <row r="50" spans="1:13">
      <c r="A50" t="s">
        <v>61</v>
      </c>
      <c r="B50">
        <v>2009</v>
      </c>
      <c r="C50" s="16">
        <v>5.1799999999999999E-2</v>
      </c>
      <c r="D50" s="1">
        <v>808225</v>
      </c>
      <c r="E50" s="29">
        <f>Table15[[#This Row],[Ávöxtun]]*Table15[[#This Row],[Eignir]]/SUMIFS(Table15[Eignir],Table15[Year],Table15[[#This Row],[Year]])</f>
        <v>2.5095666282341904E-5</v>
      </c>
      <c r="F50" s="23">
        <f>IF(B50=1997, 100, IF(COUNTIF(A$1:A49,A50)=0, "NEW", F49*(1+Table15[[#This Row],[Ávöxtun]])))</f>
        <v>144.38474461279591</v>
      </c>
      <c r="G50" s="18" cm="1">
        <f t="array" ref="G50">IFERROR(_xlfn.IFS(ISNUMBER(Table15[[#This Row],[Column3]]),Table15[[#This Row],[Column3]],Table15[[#This Row],[Column3]]="NEW",Table15[[#This Row],[Column3]]),"")</f>
        <v>144.38474461279591</v>
      </c>
      <c r="H50" s="15" cm="1">
        <f t="array" ref="H50">_xlfn.IFS(Table15[[#This Row],[Column4]]="NEW",AVERAGEIFS(Table15[Column4],Table15[Year],Table15[[#This Row],[Year]]),ISNUMBER(Table15[[#This Row],[Column4]]),Table15[[#This Row],[Column4]],Table15[[#This Row],[Column4]]="",H49*(1+Table15[[#This Row],[Ávöxtun]]))</f>
        <v>144.38474461279591</v>
      </c>
      <c r="I50" s="30" cm="1">
        <f t="array" ref="I50">_xlfn.IFS(Table15[[#This Row],[Column4]]="NEW",_xlfn.XLOOKUP(Table15[[#This Row],[Year]]-1,$N$2:$N$27,$P$2:$P$27)*(1+Table15[[#This Row],[Ávöxtun]]),ISNUMBER(Table15[[#This Row],[Column4]]),Table15[[#This Row],[Column4]],Table15[[#This Row],[Column4]]="",I49*(1+Table15[[#This Row],[Ávöxtun]]))</f>
        <v>144.38474461279591</v>
      </c>
      <c r="L50" s="33">
        <v>144.38474461279591</v>
      </c>
      <c r="M50" s="33">
        <v>144.38474461279591</v>
      </c>
    </row>
    <row r="51" spans="1:13">
      <c r="A51" t="s">
        <v>62</v>
      </c>
      <c r="B51">
        <v>1997</v>
      </c>
      <c r="C51" s="16">
        <v>0.06</v>
      </c>
      <c r="D51" s="1">
        <v>1926004.47</v>
      </c>
      <c r="E51" s="29">
        <f>Table15[[#This Row],[Ávöxtun]]*Table15[[#This Row],[Eignir]]/SUMIFS(Table15[Eignir],Table15[Year],Table15[[#This Row],[Year]])</f>
        <v>3.4086026624034516E-4</v>
      </c>
      <c r="F51" s="23">
        <f>IF(B51=1997, 100, IF(COUNTIF(A$1:A50,A51)=0, "NEW", F50*(1+Table15[[#This Row],[Ávöxtun]])))</f>
        <v>100</v>
      </c>
      <c r="G51" s="18" cm="1">
        <f t="array" ref="G51">IFERROR(_xlfn.IFS(ISNUMBER(Table15[[#This Row],[Column3]]),Table15[[#This Row],[Column3]],Table15[[#This Row],[Column3]]="NEW",Table15[[#This Row],[Column3]]),"")</f>
        <v>100</v>
      </c>
      <c r="H51" s="15" cm="1">
        <f t="array" ref="H51">_xlfn.IFS(Table15[[#This Row],[Column4]]="NEW",AVERAGEIFS(Table15[Column4],Table15[Year],Table15[[#This Row],[Year]]),ISNUMBER(Table15[[#This Row],[Column4]]),Table15[[#This Row],[Column4]],Table15[[#This Row],[Column4]]="",H50*(1+Table15[[#This Row],[Ávöxtun]]))</f>
        <v>100</v>
      </c>
      <c r="I51" s="30" cm="1">
        <f t="array" ref="I51">_xlfn.IFS(Table15[[#This Row],[Column4]]="NEW",_xlfn.XLOOKUP(Table15[[#This Row],[Year]]-1,$N$2:$N$27,$P$2:$P$27)*(1+Table15[[#This Row],[Ávöxtun]]),ISNUMBER(Table15[[#This Row],[Column4]]),Table15[[#This Row],[Column4]],Table15[[#This Row],[Column4]]="",I50*(1+Table15[[#This Row],[Ávöxtun]]))</f>
        <v>100</v>
      </c>
      <c r="L51" s="33">
        <v>100</v>
      </c>
      <c r="M51" s="33">
        <v>100</v>
      </c>
    </row>
    <row r="52" spans="1:13">
      <c r="A52" t="s">
        <v>62</v>
      </c>
      <c r="B52">
        <v>1998</v>
      </c>
      <c r="C52" s="16">
        <v>0.1</v>
      </c>
      <c r="D52" s="1">
        <v>2247105.39</v>
      </c>
      <c r="E52" s="29">
        <f>Table15[[#This Row],[Ávöxtun]]*Table15[[#This Row],[Eignir]]/SUMIFS(Table15[Eignir],Table15[Year],Table15[[#This Row],[Year]])</f>
        <v>5.7377555675387575E-4</v>
      </c>
      <c r="F52" s="23">
        <f>IF(B52=1997, 100, IF(COUNTIF(A$1:A51,A52)=0, "NEW", F51*(1+Table15[[#This Row],[Ávöxtun]])))</f>
        <v>110.00000000000001</v>
      </c>
      <c r="G52" s="18" cm="1">
        <f t="array" ref="G52">IFERROR(_xlfn.IFS(ISNUMBER(Table15[[#This Row],[Column3]]),Table15[[#This Row],[Column3]],Table15[[#This Row],[Column3]]="NEW",Table15[[#This Row],[Column3]]),"")</f>
        <v>110.00000000000001</v>
      </c>
      <c r="H52" s="15" cm="1">
        <f t="array" ref="H52">_xlfn.IFS(Table15[[#This Row],[Column4]]="NEW",AVERAGEIFS(Table15[Column4],Table15[Year],Table15[[#This Row],[Year]]),ISNUMBER(Table15[[#This Row],[Column4]]),Table15[[#This Row],[Column4]],Table15[[#This Row],[Column4]]="",H51*(1+Table15[[#This Row],[Ávöxtun]]))</f>
        <v>110.00000000000001</v>
      </c>
      <c r="I52" s="30" cm="1">
        <f t="array" ref="I52">_xlfn.IFS(Table15[[#This Row],[Column4]]="NEW",_xlfn.XLOOKUP(Table15[[#This Row],[Year]]-1,$N$2:$N$27,$P$2:$P$27)*(1+Table15[[#This Row],[Ávöxtun]]),ISNUMBER(Table15[[#This Row],[Column4]]),Table15[[#This Row],[Column4]],Table15[[#This Row],[Column4]]="",I51*(1+Table15[[#This Row],[Ávöxtun]]))</f>
        <v>110.00000000000001</v>
      </c>
      <c r="L52" s="33">
        <v>110.00000000000001</v>
      </c>
      <c r="M52" s="33">
        <v>110.00000000000001</v>
      </c>
    </row>
    <row r="53" spans="1:13">
      <c r="A53" t="s">
        <v>62</v>
      </c>
      <c r="B53">
        <v>1999</v>
      </c>
      <c r="C53" s="16">
        <v>0.06</v>
      </c>
      <c r="D53" s="1">
        <v>2533834.19</v>
      </c>
      <c r="E53" s="29">
        <f>Table15[[#This Row],[Ávöxtun]]*Table15[[#This Row],[Eignir]]/SUMIFS(Table15[Eignir],Table15[Year],Table15[[#This Row],[Year]])</f>
        <v>2.919630873913124E-4</v>
      </c>
      <c r="F53" s="23">
        <f>IF(B53=1997, 100, IF(COUNTIF(A$1:A52,A53)=0, "NEW", F52*(1+Table15[[#This Row],[Ávöxtun]])))</f>
        <v>116.60000000000002</v>
      </c>
      <c r="G53" s="18" cm="1">
        <f t="array" ref="G53">IFERROR(_xlfn.IFS(ISNUMBER(Table15[[#This Row],[Column3]]),Table15[[#This Row],[Column3]],Table15[[#This Row],[Column3]]="NEW",Table15[[#This Row],[Column3]]),"")</f>
        <v>116.60000000000002</v>
      </c>
      <c r="H53" s="15" cm="1">
        <f t="array" ref="H53">_xlfn.IFS(Table15[[#This Row],[Column4]]="NEW",AVERAGEIFS(Table15[Column4],Table15[Year],Table15[[#This Row],[Year]]),ISNUMBER(Table15[[#This Row],[Column4]]),Table15[[#This Row],[Column4]],Table15[[#This Row],[Column4]]="",H52*(1+Table15[[#This Row],[Ávöxtun]]))</f>
        <v>116.60000000000002</v>
      </c>
      <c r="I53" s="30" cm="1">
        <f t="array" ref="I53">_xlfn.IFS(Table15[[#This Row],[Column4]]="NEW",_xlfn.XLOOKUP(Table15[[#This Row],[Year]]-1,$N$2:$N$27,$P$2:$P$27)*(1+Table15[[#This Row],[Ávöxtun]]),ISNUMBER(Table15[[#This Row],[Column4]]),Table15[[#This Row],[Column4]],Table15[[#This Row],[Column4]]="",I52*(1+Table15[[#This Row],[Ávöxtun]]))</f>
        <v>116.60000000000002</v>
      </c>
      <c r="L53" s="33">
        <v>116.60000000000002</v>
      </c>
      <c r="M53" s="33">
        <v>116.60000000000002</v>
      </c>
    </row>
    <row r="54" spans="1:13">
      <c r="A54" t="s">
        <v>62</v>
      </c>
      <c r="B54">
        <v>2000</v>
      </c>
      <c r="C54" s="16">
        <v>-0.03</v>
      </c>
      <c r="D54" s="1">
        <v>2371052.36</v>
      </c>
      <c r="E54" s="29">
        <f>Table15[[#This Row],[Ávöxtun]]*Table15[[#This Row],[Eignir]]/SUMIFS(Table15[Eignir],Table15[Year],Table15[[#This Row],[Year]])</f>
        <v>-1.0005992450636128E-4</v>
      </c>
      <c r="F54" s="23">
        <f>IF(B54=1997, 100, IF(COUNTIF(A$1:A53,A54)=0, "NEW", F53*(1+Table15[[#This Row],[Ávöxtun]])))</f>
        <v>113.10200000000002</v>
      </c>
      <c r="G54" s="18" cm="1">
        <f t="array" ref="G54">IFERROR(_xlfn.IFS(ISNUMBER(Table15[[#This Row],[Column3]]),Table15[[#This Row],[Column3]],Table15[[#This Row],[Column3]]="NEW",Table15[[#This Row],[Column3]]),"")</f>
        <v>113.10200000000002</v>
      </c>
      <c r="H54" s="15" cm="1">
        <f t="array" ref="H54">_xlfn.IFS(Table15[[#This Row],[Column4]]="NEW",AVERAGEIFS(Table15[Column4],Table15[Year],Table15[[#This Row],[Year]]),ISNUMBER(Table15[[#This Row],[Column4]]),Table15[[#This Row],[Column4]],Table15[[#This Row],[Column4]]="",H53*(1+Table15[[#This Row],[Ávöxtun]]))</f>
        <v>113.10200000000002</v>
      </c>
      <c r="I54" s="30" cm="1">
        <f t="array" ref="I54">_xlfn.IFS(Table15[[#This Row],[Column4]]="NEW",_xlfn.XLOOKUP(Table15[[#This Row],[Year]]-1,$N$2:$N$27,$P$2:$P$27)*(1+Table15[[#This Row],[Ávöxtun]]),ISNUMBER(Table15[[#This Row],[Column4]]),Table15[[#This Row],[Column4]],Table15[[#This Row],[Column4]]="",I53*(1+Table15[[#This Row],[Ávöxtun]]))</f>
        <v>113.10200000000002</v>
      </c>
      <c r="L54" s="33">
        <v>113.10200000000002</v>
      </c>
      <c r="M54" s="33">
        <v>113.10200000000002</v>
      </c>
    </row>
    <row r="55" spans="1:13">
      <c r="A55" t="s">
        <v>62</v>
      </c>
      <c r="B55">
        <v>2001</v>
      </c>
      <c r="C55" s="16">
        <v>-0.01</v>
      </c>
      <c r="D55" s="1">
        <v>2568738</v>
      </c>
      <c r="E55" s="29">
        <f>Table15[[#This Row],[Ávöxtun]]*Table15[[#This Row],[Eignir]]/SUMIFS(Table15[Eignir],Table15[Year],Table15[[#This Row],[Year]])</f>
        <v>-2.2184153368379048E-5</v>
      </c>
      <c r="F55" s="23">
        <f>IF(B55=1997, 100, IF(COUNTIF(A$1:A54,A55)=0, "NEW", F54*(1+Table15[[#This Row],[Ávöxtun]])))</f>
        <v>111.97098000000001</v>
      </c>
      <c r="G55" s="18" cm="1">
        <f t="array" ref="G55">IFERROR(_xlfn.IFS(ISNUMBER(Table15[[#This Row],[Column3]]),Table15[[#This Row],[Column3]],Table15[[#This Row],[Column3]]="NEW",Table15[[#This Row],[Column3]]),"")</f>
        <v>111.97098000000001</v>
      </c>
      <c r="H55" s="15" cm="1">
        <f t="array" ref="H55">_xlfn.IFS(Table15[[#This Row],[Column4]]="NEW",AVERAGEIFS(Table15[Column4],Table15[Year],Table15[[#This Row],[Year]]),ISNUMBER(Table15[[#This Row],[Column4]]),Table15[[#This Row],[Column4]],Table15[[#This Row],[Column4]]="",H54*(1+Table15[[#This Row],[Ávöxtun]]))</f>
        <v>111.97098000000001</v>
      </c>
      <c r="I55" s="30" cm="1">
        <f t="array" ref="I55">_xlfn.IFS(Table15[[#This Row],[Column4]]="NEW",_xlfn.XLOOKUP(Table15[[#This Row],[Year]]-1,$N$2:$N$27,$P$2:$P$27)*(1+Table15[[#This Row],[Ávöxtun]]),ISNUMBER(Table15[[#This Row],[Column4]]),Table15[[#This Row],[Column4]],Table15[[#This Row],[Column4]]="",I54*(1+Table15[[#This Row],[Ávöxtun]]))</f>
        <v>111.97098000000001</v>
      </c>
      <c r="L55" s="33">
        <v>111.97098000000001</v>
      </c>
      <c r="M55" s="33">
        <v>111.97098000000001</v>
      </c>
    </row>
    <row r="56" spans="1:13">
      <c r="A56" t="s">
        <v>62</v>
      </c>
      <c r="B56">
        <v>2002</v>
      </c>
      <c r="C56" s="16">
        <v>-0.03</v>
      </c>
      <c r="D56" s="1">
        <v>2711576</v>
      </c>
      <c r="E56" s="29">
        <f>Table15[[#This Row],[Ávöxtun]]*Table15[[#This Row],[Eignir]]/SUMIFS(Table15[Eignir],Table15[Year],Table15[[#This Row],[Year]])</f>
        <v>-1.2807284434439666E-4</v>
      </c>
      <c r="F56" s="23">
        <f>IF(B56=1997, 100, IF(COUNTIF(A$1:A55,A56)=0, "NEW", F55*(1+Table15[[#This Row],[Ávöxtun]])))</f>
        <v>108.61185060000001</v>
      </c>
      <c r="G56" s="18" cm="1">
        <f t="array" ref="G56">IFERROR(_xlfn.IFS(ISNUMBER(Table15[[#This Row],[Column3]]),Table15[[#This Row],[Column3]],Table15[[#This Row],[Column3]]="NEW",Table15[[#This Row],[Column3]]),"")</f>
        <v>108.61185060000001</v>
      </c>
      <c r="H56" s="15" cm="1">
        <f t="array" ref="H56">_xlfn.IFS(Table15[[#This Row],[Column4]]="NEW",AVERAGEIFS(Table15[Column4],Table15[Year],Table15[[#This Row],[Year]]),ISNUMBER(Table15[[#This Row],[Column4]]),Table15[[#This Row],[Column4]],Table15[[#This Row],[Column4]]="",H55*(1+Table15[[#This Row],[Ávöxtun]]))</f>
        <v>108.61185060000001</v>
      </c>
      <c r="I56" s="30" cm="1">
        <f t="array" ref="I56">_xlfn.IFS(Table15[[#This Row],[Column4]]="NEW",_xlfn.XLOOKUP(Table15[[#This Row],[Year]]-1,$N$2:$N$27,$P$2:$P$27)*(1+Table15[[#This Row],[Ávöxtun]]),ISNUMBER(Table15[[#This Row],[Column4]]),Table15[[#This Row],[Column4]],Table15[[#This Row],[Column4]]="",I55*(1+Table15[[#This Row],[Ávöxtun]]))</f>
        <v>108.61185060000001</v>
      </c>
      <c r="L56" s="33">
        <v>108.61185060000001</v>
      </c>
      <c r="M56" s="33">
        <v>108.61185060000001</v>
      </c>
    </row>
    <row r="57" spans="1:13">
      <c r="A57" t="s">
        <v>62</v>
      </c>
      <c r="B57">
        <v>2003</v>
      </c>
      <c r="C57" s="16">
        <v>0.09</v>
      </c>
      <c r="D57" s="1">
        <v>3247975</v>
      </c>
      <c r="E57" s="29">
        <f>Table15[[#This Row],[Ávöxtun]]*Table15[[#This Row],[Eignir]]/SUMIFS(Table15[Eignir],Table15[Year],Table15[[#This Row],[Year]])</f>
        <v>3.8468359027806712E-4</v>
      </c>
      <c r="F57" s="23">
        <f>IF(B57=1997, 100, IF(COUNTIF(A$1:A56,A57)=0, "NEW", F56*(1+Table15[[#This Row],[Ávöxtun]])))</f>
        <v>118.38691715400002</v>
      </c>
      <c r="G57" s="18" cm="1">
        <f t="array" ref="G57">IFERROR(_xlfn.IFS(ISNUMBER(Table15[[#This Row],[Column3]]),Table15[[#This Row],[Column3]],Table15[[#This Row],[Column3]]="NEW",Table15[[#This Row],[Column3]]),"")</f>
        <v>118.38691715400002</v>
      </c>
      <c r="H57" s="15" cm="1">
        <f t="array" ref="H57">_xlfn.IFS(Table15[[#This Row],[Column4]]="NEW",AVERAGEIFS(Table15[Column4],Table15[Year],Table15[[#This Row],[Year]]),ISNUMBER(Table15[[#This Row],[Column4]]),Table15[[#This Row],[Column4]],Table15[[#This Row],[Column4]]="",H56*(1+Table15[[#This Row],[Ávöxtun]]))</f>
        <v>118.38691715400002</v>
      </c>
      <c r="I57" s="30" cm="1">
        <f t="array" ref="I57">_xlfn.IFS(Table15[[#This Row],[Column4]]="NEW",_xlfn.XLOOKUP(Table15[[#This Row],[Year]]-1,$N$2:$N$27,$P$2:$P$27)*(1+Table15[[#This Row],[Ávöxtun]]),ISNUMBER(Table15[[#This Row],[Column4]]),Table15[[#This Row],[Column4]],Table15[[#This Row],[Column4]]="",I56*(1+Table15[[#This Row],[Ávöxtun]]))</f>
        <v>118.38691715400002</v>
      </c>
      <c r="L57" s="33">
        <v>118.38691715400002</v>
      </c>
      <c r="M57" s="33">
        <v>118.38691715400002</v>
      </c>
    </row>
    <row r="58" spans="1:13">
      <c r="A58" t="s">
        <v>62</v>
      </c>
      <c r="B58">
        <v>2004</v>
      </c>
      <c r="C58" s="16">
        <v>0.09</v>
      </c>
      <c r="D58" s="1">
        <v>4096174.72</v>
      </c>
      <c r="E58" s="29">
        <f>Table15[[#This Row],[Ávöxtun]]*Table15[[#This Row],[Eignir]]/SUMIFS(Table15[Eignir],Table15[Year],Table15[[#This Row],[Year]])</f>
        <v>4.0615592908799372E-4</v>
      </c>
      <c r="F58" s="23">
        <f>IF(B58=1997, 100, IF(COUNTIF(A$1:A57,A58)=0, "NEW", F57*(1+Table15[[#This Row],[Ávöxtun]])))</f>
        <v>129.04173969786004</v>
      </c>
      <c r="G58" s="18" cm="1">
        <f t="array" ref="G58">IFERROR(_xlfn.IFS(ISNUMBER(Table15[[#This Row],[Column3]]),Table15[[#This Row],[Column3]],Table15[[#This Row],[Column3]]="NEW",Table15[[#This Row],[Column3]]),"")</f>
        <v>129.04173969786004</v>
      </c>
      <c r="H58" s="15" cm="1">
        <f t="array" ref="H58">_xlfn.IFS(Table15[[#This Row],[Column4]]="NEW",AVERAGEIFS(Table15[Column4],Table15[Year],Table15[[#This Row],[Year]]),ISNUMBER(Table15[[#This Row],[Column4]]),Table15[[#This Row],[Column4]],Table15[[#This Row],[Column4]]="",H57*(1+Table15[[#This Row],[Ávöxtun]]))</f>
        <v>129.04173969786004</v>
      </c>
      <c r="I58" s="30" cm="1">
        <f t="array" ref="I58">_xlfn.IFS(Table15[[#This Row],[Column4]]="NEW",_xlfn.XLOOKUP(Table15[[#This Row],[Year]]-1,$N$2:$N$27,$P$2:$P$27)*(1+Table15[[#This Row],[Ávöxtun]]),ISNUMBER(Table15[[#This Row],[Column4]]),Table15[[#This Row],[Column4]],Table15[[#This Row],[Column4]]="",I57*(1+Table15[[#This Row],[Ávöxtun]]))</f>
        <v>129.04173969786004</v>
      </c>
      <c r="L58" s="33">
        <v>129.04173969786004</v>
      </c>
      <c r="M58" s="33">
        <v>129.04173969786004</v>
      </c>
    </row>
    <row r="59" spans="1:13">
      <c r="A59" t="s">
        <v>62</v>
      </c>
      <c r="B59">
        <v>2005</v>
      </c>
      <c r="C59" s="16">
        <v>0.01</v>
      </c>
      <c r="D59" s="1">
        <v>6265508</v>
      </c>
      <c r="E59" s="29">
        <f>Table15[[#This Row],[Ávöxtun]]*Table15[[#This Row],[Eignir]]/SUMIFS(Table15[Eignir],Table15[Year],Table15[[#This Row],[Year]])</f>
        <v>5.5875297610267454E-5</v>
      </c>
      <c r="F59" s="23">
        <f>IF(B59=1997, 100, IF(COUNTIF(A$1:A58,A59)=0, "NEW", F58*(1+Table15[[#This Row],[Ávöxtun]])))</f>
        <v>130.33215709483864</v>
      </c>
      <c r="G59" s="18" cm="1">
        <f t="array" ref="G59">IFERROR(_xlfn.IFS(ISNUMBER(Table15[[#This Row],[Column3]]),Table15[[#This Row],[Column3]],Table15[[#This Row],[Column3]]="NEW",Table15[[#This Row],[Column3]]),"")</f>
        <v>130.33215709483864</v>
      </c>
      <c r="H59" s="15" cm="1">
        <f t="array" ref="H59">_xlfn.IFS(Table15[[#This Row],[Column4]]="NEW",AVERAGEIFS(Table15[Column4],Table15[Year],Table15[[#This Row],[Year]]),ISNUMBER(Table15[[#This Row],[Column4]]),Table15[[#This Row],[Column4]],Table15[[#This Row],[Column4]]="",H58*(1+Table15[[#This Row],[Ávöxtun]]))</f>
        <v>130.33215709483864</v>
      </c>
      <c r="I59" s="30" cm="1">
        <f t="array" ref="I59">_xlfn.IFS(Table15[[#This Row],[Column4]]="NEW",_xlfn.XLOOKUP(Table15[[#This Row],[Year]]-1,$N$2:$N$27,$P$2:$P$27)*(1+Table15[[#This Row],[Ávöxtun]]),ISNUMBER(Table15[[#This Row],[Column4]]),Table15[[#This Row],[Column4]],Table15[[#This Row],[Column4]]="",I58*(1+Table15[[#This Row],[Ávöxtun]]))</f>
        <v>130.33215709483864</v>
      </c>
      <c r="L59" s="33">
        <v>130.33215709483864</v>
      </c>
      <c r="M59" s="33">
        <v>130.33215709483864</v>
      </c>
    </row>
    <row r="60" spans="1:13">
      <c r="A60" t="s">
        <v>63</v>
      </c>
      <c r="B60">
        <v>2006</v>
      </c>
      <c r="C60" s="16">
        <v>1.2500000000000001E-2</v>
      </c>
      <c r="D60" s="1">
        <v>7077174</v>
      </c>
      <c r="E60" s="29">
        <f>Table15[[#This Row],[Ávöxtun]]*Table15[[#This Row],[Eignir]]/SUMIFS(Table15[Eignir],Table15[Year],Table15[[#This Row],[Year]])</f>
        <v>6.4446889288426507E-5</v>
      </c>
      <c r="F60" s="23" t="str">
        <f>IF(B60=1997, 100, IF(COUNTIF(A$1:A59,A60)=0, "NEW", F59*(1+Table15[[#This Row],[Ávöxtun]])))</f>
        <v>NEW</v>
      </c>
      <c r="G60" s="18" t="str" cm="1">
        <f t="array" ref="G60">IFERROR(_xlfn.IFS(ISNUMBER(Table15[[#This Row],[Column3]]),Table15[[#This Row],[Column3]],Table15[[#This Row],[Column3]]="NEW",Table15[[#This Row],[Column3]]),"")</f>
        <v>NEW</v>
      </c>
      <c r="H60" s="15" cm="1">
        <f t="array" ref="H60">_xlfn.IFS(Table15[[#This Row],[Column4]]="NEW",AVERAGEIFS(Table15[Column4],Table15[Year],Table15[[#This Row],[Year]]),ISNUMBER(Table15[[#This Row],[Column4]]),Table15[[#This Row],[Column4]],Table15[[#This Row],[Column4]]="",H59*(1+Table15[[#This Row],[Ávöxtun]]))</f>
        <v>173.57107422928632</v>
      </c>
      <c r="I60" s="30" cm="1">
        <f t="array" ref="I60">_xlfn.IFS(Table15[[#This Row],[Column4]]="NEW",_xlfn.XLOOKUP(Table15[[#This Row],[Year]]-1,$N$2:$N$27,$P$2:$P$27)*(1+Table15[[#This Row],[Ávöxtun]]),ISNUMBER(Table15[[#This Row],[Column4]]),Table15[[#This Row],[Column4]],Table15[[#This Row],[Column4]]="",I59*(1+Table15[[#This Row],[Ávöxtun]]))</f>
        <v>180.65596440589209</v>
      </c>
      <c r="L60" s="33">
        <v>173.57107422928632</v>
      </c>
      <c r="M60" s="33">
        <v>219.26690788715638</v>
      </c>
    </row>
    <row r="61" spans="1:13">
      <c r="A61" t="s">
        <v>63</v>
      </c>
      <c r="B61">
        <v>2007</v>
      </c>
      <c r="C61" s="16">
        <v>-5.1000000000000004E-3</v>
      </c>
      <c r="D61" s="1">
        <v>7230035</v>
      </c>
      <c r="E61" s="29">
        <f>Table15[[#This Row],[Ávöxtun]]*Table15[[#This Row],[Eignir]]/SUMIFS(Table15[Eignir],Table15[Year],Table15[[#This Row],[Year]])</f>
        <v>-2.3844404858528142E-5</v>
      </c>
      <c r="F61" s="23" t="e">
        <f>IF(B61=1997, 100, IF(COUNTIF(A$1:A60,A61)=0, "NEW", F60*(1+Table15[[#This Row],[Ávöxtun]])))</f>
        <v>#VALUE!</v>
      </c>
      <c r="G61" s="18" t="str" cm="1">
        <f t="array" ref="G61">IFERROR(_xlfn.IFS(ISNUMBER(Table15[[#This Row],[Column3]]),Table15[[#This Row],[Column3]],Table15[[#This Row],[Column3]]="NEW",Table15[[#This Row],[Column3]]),"")</f>
        <v/>
      </c>
      <c r="H61" s="15" cm="1">
        <f t="array" ref="H61">_xlfn.IFS(Table15[[#This Row],[Column4]]="NEW",AVERAGEIFS(Table15[Column4],Table15[Year],Table15[[#This Row],[Year]]),ISNUMBER(Table15[[#This Row],[Column4]]),Table15[[#This Row],[Column4]],Table15[[#This Row],[Column4]]="",H60*(1+Table15[[#This Row],[Ávöxtun]]))</f>
        <v>172.68586175071695</v>
      </c>
      <c r="I61" s="30" cm="1">
        <f t="array" ref="I61">_xlfn.IFS(Table15[[#This Row],[Column4]]="NEW",_xlfn.XLOOKUP(Table15[[#This Row],[Year]]-1,$N$2:$N$27,$P$2:$P$27)*(1+Table15[[#This Row],[Ávöxtun]]),ISNUMBER(Table15[[#This Row],[Column4]]),Table15[[#This Row],[Column4]],Table15[[#This Row],[Column4]]="",I60*(1+Table15[[#This Row],[Ávöxtun]]))</f>
        <v>179.73461898742204</v>
      </c>
      <c r="L61" s="33">
        <v>172.68586175071695</v>
      </c>
      <c r="M61" s="33">
        <v>218.14864665693187</v>
      </c>
    </row>
    <row r="62" spans="1:13">
      <c r="A62" t="s">
        <v>63</v>
      </c>
      <c r="B62">
        <v>2008</v>
      </c>
      <c r="C62" s="16">
        <v>-0.1128</v>
      </c>
      <c r="D62" s="1">
        <v>6467811</v>
      </c>
      <c r="E62" s="29">
        <f>Table15[[#This Row],[Ávöxtun]]*Table15[[#This Row],[Eignir]]/SUMIFS(Table15[Eignir],Table15[Year],Table15[[#This Row],[Year]])</f>
        <v>-4.872506231478958E-4</v>
      </c>
      <c r="F62" s="23" t="e">
        <f>IF(B62=1997, 100, IF(COUNTIF(A$1:A61,A62)=0, "NEW", F61*(1+Table15[[#This Row],[Ávöxtun]])))</f>
        <v>#VALUE!</v>
      </c>
      <c r="G62" s="18" t="str" cm="1">
        <f t="array" ref="G62">IFERROR(_xlfn.IFS(ISNUMBER(Table15[[#This Row],[Column3]]),Table15[[#This Row],[Column3]],Table15[[#This Row],[Column3]]="NEW",Table15[[#This Row],[Column3]]),"")</f>
        <v/>
      </c>
      <c r="H62" s="15" cm="1">
        <f t="array" ref="H62">_xlfn.IFS(Table15[[#This Row],[Column4]]="NEW",AVERAGEIFS(Table15[Column4],Table15[Year],Table15[[#This Row],[Year]]),ISNUMBER(Table15[[#This Row],[Column4]]),Table15[[#This Row],[Column4]],Table15[[#This Row],[Column4]]="",H61*(1+Table15[[#This Row],[Ávöxtun]]))</f>
        <v>153.20689654523608</v>
      </c>
      <c r="I62" s="30" cm="1">
        <f t="array" ref="I62">_xlfn.IFS(Table15[[#This Row],[Column4]]="NEW",_xlfn.XLOOKUP(Table15[[#This Row],[Year]]-1,$N$2:$N$27,$P$2:$P$27)*(1+Table15[[#This Row],[Ávöxtun]]),ISNUMBER(Table15[[#This Row],[Column4]]),Table15[[#This Row],[Column4]],Table15[[#This Row],[Column4]]="",I61*(1+Table15[[#This Row],[Ávöxtun]]))</f>
        <v>159.46055396564083</v>
      </c>
      <c r="L62" s="33">
        <v>153.20689654523608</v>
      </c>
      <c r="M62" s="33">
        <v>193.54147931402994</v>
      </c>
    </row>
    <row r="63" spans="1:13">
      <c r="A63" t="s">
        <v>63</v>
      </c>
      <c r="B63">
        <v>2009</v>
      </c>
      <c r="C63" s="16">
        <v>-0.08</v>
      </c>
      <c r="D63" s="1">
        <v>6283951</v>
      </c>
      <c r="E63" s="29">
        <f>Table15[[#This Row],[Ávöxtun]]*Table15[[#This Row],[Eignir]]/SUMIFS(Table15[Eignir],Table15[Year],Table15[[#This Row],[Year]])</f>
        <v>-3.0134186224250396E-4</v>
      </c>
      <c r="F63" s="23" t="e">
        <f>IF(B63=1997, 100, IF(COUNTIF(A$1:A62,A63)=0, "NEW", F62*(1+Table15[[#This Row],[Ávöxtun]])))</f>
        <v>#VALUE!</v>
      </c>
      <c r="G63" s="18" t="str" cm="1">
        <f t="array" ref="G63">IFERROR(_xlfn.IFS(ISNUMBER(Table15[[#This Row],[Column3]]),Table15[[#This Row],[Column3]],Table15[[#This Row],[Column3]]="NEW",Table15[[#This Row],[Column3]]),"")</f>
        <v/>
      </c>
      <c r="H63" s="15" cm="1">
        <f t="array" ref="H63">_xlfn.IFS(Table15[[#This Row],[Column4]]="NEW",AVERAGEIFS(Table15[Column4],Table15[Year],Table15[[#This Row],[Year]]),ISNUMBER(Table15[[#This Row],[Column4]]),Table15[[#This Row],[Column4]],Table15[[#This Row],[Column4]]="",H62*(1+Table15[[#This Row],[Ávöxtun]]))</f>
        <v>140.95034482161719</v>
      </c>
      <c r="I63" s="30" cm="1">
        <f t="array" ref="I63">_xlfn.IFS(Table15[[#This Row],[Column4]]="NEW",_xlfn.XLOOKUP(Table15[[#This Row],[Year]]-1,$N$2:$N$27,$P$2:$P$27)*(1+Table15[[#This Row],[Ávöxtun]]),ISNUMBER(Table15[[#This Row],[Column4]]),Table15[[#This Row],[Column4]],Table15[[#This Row],[Column4]]="",I62*(1+Table15[[#This Row],[Ávöxtun]]))</f>
        <v>146.70370964838958</v>
      </c>
      <c r="L63" s="33">
        <v>140.95034482161719</v>
      </c>
      <c r="M63" s="33">
        <v>178.05816096890754</v>
      </c>
    </row>
    <row r="64" spans="1:13">
      <c r="A64" t="s">
        <v>64</v>
      </c>
      <c r="B64">
        <v>1997</v>
      </c>
      <c r="C64" s="16">
        <v>0.06</v>
      </c>
      <c r="D64" s="1">
        <v>830178.14</v>
      </c>
      <c r="E64" s="29">
        <f>Table15[[#This Row],[Ávöxtun]]*Table15[[#This Row],[Eignir]]/SUMIFS(Table15[Eignir],Table15[Year],Table15[[#This Row],[Year]])</f>
        <v>1.4692320097643103E-4</v>
      </c>
      <c r="F64" s="23">
        <f>IF(B64=1997, 100, IF(COUNTIF(A$1:A63,A64)=0, "NEW", F63*(1+Table15[[#This Row],[Ávöxtun]])))</f>
        <v>100</v>
      </c>
      <c r="G64" s="18" cm="1">
        <f t="array" ref="G64">IFERROR(_xlfn.IFS(ISNUMBER(Table15[[#This Row],[Column3]]),Table15[[#This Row],[Column3]],Table15[[#This Row],[Column3]]="NEW",Table15[[#This Row],[Column3]]),"")</f>
        <v>100</v>
      </c>
      <c r="H64" s="15" cm="1">
        <f t="array" ref="H64">_xlfn.IFS(Table15[[#This Row],[Column4]]="NEW",AVERAGEIFS(Table15[Column4],Table15[Year],Table15[[#This Row],[Year]]),ISNUMBER(Table15[[#This Row],[Column4]]),Table15[[#This Row],[Column4]],Table15[[#This Row],[Column4]]="",H63*(1+Table15[[#This Row],[Ávöxtun]]))</f>
        <v>100</v>
      </c>
      <c r="I64" s="30" cm="1">
        <f t="array" ref="I64">_xlfn.IFS(Table15[[#This Row],[Column4]]="NEW",_xlfn.XLOOKUP(Table15[[#This Row],[Year]]-1,$N$2:$N$27,$P$2:$P$27)*(1+Table15[[#This Row],[Ávöxtun]]),ISNUMBER(Table15[[#This Row],[Column4]]),Table15[[#This Row],[Column4]],Table15[[#This Row],[Column4]]="",I63*(1+Table15[[#This Row],[Ávöxtun]]))</f>
        <v>100</v>
      </c>
      <c r="L64" s="33">
        <v>100</v>
      </c>
      <c r="M64" s="33">
        <v>100</v>
      </c>
    </row>
    <row r="65" spans="1:13">
      <c r="A65" t="s">
        <v>64</v>
      </c>
      <c r="B65">
        <v>1998</v>
      </c>
      <c r="C65" s="16">
        <v>0.08</v>
      </c>
      <c r="D65" s="1">
        <v>954109.64</v>
      </c>
      <c r="E65" s="29">
        <f>Table15[[#This Row],[Ávöxtun]]*Table15[[#This Row],[Eignir]]/SUMIFS(Table15[Eignir],Table15[Year],Table15[[#This Row],[Year]])</f>
        <v>1.9489777109038574E-4</v>
      </c>
      <c r="F65" s="23">
        <f>IF(B65=1997, 100, IF(COUNTIF(A$1:A64,A65)=0, "NEW", F64*(1+Table15[[#This Row],[Ávöxtun]])))</f>
        <v>108</v>
      </c>
      <c r="G65" s="18" cm="1">
        <f t="array" ref="G65">IFERROR(_xlfn.IFS(ISNUMBER(Table15[[#This Row],[Column3]]),Table15[[#This Row],[Column3]],Table15[[#This Row],[Column3]]="NEW",Table15[[#This Row],[Column3]]),"")</f>
        <v>108</v>
      </c>
      <c r="H65" s="15" cm="1">
        <f t="array" ref="H65">_xlfn.IFS(Table15[[#This Row],[Column4]]="NEW",AVERAGEIFS(Table15[Column4],Table15[Year],Table15[[#This Row],[Year]]),ISNUMBER(Table15[[#This Row],[Column4]]),Table15[[#This Row],[Column4]],Table15[[#This Row],[Column4]]="",H64*(1+Table15[[#This Row],[Ávöxtun]]))</f>
        <v>108</v>
      </c>
      <c r="I65" s="30" cm="1">
        <f t="array" ref="I65">_xlfn.IFS(Table15[[#This Row],[Column4]]="NEW",_xlfn.XLOOKUP(Table15[[#This Row],[Year]]-1,$N$2:$N$27,$P$2:$P$27)*(1+Table15[[#This Row],[Ávöxtun]]),ISNUMBER(Table15[[#This Row],[Column4]]),Table15[[#This Row],[Column4]],Table15[[#This Row],[Column4]]="",I64*(1+Table15[[#This Row],[Ávöxtun]]))</f>
        <v>108</v>
      </c>
      <c r="L65" s="33">
        <v>108</v>
      </c>
      <c r="M65" s="33">
        <v>108</v>
      </c>
    </row>
    <row r="66" spans="1:13">
      <c r="A66" t="s">
        <v>64</v>
      </c>
      <c r="B66">
        <v>1999</v>
      </c>
      <c r="C66" s="16">
        <v>0.08</v>
      </c>
      <c r="D66" s="1">
        <v>1153227.56</v>
      </c>
      <c r="E66" s="29">
        <f>Table15[[#This Row],[Ávöxtun]]*Table15[[#This Row],[Eignir]]/SUMIFS(Table15[Eignir],Table15[Year],Table15[[#This Row],[Year]])</f>
        <v>1.7717543382076367E-4</v>
      </c>
      <c r="F66" s="23">
        <f>IF(B66=1997, 100, IF(COUNTIF(A$1:A65,A66)=0, "NEW", F65*(1+Table15[[#This Row],[Ávöxtun]])))</f>
        <v>116.64000000000001</v>
      </c>
      <c r="G66" s="18" cm="1">
        <f t="array" ref="G66">IFERROR(_xlfn.IFS(ISNUMBER(Table15[[#This Row],[Column3]]),Table15[[#This Row],[Column3]],Table15[[#This Row],[Column3]]="NEW",Table15[[#This Row],[Column3]]),"")</f>
        <v>116.64000000000001</v>
      </c>
      <c r="H66" s="15" cm="1">
        <f t="array" ref="H66">_xlfn.IFS(Table15[[#This Row],[Column4]]="NEW",AVERAGEIFS(Table15[Column4],Table15[Year],Table15[[#This Row],[Year]]),ISNUMBER(Table15[[#This Row],[Column4]]),Table15[[#This Row],[Column4]],Table15[[#This Row],[Column4]]="",H65*(1+Table15[[#This Row],[Ávöxtun]]))</f>
        <v>116.64000000000001</v>
      </c>
      <c r="I66" s="30" cm="1">
        <f t="array" ref="I66">_xlfn.IFS(Table15[[#This Row],[Column4]]="NEW",_xlfn.XLOOKUP(Table15[[#This Row],[Year]]-1,$N$2:$N$27,$P$2:$P$27)*(1+Table15[[#This Row],[Ávöxtun]]),ISNUMBER(Table15[[#This Row],[Column4]]),Table15[[#This Row],[Column4]],Table15[[#This Row],[Column4]]="",I65*(1+Table15[[#This Row],[Ávöxtun]]))</f>
        <v>116.64000000000001</v>
      </c>
      <c r="L66" s="33">
        <v>116.64000000000001</v>
      </c>
      <c r="M66" s="33">
        <v>116.64000000000001</v>
      </c>
    </row>
    <row r="67" spans="1:13">
      <c r="A67" t="s">
        <v>64</v>
      </c>
      <c r="B67">
        <v>2000</v>
      </c>
      <c r="C67" s="16">
        <v>-0.1</v>
      </c>
      <c r="D67" s="1">
        <v>2511894.67</v>
      </c>
      <c r="E67" s="29">
        <f>Table15[[#This Row],[Ávöxtun]]*Table15[[#This Row],[Eignir]]/SUMIFS(Table15[Eignir],Table15[Year],Table15[[#This Row],[Year]])</f>
        <v>-3.5334519991808098E-4</v>
      </c>
      <c r="F67" s="23">
        <f>IF(B67=1997, 100, IF(COUNTIF(A$1:A66,A67)=0, "NEW", F66*(1+Table15[[#This Row],[Ávöxtun]])))</f>
        <v>104.97600000000001</v>
      </c>
      <c r="G67" s="18" cm="1">
        <f t="array" ref="G67">IFERROR(_xlfn.IFS(ISNUMBER(Table15[[#This Row],[Column3]]),Table15[[#This Row],[Column3]],Table15[[#This Row],[Column3]]="NEW",Table15[[#This Row],[Column3]]),"")</f>
        <v>104.97600000000001</v>
      </c>
      <c r="H67" s="15" cm="1">
        <f t="array" ref="H67">_xlfn.IFS(Table15[[#This Row],[Column4]]="NEW",AVERAGEIFS(Table15[Column4],Table15[Year],Table15[[#This Row],[Year]]),ISNUMBER(Table15[[#This Row],[Column4]]),Table15[[#This Row],[Column4]],Table15[[#This Row],[Column4]]="",H66*(1+Table15[[#This Row],[Ávöxtun]]))</f>
        <v>104.97600000000001</v>
      </c>
      <c r="I67" s="30" cm="1">
        <f t="array" ref="I67">_xlfn.IFS(Table15[[#This Row],[Column4]]="NEW",_xlfn.XLOOKUP(Table15[[#This Row],[Year]]-1,$N$2:$N$27,$P$2:$P$27)*(1+Table15[[#This Row],[Ávöxtun]]),ISNUMBER(Table15[[#This Row],[Column4]]),Table15[[#This Row],[Column4]],Table15[[#This Row],[Column4]]="",I66*(1+Table15[[#This Row],[Ávöxtun]]))</f>
        <v>104.97600000000001</v>
      </c>
      <c r="L67" s="33">
        <v>104.97600000000001</v>
      </c>
      <c r="M67" s="33">
        <v>104.97600000000001</v>
      </c>
    </row>
    <row r="68" spans="1:13">
      <c r="A68" t="s">
        <v>64</v>
      </c>
      <c r="B68">
        <v>2001</v>
      </c>
      <c r="C68" s="16">
        <v>0.02</v>
      </c>
      <c r="D68" s="1">
        <v>1292047</v>
      </c>
      <c r="E68" s="29">
        <f>Table15[[#This Row],[Ávöxtun]]*Table15[[#This Row],[Eignir]]/SUMIFS(Table15[Eignir],Table15[Year],Table15[[#This Row],[Year]])</f>
        <v>2.2316770964694762E-5</v>
      </c>
      <c r="F68" s="23">
        <f>IF(B68=1997, 100, IF(COUNTIF(A$1:A67,A68)=0, "NEW", F67*(1+Table15[[#This Row],[Ávöxtun]])))</f>
        <v>107.07552000000001</v>
      </c>
      <c r="G68" s="18" cm="1">
        <f t="array" ref="G68">IFERROR(_xlfn.IFS(ISNUMBER(Table15[[#This Row],[Column3]]),Table15[[#This Row],[Column3]],Table15[[#This Row],[Column3]]="NEW",Table15[[#This Row],[Column3]]),"")</f>
        <v>107.07552000000001</v>
      </c>
      <c r="H68" s="15" cm="1">
        <f t="array" ref="H68">_xlfn.IFS(Table15[[#This Row],[Column4]]="NEW",AVERAGEIFS(Table15[Column4],Table15[Year],Table15[[#This Row],[Year]]),ISNUMBER(Table15[[#This Row],[Column4]]),Table15[[#This Row],[Column4]],Table15[[#This Row],[Column4]]="",H67*(1+Table15[[#This Row],[Ávöxtun]]))</f>
        <v>107.07552000000001</v>
      </c>
      <c r="I68" s="30" cm="1">
        <f t="array" ref="I68">_xlfn.IFS(Table15[[#This Row],[Column4]]="NEW",_xlfn.XLOOKUP(Table15[[#This Row],[Year]]-1,$N$2:$N$27,$P$2:$P$27)*(1+Table15[[#This Row],[Ávöxtun]]),ISNUMBER(Table15[[#This Row],[Column4]]),Table15[[#This Row],[Column4]],Table15[[#This Row],[Column4]]="",I67*(1+Table15[[#This Row],[Ávöxtun]]))</f>
        <v>107.07552000000001</v>
      </c>
      <c r="L68" s="33">
        <v>107.07552000000001</v>
      </c>
      <c r="M68" s="33">
        <v>107.07552000000001</v>
      </c>
    </row>
    <row r="69" spans="1:13">
      <c r="A69" t="s">
        <v>64</v>
      </c>
      <c r="B69">
        <v>2002</v>
      </c>
      <c r="C69" s="16">
        <v>-0.02</v>
      </c>
      <c r="D69" s="1">
        <v>1309124.67</v>
      </c>
      <c r="E69" s="29">
        <f>Table15[[#This Row],[Ávöxtun]]*Table15[[#This Row],[Eignir]]/SUMIFS(Table15[Eignir],Table15[Year],Table15[[#This Row],[Year]])</f>
        <v>-4.1221616773989158E-5</v>
      </c>
      <c r="F69" s="23">
        <f>IF(B69=1997, 100, IF(COUNTIF(A$1:A68,A69)=0, "NEW", F68*(1+Table15[[#This Row],[Ávöxtun]])))</f>
        <v>104.93400960000001</v>
      </c>
      <c r="G69" s="18" cm="1">
        <f t="array" ref="G69">IFERROR(_xlfn.IFS(ISNUMBER(Table15[[#This Row],[Column3]]),Table15[[#This Row],[Column3]],Table15[[#This Row],[Column3]]="NEW",Table15[[#This Row],[Column3]]),"")</f>
        <v>104.93400960000001</v>
      </c>
      <c r="H69" s="15" cm="1">
        <f t="array" ref="H69">_xlfn.IFS(Table15[[#This Row],[Column4]]="NEW",AVERAGEIFS(Table15[Column4],Table15[Year],Table15[[#This Row],[Year]]),ISNUMBER(Table15[[#This Row],[Column4]]),Table15[[#This Row],[Column4]],Table15[[#This Row],[Column4]]="",H68*(1+Table15[[#This Row],[Ávöxtun]]))</f>
        <v>104.93400960000001</v>
      </c>
      <c r="I69" s="30" cm="1">
        <f t="array" ref="I69">_xlfn.IFS(Table15[[#This Row],[Column4]]="NEW",_xlfn.XLOOKUP(Table15[[#This Row],[Year]]-1,$N$2:$N$27,$P$2:$P$27)*(1+Table15[[#This Row],[Ávöxtun]]),ISNUMBER(Table15[[#This Row],[Column4]]),Table15[[#This Row],[Column4]],Table15[[#This Row],[Column4]]="",I68*(1+Table15[[#This Row],[Ávöxtun]]))</f>
        <v>104.93400960000001</v>
      </c>
      <c r="L69" s="33">
        <v>104.93400960000001</v>
      </c>
      <c r="M69" s="33">
        <v>104.93400960000001</v>
      </c>
    </row>
    <row r="70" spans="1:13">
      <c r="A70" t="s">
        <v>64</v>
      </c>
      <c r="B70">
        <v>2003</v>
      </c>
      <c r="C70" s="16">
        <v>0.08</v>
      </c>
      <c r="D70" s="1">
        <v>1476166</v>
      </c>
      <c r="E70" s="29">
        <f>Table15[[#This Row],[Ávöxtun]]*Table15[[#This Row],[Eignir]]/SUMIFS(Table15[Eignir],Table15[Year],Table15[[#This Row],[Year]])</f>
        <v>1.5540810278579751E-4</v>
      </c>
      <c r="F70" s="23">
        <f>IF(B70=1997, 100, IF(COUNTIF(A$1:A69,A70)=0, "NEW", F69*(1+Table15[[#This Row],[Ávöxtun]])))</f>
        <v>113.32873036800002</v>
      </c>
      <c r="G70" s="18" cm="1">
        <f t="array" ref="G70">IFERROR(_xlfn.IFS(ISNUMBER(Table15[[#This Row],[Column3]]),Table15[[#This Row],[Column3]],Table15[[#This Row],[Column3]]="NEW",Table15[[#This Row],[Column3]]),"")</f>
        <v>113.32873036800002</v>
      </c>
      <c r="H70" s="15" cm="1">
        <f t="array" ref="H70">_xlfn.IFS(Table15[[#This Row],[Column4]]="NEW",AVERAGEIFS(Table15[Column4],Table15[Year],Table15[[#This Row],[Year]]),ISNUMBER(Table15[[#This Row],[Column4]]),Table15[[#This Row],[Column4]],Table15[[#This Row],[Column4]]="",H69*(1+Table15[[#This Row],[Ávöxtun]]))</f>
        <v>113.32873036800002</v>
      </c>
      <c r="I70" s="30" cm="1">
        <f t="array" ref="I70">_xlfn.IFS(Table15[[#This Row],[Column4]]="NEW",_xlfn.XLOOKUP(Table15[[#This Row],[Year]]-1,$N$2:$N$27,$P$2:$P$27)*(1+Table15[[#This Row],[Ávöxtun]]),ISNUMBER(Table15[[#This Row],[Column4]]),Table15[[#This Row],[Column4]],Table15[[#This Row],[Column4]]="",I69*(1+Table15[[#This Row],[Ávöxtun]]))</f>
        <v>113.32873036800002</v>
      </c>
      <c r="L70" s="33">
        <v>113.32873036800002</v>
      </c>
      <c r="M70" s="33">
        <v>113.32873036800002</v>
      </c>
    </row>
    <row r="71" spans="1:13">
      <c r="A71" t="s">
        <v>64</v>
      </c>
      <c r="B71">
        <v>2004</v>
      </c>
      <c r="C71" s="16">
        <v>0.06</v>
      </c>
      <c r="D71" s="1">
        <v>1628355</v>
      </c>
      <c r="E71" s="29">
        <f>Table15[[#This Row],[Ávöxtun]]*Table15[[#This Row],[Eignir]]/SUMIFS(Table15[Eignir],Table15[Year],Table15[[#This Row],[Year]])</f>
        <v>1.0763962039686953E-4</v>
      </c>
      <c r="F71" s="23">
        <f>IF(B71=1997, 100, IF(COUNTIF(A$1:A70,A71)=0, "NEW", F70*(1+Table15[[#This Row],[Ávöxtun]])))</f>
        <v>120.12845419008003</v>
      </c>
      <c r="G71" s="18" cm="1">
        <f t="array" ref="G71">IFERROR(_xlfn.IFS(ISNUMBER(Table15[[#This Row],[Column3]]),Table15[[#This Row],[Column3]],Table15[[#This Row],[Column3]]="NEW",Table15[[#This Row],[Column3]]),"")</f>
        <v>120.12845419008003</v>
      </c>
      <c r="H71" s="15" cm="1">
        <f t="array" ref="H71">_xlfn.IFS(Table15[[#This Row],[Column4]]="NEW",AVERAGEIFS(Table15[Column4],Table15[Year],Table15[[#This Row],[Year]]),ISNUMBER(Table15[[#This Row],[Column4]]),Table15[[#This Row],[Column4]],Table15[[#This Row],[Column4]]="",H70*(1+Table15[[#This Row],[Ávöxtun]]))</f>
        <v>120.12845419008003</v>
      </c>
      <c r="I71" s="30" cm="1">
        <f t="array" ref="I71">_xlfn.IFS(Table15[[#This Row],[Column4]]="NEW",_xlfn.XLOOKUP(Table15[[#This Row],[Year]]-1,$N$2:$N$27,$P$2:$P$27)*(1+Table15[[#This Row],[Ávöxtun]]),ISNUMBER(Table15[[#This Row],[Column4]]),Table15[[#This Row],[Column4]],Table15[[#This Row],[Column4]]="",I70*(1+Table15[[#This Row],[Ávöxtun]]))</f>
        <v>120.12845419008003</v>
      </c>
      <c r="L71" s="33">
        <v>120.12845419008003</v>
      </c>
      <c r="M71" s="33">
        <v>120.12845419008003</v>
      </c>
    </row>
    <row r="72" spans="1:13">
      <c r="A72" t="s">
        <v>64</v>
      </c>
      <c r="B72">
        <v>2005</v>
      </c>
      <c r="C72" s="16">
        <v>0.1</v>
      </c>
      <c r="D72" s="1">
        <v>1877012</v>
      </c>
      <c r="E72" s="29">
        <f>Table15[[#This Row],[Ávöxtun]]*Table15[[#This Row],[Eignir]]/SUMIFS(Table15[Eignir],Table15[Year],Table15[[#This Row],[Year]])</f>
        <v>1.6739042407741452E-4</v>
      </c>
      <c r="F72" s="23">
        <f>IF(B72=1997, 100, IF(COUNTIF(A$1:A71,A72)=0, "NEW", F71*(1+Table15[[#This Row],[Ávöxtun]])))</f>
        <v>132.14129960908804</v>
      </c>
      <c r="G72" s="18" cm="1">
        <f t="array" ref="G72">IFERROR(_xlfn.IFS(ISNUMBER(Table15[[#This Row],[Column3]]),Table15[[#This Row],[Column3]],Table15[[#This Row],[Column3]]="NEW",Table15[[#This Row],[Column3]]),"")</f>
        <v>132.14129960908804</v>
      </c>
      <c r="H72" s="15" cm="1">
        <f t="array" ref="H72">_xlfn.IFS(Table15[[#This Row],[Column4]]="NEW",AVERAGEIFS(Table15[Column4],Table15[Year],Table15[[#This Row],[Year]]),ISNUMBER(Table15[[#This Row],[Column4]]),Table15[[#This Row],[Column4]],Table15[[#This Row],[Column4]]="",H71*(1+Table15[[#This Row],[Ávöxtun]]))</f>
        <v>132.14129960908804</v>
      </c>
      <c r="I72" s="30" cm="1">
        <f t="array" ref="I72">_xlfn.IFS(Table15[[#This Row],[Column4]]="NEW",_xlfn.XLOOKUP(Table15[[#This Row],[Year]]-1,$N$2:$N$27,$P$2:$P$27)*(1+Table15[[#This Row],[Ávöxtun]]),ISNUMBER(Table15[[#This Row],[Column4]]),Table15[[#This Row],[Column4]],Table15[[#This Row],[Column4]]="",I71*(1+Table15[[#This Row],[Ávöxtun]]))</f>
        <v>132.14129960908804</v>
      </c>
      <c r="L72" s="33">
        <v>132.14129960908804</v>
      </c>
      <c r="M72" s="33">
        <v>132.14129960908804</v>
      </c>
    </row>
    <row r="73" spans="1:13">
      <c r="A73" t="s">
        <v>64</v>
      </c>
      <c r="B73">
        <v>2006</v>
      </c>
      <c r="C73" s="16">
        <v>0.1082</v>
      </c>
      <c r="D73" s="1">
        <v>2186980</v>
      </c>
      <c r="E73" s="29">
        <f>Table15[[#This Row],[Ávöxtun]]*Table15[[#This Row],[Eignir]]/SUMIFS(Table15[Eignir],Table15[Year],Table15[[#This Row],[Year]])</f>
        <v>1.7238685462502999E-4</v>
      </c>
      <c r="F73" s="23">
        <f>IF(B73=1997, 100, IF(COUNTIF(A$1:A72,A73)=0, "NEW", F72*(1+Table15[[#This Row],[Ávöxtun]])))</f>
        <v>146.43898822679137</v>
      </c>
      <c r="G73" s="18" cm="1">
        <f t="array" ref="G73">IFERROR(_xlfn.IFS(ISNUMBER(Table15[[#This Row],[Column3]]),Table15[[#This Row],[Column3]],Table15[[#This Row],[Column3]]="NEW",Table15[[#This Row],[Column3]]),"")</f>
        <v>146.43898822679137</v>
      </c>
      <c r="H73" s="15" cm="1">
        <f t="array" ref="H73">_xlfn.IFS(Table15[[#This Row],[Column4]]="NEW",AVERAGEIFS(Table15[Column4],Table15[Year],Table15[[#This Row],[Year]]),ISNUMBER(Table15[[#This Row],[Column4]]),Table15[[#This Row],[Column4]],Table15[[#This Row],[Column4]]="",H72*(1+Table15[[#This Row],[Ávöxtun]]))</f>
        <v>146.43898822679137</v>
      </c>
      <c r="I73" s="30" cm="1">
        <f t="array" ref="I73">_xlfn.IFS(Table15[[#This Row],[Column4]]="NEW",_xlfn.XLOOKUP(Table15[[#This Row],[Year]]-1,$N$2:$N$27,$P$2:$P$27)*(1+Table15[[#This Row],[Ávöxtun]]),ISNUMBER(Table15[[#This Row],[Column4]]),Table15[[#This Row],[Column4]],Table15[[#This Row],[Column4]]="",I72*(1+Table15[[#This Row],[Ávöxtun]]))</f>
        <v>146.43898822679137</v>
      </c>
      <c r="L73" s="33">
        <v>146.43898822679137</v>
      </c>
      <c r="M73" s="33">
        <v>146.43898822679137</v>
      </c>
    </row>
    <row r="74" spans="1:13">
      <c r="A74" t="s">
        <v>64</v>
      </c>
      <c r="B74">
        <v>2007</v>
      </c>
      <c r="C74" s="16">
        <v>-1.38E-2</v>
      </c>
      <c r="D74" s="1">
        <v>2263953</v>
      </c>
      <c r="E74" s="29">
        <f>Table15[[#This Row],[Ávöxtun]]*Table15[[#This Row],[Eignir]]/SUMIFS(Table15[Eignir],Table15[Year],Table15[[#This Row],[Year]])</f>
        <v>-2.0203304263422128E-5</v>
      </c>
      <c r="F74" s="23">
        <f>IF(B74=1997, 100, IF(COUNTIF(A$1:A73,A74)=0, "NEW", F73*(1+Table15[[#This Row],[Ávöxtun]])))</f>
        <v>144.41813018926163</v>
      </c>
      <c r="G74" s="18" cm="1">
        <f t="array" ref="G74">IFERROR(_xlfn.IFS(ISNUMBER(Table15[[#This Row],[Column3]]),Table15[[#This Row],[Column3]],Table15[[#This Row],[Column3]]="NEW",Table15[[#This Row],[Column3]]),"")</f>
        <v>144.41813018926163</v>
      </c>
      <c r="H74" s="15" cm="1">
        <f t="array" ref="H74">_xlfn.IFS(Table15[[#This Row],[Column4]]="NEW",AVERAGEIFS(Table15[Column4],Table15[Year],Table15[[#This Row],[Year]]),ISNUMBER(Table15[[#This Row],[Column4]]),Table15[[#This Row],[Column4]],Table15[[#This Row],[Column4]]="",H73*(1+Table15[[#This Row],[Ávöxtun]]))</f>
        <v>144.41813018926163</v>
      </c>
      <c r="I74" s="30" cm="1">
        <f t="array" ref="I74">_xlfn.IFS(Table15[[#This Row],[Column4]]="NEW",_xlfn.XLOOKUP(Table15[[#This Row],[Year]]-1,$N$2:$N$27,$P$2:$P$27)*(1+Table15[[#This Row],[Ávöxtun]]),ISNUMBER(Table15[[#This Row],[Column4]]),Table15[[#This Row],[Column4]],Table15[[#This Row],[Column4]]="",I73*(1+Table15[[#This Row],[Ávöxtun]]))</f>
        <v>144.41813018926163</v>
      </c>
      <c r="L74" s="33">
        <v>144.41813018926163</v>
      </c>
      <c r="M74" s="33">
        <v>144.41813018926163</v>
      </c>
    </row>
    <row r="75" spans="1:13">
      <c r="A75" t="s">
        <v>64</v>
      </c>
      <c r="B75">
        <v>2008</v>
      </c>
      <c r="C75" s="16">
        <v>-0.30599999999999999</v>
      </c>
      <c r="D75" s="1">
        <v>1773548</v>
      </c>
      <c r="E75" s="29">
        <f>Table15[[#This Row],[Ávöxtun]]*Table15[[#This Row],[Eignir]]/SUMIFS(Table15[Eignir],Table15[Year],Table15[[#This Row],[Year]])</f>
        <v>-3.6245187964098751E-4</v>
      </c>
      <c r="F75" s="23">
        <f>IF(B75=1997, 100, IF(COUNTIF(A$1:A74,A75)=0, "NEW", F74*(1+Table15[[#This Row],[Ávöxtun]])))</f>
        <v>100.22618235134756</v>
      </c>
      <c r="G75" s="18" cm="1">
        <f t="array" ref="G75">IFERROR(_xlfn.IFS(ISNUMBER(Table15[[#This Row],[Column3]]),Table15[[#This Row],[Column3]],Table15[[#This Row],[Column3]]="NEW",Table15[[#This Row],[Column3]]),"")</f>
        <v>100.22618235134756</v>
      </c>
      <c r="H75" s="15" cm="1">
        <f t="array" ref="H75">_xlfn.IFS(Table15[[#This Row],[Column4]]="NEW",AVERAGEIFS(Table15[Column4],Table15[Year],Table15[[#This Row],[Year]]),ISNUMBER(Table15[[#This Row],[Column4]]),Table15[[#This Row],[Column4]],Table15[[#This Row],[Column4]]="",H74*(1+Table15[[#This Row],[Ávöxtun]]))</f>
        <v>100.22618235134756</v>
      </c>
      <c r="I75" s="30" cm="1">
        <f t="array" ref="I75">_xlfn.IFS(Table15[[#This Row],[Column4]]="NEW",_xlfn.XLOOKUP(Table15[[#This Row],[Year]]-1,$N$2:$N$27,$P$2:$P$27)*(1+Table15[[#This Row],[Ávöxtun]]),ISNUMBER(Table15[[#This Row],[Column4]]),Table15[[#This Row],[Column4]],Table15[[#This Row],[Column4]]="",I74*(1+Table15[[#This Row],[Ávöxtun]]))</f>
        <v>100.22618235134756</v>
      </c>
      <c r="L75" s="33">
        <v>100.22618235134756</v>
      </c>
      <c r="M75" s="33">
        <v>100.22618235134756</v>
      </c>
    </row>
    <row r="76" spans="1:13">
      <c r="A76" t="s">
        <v>64</v>
      </c>
      <c r="B76">
        <v>2009</v>
      </c>
      <c r="C76" s="16">
        <v>1.1000000000000001E-2</v>
      </c>
      <c r="D76" s="1">
        <v>1875403</v>
      </c>
      <c r="E76" s="29">
        <f>Table15[[#This Row],[Ávöxtun]]*Table15[[#This Row],[Eignir]]/SUMIFS(Table15[Eignir],Table15[Year],Table15[[#This Row],[Year]])</f>
        <v>1.2365850237428183E-5</v>
      </c>
      <c r="F76" s="23">
        <f>IF(B76=1997, 100, IF(COUNTIF(A$1:A75,A76)=0, "NEW", F75*(1+Table15[[#This Row],[Ávöxtun]])))</f>
        <v>101.32867035721237</v>
      </c>
      <c r="G76" s="18" cm="1">
        <f t="array" ref="G76">IFERROR(_xlfn.IFS(ISNUMBER(Table15[[#This Row],[Column3]]),Table15[[#This Row],[Column3]],Table15[[#This Row],[Column3]]="NEW",Table15[[#This Row],[Column3]]),"")</f>
        <v>101.32867035721237</v>
      </c>
      <c r="H76" s="15" cm="1">
        <f t="array" ref="H76">_xlfn.IFS(Table15[[#This Row],[Column4]]="NEW",AVERAGEIFS(Table15[Column4],Table15[Year],Table15[[#This Row],[Year]]),ISNUMBER(Table15[[#This Row],[Column4]]),Table15[[#This Row],[Column4]],Table15[[#This Row],[Column4]]="",H75*(1+Table15[[#This Row],[Ávöxtun]]))</f>
        <v>101.32867035721237</v>
      </c>
      <c r="I76" s="30" cm="1">
        <f t="array" ref="I76">_xlfn.IFS(Table15[[#This Row],[Column4]]="NEW",_xlfn.XLOOKUP(Table15[[#This Row],[Year]]-1,$N$2:$N$27,$P$2:$P$27)*(1+Table15[[#This Row],[Ávöxtun]]),ISNUMBER(Table15[[#This Row],[Column4]]),Table15[[#This Row],[Column4]],Table15[[#This Row],[Column4]]="",I75*(1+Table15[[#This Row],[Ávöxtun]]))</f>
        <v>101.32867035721237</v>
      </c>
      <c r="L76" s="33">
        <v>101.32867035721237</v>
      </c>
      <c r="M76" s="33">
        <v>101.32867035721237</v>
      </c>
    </row>
    <row r="77" spans="1:13">
      <c r="A77" t="s">
        <v>64</v>
      </c>
      <c r="B77">
        <v>2010</v>
      </c>
      <c r="C77" s="16">
        <v>-1.26E-2</v>
      </c>
      <c r="D77" s="1">
        <v>1834264</v>
      </c>
      <c r="E77" s="29">
        <f>Table15[[#This Row],[Ávöxtun]]*Table15[[#This Row],[Eignir]]/SUMIFS(Table15[Eignir],Table15[Year],Table15[[#This Row],[Year]])</f>
        <v>-1.2927564693700105E-5</v>
      </c>
      <c r="F77" s="23">
        <f>IF(B77=1997, 100, IF(COUNTIF(A$1:A76,A77)=0, "NEW", F76*(1+Table15[[#This Row],[Ávöxtun]])))</f>
        <v>100.0519291107115</v>
      </c>
      <c r="G77" s="18" cm="1">
        <f t="array" ref="G77">IFERROR(_xlfn.IFS(ISNUMBER(Table15[[#This Row],[Column3]]),Table15[[#This Row],[Column3]],Table15[[#This Row],[Column3]]="NEW",Table15[[#This Row],[Column3]]),"")</f>
        <v>100.0519291107115</v>
      </c>
      <c r="H77" s="15" cm="1">
        <f t="array" ref="H77">_xlfn.IFS(Table15[[#This Row],[Column4]]="NEW",AVERAGEIFS(Table15[Column4],Table15[Year],Table15[[#This Row],[Year]]),ISNUMBER(Table15[[#This Row],[Column4]]),Table15[[#This Row],[Column4]],Table15[[#This Row],[Column4]]="",H76*(1+Table15[[#This Row],[Ávöxtun]]))</f>
        <v>100.0519291107115</v>
      </c>
      <c r="I77" s="30" cm="1">
        <f t="array" ref="I77">_xlfn.IFS(Table15[[#This Row],[Column4]]="NEW",_xlfn.XLOOKUP(Table15[[#This Row],[Year]]-1,$N$2:$N$27,$P$2:$P$27)*(1+Table15[[#This Row],[Ávöxtun]]),ISNUMBER(Table15[[#This Row],[Column4]]),Table15[[#This Row],[Column4]],Table15[[#This Row],[Column4]]="",I76*(1+Table15[[#This Row],[Ávöxtun]]))</f>
        <v>100.0519291107115</v>
      </c>
      <c r="L77" s="33">
        <v>100.0519291107115</v>
      </c>
      <c r="M77" s="33">
        <v>100.0519291107115</v>
      </c>
    </row>
    <row r="78" spans="1:13">
      <c r="A78" t="s">
        <v>64</v>
      </c>
      <c r="B78">
        <v>2011</v>
      </c>
      <c r="C78" s="16">
        <v>-2.7999999999999997E-2</v>
      </c>
      <c r="D78" s="1">
        <v>1807571</v>
      </c>
      <c r="E78" s="29">
        <f>Table15[[#This Row],[Ávöxtun]]*Table15[[#This Row],[Eignir]]/SUMIFS(Table15[Eignir],Table15[Year],Table15[[#This Row],[Year]])</f>
        <v>-2.5947429533525302E-5</v>
      </c>
      <c r="F78" s="23">
        <f>IF(B78=1997, 100, IF(COUNTIF(A$1:A77,A78)=0, "NEW", F77*(1+Table15[[#This Row],[Ávöxtun]])))</f>
        <v>97.250475095611577</v>
      </c>
      <c r="G78" s="18" cm="1">
        <f t="array" ref="G78">IFERROR(_xlfn.IFS(ISNUMBER(Table15[[#This Row],[Column3]]),Table15[[#This Row],[Column3]],Table15[[#This Row],[Column3]]="NEW",Table15[[#This Row],[Column3]]),"")</f>
        <v>97.250475095611577</v>
      </c>
      <c r="H78" s="15" cm="1">
        <f t="array" ref="H78">_xlfn.IFS(Table15[[#This Row],[Column4]]="NEW",AVERAGEIFS(Table15[Column4],Table15[Year],Table15[[#This Row],[Year]]),ISNUMBER(Table15[[#This Row],[Column4]]),Table15[[#This Row],[Column4]],Table15[[#This Row],[Column4]]="",H77*(1+Table15[[#This Row],[Ávöxtun]]))</f>
        <v>97.250475095611577</v>
      </c>
      <c r="I78" s="30" cm="1">
        <f t="array" ref="I78">_xlfn.IFS(Table15[[#This Row],[Column4]]="NEW",_xlfn.XLOOKUP(Table15[[#This Row],[Year]]-1,$N$2:$N$27,$P$2:$P$27)*(1+Table15[[#This Row],[Ávöxtun]]),ISNUMBER(Table15[[#This Row],[Column4]]),Table15[[#This Row],[Column4]],Table15[[#This Row],[Column4]]="",I77*(1+Table15[[#This Row],[Ávöxtun]]))</f>
        <v>97.250475095611577</v>
      </c>
      <c r="L78" s="33">
        <v>97.250475095611577</v>
      </c>
      <c r="M78" s="33">
        <v>97.250475095611577</v>
      </c>
    </row>
    <row r="79" spans="1:13">
      <c r="A79" t="s">
        <v>64</v>
      </c>
      <c r="B79">
        <v>2012</v>
      </c>
      <c r="C79" s="16">
        <v>8.199999999999999E-2</v>
      </c>
      <c r="D79" s="1">
        <v>2010404</v>
      </c>
      <c r="E79" s="29">
        <f>Table15[[#This Row],[Ávöxtun]]*Table15[[#This Row],[Eignir]]/SUMIFS(Table15[Eignir],Table15[Year],Table15[[#This Row],[Year]])</f>
        <v>7.483653062238994E-5</v>
      </c>
      <c r="F79" s="23">
        <f>IF(B79=1997, 100, IF(COUNTIF(A$1:A78,A79)=0, "NEW", F78*(1+Table15[[#This Row],[Ávöxtun]])))</f>
        <v>105.22501405345173</v>
      </c>
      <c r="G79" s="18" cm="1">
        <f t="array" ref="G79">IFERROR(_xlfn.IFS(ISNUMBER(Table15[[#This Row],[Column3]]),Table15[[#This Row],[Column3]],Table15[[#This Row],[Column3]]="NEW",Table15[[#This Row],[Column3]]),"")</f>
        <v>105.22501405345173</v>
      </c>
      <c r="H79" s="15" cm="1">
        <f t="array" ref="H79">_xlfn.IFS(Table15[[#This Row],[Column4]]="NEW",AVERAGEIFS(Table15[Column4],Table15[Year],Table15[[#This Row],[Year]]),ISNUMBER(Table15[[#This Row],[Column4]]),Table15[[#This Row],[Column4]],Table15[[#This Row],[Column4]]="",H78*(1+Table15[[#This Row],[Ávöxtun]]))</f>
        <v>105.22501405345173</v>
      </c>
      <c r="I79" s="30" cm="1">
        <f t="array" ref="I79">_xlfn.IFS(Table15[[#This Row],[Column4]]="NEW",_xlfn.XLOOKUP(Table15[[#This Row],[Year]]-1,$N$2:$N$27,$P$2:$P$27)*(1+Table15[[#This Row],[Ávöxtun]]),ISNUMBER(Table15[[#This Row],[Column4]]),Table15[[#This Row],[Column4]],Table15[[#This Row],[Column4]]="",I78*(1+Table15[[#This Row],[Ávöxtun]]))</f>
        <v>105.22501405345173</v>
      </c>
      <c r="L79" s="33">
        <v>105.22501405345173</v>
      </c>
      <c r="M79" s="33">
        <v>105.22501405345173</v>
      </c>
    </row>
    <row r="80" spans="1:13">
      <c r="A80" t="s">
        <v>65</v>
      </c>
      <c r="B80">
        <v>1997</v>
      </c>
      <c r="C80" s="16">
        <v>0.06</v>
      </c>
      <c r="D80" s="1">
        <v>526483.16</v>
      </c>
      <c r="E80" s="29">
        <f>Table15[[#This Row],[Ávöxtun]]*Table15[[#This Row],[Eignir]]/SUMIFS(Table15[Eignir],Table15[Year],Table15[[#This Row],[Year]])</f>
        <v>9.3175894907792322E-5</v>
      </c>
      <c r="F80" s="23">
        <f>IF(B80=1997, 100, IF(COUNTIF(A$1:A79,A80)=0, "NEW", F79*(1+Table15[[#This Row],[Ávöxtun]])))</f>
        <v>100</v>
      </c>
      <c r="G80" s="18" cm="1">
        <f t="array" ref="G80">IFERROR(_xlfn.IFS(ISNUMBER(Table15[[#This Row],[Column3]]),Table15[[#This Row],[Column3]],Table15[[#This Row],[Column3]]="NEW",Table15[[#This Row],[Column3]]),"")</f>
        <v>100</v>
      </c>
      <c r="H80" s="15" cm="1">
        <f t="array" ref="H80">_xlfn.IFS(Table15[[#This Row],[Column4]]="NEW",AVERAGEIFS(Table15[Column4],Table15[Year],Table15[[#This Row],[Year]]),ISNUMBER(Table15[[#This Row],[Column4]]),Table15[[#This Row],[Column4]],Table15[[#This Row],[Column4]]="",H79*(1+Table15[[#This Row],[Ávöxtun]]))</f>
        <v>100</v>
      </c>
      <c r="I80" s="30" cm="1">
        <f t="array" ref="I80">_xlfn.IFS(Table15[[#This Row],[Column4]]="NEW",_xlfn.XLOOKUP(Table15[[#This Row],[Year]]-1,$N$2:$N$27,$P$2:$P$27)*(1+Table15[[#This Row],[Ávöxtun]]),ISNUMBER(Table15[[#This Row],[Column4]]),Table15[[#This Row],[Column4]],Table15[[#This Row],[Column4]]="",I79*(1+Table15[[#This Row],[Ávöxtun]]))</f>
        <v>100</v>
      </c>
      <c r="L80" s="33">
        <v>100</v>
      </c>
      <c r="M80" s="33">
        <v>100</v>
      </c>
    </row>
    <row r="81" spans="1:13">
      <c r="A81" t="s">
        <v>65</v>
      </c>
      <c r="B81">
        <v>1998</v>
      </c>
      <c r="C81" s="16">
        <v>0.06</v>
      </c>
      <c r="D81" s="1">
        <v>536166.88</v>
      </c>
      <c r="E81" s="29">
        <f>Table15[[#This Row],[Ávöxtun]]*Table15[[#This Row],[Eignir]]/SUMIFS(Table15[Eignir],Table15[Year],Table15[[#This Row],[Year]])</f>
        <v>8.214286293487689E-5</v>
      </c>
      <c r="F81" s="23">
        <f>IF(B81=1997, 100, IF(COUNTIF(A$1:A80,A81)=0, "NEW", F80*(1+Table15[[#This Row],[Ávöxtun]])))</f>
        <v>106</v>
      </c>
      <c r="G81" s="18" cm="1">
        <f t="array" ref="G81">IFERROR(_xlfn.IFS(ISNUMBER(Table15[[#This Row],[Column3]]),Table15[[#This Row],[Column3]],Table15[[#This Row],[Column3]]="NEW",Table15[[#This Row],[Column3]]),"")</f>
        <v>106</v>
      </c>
      <c r="H81" s="15" cm="1">
        <f t="array" ref="H81">_xlfn.IFS(Table15[[#This Row],[Column4]]="NEW",AVERAGEIFS(Table15[Column4],Table15[Year],Table15[[#This Row],[Year]]),ISNUMBER(Table15[[#This Row],[Column4]]),Table15[[#This Row],[Column4]],Table15[[#This Row],[Column4]]="",H80*(1+Table15[[#This Row],[Ávöxtun]]))</f>
        <v>106</v>
      </c>
      <c r="I81" s="30" cm="1">
        <f t="array" ref="I81">_xlfn.IFS(Table15[[#This Row],[Column4]]="NEW",_xlfn.XLOOKUP(Table15[[#This Row],[Year]]-1,$N$2:$N$27,$P$2:$P$27)*(1+Table15[[#This Row],[Ávöxtun]]),ISNUMBER(Table15[[#This Row],[Column4]]),Table15[[#This Row],[Column4]],Table15[[#This Row],[Column4]]="",I80*(1+Table15[[#This Row],[Ávöxtun]]))</f>
        <v>106</v>
      </c>
      <c r="L81" s="33">
        <v>106</v>
      </c>
      <c r="M81" s="33">
        <v>106</v>
      </c>
    </row>
    <row r="82" spans="1:13">
      <c r="A82" t="s">
        <v>65</v>
      </c>
      <c r="B82">
        <v>1999</v>
      </c>
      <c r="C82" s="16">
        <v>7.0000000000000007E-2</v>
      </c>
      <c r="D82" s="1">
        <v>574450.77</v>
      </c>
      <c r="E82" s="29">
        <f>Table15[[#This Row],[Ávöxtun]]*Table15[[#This Row],[Eignir]]/SUMIFS(Table15[Eignir],Table15[Year],Table15[[#This Row],[Year]])</f>
        <v>7.7223478630266188E-5</v>
      </c>
      <c r="F82" s="23">
        <f>IF(B82=1997, 100, IF(COUNTIF(A$1:A81,A82)=0, "NEW", F81*(1+Table15[[#This Row],[Ávöxtun]])))</f>
        <v>113.42</v>
      </c>
      <c r="G82" s="18" cm="1">
        <f t="array" ref="G82">IFERROR(_xlfn.IFS(ISNUMBER(Table15[[#This Row],[Column3]]),Table15[[#This Row],[Column3]],Table15[[#This Row],[Column3]]="NEW",Table15[[#This Row],[Column3]]),"")</f>
        <v>113.42</v>
      </c>
      <c r="H82" s="15" cm="1">
        <f t="array" ref="H82">_xlfn.IFS(Table15[[#This Row],[Column4]]="NEW",AVERAGEIFS(Table15[Column4],Table15[Year],Table15[[#This Row],[Year]]),ISNUMBER(Table15[[#This Row],[Column4]]),Table15[[#This Row],[Column4]],Table15[[#This Row],[Column4]]="",H81*(1+Table15[[#This Row],[Ávöxtun]]))</f>
        <v>113.42</v>
      </c>
      <c r="I82" s="30" cm="1">
        <f t="array" ref="I82">_xlfn.IFS(Table15[[#This Row],[Column4]]="NEW",_xlfn.XLOOKUP(Table15[[#This Row],[Year]]-1,$N$2:$N$27,$P$2:$P$27)*(1+Table15[[#This Row],[Ávöxtun]]),ISNUMBER(Table15[[#This Row],[Column4]]),Table15[[#This Row],[Column4]],Table15[[#This Row],[Column4]]="",I81*(1+Table15[[#This Row],[Ávöxtun]]))</f>
        <v>113.42</v>
      </c>
      <c r="L82" s="33">
        <v>113.42</v>
      </c>
      <c r="M82" s="33">
        <v>113.42</v>
      </c>
    </row>
    <row r="83" spans="1:13">
      <c r="A83" t="s">
        <v>65</v>
      </c>
      <c r="B83">
        <v>2000</v>
      </c>
      <c r="C83" s="16">
        <v>0.03</v>
      </c>
      <c r="D83" s="1">
        <v>590126.5</v>
      </c>
      <c r="E83" s="29">
        <f>Table15[[#This Row],[Ávöxtun]]*Table15[[#This Row],[Eignir]]/SUMIFS(Table15[Eignir],Table15[Year],Table15[[#This Row],[Year]])</f>
        <v>2.4903715344018472E-5</v>
      </c>
      <c r="F83" s="23">
        <f>IF(B83=1997, 100, IF(COUNTIF(A$1:A82,A83)=0, "NEW", F82*(1+Table15[[#This Row],[Ávöxtun]])))</f>
        <v>116.82260000000001</v>
      </c>
      <c r="G83" s="18" cm="1">
        <f t="array" ref="G83">IFERROR(_xlfn.IFS(ISNUMBER(Table15[[#This Row],[Column3]]),Table15[[#This Row],[Column3]],Table15[[#This Row],[Column3]]="NEW",Table15[[#This Row],[Column3]]),"")</f>
        <v>116.82260000000001</v>
      </c>
      <c r="H83" s="15" cm="1">
        <f t="array" ref="H83">_xlfn.IFS(Table15[[#This Row],[Column4]]="NEW",AVERAGEIFS(Table15[Column4],Table15[Year],Table15[[#This Row],[Year]]),ISNUMBER(Table15[[#This Row],[Column4]]),Table15[[#This Row],[Column4]],Table15[[#This Row],[Column4]]="",H82*(1+Table15[[#This Row],[Ávöxtun]]))</f>
        <v>116.82260000000001</v>
      </c>
      <c r="I83" s="30" cm="1">
        <f t="array" ref="I83">_xlfn.IFS(Table15[[#This Row],[Column4]]="NEW",_xlfn.XLOOKUP(Table15[[#This Row],[Year]]-1,$N$2:$N$27,$P$2:$P$27)*(1+Table15[[#This Row],[Ávöxtun]]),ISNUMBER(Table15[[#This Row],[Column4]]),Table15[[#This Row],[Column4]],Table15[[#This Row],[Column4]]="",I82*(1+Table15[[#This Row],[Ávöxtun]]))</f>
        <v>116.82260000000001</v>
      </c>
      <c r="L83" s="33">
        <v>116.82260000000001</v>
      </c>
      <c r="M83" s="33">
        <v>116.82260000000001</v>
      </c>
    </row>
    <row r="84" spans="1:13">
      <c r="A84" t="s">
        <v>65</v>
      </c>
      <c r="B84">
        <v>2001</v>
      </c>
      <c r="C84" s="16">
        <v>0.04</v>
      </c>
      <c r="D84" s="1">
        <v>619900</v>
      </c>
      <c r="E84" s="29">
        <f>Table15[[#This Row],[Ávöxtun]]*Table15[[#This Row],[Eignir]]/SUMIFS(Table15[Eignir],Table15[Year],Table15[[#This Row],[Year]])</f>
        <v>2.1414339139387778E-5</v>
      </c>
      <c r="F84" s="23">
        <f>IF(B84=1997, 100, IF(COUNTIF(A$1:A83,A84)=0, "NEW", F83*(1+Table15[[#This Row],[Ávöxtun]])))</f>
        <v>121.49550400000001</v>
      </c>
      <c r="G84" s="18" cm="1">
        <f t="array" ref="G84">IFERROR(_xlfn.IFS(ISNUMBER(Table15[[#This Row],[Column3]]),Table15[[#This Row],[Column3]],Table15[[#This Row],[Column3]]="NEW",Table15[[#This Row],[Column3]]),"")</f>
        <v>121.49550400000001</v>
      </c>
      <c r="H84" s="15" cm="1">
        <f t="array" ref="H84">_xlfn.IFS(Table15[[#This Row],[Column4]]="NEW",AVERAGEIFS(Table15[Column4],Table15[Year],Table15[[#This Row],[Year]]),ISNUMBER(Table15[[#This Row],[Column4]]),Table15[[#This Row],[Column4]],Table15[[#This Row],[Column4]]="",H83*(1+Table15[[#This Row],[Ávöxtun]]))</f>
        <v>121.49550400000001</v>
      </c>
      <c r="I84" s="30" cm="1">
        <f t="array" ref="I84">_xlfn.IFS(Table15[[#This Row],[Column4]]="NEW",_xlfn.XLOOKUP(Table15[[#This Row],[Year]]-1,$N$2:$N$27,$P$2:$P$27)*(1+Table15[[#This Row],[Ávöxtun]]),ISNUMBER(Table15[[#This Row],[Column4]]),Table15[[#This Row],[Column4]],Table15[[#This Row],[Column4]]="",I83*(1+Table15[[#This Row],[Ávöxtun]]))</f>
        <v>121.49550400000001</v>
      </c>
      <c r="L84" s="33">
        <v>121.49550400000001</v>
      </c>
      <c r="M84" s="33">
        <v>121.49550400000001</v>
      </c>
    </row>
    <row r="85" spans="1:13">
      <c r="A85" t="s">
        <v>65</v>
      </c>
      <c r="B85">
        <v>2002</v>
      </c>
      <c r="C85" s="16">
        <v>0.06</v>
      </c>
      <c r="D85" s="1">
        <v>631434</v>
      </c>
      <c r="E85" s="29">
        <f>Table15[[#This Row],[Ávöxtun]]*Table15[[#This Row],[Eignir]]/SUMIFS(Table15[Eignir],Table15[Year],Table15[[#This Row],[Year]])</f>
        <v>5.9647635467904832E-5</v>
      </c>
      <c r="F85" s="23">
        <f>IF(B85=1997, 100, IF(COUNTIF(A$1:A84,A85)=0, "NEW", F84*(1+Table15[[#This Row],[Ávöxtun]])))</f>
        <v>128.78523424000002</v>
      </c>
      <c r="G85" s="18" cm="1">
        <f t="array" ref="G85">IFERROR(_xlfn.IFS(ISNUMBER(Table15[[#This Row],[Column3]]),Table15[[#This Row],[Column3]],Table15[[#This Row],[Column3]]="NEW",Table15[[#This Row],[Column3]]),"")</f>
        <v>128.78523424000002</v>
      </c>
      <c r="H85" s="15" cm="1">
        <f t="array" ref="H85">_xlfn.IFS(Table15[[#This Row],[Column4]]="NEW",AVERAGEIFS(Table15[Column4],Table15[Year],Table15[[#This Row],[Year]]),ISNUMBER(Table15[[#This Row],[Column4]]),Table15[[#This Row],[Column4]],Table15[[#This Row],[Column4]]="",H84*(1+Table15[[#This Row],[Ávöxtun]]))</f>
        <v>128.78523424000002</v>
      </c>
      <c r="I85" s="30" cm="1">
        <f t="array" ref="I85">_xlfn.IFS(Table15[[#This Row],[Column4]]="NEW",_xlfn.XLOOKUP(Table15[[#This Row],[Year]]-1,$N$2:$N$27,$P$2:$P$27)*(1+Table15[[#This Row],[Ávöxtun]]),ISNUMBER(Table15[[#This Row],[Column4]]),Table15[[#This Row],[Column4]],Table15[[#This Row],[Column4]]="",I84*(1+Table15[[#This Row],[Ávöxtun]]))</f>
        <v>128.78523424000002</v>
      </c>
      <c r="L85" s="33">
        <v>128.78523424000002</v>
      </c>
      <c r="M85" s="33">
        <v>128.78523424000002</v>
      </c>
    </row>
    <row r="86" spans="1:13">
      <c r="A86" t="s">
        <v>65</v>
      </c>
      <c r="B86">
        <v>2003</v>
      </c>
      <c r="C86" s="16">
        <v>0.09</v>
      </c>
      <c r="D86" s="1">
        <v>666338</v>
      </c>
      <c r="E86" s="29">
        <f>Table15[[#This Row],[Ávöxtun]]*Table15[[#This Row],[Eignir]]/SUMIFS(Table15[Eignir],Table15[Year],Table15[[#This Row],[Year]])</f>
        <v>7.8919725114481081E-5</v>
      </c>
      <c r="F86" s="23">
        <f>IF(B86=1997, 100, IF(COUNTIF(A$1:A85,A86)=0, "NEW", F85*(1+Table15[[#This Row],[Ávöxtun]])))</f>
        <v>140.37590532160004</v>
      </c>
      <c r="G86" s="18" cm="1">
        <f t="array" ref="G86">IFERROR(_xlfn.IFS(ISNUMBER(Table15[[#This Row],[Column3]]),Table15[[#This Row],[Column3]],Table15[[#This Row],[Column3]]="NEW",Table15[[#This Row],[Column3]]),"")</f>
        <v>140.37590532160004</v>
      </c>
      <c r="H86" s="15" cm="1">
        <f t="array" ref="H86">_xlfn.IFS(Table15[[#This Row],[Column4]]="NEW",AVERAGEIFS(Table15[Column4],Table15[Year],Table15[[#This Row],[Year]]),ISNUMBER(Table15[[#This Row],[Column4]]),Table15[[#This Row],[Column4]],Table15[[#This Row],[Column4]]="",H85*(1+Table15[[#This Row],[Ávöxtun]]))</f>
        <v>140.37590532160004</v>
      </c>
      <c r="I86" s="30" cm="1">
        <f t="array" ref="I86">_xlfn.IFS(Table15[[#This Row],[Column4]]="NEW",_xlfn.XLOOKUP(Table15[[#This Row],[Year]]-1,$N$2:$N$27,$P$2:$P$27)*(1+Table15[[#This Row],[Ávöxtun]]),ISNUMBER(Table15[[#This Row],[Column4]]),Table15[[#This Row],[Column4]],Table15[[#This Row],[Column4]]="",I85*(1+Table15[[#This Row],[Ávöxtun]]))</f>
        <v>140.37590532160004</v>
      </c>
      <c r="L86" s="33">
        <v>140.37590532160004</v>
      </c>
      <c r="M86" s="33">
        <v>140.37590532160004</v>
      </c>
    </row>
    <row r="87" spans="1:13">
      <c r="A87" t="s">
        <v>65</v>
      </c>
      <c r="B87">
        <v>2004</v>
      </c>
      <c r="C87" s="16">
        <v>0.08</v>
      </c>
      <c r="D87" s="1">
        <v>703719</v>
      </c>
      <c r="E87" s="29">
        <f>Table15[[#This Row],[Ávöxtun]]*Table15[[#This Row],[Eignir]]/SUMIFS(Table15[Eignir],Table15[Year],Table15[[#This Row],[Year]])</f>
        <v>6.2024186802889727E-5</v>
      </c>
      <c r="F87" s="23">
        <f>IF(B87=1997, 100, IF(COUNTIF(A$1:A86,A87)=0, "NEW", F86*(1+Table15[[#This Row],[Ávöxtun]])))</f>
        <v>151.60597774732807</v>
      </c>
      <c r="G87" s="18" cm="1">
        <f t="array" ref="G87">IFERROR(_xlfn.IFS(ISNUMBER(Table15[[#This Row],[Column3]]),Table15[[#This Row],[Column3]],Table15[[#This Row],[Column3]]="NEW",Table15[[#This Row],[Column3]]),"")</f>
        <v>151.60597774732807</v>
      </c>
      <c r="H87" s="15" cm="1">
        <f t="array" ref="H87">_xlfn.IFS(Table15[[#This Row],[Column4]]="NEW",AVERAGEIFS(Table15[Column4],Table15[Year],Table15[[#This Row],[Year]]),ISNUMBER(Table15[[#This Row],[Column4]]),Table15[[#This Row],[Column4]],Table15[[#This Row],[Column4]]="",H86*(1+Table15[[#This Row],[Ávöxtun]]))</f>
        <v>151.60597774732807</v>
      </c>
      <c r="I87" s="30" cm="1">
        <f t="array" ref="I87">_xlfn.IFS(Table15[[#This Row],[Column4]]="NEW",_xlfn.XLOOKUP(Table15[[#This Row],[Year]]-1,$N$2:$N$27,$P$2:$P$27)*(1+Table15[[#This Row],[Ávöxtun]]),ISNUMBER(Table15[[#This Row],[Column4]]),Table15[[#This Row],[Column4]],Table15[[#This Row],[Column4]]="",I86*(1+Table15[[#This Row],[Ávöxtun]]))</f>
        <v>151.60597774732807</v>
      </c>
      <c r="L87" s="33">
        <v>151.60597774732807</v>
      </c>
      <c r="M87" s="33">
        <v>151.60597774732807</v>
      </c>
    </row>
    <row r="88" spans="1:13">
      <c r="A88" t="s">
        <v>65</v>
      </c>
      <c r="B88">
        <v>2005</v>
      </c>
      <c r="C88" s="16">
        <v>0.06</v>
      </c>
      <c r="D88" s="1">
        <v>734520</v>
      </c>
      <c r="E88" s="29">
        <f>Table15[[#This Row],[Ávöxtun]]*Table15[[#This Row],[Eignir]]/SUMIFS(Table15[Eignir],Table15[Year],Table15[[#This Row],[Year]])</f>
        <v>3.9302342540167831E-5</v>
      </c>
      <c r="F88" s="23">
        <f>IF(B88=1997, 100, IF(COUNTIF(A$1:A87,A88)=0, "NEW", F87*(1+Table15[[#This Row],[Ávöxtun]])))</f>
        <v>160.70233641216777</v>
      </c>
      <c r="G88" s="18" cm="1">
        <f t="array" ref="G88">IFERROR(_xlfn.IFS(ISNUMBER(Table15[[#This Row],[Column3]]),Table15[[#This Row],[Column3]],Table15[[#This Row],[Column3]]="NEW",Table15[[#This Row],[Column3]]),"")</f>
        <v>160.70233641216777</v>
      </c>
      <c r="H88" s="15" cm="1">
        <f t="array" ref="H88">_xlfn.IFS(Table15[[#This Row],[Column4]]="NEW",AVERAGEIFS(Table15[Column4],Table15[Year],Table15[[#This Row],[Year]]),ISNUMBER(Table15[[#This Row],[Column4]]),Table15[[#This Row],[Column4]],Table15[[#This Row],[Column4]]="",H87*(1+Table15[[#This Row],[Ávöxtun]]))</f>
        <v>160.70233641216777</v>
      </c>
      <c r="I88" s="30" cm="1">
        <f t="array" ref="I88">_xlfn.IFS(Table15[[#This Row],[Column4]]="NEW",_xlfn.XLOOKUP(Table15[[#This Row],[Year]]-1,$N$2:$N$27,$P$2:$P$27)*(1+Table15[[#This Row],[Ávöxtun]]),ISNUMBER(Table15[[#This Row],[Column4]]),Table15[[#This Row],[Column4]],Table15[[#This Row],[Column4]]="",I87*(1+Table15[[#This Row],[Ávöxtun]]))</f>
        <v>160.70233641216777</v>
      </c>
      <c r="L88" s="33">
        <v>160.70233641216777</v>
      </c>
      <c r="M88" s="33">
        <v>160.70233641216777</v>
      </c>
    </row>
    <row r="89" spans="1:13">
      <c r="A89" t="s">
        <v>65</v>
      </c>
      <c r="B89">
        <v>2006</v>
      </c>
      <c r="C89" s="16">
        <v>5.1299999999999998E-2</v>
      </c>
      <c r="D89" s="1">
        <v>778769</v>
      </c>
      <c r="E89" s="29">
        <f>Table15[[#This Row],[Ávöxtun]]*Table15[[#This Row],[Eignir]]/SUMIFS(Table15[Eignir],Table15[Year],Table15[[#This Row],[Year]])</f>
        <v>2.9104362702903361E-5</v>
      </c>
      <c r="F89" s="23">
        <f>IF(B89=1997, 100, IF(COUNTIF(A$1:A88,A89)=0, "NEW", F88*(1+Table15[[#This Row],[Ávöxtun]])))</f>
        <v>168.94636627011195</v>
      </c>
      <c r="G89" s="18" cm="1">
        <f t="array" ref="G89">IFERROR(_xlfn.IFS(ISNUMBER(Table15[[#This Row],[Column3]]),Table15[[#This Row],[Column3]],Table15[[#This Row],[Column3]]="NEW",Table15[[#This Row],[Column3]]),"")</f>
        <v>168.94636627011195</v>
      </c>
      <c r="H89" s="15" cm="1">
        <f t="array" ref="H89">_xlfn.IFS(Table15[[#This Row],[Column4]]="NEW",AVERAGEIFS(Table15[Column4],Table15[Year],Table15[[#This Row],[Year]]),ISNUMBER(Table15[[#This Row],[Column4]]),Table15[[#This Row],[Column4]],Table15[[#This Row],[Column4]]="",H88*(1+Table15[[#This Row],[Ávöxtun]]))</f>
        <v>168.94636627011195</v>
      </c>
      <c r="I89" s="30" cm="1">
        <f t="array" ref="I89">_xlfn.IFS(Table15[[#This Row],[Column4]]="NEW",_xlfn.XLOOKUP(Table15[[#This Row],[Year]]-1,$N$2:$N$27,$P$2:$P$27)*(1+Table15[[#This Row],[Ávöxtun]]),ISNUMBER(Table15[[#This Row],[Column4]]),Table15[[#This Row],[Column4]],Table15[[#This Row],[Column4]]="",I88*(1+Table15[[#This Row],[Ávöxtun]]))</f>
        <v>168.94636627011195</v>
      </c>
      <c r="L89" s="33">
        <v>168.94636627011195</v>
      </c>
      <c r="M89" s="33">
        <v>168.94636627011195</v>
      </c>
    </row>
    <row r="90" spans="1:13">
      <c r="A90" t="s">
        <v>66</v>
      </c>
      <c r="B90">
        <v>1997</v>
      </c>
      <c r="C90" s="16">
        <v>0.06</v>
      </c>
      <c r="D90" s="1">
        <v>4779686.8</v>
      </c>
      <c r="E90" s="29">
        <f>Table15[[#This Row],[Ávöxtun]]*Table15[[#This Row],[Eignir]]/SUMIFS(Table15[Eignir],Table15[Year],Table15[[#This Row],[Year]])</f>
        <v>8.4589903116552134E-4</v>
      </c>
      <c r="F90" s="23">
        <f>IF(B90=1997, 100, IF(COUNTIF(A$1:A89,A90)=0, "NEW", F89*(1+Table15[[#This Row],[Ávöxtun]])))</f>
        <v>100</v>
      </c>
      <c r="G90" s="18" cm="1">
        <f t="array" ref="G90">IFERROR(_xlfn.IFS(ISNUMBER(Table15[[#This Row],[Column3]]),Table15[[#This Row],[Column3]],Table15[[#This Row],[Column3]]="NEW",Table15[[#This Row],[Column3]]),"")</f>
        <v>100</v>
      </c>
      <c r="H90" s="15" cm="1">
        <f t="array" ref="H90">_xlfn.IFS(Table15[[#This Row],[Column4]]="NEW",AVERAGEIFS(Table15[Column4],Table15[Year],Table15[[#This Row],[Year]]),ISNUMBER(Table15[[#This Row],[Column4]]),Table15[[#This Row],[Column4]],Table15[[#This Row],[Column4]]="",H89*(1+Table15[[#This Row],[Ávöxtun]]))</f>
        <v>100</v>
      </c>
      <c r="I90" s="30" cm="1">
        <f t="array" ref="I90">_xlfn.IFS(Table15[[#This Row],[Column4]]="NEW",_xlfn.XLOOKUP(Table15[[#This Row],[Year]]-1,$N$2:$N$27,$P$2:$P$27)*(1+Table15[[#This Row],[Ávöxtun]]),ISNUMBER(Table15[[#This Row],[Column4]]),Table15[[#This Row],[Column4]],Table15[[#This Row],[Column4]]="",I89*(1+Table15[[#This Row],[Ávöxtun]]))</f>
        <v>100</v>
      </c>
      <c r="L90" s="33">
        <v>100</v>
      </c>
      <c r="M90" s="33">
        <v>100</v>
      </c>
    </row>
    <row r="91" spans="1:13">
      <c r="A91" t="s">
        <v>66</v>
      </c>
      <c r="B91">
        <v>1998</v>
      </c>
      <c r="C91" s="16">
        <v>7.0000000000000007E-2</v>
      </c>
      <c r="D91" s="1">
        <v>5298845.5</v>
      </c>
      <c r="E91" s="29">
        <f>Table15[[#This Row],[Ávöxtun]]*Table15[[#This Row],[Eignir]]/SUMIFS(Table15[Eignir],Table15[Year],Table15[[#This Row],[Year]])</f>
        <v>9.4710449643872232E-4</v>
      </c>
      <c r="F91" s="23">
        <f>IF(B91=1997, 100, IF(COUNTIF(A$1:A90,A91)=0, "NEW", F90*(1+Table15[[#This Row],[Ávöxtun]])))</f>
        <v>107</v>
      </c>
      <c r="G91" s="18" cm="1">
        <f t="array" ref="G91">IFERROR(_xlfn.IFS(ISNUMBER(Table15[[#This Row],[Column3]]),Table15[[#This Row],[Column3]],Table15[[#This Row],[Column3]]="NEW",Table15[[#This Row],[Column3]]),"")</f>
        <v>107</v>
      </c>
      <c r="H91" s="15" cm="1">
        <f t="array" ref="H91">_xlfn.IFS(Table15[[#This Row],[Column4]]="NEW",AVERAGEIFS(Table15[Column4],Table15[Year],Table15[[#This Row],[Year]]),ISNUMBER(Table15[[#This Row],[Column4]]),Table15[[#This Row],[Column4]],Table15[[#This Row],[Column4]]="",H90*(1+Table15[[#This Row],[Ávöxtun]]))</f>
        <v>107</v>
      </c>
      <c r="I91" s="30" cm="1">
        <f t="array" ref="I91">_xlfn.IFS(Table15[[#This Row],[Column4]]="NEW",_xlfn.XLOOKUP(Table15[[#This Row],[Year]]-1,$N$2:$N$27,$P$2:$P$27)*(1+Table15[[#This Row],[Ávöxtun]]),ISNUMBER(Table15[[#This Row],[Column4]]),Table15[[#This Row],[Column4]],Table15[[#This Row],[Column4]]="",I90*(1+Table15[[#This Row],[Ávöxtun]]))</f>
        <v>107</v>
      </c>
      <c r="L91" s="33">
        <v>107</v>
      </c>
      <c r="M91" s="33">
        <v>107</v>
      </c>
    </row>
    <row r="92" spans="1:13">
      <c r="A92" t="s">
        <v>66</v>
      </c>
      <c r="B92">
        <v>1999</v>
      </c>
      <c r="C92" s="16">
        <v>0.08</v>
      </c>
      <c r="D92" s="1">
        <v>6193614.6399999997</v>
      </c>
      <c r="E92" s="29">
        <f>Table15[[#This Row],[Ávöxtun]]*Table15[[#This Row],[Eignir]]/SUMIFS(Table15[Eignir],Table15[Year],Table15[[#This Row],[Year]])</f>
        <v>9.5155232048099237E-4</v>
      </c>
      <c r="F92" s="23">
        <f>IF(B92=1997, 100, IF(COUNTIF(A$1:A91,A92)=0, "NEW", F91*(1+Table15[[#This Row],[Ávöxtun]])))</f>
        <v>115.56</v>
      </c>
      <c r="G92" s="18" cm="1">
        <f t="array" ref="G92">IFERROR(_xlfn.IFS(ISNUMBER(Table15[[#This Row],[Column3]]),Table15[[#This Row],[Column3]],Table15[[#This Row],[Column3]]="NEW",Table15[[#This Row],[Column3]]),"")</f>
        <v>115.56</v>
      </c>
      <c r="H92" s="15" cm="1">
        <f t="array" ref="H92">_xlfn.IFS(Table15[[#This Row],[Column4]]="NEW",AVERAGEIFS(Table15[Column4],Table15[Year],Table15[[#This Row],[Year]]),ISNUMBER(Table15[[#This Row],[Column4]]),Table15[[#This Row],[Column4]],Table15[[#This Row],[Column4]]="",H91*(1+Table15[[#This Row],[Ávöxtun]]))</f>
        <v>115.56</v>
      </c>
      <c r="I92" s="30" cm="1">
        <f t="array" ref="I92">_xlfn.IFS(Table15[[#This Row],[Column4]]="NEW",_xlfn.XLOOKUP(Table15[[#This Row],[Year]]-1,$N$2:$N$27,$P$2:$P$27)*(1+Table15[[#This Row],[Ávöxtun]]),ISNUMBER(Table15[[#This Row],[Column4]]),Table15[[#This Row],[Column4]],Table15[[#This Row],[Column4]]="",I91*(1+Table15[[#This Row],[Ávöxtun]]))</f>
        <v>115.56</v>
      </c>
      <c r="L92" s="33">
        <v>115.56</v>
      </c>
      <c r="M92" s="33">
        <v>115.56</v>
      </c>
    </row>
    <row r="93" spans="1:13">
      <c r="A93" t="s">
        <v>66</v>
      </c>
      <c r="B93">
        <v>2000</v>
      </c>
      <c r="C93" s="16">
        <v>0.03</v>
      </c>
      <c r="D93" s="1">
        <v>6782032.7699999996</v>
      </c>
      <c r="E93" s="29">
        <f>Table15[[#This Row],[Ávöxtun]]*Table15[[#This Row],[Eignir]]/SUMIFS(Table15[Eignir],Table15[Year],Table15[[#This Row],[Year]])</f>
        <v>2.8620611607491802E-4</v>
      </c>
      <c r="F93" s="23">
        <f>IF(B93=1997, 100, IF(COUNTIF(A$1:A92,A93)=0, "NEW", F92*(1+Table15[[#This Row],[Ávöxtun]])))</f>
        <v>119.02680000000001</v>
      </c>
      <c r="G93" s="18" cm="1">
        <f t="array" ref="G93">IFERROR(_xlfn.IFS(ISNUMBER(Table15[[#This Row],[Column3]]),Table15[[#This Row],[Column3]],Table15[[#This Row],[Column3]]="NEW",Table15[[#This Row],[Column3]]),"")</f>
        <v>119.02680000000001</v>
      </c>
      <c r="H93" s="15" cm="1">
        <f t="array" ref="H93">_xlfn.IFS(Table15[[#This Row],[Column4]]="NEW",AVERAGEIFS(Table15[Column4],Table15[Year],Table15[[#This Row],[Year]]),ISNUMBER(Table15[[#This Row],[Column4]]),Table15[[#This Row],[Column4]],Table15[[#This Row],[Column4]]="",H92*(1+Table15[[#This Row],[Ávöxtun]]))</f>
        <v>119.02680000000001</v>
      </c>
      <c r="I93" s="30" cm="1">
        <f t="array" ref="I93">_xlfn.IFS(Table15[[#This Row],[Column4]]="NEW",_xlfn.XLOOKUP(Table15[[#This Row],[Year]]-1,$N$2:$N$27,$P$2:$P$27)*(1+Table15[[#This Row],[Ávöxtun]]),ISNUMBER(Table15[[#This Row],[Column4]]),Table15[[#This Row],[Column4]],Table15[[#This Row],[Column4]]="",I92*(1+Table15[[#This Row],[Ávöxtun]]))</f>
        <v>119.02680000000001</v>
      </c>
      <c r="L93" s="33">
        <v>119.02680000000001</v>
      </c>
      <c r="M93" s="33">
        <v>119.02680000000001</v>
      </c>
    </row>
    <row r="94" spans="1:13">
      <c r="A94" t="s">
        <v>66</v>
      </c>
      <c r="B94">
        <v>2001</v>
      </c>
      <c r="C94" s="16">
        <v>7.0000000000000007E-2</v>
      </c>
      <c r="D94" s="1">
        <v>15679219</v>
      </c>
      <c r="E94" s="29">
        <f>Table15[[#This Row],[Ávöxtun]]*Table15[[#This Row],[Eignir]]/SUMIFS(Table15[Eignir],Table15[Year],Table15[[#This Row],[Year]])</f>
        <v>9.4786287778154856E-4</v>
      </c>
      <c r="F94" s="23">
        <f>IF(B94=1997, 100, IF(COUNTIF(A$1:A93,A94)=0, "NEW", F93*(1+Table15[[#This Row],[Ávöxtun]])))</f>
        <v>127.35867600000002</v>
      </c>
      <c r="G94" s="18" cm="1">
        <f t="array" ref="G94">IFERROR(_xlfn.IFS(ISNUMBER(Table15[[#This Row],[Column3]]),Table15[[#This Row],[Column3]],Table15[[#This Row],[Column3]]="NEW",Table15[[#This Row],[Column3]]),"")</f>
        <v>127.35867600000002</v>
      </c>
      <c r="H94" s="15" cm="1">
        <f t="array" ref="H94">_xlfn.IFS(Table15[[#This Row],[Column4]]="NEW",AVERAGEIFS(Table15[Column4],Table15[Year],Table15[[#This Row],[Year]]),ISNUMBER(Table15[[#This Row],[Column4]]),Table15[[#This Row],[Column4]],Table15[[#This Row],[Column4]]="",H93*(1+Table15[[#This Row],[Ávöxtun]]))</f>
        <v>127.35867600000002</v>
      </c>
      <c r="I94" s="30" cm="1">
        <f t="array" ref="I94">_xlfn.IFS(Table15[[#This Row],[Column4]]="NEW",_xlfn.XLOOKUP(Table15[[#This Row],[Year]]-1,$N$2:$N$27,$P$2:$P$27)*(1+Table15[[#This Row],[Ávöxtun]]),ISNUMBER(Table15[[#This Row],[Column4]]),Table15[[#This Row],[Column4]],Table15[[#This Row],[Column4]]="",I93*(1+Table15[[#This Row],[Ávöxtun]]))</f>
        <v>127.35867600000002</v>
      </c>
      <c r="L94" s="33">
        <v>127.35867600000002</v>
      </c>
      <c r="M94" s="33">
        <v>127.35867600000002</v>
      </c>
    </row>
    <row r="95" spans="1:13">
      <c r="A95" t="s">
        <v>66</v>
      </c>
      <c r="B95">
        <v>2002</v>
      </c>
      <c r="C95" s="16">
        <v>-0.04</v>
      </c>
      <c r="D95" s="1">
        <v>7831183</v>
      </c>
      <c r="E95" s="29">
        <f>Table15[[#This Row],[Ávöxtun]]*Table15[[#This Row],[Eignir]]/SUMIFS(Table15[Eignir],Table15[Year],Table15[[#This Row],[Year]])</f>
        <v>-4.9317537421852834E-4</v>
      </c>
      <c r="F95" s="23">
        <f>IF(B95=1997, 100, IF(COUNTIF(A$1:A94,A95)=0, "NEW", F94*(1+Table15[[#This Row],[Ávöxtun]])))</f>
        <v>122.26432896000001</v>
      </c>
      <c r="G95" s="18" cm="1">
        <f t="array" ref="G95">IFERROR(_xlfn.IFS(ISNUMBER(Table15[[#This Row],[Column3]]),Table15[[#This Row],[Column3]],Table15[[#This Row],[Column3]]="NEW",Table15[[#This Row],[Column3]]),"")</f>
        <v>122.26432896000001</v>
      </c>
      <c r="H95" s="15" cm="1">
        <f t="array" ref="H95">_xlfn.IFS(Table15[[#This Row],[Column4]]="NEW",AVERAGEIFS(Table15[Column4],Table15[Year],Table15[[#This Row],[Year]]),ISNUMBER(Table15[[#This Row],[Column4]]),Table15[[#This Row],[Column4]],Table15[[#This Row],[Column4]]="",H94*(1+Table15[[#This Row],[Ávöxtun]]))</f>
        <v>122.26432896000001</v>
      </c>
      <c r="I95" s="30" cm="1">
        <f t="array" ref="I95">_xlfn.IFS(Table15[[#This Row],[Column4]]="NEW",_xlfn.XLOOKUP(Table15[[#This Row],[Year]]-1,$N$2:$N$27,$P$2:$P$27)*(1+Table15[[#This Row],[Ávöxtun]]),ISNUMBER(Table15[[#This Row],[Column4]]),Table15[[#This Row],[Column4]],Table15[[#This Row],[Column4]]="",I94*(1+Table15[[#This Row],[Ávöxtun]]))</f>
        <v>122.26432896000001</v>
      </c>
      <c r="L95" s="33">
        <v>122.26432896000001</v>
      </c>
      <c r="M95" s="33">
        <v>122.26432896000001</v>
      </c>
    </row>
    <row r="96" spans="1:13">
      <c r="A96" t="s">
        <v>66</v>
      </c>
      <c r="B96">
        <v>2003</v>
      </c>
      <c r="C96" s="16">
        <v>0.1</v>
      </c>
      <c r="D96" s="1">
        <v>9043587</v>
      </c>
      <c r="E96" s="29">
        <f>Table15[[#This Row],[Ávöxtun]]*Table15[[#This Row],[Eignir]]/SUMIFS(Table15[Eignir],Table15[Year],Table15[[#This Row],[Year]])</f>
        <v>1.1901157272016683E-3</v>
      </c>
      <c r="F96" s="23">
        <f>IF(B96=1997, 100, IF(COUNTIF(A$1:A95,A96)=0, "NEW", F95*(1+Table15[[#This Row],[Ávöxtun]])))</f>
        <v>134.49076185600003</v>
      </c>
      <c r="G96" s="18" cm="1">
        <f t="array" ref="G96">IFERROR(_xlfn.IFS(ISNUMBER(Table15[[#This Row],[Column3]]),Table15[[#This Row],[Column3]],Table15[[#This Row],[Column3]]="NEW",Table15[[#This Row],[Column3]]),"")</f>
        <v>134.49076185600003</v>
      </c>
      <c r="H96" s="15" cm="1">
        <f t="array" ref="H96">_xlfn.IFS(Table15[[#This Row],[Column4]]="NEW",AVERAGEIFS(Table15[Column4],Table15[Year],Table15[[#This Row],[Year]]),ISNUMBER(Table15[[#This Row],[Column4]]),Table15[[#This Row],[Column4]],Table15[[#This Row],[Column4]]="",H95*(1+Table15[[#This Row],[Ávöxtun]]))</f>
        <v>134.49076185600003</v>
      </c>
      <c r="I96" s="30" cm="1">
        <f t="array" ref="I96">_xlfn.IFS(Table15[[#This Row],[Column4]]="NEW",_xlfn.XLOOKUP(Table15[[#This Row],[Year]]-1,$N$2:$N$27,$P$2:$P$27)*(1+Table15[[#This Row],[Ávöxtun]]),ISNUMBER(Table15[[#This Row],[Column4]]),Table15[[#This Row],[Column4]],Table15[[#This Row],[Column4]]="",I95*(1+Table15[[#This Row],[Ávöxtun]]))</f>
        <v>134.49076185600003</v>
      </c>
      <c r="L96" s="33">
        <v>134.49076185600003</v>
      </c>
      <c r="M96" s="33">
        <v>134.49076185600003</v>
      </c>
    </row>
    <row r="97" spans="1:13">
      <c r="A97" t="s">
        <v>66</v>
      </c>
      <c r="B97">
        <v>2004</v>
      </c>
      <c r="C97" s="16">
        <v>0.06</v>
      </c>
      <c r="D97" s="1">
        <v>10215286</v>
      </c>
      <c r="E97" s="29">
        <f>Table15[[#This Row],[Ávöxtun]]*Table15[[#This Row],[Eignir]]/SUMIFS(Table15[Eignir],Table15[Year],Table15[[#This Row],[Year]])</f>
        <v>6.7526399789078905E-4</v>
      </c>
      <c r="F97" s="23">
        <f>IF(B97=1997, 100, IF(COUNTIF(A$1:A96,A97)=0, "NEW", F96*(1+Table15[[#This Row],[Ávöxtun]])))</f>
        <v>142.56020756736004</v>
      </c>
      <c r="G97" s="18" cm="1">
        <f t="array" ref="G97">IFERROR(_xlfn.IFS(ISNUMBER(Table15[[#This Row],[Column3]]),Table15[[#This Row],[Column3]],Table15[[#This Row],[Column3]]="NEW",Table15[[#This Row],[Column3]]),"")</f>
        <v>142.56020756736004</v>
      </c>
      <c r="H97" s="15" cm="1">
        <f t="array" ref="H97">_xlfn.IFS(Table15[[#This Row],[Column4]]="NEW",AVERAGEIFS(Table15[Column4],Table15[Year],Table15[[#This Row],[Year]]),ISNUMBER(Table15[[#This Row],[Column4]]),Table15[[#This Row],[Column4]],Table15[[#This Row],[Column4]]="",H96*(1+Table15[[#This Row],[Ávöxtun]]))</f>
        <v>142.56020756736004</v>
      </c>
      <c r="I97" s="30" cm="1">
        <f t="array" ref="I97">_xlfn.IFS(Table15[[#This Row],[Column4]]="NEW",_xlfn.XLOOKUP(Table15[[#This Row],[Year]]-1,$N$2:$N$27,$P$2:$P$27)*(1+Table15[[#This Row],[Ávöxtun]]),ISNUMBER(Table15[[#This Row],[Column4]]),Table15[[#This Row],[Column4]],Table15[[#This Row],[Column4]]="",I96*(1+Table15[[#This Row],[Ávöxtun]]))</f>
        <v>142.56020756736004</v>
      </c>
      <c r="L97" s="33">
        <v>142.56020756736004</v>
      </c>
      <c r="M97" s="33">
        <v>142.56020756736004</v>
      </c>
    </row>
    <row r="98" spans="1:13">
      <c r="A98" t="s">
        <v>66</v>
      </c>
      <c r="B98">
        <v>2005</v>
      </c>
      <c r="C98" s="16">
        <v>7.0000000000000007E-2</v>
      </c>
      <c r="D98" s="1">
        <v>11749371</v>
      </c>
      <c r="E98" s="29">
        <f>Table15[[#This Row],[Ávöxtun]]*Table15[[#This Row],[Eignir]]/SUMIFS(Table15[Eignir],Table15[Year],Table15[[#This Row],[Year]])</f>
        <v>7.3345963479882559E-4</v>
      </c>
      <c r="F98" s="23">
        <f>IF(B98=1997, 100, IF(COUNTIF(A$1:A97,A98)=0, "NEW", F97*(1+Table15[[#This Row],[Ávöxtun]])))</f>
        <v>152.53942209707526</v>
      </c>
      <c r="G98" s="18" cm="1">
        <f t="array" ref="G98">IFERROR(_xlfn.IFS(ISNUMBER(Table15[[#This Row],[Column3]]),Table15[[#This Row],[Column3]],Table15[[#This Row],[Column3]]="NEW",Table15[[#This Row],[Column3]]),"")</f>
        <v>152.53942209707526</v>
      </c>
      <c r="H98" s="15" cm="1">
        <f t="array" ref="H98">_xlfn.IFS(Table15[[#This Row],[Column4]]="NEW",AVERAGEIFS(Table15[Column4],Table15[Year],Table15[[#This Row],[Year]]),ISNUMBER(Table15[[#This Row],[Column4]]),Table15[[#This Row],[Column4]],Table15[[#This Row],[Column4]]="",H97*(1+Table15[[#This Row],[Ávöxtun]]))</f>
        <v>152.53942209707526</v>
      </c>
      <c r="I98" s="30" cm="1">
        <f t="array" ref="I98">_xlfn.IFS(Table15[[#This Row],[Column4]]="NEW",_xlfn.XLOOKUP(Table15[[#This Row],[Year]]-1,$N$2:$N$27,$P$2:$P$27)*(1+Table15[[#This Row],[Ávöxtun]]),ISNUMBER(Table15[[#This Row],[Column4]]),Table15[[#This Row],[Column4]],Table15[[#This Row],[Column4]]="",I97*(1+Table15[[#This Row],[Ávöxtun]]))</f>
        <v>152.53942209707526</v>
      </c>
      <c r="L98" s="33">
        <v>152.53942209707526</v>
      </c>
      <c r="M98" s="33">
        <v>152.53942209707526</v>
      </c>
    </row>
    <row r="99" spans="1:13">
      <c r="A99" t="s">
        <v>66</v>
      </c>
      <c r="B99">
        <v>2006</v>
      </c>
      <c r="C99" s="16">
        <v>8.77E-2</v>
      </c>
      <c r="D99" s="1">
        <v>14131890</v>
      </c>
      <c r="E99" s="29">
        <f>Table15[[#This Row],[Ávöxtun]]*Table15[[#This Row],[Eignir]]/SUMIFS(Table15[Eignir],Table15[Year],Table15[[#This Row],[Year]])</f>
        <v>9.028839129104091E-4</v>
      </c>
      <c r="F99" s="23">
        <f>IF(B99=1997, 100, IF(COUNTIF(A$1:A98,A99)=0, "NEW", F98*(1+Table15[[#This Row],[Ávöxtun]])))</f>
        <v>165.91712941498875</v>
      </c>
      <c r="G99" s="18" cm="1">
        <f t="array" ref="G99">IFERROR(_xlfn.IFS(ISNUMBER(Table15[[#This Row],[Column3]]),Table15[[#This Row],[Column3]],Table15[[#This Row],[Column3]]="NEW",Table15[[#This Row],[Column3]]),"")</f>
        <v>165.91712941498875</v>
      </c>
      <c r="H99" s="15" cm="1">
        <f t="array" ref="H99">_xlfn.IFS(Table15[[#This Row],[Column4]]="NEW",AVERAGEIFS(Table15[Column4],Table15[Year],Table15[[#This Row],[Year]]),ISNUMBER(Table15[[#This Row],[Column4]]),Table15[[#This Row],[Column4]],Table15[[#This Row],[Column4]]="",H98*(1+Table15[[#This Row],[Ávöxtun]]))</f>
        <v>165.91712941498875</v>
      </c>
      <c r="I99" s="30" cm="1">
        <f t="array" ref="I99">_xlfn.IFS(Table15[[#This Row],[Column4]]="NEW",_xlfn.XLOOKUP(Table15[[#This Row],[Year]]-1,$N$2:$N$27,$P$2:$P$27)*(1+Table15[[#This Row],[Ávöxtun]]),ISNUMBER(Table15[[#This Row],[Column4]]),Table15[[#This Row],[Column4]],Table15[[#This Row],[Column4]]="",I98*(1+Table15[[#This Row],[Ávöxtun]]))</f>
        <v>165.91712941498875</v>
      </c>
      <c r="L99" s="33">
        <v>165.91712941498875</v>
      </c>
      <c r="M99" s="33">
        <v>165.91712941498875</v>
      </c>
    </row>
    <row r="100" spans="1:13">
      <c r="A100" t="s">
        <v>66</v>
      </c>
      <c r="B100">
        <v>2007</v>
      </c>
      <c r="C100" s="16">
        <v>1.5700000000000002E-2</v>
      </c>
      <c r="D100" s="1">
        <v>15631046</v>
      </c>
      <c r="E100" s="29">
        <f>Table15[[#This Row],[Ávöxtun]]*Table15[[#This Row],[Eignir]]/SUMIFS(Table15[Eignir],Table15[Year],Table15[[#This Row],[Year]])</f>
        <v>1.5869513202461098E-4</v>
      </c>
      <c r="F100" s="23">
        <f>IF(B100=1997, 100, IF(COUNTIF(A$1:A99,A100)=0, "NEW", F99*(1+Table15[[#This Row],[Ávöxtun]])))</f>
        <v>168.52202834680409</v>
      </c>
      <c r="G100" s="18" cm="1">
        <f t="array" ref="G100">IFERROR(_xlfn.IFS(ISNUMBER(Table15[[#This Row],[Column3]]),Table15[[#This Row],[Column3]],Table15[[#This Row],[Column3]]="NEW",Table15[[#This Row],[Column3]]),"")</f>
        <v>168.52202834680409</v>
      </c>
      <c r="H100" s="15" cm="1">
        <f t="array" ref="H100">_xlfn.IFS(Table15[[#This Row],[Column4]]="NEW",AVERAGEIFS(Table15[Column4],Table15[Year],Table15[[#This Row],[Year]]),ISNUMBER(Table15[[#This Row],[Column4]]),Table15[[#This Row],[Column4]],Table15[[#This Row],[Column4]]="",H99*(1+Table15[[#This Row],[Ávöxtun]]))</f>
        <v>168.52202834680409</v>
      </c>
      <c r="I100" s="30" cm="1">
        <f t="array" ref="I100">_xlfn.IFS(Table15[[#This Row],[Column4]]="NEW",_xlfn.XLOOKUP(Table15[[#This Row],[Year]]-1,$N$2:$N$27,$P$2:$P$27)*(1+Table15[[#This Row],[Ávöxtun]]),ISNUMBER(Table15[[#This Row],[Column4]]),Table15[[#This Row],[Column4]],Table15[[#This Row],[Column4]]="",I99*(1+Table15[[#This Row],[Ávöxtun]]))</f>
        <v>168.52202834680409</v>
      </c>
      <c r="L100" s="33">
        <v>168.52202834680409</v>
      </c>
      <c r="M100" s="33">
        <v>168.52202834680409</v>
      </c>
    </row>
    <row r="101" spans="1:13">
      <c r="A101" t="s">
        <v>66</v>
      </c>
      <c r="B101">
        <v>2008</v>
      </c>
      <c r="C101" s="16">
        <v>-0.26019999999999999</v>
      </c>
      <c r="D101" s="1">
        <v>14046610</v>
      </c>
      <c r="E101" s="29">
        <f>Table15[[#This Row],[Ávöxtun]]*Table15[[#This Row],[Eignir]]/SUMIFS(Table15[Eignir],Table15[Year],Table15[[#This Row],[Year]])</f>
        <v>-2.4409832521991711E-3</v>
      </c>
      <c r="F101" s="23">
        <f>IF(B101=1997, 100, IF(COUNTIF(A$1:A100,A101)=0, "NEW", F100*(1+Table15[[#This Row],[Ávöxtun]])))</f>
        <v>124.67259657096567</v>
      </c>
      <c r="G101" s="18" cm="1">
        <f t="array" ref="G101">IFERROR(_xlfn.IFS(ISNUMBER(Table15[[#This Row],[Column3]]),Table15[[#This Row],[Column3]],Table15[[#This Row],[Column3]]="NEW",Table15[[#This Row],[Column3]]),"")</f>
        <v>124.67259657096567</v>
      </c>
      <c r="H101" s="15" cm="1">
        <f t="array" ref="H101">_xlfn.IFS(Table15[[#This Row],[Column4]]="NEW",AVERAGEIFS(Table15[Column4],Table15[Year],Table15[[#This Row],[Year]]),ISNUMBER(Table15[[#This Row],[Column4]]),Table15[[#This Row],[Column4]],Table15[[#This Row],[Column4]]="",H100*(1+Table15[[#This Row],[Ávöxtun]]))</f>
        <v>124.67259657096567</v>
      </c>
      <c r="I101" s="30" cm="1">
        <f t="array" ref="I101">_xlfn.IFS(Table15[[#This Row],[Column4]]="NEW",_xlfn.XLOOKUP(Table15[[#This Row],[Year]]-1,$N$2:$N$27,$P$2:$P$27)*(1+Table15[[#This Row],[Ávöxtun]]),ISNUMBER(Table15[[#This Row],[Column4]]),Table15[[#This Row],[Column4]],Table15[[#This Row],[Column4]]="",I100*(1+Table15[[#This Row],[Ávöxtun]]))</f>
        <v>124.67259657096567</v>
      </c>
      <c r="L101" s="33">
        <v>124.67259657096567</v>
      </c>
      <c r="M101" s="33">
        <v>124.67259657096567</v>
      </c>
    </row>
    <row r="102" spans="1:13">
      <c r="A102" t="s">
        <v>66</v>
      </c>
      <c r="B102">
        <v>2009</v>
      </c>
      <c r="C102" s="16">
        <v>9.5999999999999992E-3</v>
      </c>
      <c r="D102" s="1">
        <v>15283515</v>
      </c>
      <c r="E102" s="29">
        <f>Table15[[#This Row],[Ávöxtun]]*Table15[[#This Row],[Eignir]]/SUMIFS(Table15[Eignir],Table15[Year],Table15[[#This Row],[Year]])</f>
        <v>8.79490538047399E-5</v>
      </c>
      <c r="F102" s="23">
        <f>IF(B102=1997, 100, IF(COUNTIF(A$1:A101,A102)=0, "NEW", F101*(1+Table15[[#This Row],[Ávöxtun]])))</f>
        <v>125.86945349804694</v>
      </c>
      <c r="G102" s="18" cm="1">
        <f t="array" ref="G102">IFERROR(_xlfn.IFS(ISNUMBER(Table15[[#This Row],[Column3]]),Table15[[#This Row],[Column3]],Table15[[#This Row],[Column3]]="NEW",Table15[[#This Row],[Column3]]),"")</f>
        <v>125.86945349804694</v>
      </c>
      <c r="H102" s="15" cm="1">
        <f t="array" ref="H102">_xlfn.IFS(Table15[[#This Row],[Column4]]="NEW",AVERAGEIFS(Table15[Column4],Table15[Year],Table15[[#This Row],[Year]]),ISNUMBER(Table15[[#This Row],[Column4]]),Table15[[#This Row],[Column4]],Table15[[#This Row],[Column4]]="",H101*(1+Table15[[#This Row],[Ávöxtun]]))</f>
        <v>125.86945349804694</v>
      </c>
      <c r="I102" s="30" cm="1">
        <f t="array" ref="I102">_xlfn.IFS(Table15[[#This Row],[Column4]]="NEW",_xlfn.XLOOKUP(Table15[[#This Row],[Year]]-1,$N$2:$N$27,$P$2:$P$27)*(1+Table15[[#This Row],[Ávöxtun]]),ISNUMBER(Table15[[#This Row],[Column4]]),Table15[[#This Row],[Column4]],Table15[[#This Row],[Column4]]="",I101*(1+Table15[[#This Row],[Ávöxtun]]))</f>
        <v>125.86945349804694</v>
      </c>
      <c r="L102" s="33">
        <v>125.86945349804694</v>
      </c>
      <c r="M102" s="33">
        <v>125.86945349804694</v>
      </c>
    </row>
    <row r="103" spans="1:13">
      <c r="A103" t="s">
        <v>66</v>
      </c>
      <c r="B103">
        <v>2010</v>
      </c>
      <c r="C103" s="16">
        <v>4.6800000000000001E-2</v>
      </c>
      <c r="D103" s="1">
        <v>16601483</v>
      </c>
      <c r="E103" s="29">
        <f>Table15[[#This Row],[Ávöxtun]]*Table15[[#This Row],[Eignir]]/SUMIFS(Table15[Eignir],Table15[Year],Table15[[#This Row],[Year]])</f>
        <v>4.3458733957290035E-4</v>
      </c>
      <c r="F103" s="23">
        <f>IF(B103=1997, 100, IF(COUNTIF(A$1:A102,A103)=0, "NEW", F102*(1+Table15[[#This Row],[Ávöxtun]])))</f>
        <v>131.76014392175551</v>
      </c>
      <c r="G103" s="18" cm="1">
        <f t="array" ref="G103">IFERROR(_xlfn.IFS(ISNUMBER(Table15[[#This Row],[Column3]]),Table15[[#This Row],[Column3]],Table15[[#This Row],[Column3]]="NEW",Table15[[#This Row],[Column3]]),"")</f>
        <v>131.76014392175551</v>
      </c>
      <c r="H103" s="15" cm="1">
        <f t="array" ref="H103">_xlfn.IFS(Table15[[#This Row],[Column4]]="NEW",AVERAGEIFS(Table15[Column4],Table15[Year],Table15[[#This Row],[Year]]),ISNUMBER(Table15[[#This Row],[Column4]]),Table15[[#This Row],[Column4]],Table15[[#This Row],[Column4]]="",H102*(1+Table15[[#This Row],[Ávöxtun]]))</f>
        <v>131.76014392175551</v>
      </c>
      <c r="I103" s="30" cm="1">
        <f t="array" ref="I103">_xlfn.IFS(Table15[[#This Row],[Column4]]="NEW",_xlfn.XLOOKUP(Table15[[#This Row],[Year]]-1,$N$2:$N$27,$P$2:$P$27)*(1+Table15[[#This Row],[Ávöxtun]]),ISNUMBER(Table15[[#This Row],[Column4]]),Table15[[#This Row],[Column4]],Table15[[#This Row],[Column4]]="",I102*(1+Table15[[#This Row],[Ávöxtun]]))</f>
        <v>131.76014392175551</v>
      </c>
      <c r="L103" s="33">
        <v>131.76014392175551</v>
      </c>
      <c r="M103" s="33">
        <v>131.76014392175551</v>
      </c>
    </row>
    <row r="104" spans="1:13">
      <c r="A104" t="s">
        <v>66</v>
      </c>
      <c r="B104">
        <v>2011</v>
      </c>
      <c r="C104" s="16">
        <v>2.4E-2</v>
      </c>
      <c r="D104" s="1">
        <v>18212500</v>
      </c>
      <c r="E104" s="29">
        <f>Table15[[#This Row],[Ávöxtun]]*Table15[[#This Row],[Eignir]]/SUMIFS(Table15[Eignir],Table15[Year],Table15[[#This Row],[Year]])</f>
        <v>2.24089625744476E-4</v>
      </c>
      <c r="F104" s="23">
        <f>IF(B104=1997, 100, IF(COUNTIF(A$1:A103,A104)=0, "NEW", F103*(1+Table15[[#This Row],[Ávöxtun]])))</f>
        <v>134.92238737587766</v>
      </c>
      <c r="G104" s="18" cm="1">
        <f t="array" ref="G104">IFERROR(_xlfn.IFS(ISNUMBER(Table15[[#This Row],[Column3]]),Table15[[#This Row],[Column3]],Table15[[#This Row],[Column3]]="NEW",Table15[[#This Row],[Column3]]),"")</f>
        <v>134.92238737587766</v>
      </c>
      <c r="H104" s="15" cm="1">
        <f t="array" ref="H104">_xlfn.IFS(Table15[[#This Row],[Column4]]="NEW",AVERAGEIFS(Table15[Column4],Table15[Year],Table15[[#This Row],[Year]]),ISNUMBER(Table15[[#This Row],[Column4]]),Table15[[#This Row],[Column4]],Table15[[#This Row],[Column4]]="",H103*(1+Table15[[#This Row],[Ávöxtun]]))</f>
        <v>134.92238737587766</v>
      </c>
      <c r="I104" s="30" cm="1">
        <f t="array" ref="I104">_xlfn.IFS(Table15[[#This Row],[Column4]]="NEW",_xlfn.XLOOKUP(Table15[[#This Row],[Year]]-1,$N$2:$N$27,$P$2:$P$27)*(1+Table15[[#This Row],[Ávöxtun]]),ISNUMBER(Table15[[#This Row],[Column4]]),Table15[[#This Row],[Column4]],Table15[[#This Row],[Column4]]="",I103*(1+Table15[[#This Row],[Ávöxtun]]))</f>
        <v>134.92238737587766</v>
      </c>
      <c r="L104" s="33">
        <v>134.92238737587766</v>
      </c>
      <c r="M104" s="33">
        <v>134.92238737587766</v>
      </c>
    </row>
    <row r="105" spans="1:13">
      <c r="A105" t="s">
        <v>66</v>
      </c>
      <c r="B105">
        <v>2012</v>
      </c>
      <c r="C105" s="16">
        <v>5.4000000000000006E-2</v>
      </c>
      <c r="D105" s="1">
        <v>20407313</v>
      </c>
      <c r="E105" s="29">
        <f>Table15[[#This Row],[Ávöxtun]]*Table15[[#This Row],[Eignir]]/SUMIFS(Table15[Eignir],Table15[Year],Table15[[#This Row],[Year]])</f>
        <v>5.0026029975749464E-4</v>
      </c>
      <c r="F105" s="23">
        <f>IF(B105=1997, 100, IF(COUNTIF(A$1:A104,A105)=0, "NEW", F104*(1+Table15[[#This Row],[Ávöxtun]])))</f>
        <v>142.20819629417505</v>
      </c>
      <c r="G105" s="18" cm="1">
        <f t="array" ref="G105">IFERROR(_xlfn.IFS(ISNUMBER(Table15[[#This Row],[Column3]]),Table15[[#This Row],[Column3]],Table15[[#This Row],[Column3]]="NEW",Table15[[#This Row],[Column3]]),"")</f>
        <v>142.20819629417505</v>
      </c>
      <c r="H105" s="15" cm="1">
        <f t="array" ref="H105">_xlfn.IFS(Table15[[#This Row],[Column4]]="NEW",AVERAGEIFS(Table15[Column4],Table15[Year],Table15[[#This Row],[Year]]),ISNUMBER(Table15[[#This Row],[Column4]]),Table15[[#This Row],[Column4]],Table15[[#This Row],[Column4]]="",H104*(1+Table15[[#This Row],[Ávöxtun]]))</f>
        <v>142.20819629417505</v>
      </c>
      <c r="I105" s="30" cm="1">
        <f t="array" ref="I105">_xlfn.IFS(Table15[[#This Row],[Column4]]="NEW",_xlfn.XLOOKUP(Table15[[#This Row],[Year]]-1,$N$2:$N$27,$P$2:$P$27)*(1+Table15[[#This Row],[Ávöxtun]]),ISNUMBER(Table15[[#This Row],[Column4]]),Table15[[#This Row],[Column4]],Table15[[#This Row],[Column4]]="",I104*(1+Table15[[#This Row],[Ávöxtun]]))</f>
        <v>142.20819629417505</v>
      </c>
      <c r="L105" s="33">
        <v>142.20819629417505</v>
      </c>
      <c r="M105" s="33">
        <v>142.20819629417505</v>
      </c>
    </row>
    <row r="106" spans="1:13">
      <c r="A106" t="s">
        <v>66</v>
      </c>
      <c r="B106">
        <v>2013</v>
      </c>
      <c r="C106" s="16">
        <v>9.6000000000000002E-2</v>
      </c>
      <c r="D106" s="1">
        <v>23503659</v>
      </c>
      <c r="E106" s="29">
        <f>Table15[[#This Row],[Ávöxtun]]*Table15[[#This Row],[Eignir]]/SUMIFS(Table15[Eignir],Table15[Year],Table15[[#This Row],[Year]])</f>
        <v>9.271738335774267E-4</v>
      </c>
      <c r="F106" s="23">
        <f>IF(B106=1997, 100, IF(COUNTIF(A$1:A105,A106)=0, "NEW", F105*(1+Table15[[#This Row],[Ávöxtun]])))</f>
        <v>155.86018313841586</v>
      </c>
      <c r="G106" s="18" cm="1">
        <f t="array" ref="G106">IFERROR(_xlfn.IFS(ISNUMBER(Table15[[#This Row],[Column3]]),Table15[[#This Row],[Column3]],Table15[[#This Row],[Column3]]="NEW",Table15[[#This Row],[Column3]]),"")</f>
        <v>155.86018313841586</v>
      </c>
      <c r="H106" s="15" cm="1">
        <f t="array" ref="H106">_xlfn.IFS(Table15[[#This Row],[Column4]]="NEW",AVERAGEIFS(Table15[Column4],Table15[Year],Table15[[#This Row],[Year]]),ISNUMBER(Table15[[#This Row],[Column4]]),Table15[[#This Row],[Column4]],Table15[[#This Row],[Column4]]="",H105*(1+Table15[[#This Row],[Ávöxtun]]))</f>
        <v>155.86018313841586</v>
      </c>
      <c r="I106" s="30" cm="1">
        <f t="array" ref="I106">_xlfn.IFS(Table15[[#This Row],[Column4]]="NEW",_xlfn.XLOOKUP(Table15[[#This Row],[Year]]-1,$N$2:$N$27,$P$2:$P$27)*(1+Table15[[#This Row],[Ávöxtun]]),ISNUMBER(Table15[[#This Row],[Column4]]),Table15[[#This Row],[Column4]],Table15[[#This Row],[Column4]]="",I105*(1+Table15[[#This Row],[Ávöxtun]]))</f>
        <v>155.86018313841586</v>
      </c>
      <c r="L106" s="33">
        <v>155.86018313841586</v>
      </c>
      <c r="M106" s="33">
        <v>155.86018313841586</v>
      </c>
    </row>
    <row r="107" spans="1:13">
      <c r="A107" t="s">
        <v>66</v>
      </c>
      <c r="B107">
        <v>2014</v>
      </c>
      <c r="C107" s="16">
        <v>5.2999999999999999E-2</v>
      </c>
      <c r="D107" s="1">
        <v>25426320</v>
      </c>
      <c r="E107" s="29">
        <f>Table15[[#This Row],[Ávöxtun]]*Table15[[#This Row],[Eignir]]/SUMIFS(Table15[Eignir],Table15[Year],Table15[[#This Row],[Year]])</f>
        <v>5.0794782480948787E-4</v>
      </c>
      <c r="F107" s="23">
        <f>IF(B107=1997, 100, IF(COUNTIF(A$1:A106,A107)=0, "NEW", F106*(1+Table15[[#This Row],[Ávöxtun]])))</f>
        <v>164.12077284475188</v>
      </c>
      <c r="G107" s="18" cm="1">
        <f t="array" ref="G107">IFERROR(_xlfn.IFS(ISNUMBER(Table15[[#This Row],[Column3]]),Table15[[#This Row],[Column3]],Table15[[#This Row],[Column3]]="NEW",Table15[[#This Row],[Column3]]),"")</f>
        <v>164.12077284475188</v>
      </c>
      <c r="H107" s="15" cm="1">
        <f t="array" ref="H107">_xlfn.IFS(Table15[[#This Row],[Column4]]="NEW",AVERAGEIFS(Table15[Column4],Table15[Year],Table15[[#This Row],[Year]]),ISNUMBER(Table15[[#This Row],[Column4]]),Table15[[#This Row],[Column4]],Table15[[#This Row],[Column4]]="",H106*(1+Table15[[#This Row],[Ávöxtun]]))</f>
        <v>164.12077284475188</v>
      </c>
      <c r="I107" s="30" cm="1">
        <f t="array" ref="I107">_xlfn.IFS(Table15[[#This Row],[Column4]]="NEW",_xlfn.XLOOKUP(Table15[[#This Row],[Year]]-1,$N$2:$N$27,$P$2:$P$27)*(1+Table15[[#This Row],[Ávöxtun]]),ISNUMBER(Table15[[#This Row],[Column4]]),Table15[[#This Row],[Column4]],Table15[[#This Row],[Column4]]="",I106*(1+Table15[[#This Row],[Ávöxtun]]))</f>
        <v>164.12077284475188</v>
      </c>
      <c r="L107" s="33">
        <v>164.12077284475188</v>
      </c>
      <c r="M107" s="33">
        <v>164.12077284475188</v>
      </c>
    </row>
    <row r="108" spans="1:13">
      <c r="A108" t="s">
        <v>66</v>
      </c>
      <c r="B108">
        <v>2015</v>
      </c>
      <c r="C108" s="16">
        <v>0.125</v>
      </c>
      <c r="D108" s="1">
        <v>29785809</v>
      </c>
      <c r="E108" s="29">
        <f>Table15[[#This Row],[Ávöxtun]]*Table15[[#This Row],[Eignir]]/SUMIFS(Table15[Eignir],Table15[Year],Table15[[#This Row],[Year]])</f>
        <v>1.2572612602079957E-3</v>
      </c>
      <c r="F108" s="23">
        <f>IF(B108=1997, 100, IF(COUNTIF(A$1:A107,A108)=0, "NEW", F107*(1+Table15[[#This Row],[Ávöxtun]])))</f>
        <v>184.63586945034587</v>
      </c>
      <c r="G108" s="18" cm="1">
        <f t="array" ref="G108">IFERROR(_xlfn.IFS(ISNUMBER(Table15[[#This Row],[Column3]]),Table15[[#This Row],[Column3]],Table15[[#This Row],[Column3]]="NEW",Table15[[#This Row],[Column3]]),"")</f>
        <v>184.63586945034587</v>
      </c>
      <c r="H108" s="15" cm="1">
        <f t="array" ref="H108">_xlfn.IFS(Table15[[#This Row],[Column4]]="NEW",AVERAGEIFS(Table15[Column4],Table15[Year],Table15[[#This Row],[Year]]),ISNUMBER(Table15[[#This Row],[Column4]]),Table15[[#This Row],[Column4]],Table15[[#This Row],[Column4]]="",H107*(1+Table15[[#This Row],[Ávöxtun]]))</f>
        <v>184.63586945034587</v>
      </c>
      <c r="I108" s="30" cm="1">
        <f t="array" ref="I108">_xlfn.IFS(Table15[[#This Row],[Column4]]="NEW",_xlfn.XLOOKUP(Table15[[#This Row],[Year]]-1,$N$2:$N$27,$P$2:$P$27)*(1+Table15[[#This Row],[Ávöxtun]]),ISNUMBER(Table15[[#This Row],[Column4]]),Table15[[#This Row],[Column4]],Table15[[#This Row],[Column4]]="",I107*(1+Table15[[#This Row],[Ávöxtun]]))</f>
        <v>184.63586945034587</v>
      </c>
      <c r="L108" s="33">
        <v>184.63586945034587</v>
      </c>
      <c r="M108" s="33">
        <v>184.63586945034587</v>
      </c>
    </row>
    <row r="109" spans="1:13">
      <c r="A109" t="s">
        <v>66</v>
      </c>
      <c r="B109">
        <v>2016</v>
      </c>
      <c r="C109" s="16">
        <v>-1.8500000000000003E-2</v>
      </c>
      <c r="D109" s="1">
        <v>31678771</v>
      </c>
      <c r="E109" s="29">
        <f>Table15[[#This Row],[Ávöxtun]]*Table15[[#This Row],[Eignir]]/SUMIFS(Table15[Eignir],Table15[Year],Table15[[#This Row],[Year]])</f>
        <v>-1.8314022455683196E-4</v>
      </c>
      <c r="F109" s="23">
        <f>IF(B109=1997, 100, IF(COUNTIF(A$1:A108,A109)=0, "NEW", F108*(1+Table15[[#This Row],[Ávöxtun]])))</f>
        <v>181.22010586551448</v>
      </c>
      <c r="G109" s="18" cm="1">
        <f t="array" ref="G109">IFERROR(_xlfn.IFS(ISNUMBER(Table15[[#This Row],[Column3]]),Table15[[#This Row],[Column3]],Table15[[#This Row],[Column3]]="NEW",Table15[[#This Row],[Column3]]),"")</f>
        <v>181.22010586551448</v>
      </c>
      <c r="H109" s="15" cm="1">
        <f t="array" ref="H109">_xlfn.IFS(Table15[[#This Row],[Column4]]="NEW",AVERAGEIFS(Table15[Column4],Table15[Year],Table15[[#This Row],[Year]]),ISNUMBER(Table15[[#This Row],[Column4]]),Table15[[#This Row],[Column4]],Table15[[#This Row],[Column4]]="",H108*(1+Table15[[#This Row],[Ávöxtun]]))</f>
        <v>181.22010586551448</v>
      </c>
      <c r="I109" s="30" cm="1">
        <f t="array" ref="I109">_xlfn.IFS(Table15[[#This Row],[Column4]]="NEW",_xlfn.XLOOKUP(Table15[[#This Row],[Year]]-1,$N$2:$N$27,$P$2:$P$27)*(1+Table15[[#This Row],[Ávöxtun]]),ISNUMBER(Table15[[#This Row],[Column4]]),Table15[[#This Row],[Column4]],Table15[[#This Row],[Column4]]="",I108*(1+Table15[[#This Row],[Ávöxtun]]))</f>
        <v>181.22010586551448</v>
      </c>
      <c r="L109" s="33">
        <v>181.22010586551448</v>
      </c>
      <c r="M109" s="33">
        <v>181.22010586551448</v>
      </c>
    </row>
    <row r="110" spans="1:13">
      <c r="A110" t="s">
        <v>66</v>
      </c>
      <c r="B110">
        <v>2017</v>
      </c>
      <c r="C110" s="16">
        <v>4.2000000000000003E-2</v>
      </c>
      <c r="D110" s="1">
        <v>34622341</v>
      </c>
      <c r="E110" s="29">
        <f>Table15[[#This Row],[Ávöxtun]]*Table15[[#This Row],[Eignir]]/SUMIFS(Table15[Eignir],Table15[Year],Table15[[#This Row],[Year]])</f>
        <v>4.0856322214391104E-4</v>
      </c>
      <c r="F110" s="23">
        <f>IF(B110=1997, 100, IF(COUNTIF(A$1:A109,A110)=0, "NEW", F109*(1+Table15[[#This Row],[Ávöxtun]])))</f>
        <v>188.83135031186609</v>
      </c>
      <c r="G110" s="18" cm="1">
        <f t="array" ref="G110">IFERROR(_xlfn.IFS(ISNUMBER(Table15[[#This Row],[Column3]]),Table15[[#This Row],[Column3]],Table15[[#This Row],[Column3]]="NEW",Table15[[#This Row],[Column3]]),"")</f>
        <v>188.83135031186609</v>
      </c>
      <c r="H110" s="15" cm="1">
        <f t="array" ref="H110">_xlfn.IFS(Table15[[#This Row],[Column4]]="NEW",AVERAGEIFS(Table15[Column4],Table15[Year],Table15[[#This Row],[Year]]),ISNUMBER(Table15[[#This Row],[Column4]]),Table15[[#This Row],[Column4]],Table15[[#This Row],[Column4]]="",H109*(1+Table15[[#This Row],[Ávöxtun]]))</f>
        <v>188.83135031186609</v>
      </c>
      <c r="I110" s="30" cm="1">
        <f t="array" ref="I110">_xlfn.IFS(Table15[[#This Row],[Column4]]="NEW",_xlfn.XLOOKUP(Table15[[#This Row],[Year]]-1,$N$2:$N$27,$P$2:$P$27)*(1+Table15[[#This Row],[Ávöxtun]]),ISNUMBER(Table15[[#This Row],[Column4]]),Table15[[#This Row],[Column4]],Table15[[#This Row],[Column4]]="",I109*(1+Table15[[#This Row],[Ávöxtun]]))</f>
        <v>188.83135031186609</v>
      </c>
      <c r="L110" s="33">
        <v>188.83135031186609</v>
      </c>
      <c r="M110" s="33">
        <v>188.83135031186609</v>
      </c>
    </row>
    <row r="111" spans="1:13">
      <c r="A111" t="s">
        <v>66</v>
      </c>
      <c r="B111">
        <v>2018</v>
      </c>
      <c r="C111" s="16">
        <v>1.7000000000000001E-2</v>
      </c>
      <c r="D111" s="1">
        <v>37404716</v>
      </c>
      <c r="E111" s="29">
        <f>Table15[[#This Row],[Ávöxtun]]*Table15[[#This Row],[Eignir]]/SUMIFS(Table15[Eignir],Table15[Year],Table15[[#This Row],[Year]])</f>
        <v>1.6653408744924446E-4</v>
      </c>
      <c r="F111" s="23">
        <f>IF(B111=1997, 100, IF(COUNTIF(A$1:A110,A111)=0, "NEW", F110*(1+Table15[[#This Row],[Ávöxtun]])))</f>
        <v>192.04148326716779</v>
      </c>
      <c r="G111" s="18" cm="1">
        <f t="array" ref="G111">IFERROR(_xlfn.IFS(ISNUMBER(Table15[[#This Row],[Column3]]),Table15[[#This Row],[Column3]],Table15[[#This Row],[Column3]]="NEW",Table15[[#This Row],[Column3]]),"")</f>
        <v>192.04148326716779</v>
      </c>
      <c r="H111" s="15" cm="1">
        <f t="array" ref="H111">_xlfn.IFS(Table15[[#This Row],[Column4]]="NEW",AVERAGEIFS(Table15[Column4],Table15[Year],Table15[[#This Row],[Year]]),ISNUMBER(Table15[[#This Row],[Column4]]),Table15[[#This Row],[Column4]],Table15[[#This Row],[Column4]]="",H110*(1+Table15[[#This Row],[Ávöxtun]]))</f>
        <v>192.04148326716779</v>
      </c>
      <c r="I111" s="30" cm="1">
        <f t="array" ref="I111">_xlfn.IFS(Table15[[#This Row],[Column4]]="NEW",_xlfn.XLOOKUP(Table15[[#This Row],[Year]]-1,$N$2:$N$27,$P$2:$P$27)*(1+Table15[[#This Row],[Ávöxtun]]),ISNUMBER(Table15[[#This Row],[Column4]]),Table15[[#This Row],[Column4]],Table15[[#This Row],[Column4]]="",I110*(1+Table15[[#This Row],[Ávöxtun]]))</f>
        <v>192.04148326716779</v>
      </c>
      <c r="L111" s="33">
        <v>192.04148326716779</v>
      </c>
      <c r="M111" s="33">
        <v>192.04148326716779</v>
      </c>
    </row>
    <row r="112" spans="1:13">
      <c r="A112" t="s">
        <v>66</v>
      </c>
      <c r="B112">
        <v>2019</v>
      </c>
      <c r="C112" s="16">
        <v>9.74E-2</v>
      </c>
      <c r="D112" s="1">
        <v>43590858</v>
      </c>
      <c r="E112" s="29">
        <f>Table15[[#This Row],[Ávöxtun]]*Table15[[#This Row],[Eignir]]/SUMIFS(Table15[Eignir],Table15[Year],Table15[[#This Row],[Year]])</f>
        <v>9.5908415155060813E-4</v>
      </c>
      <c r="F112" s="23">
        <f>IF(B112=1997, 100, IF(COUNTIF(A$1:A111,A112)=0, "NEW", F111*(1+Table15[[#This Row],[Ávöxtun]])))</f>
        <v>210.74632373738993</v>
      </c>
      <c r="G112" s="18" cm="1">
        <f t="array" ref="G112">IFERROR(_xlfn.IFS(ISNUMBER(Table15[[#This Row],[Column3]]),Table15[[#This Row],[Column3]],Table15[[#This Row],[Column3]]="NEW",Table15[[#This Row],[Column3]]),"")</f>
        <v>210.74632373738993</v>
      </c>
      <c r="H112" s="15" cm="1">
        <f t="array" ref="H112">_xlfn.IFS(Table15[[#This Row],[Column4]]="NEW",AVERAGEIFS(Table15[Column4],Table15[Year],Table15[[#This Row],[Year]]),ISNUMBER(Table15[[#This Row],[Column4]]),Table15[[#This Row],[Column4]],Table15[[#This Row],[Column4]]="",H111*(1+Table15[[#This Row],[Ávöxtun]]))</f>
        <v>210.74632373738993</v>
      </c>
      <c r="I112" s="30" cm="1">
        <f t="array" ref="I112">_xlfn.IFS(Table15[[#This Row],[Column4]]="NEW",_xlfn.XLOOKUP(Table15[[#This Row],[Year]]-1,$N$2:$N$27,$P$2:$P$27)*(1+Table15[[#This Row],[Ávöxtun]]),ISNUMBER(Table15[[#This Row],[Column4]]),Table15[[#This Row],[Column4]],Table15[[#This Row],[Column4]]="",I111*(1+Table15[[#This Row],[Ávöxtun]]))</f>
        <v>210.74632373738993</v>
      </c>
      <c r="L112" s="33">
        <v>210.74632373738993</v>
      </c>
      <c r="M112" s="33">
        <v>210.74632373738993</v>
      </c>
    </row>
    <row r="113" spans="1:13">
      <c r="A113" t="s">
        <v>66</v>
      </c>
      <c r="B113">
        <v>2020</v>
      </c>
      <c r="C113" s="16">
        <v>8.7400000000000005E-2</v>
      </c>
      <c r="D113" s="1">
        <v>49926910</v>
      </c>
      <c r="E113" s="29">
        <f>Table15[[#This Row],[Ávöxtun]]*Table15[[#This Row],[Eignir]]/SUMIFS(Table15[Eignir],Table15[Year],Table15[[#This Row],[Year]])</f>
        <v>8.495114215451451E-4</v>
      </c>
      <c r="F113" s="23">
        <f>IF(B113=1997, 100, IF(COUNTIF(A$1:A112,A113)=0, "NEW", F112*(1+Table15[[#This Row],[Ávöxtun]])))</f>
        <v>229.1655524320378</v>
      </c>
      <c r="G113" s="18" cm="1">
        <f t="array" ref="G113">IFERROR(_xlfn.IFS(ISNUMBER(Table15[[#This Row],[Column3]]),Table15[[#This Row],[Column3]],Table15[[#This Row],[Column3]]="NEW",Table15[[#This Row],[Column3]]),"")</f>
        <v>229.1655524320378</v>
      </c>
      <c r="H113" s="15" cm="1">
        <f t="array" ref="H113">_xlfn.IFS(Table15[[#This Row],[Column4]]="NEW",AVERAGEIFS(Table15[Column4],Table15[Year],Table15[[#This Row],[Year]]),ISNUMBER(Table15[[#This Row],[Column4]]),Table15[[#This Row],[Column4]],Table15[[#This Row],[Column4]]="",H112*(1+Table15[[#This Row],[Ávöxtun]]))</f>
        <v>229.1655524320378</v>
      </c>
      <c r="I113" s="30" cm="1">
        <f t="array" ref="I113">_xlfn.IFS(Table15[[#This Row],[Column4]]="NEW",_xlfn.XLOOKUP(Table15[[#This Row],[Year]]-1,$N$2:$N$27,$P$2:$P$27)*(1+Table15[[#This Row],[Ávöxtun]]),ISNUMBER(Table15[[#This Row],[Column4]]),Table15[[#This Row],[Column4]],Table15[[#This Row],[Column4]]="",I112*(1+Table15[[#This Row],[Ávöxtun]]))</f>
        <v>229.1655524320378</v>
      </c>
      <c r="L113" s="33">
        <v>229.1655524320378</v>
      </c>
      <c r="M113" s="33">
        <v>229.1655524320378</v>
      </c>
    </row>
    <row r="114" spans="1:13">
      <c r="A114" t="s">
        <v>66</v>
      </c>
      <c r="B114">
        <v>2021</v>
      </c>
      <c r="C114" s="16">
        <v>0.1128</v>
      </c>
      <c r="D114" s="1">
        <v>58615521</v>
      </c>
      <c r="E114" s="29">
        <f>Table15[[#This Row],[Ávöxtun]]*Table15[[#This Row],[Eignir]]/SUMIFS(Table15[Eignir],Table15[Year],Table15[[#This Row],[Year]])</f>
        <v>1.0947649186961164E-3</v>
      </c>
      <c r="F114" s="23">
        <f>IF(B114=1997, 100, IF(COUNTIF(A$1:A113,A114)=0, "NEW", F113*(1+Table15[[#This Row],[Ávöxtun]])))</f>
        <v>255.01542674637167</v>
      </c>
      <c r="G114" s="18" cm="1">
        <f t="array" ref="G114">IFERROR(_xlfn.IFS(ISNUMBER(Table15[[#This Row],[Column3]]),Table15[[#This Row],[Column3]],Table15[[#This Row],[Column3]]="NEW",Table15[[#This Row],[Column3]]),"")</f>
        <v>255.01542674637167</v>
      </c>
      <c r="H114" s="15" cm="1">
        <f t="array" ref="H114">_xlfn.IFS(Table15[[#This Row],[Column4]]="NEW",AVERAGEIFS(Table15[Column4],Table15[Year],Table15[[#This Row],[Year]]),ISNUMBER(Table15[[#This Row],[Column4]]),Table15[[#This Row],[Column4]],Table15[[#This Row],[Column4]]="",H113*(1+Table15[[#This Row],[Ávöxtun]]))</f>
        <v>255.01542674637167</v>
      </c>
      <c r="I114" s="30" cm="1">
        <f t="array" ref="I114">_xlfn.IFS(Table15[[#This Row],[Column4]]="NEW",_xlfn.XLOOKUP(Table15[[#This Row],[Year]]-1,$N$2:$N$27,$P$2:$P$27)*(1+Table15[[#This Row],[Ávöxtun]]),ISNUMBER(Table15[[#This Row],[Column4]]),Table15[[#This Row],[Column4]],Table15[[#This Row],[Column4]]="",I113*(1+Table15[[#This Row],[Ávöxtun]]))</f>
        <v>255.01542674637167</v>
      </c>
      <c r="L114" s="33">
        <v>255.01542674637167</v>
      </c>
      <c r="M114" s="33">
        <v>255.01542674637167</v>
      </c>
    </row>
    <row r="115" spans="1:13">
      <c r="A115" t="s">
        <v>67</v>
      </c>
      <c r="B115">
        <v>1997</v>
      </c>
      <c r="C115" s="16">
        <v>0.05</v>
      </c>
      <c r="D115" s="1">
        <v>352682.32</v>
      </c>
      <c r="E115" s="29">
        <f>Table15[[#This Row],[Ávöxtun]]*Table15[[#This Row],[Eignir]]/SUMIFS(Table15[Eignir],Table15[Year],Table15[[#This Row],[Year]])</f>
        <v>5.2014153032859883E-5</v>
      </c>
      <c r="F115" s="23">
        <f>IF(B115=1997, 100, IF(COUNTIF(A$1:A114,A115)=0, "NEW", F114*(1+Table15[[#This Row],[Ávöxtun]])))</f>
        <v>100</v>
      </c>
      <c r="G115" s="18" cm="1">
        <f t="array" ref="G115">IFERROR(_xlfn.IFS(ISNUMBER(Table15[[#This Row],[Column3]]),Table15[[#This Row],[Column3]],Table15[[#This Row],[Column3]]="NEW",Table15[[#This Row],[Column3]]),"")</f>
        <v>100</v>
      </c>
      <c r="H115" s="15" cm="1">
        <f t="array" ref="H115">_xlfn.IFS(Table15[[#This Row],[Column4]]="NEW",AVERAGEIFS(Table15[Column4],Table15[Year],Table15[[#This Row],[Year]]),ISNUMBER(Table15[[#This Row],[Column4]]),Table15[[#This Row],[Column4]],Table15[[#This Row],[Column4]]="",H114*(1+Table15[[#This Row],[Ávöxtun]]))</f>
        <v>100</v>
      </c>
      <c r="I115" s="30" cm="1">
        <f t="array" ref="I115">_xlfn.IFS(Table15[[#This Row],[Column4]]="NEW",_xlfn.XLOOKUP(Table15[[#This Row],[Year]]-1,$N$2:$N$27,$P$2:$P$27)*(1+Table15[[#This Row],[Ávöxtun]]),ISNUMBER(Table15[[#This Row],[Column4]]),Table15[[#This Row],[Column4]],Table15[[#This Row],[Column4]]="",I114*(1+Table15[[#This Row],[Ávöxtun]]))</f>
        <v>100</v>
      </c>
      <c r="L115" s="33">
        <v>100</v>
      </c>
      <c r="M115" s="33">
        <v>100</v>
      </c>
    </row>
    <row r="116" spans="1:13">
      <c r="A116" t="s">
        <v>67</v>
      </c>
      <c r="B116">
        <v>1998</v>
      </c>
      <c r="C116" s="16">
        <v>0.06</v>
      </c>
      <c r="D116" s="1">
        <v>381285.82</v>
      </c>
      <c r="E116" s="29">
        <f>Table15[[#This Row],[Ávöxtun]]*Table15[[#This Row],[Eignir]]/SUMIFS(Table15[Eignir],Table15[Year],Table15[[#This Row],[Year]])</f>
        <v>5.8414478811656814E-5</v>
      </c>
      <c r="F116" s="23">
        <f>IF(B116=1997, 100, IF(COUNTIF(A$1:A115,A116)=0, "NEW", F115*(1+Table15[[#This Row],[Ávöxtun]])))</f>
        <v>106</v>
      </c>
      <c r="G116" s="18" cm="1">
        <f t="array" ref="G116">IFERROR(_xlfn.IFS(ISNUMBER(Table15[[#This Row],[Column3]]),Table15[[#This Row],[Column3]],Table15[[#This Row],[Column3]]="NEW",Table15[[#This Row],[Column3]]),"")</f>
        <v>106</v>
      </c>
      <c r="H116" s="15" cm="1">
        <f t="array" ref="H116">_xlfn.IFS(Table15[[#This Row],[Column4]]="NEW",AVERAGEIFS(Table15[Column4],Table15[Year],Table15[[#This Row],[Year]]),ISNUMBER(Table15[[#This Row],[Column4]]),Table15[[#This Row],[Column4]],Table15[[#This Row],[Column4]]="",H115*(1+Table15[[#This Row],[Ávöxtun]]))</f>
        <v>106</v>
      </c>
      <c r="I116" s="30" cm="1">
        <f t="array" ref="I116">_xlfn.IFS(Table15[[#This Row],[Column4]]="NEW",_xlfn.XLOOKUP(Table15[[#This Row],[Year]]-1,$N$2:$N$27,$P$2:$P$27)*(1+Table15[[#This Row],[Ávöxtun]]),ISNUMBER(Table15[[#This Row],[Column4]]),Table15[[#This Row],[Column4]],Table15[[#This Row],[Column4]]="",I115*(1+Table15[[#This Row],[Ávöxtun]]))</f>
        <v>106</v>
      </c>
      <c r="L116" s="33">
        <v>106</v>
      </c>
      <c r="M116" s="33">
        <v>106</v>
      </c>
    </row>
    <row r="117" spans="1:13">
      <c r="A117" t="s">
        <v>67</v>
      </c>
      <c r="B117">
        <v>1999</v>
      </c>
      <c r="C117" s="16">
        <v>0.06</v>
      </c>
      <c r="D117" s="1">
        <v>450997.77</v>
      </c>
      <c r="E117" s="29">
        <f>Table15[[#This Row],[Ávöxtun]]*Table15[[#This Row],[Eignir]]/SUMIFS(Table15[Eignir],Table15[Year],Table15[[#This Row],[Year]])</f>
        <v>5.1966581655367517E-5</v>
      </c>
      <c r="F117" s="23">
        <f>IF(B117=1997, 100, IF(COUNTIF(A$1:A116,A117)=0, "NEW", F116*(1+Table15[[#This Row],[Ávöxtun]])))</f>
        <v>112.36</v>
      </c>
      <c r="G117" s="18" cm="1">
        <f t="array" ref="G117">IFERROR(_xlfn.IFS(ISNUMBER(Table15[[#This Row],[Column3]]),Table15[[#This Row],[Column3]],Table15[[#This Row],[Column3]]="NEW",Table15[[#This Row],[Column3]]),"")</f>
        <v>112.36</v>
      </c>
      <c r="H117" s="15" cm="1">
        <f t="array" ref="H117">_xlfn.IFS(Table15[[#This Row],[Column4]]="NEW",AVERAGEIFS(Table15[Column4],Table15[Year],Table15[[#This Row],[Year]]),ISNUMBER(Table15[[#This Row],[Column4]]),Table15[[#This Row],[Column4]],Table15[[#This Row],[Column4]]="",H116*(1+Table15[[#This Row],[Ávöxtun]]))</f>
        <v>112.36</v>
      </c>
      <c r="I117" s="30" cm="1">
        <f t="array" ref="I117">_xlfn.IFS(Table15[[#This Row],[Column4]]="NEW",_xlfn.XLOOKUP(Table15[[#This Row],[Year]]-1,$N$2:$N$27,$P$2:$P$27)*(1+Table15[[#This Row],[Ávöxtun]]),ISNUMBER(Table15[[#This Row],[Column4]]),Table15[[#This Row],[Column4]],Table15[[#This Row],[Column4]]="",I116*(1+Table15[[#This Row],[Ávöxtun]]))</f>
        <v>112.36</v>
      </c>
      <c r="L117" s="33">
        <v>112.36</v>
      </c>
      <c r="M117" s="33">
        <v>112.36</v>
      </c>
    </row>
    <row r="118" spans="1:13">
      <c r="A118" t="s">
        <v>67</v>
      </c>
      <c r="B118">
        <v>2000</v>
      </c>
      <c r="C118" s="16">
        <v>0</v>
      </c>
      <c r="D118" s="1">
        <v>469089.31</v>
      </c>
      <c r="E118" s="29">
        <f>Table15[[#This Row],[Ávöxtun]]*Table15[[#This Row],[Eignir]]/SUMIFS(Table15[Eignir],Table15[Year],Table15[[#This Row],[Year]])</f>
        <v>0</v>
      </c>
      <c r="F118" s="23">
        <f>IF(B118=1997, 100, IF(COUNTIF(A$1:A117,A118)=0, "NEW", F117*(1+Table15[[#This Row],[Ávöxtun]])))</f>
        <v>112.36</v>
      </c>
      <c r="G118" s="18" cm="1">
        <f t="array" ref="G118">IFERROR(_xlfn.IFS(ISNUMBER(Table15[[#This Row],[Column3]]),Table15[[#This Row],[Column3]],Table15[[#This Row],[Column3]]="NEW",Table15[[#This Row],[Column3]]),"")</f>
        <v>112.36</v>
      </c>
      <c r="H118" s="15" cm="1">
        <f t="array" ref="H118">_xlfn.IFS(Table15[[#This Row],[Column4]]="NEW",AVERAGEIFS(Table15[Column4],Table15[Year],Table15[[#This Row],[Year]]),ISNUMBER(Table15[[#This Row],[Column4]]),Table15[[#This Row],[Column4]],Table15[[#This Row],[Column4]]="",H117*(1+Table15[[#This Row],[Ávöxtun]]))</f>
        <v>112.36</v>
      </c>
      <c r="I118" s="30" cm="1">
        <f t="array" ref="I118">_xlfn.IFS(Table15[[#This Row],[Column4]]="NEW",_xlfn.XLOOKUP(Table15[[#This Row],[Year]]-1,$N$2:$N$27,$P$2:$P$27)*(1+Table15[[#This Row],[Ávöxtun]]),ISNUMBER(Table15[[#This Row],[Column4]]),Table15[[#This Row],[Column4]],Table15[[#This Row],[Column4]]="",I117*(1+Table15[[#This Row],[Ávöxtun]]))</f>
        <v>112.36</v>
      </c>
      <c r="L118" s="33">
        <v>112.36</v>
      </c>
      <c r="M118" s="33">
        <v>112.36</v>
      </c>
    </row>
    <row r="119" spans="1:13">
      <c r="A119" t="s">
        <v>67</v>
      </c>
      <c r="B119">
        <v>2001</v>
      </c>
      <c r="C119" s="16">
        <v>-0.02</v>
      </c>
      <c r="D119" s="1">
        <v>503671</v>
      </c>
      <c r="E119" s="29">
        <f>Table15[[#This Row],[Ávöxtun]]*Table15[[#This Row],[Eignir]]/SUMIFS(Table15[Eignir],Table15[Year],Table15[[#This Row],[Year]])</f>
        <v>-8.6996141383082615E-6</v>
      </c>
      <c r="F119" s="23">
        <f>IF(B119=1997, 100, IF(COUNTIF(A$1:A118,A119)=0, "NEW", F118*(1+Table15[[#This Row],[Ávöxtun]])))</f>
        <v>110.11279999999999</v>
      </c>
      <c r="G119" s="18" cm="1">
        <f t="array" ref="G119">IFERROR(_xlfn.IFS(ISNUMBER(Table15[[#This Row],[Column3]]),Table15[[#This Row],[Column3]],Table15[[#This Row],[Column3]]="NEW",Table15[[#This Row],[Column3]]),"")</f>
        <v>110.11279999999999</v>
      </c>
      <c r="H119" s="15" cm="1">
        <f t="array" ref="H119">_xlfn.IFS(Table15[[#This Row],[Column4]]="NEW",AVERAGEIFS(Table15[Column4],Table15[Year],Table15[[#This Row],[Year]]),ISNUMBER(Table15[[#This Row],[Column4]]),Table15[[#This Row],[Column4]],Table15[[#This Row],[Column4]]="",H118*(1+Table15[[#This Row],[Ávöxtun]]))</f>
        <v>110.11279999999999</v>
      </c>
      <c r="I119" s="30" cm="1">
        <f t="array" ref="I119">_xlfn.IFS(Table15[[#This Row],[Column4]]="NEW",_xlfn.XLOOKUP(Table15[[#This Row],[Year]]-1,$N$2:$N$27,$P$2:$P$27)*(1+Table15[[#This Row],[Ávöxtun]]),ISNUMBER(Table15[[#This Row],[Column4]]),Table15[[#This Row],[Column4]],Table15[[#This Row],[Column4]]="",I118*(1+Table15[[#This Row],[Ávöxtun]]))</f>
        <v>110.11279999999999</v>
      </c>
      <c r="L119" s="33">
        <v>110.11279999999999</v>
      </c>
      <c r="M119" s="33">
        <v>110.11279999999999</v>
      </c>
    </row>
    <row r="120" spans="1:13">
      <c r="A120" t="s">
        <v>67</v>
      </c>
      <c r="B120">
        <v>2002</v>
      </c>
      <c r="C120" s="16">
        <v>-0.04</v>
      </c>
      <c r="D120" s="1">
        <v>494839</v>
      </c>
      <c r="E120" s="29">
        <f>Table15[[#This Row],[Ávöxtun]]*Table15[[#This Row],[Eignir]]/SUMIFS(Table15[Eignir],Table15[Year],Table15[[#This Row],[Year]])</f>
        <v>-3.1162904634321836E-5</v>
      </c>
      <c r="F120" s="23">
        <f>IF(B120=1997, 100, IF(COUNTIF(A$1:A119,A120)=0, "NEW", F119*(1+Table15[[#This Row],[Ávöxtun]])))</f>
        <v>105.708288</v>
      </c>
      <c r="G120" s="18" cm="1">
        <f t="array" ref="G120">IFERROR(_xlfn.IFS(ISNUMBER(Table15[[#This Row],[Column3]]),Table15[[#This Row],[Column3]],Table15[[#This Row],[Column3]]="NEW",Table15[[#This Row],[Column3]]),"")</f>
        <v>105.708288</v>
      </c>
      <c r="H120" s="15" cm="1">
        <f t="array" ref="H120">_xlfn.IFS(Table15[[#This Row],[Column4]]="NEW",AVERAGEIFS(Table15[Column4],Table15[Year],Table15[[#This Row],[Year]]),ISNUMBER(Table15[[#This Row],[Column4]]),Table15[[#This Row],[Column4]],Table15[[#This Row],[Column4]]="",H119*(1+Table15[[#This Row],[Ávöxtun]]))</f>
        <v>105.708288</v>
      </c>
      <c r="I120" s="30" cm="1">
        <f t="array" ref="I120">_xlfn.IFS(Table15[[#This Row],[Column4]]="NEW",_xlfn.XLOOKUP(Table15[[#This Row],[Year]]-1,$N$2:$N$27,$P$2:$P$27)*(1+Table15[[#This Row],[Ávöxtun]]),ISNUMBER(Table15[[#This Row],[Column4]]),Table15[[#This Row],[Column4]],Table15[[#This Row],[Column4]]="",I119*(1+Table15[[#This Row],[Ávöxtun]]))</f>
        <v>105.708288</v>
      </c>
      <c r="L120" s="33">
        <v>105.708288</v>
      </c>
      <c r="M120" s="33">
        <v>105.708288</v>
      </c>
    </row>
    <row r="121" spans="1:13">
      <c r="A121" t="s">
        <v>67</v>
      </c>
      <c r="B121">
        <v>2003</v>
      </c>
      <c r="C121" s="16">
        <v>0.08</v>
      </c>
      <c r="D121" s="1">
        <v>553008</v>
      </c>
      <c r="E121" s="29">
        <f>Table15[[#This Row],[Ávöxtun]]*Table15[[#This Row],[Eignir]]/SUMIFS(Table15[Eignir],Table15[Year],Table15[[#This Row],[Year]])</f>
        <v>5.8219688101045753E-5</v>
      </c>
      <c r="F121" s="23">
        <f>IF(B121=1997, 100, IF(COUNTIF(A$1:A120,A121)=0, "NEW", F120*(1+Table15[[#This Row],[Ávöxtun]])))</f>
        <v>114.16495104000001</v>
      </c>
      <c r="G121" s="18" cm="1">
        <f t="array" ref="G121">IFERROR(_xlfn.IFS(ISNUMBER(Table15[[#This Row],[Column3]]),Table15[[#This Row],[Column3]],Table15[[#This Row],[Column3]]="NEW",Table15[[#This Row],[Column3]]),"")</f>
        <v>114.16495104000001</v>
      </c>
      <c r="H121" s="15" cm="1">
        <f t="array" ref="H121">_xlfn.IFS(Table15[[#This Row],[Column4]]="NEW",AVERAGEIFS(Table15[Column4],Table15[Year],Table15[[#This Row],[Year]]),ISNUMBER(Table15[[#This Row],[Column4]]),Table15[[#This Row],[Column4]],Table15[[#This Row],[Column4]]="",H120*(1+Table15[[#This Row],[Ávöxtun]]))</f>
        <v>114.16495104000001</v>
      </c>
      <c r="I121" s="30" cm="1">
        <f t="array" ref="I121">_xlfn.IFS(Table15[[#This Row],[Column4]]="NEW",_xlfn.XLOOKUP(Table15[[#This Row],[Year]]-1,$N$2:$N$27,$P$2:$P$27)*(1+Table15[[#This Row],[Ávöxtun]]),ISNUMBER(Table15[[#This Row],[Column4]]),Table15[[#This Row],[Column4]],Table15[[#This Row],[Column4]]="",I120*(1+Table15[[#This Row],[Ávöxtun]]))</f>
        <v>114.16495104000001</v>
      </c>
      <c r="L121" s="33">
        <v>114.16495104000001</v>
      </c>
      <c r="M121" s="33">
        <v>114.16495104000001</v>
      </c>
    </row>
    <row r="122" spans="1:13">
      <c r="A122" t="s">
        <v>67</v>
      </c>
      <c r="B122">
        <v>2004</v>
      </c>
      <c r="C122" s="16">
        <v>0.06</v>
      </c>
      <c r="D122" s="1">
        <v>610446</v>
      </c>
      <c r="E122" s="29">
        <f>Table15[[#This Row],[Ávöxtun]]*Table15[[#This Row],[Eignir]]/SUMIFS(Table15[Eignir],Table15[Year],Table15[[#This Row],[Year]])</f>
        <v>4.03524880709596E-5</v>
      </c>
      <c r="F122" s="23">
        <f>IF(B122=1997, 100, IF(COUNTIF(A$1:A121,A122)=0, "NEW", F121*(1+Table15[[#This Row],[Ávöxtun]])))</f>
        <v>121.01484810240001</v>
      </c>
      <c r="G122" s="18" cm="1">
        <f t="array" ref="G122">IFERROR(_xlfn.IFS(ISNUMBER(Table15[[#This Row],[Column3]]),Table15[[#This Row],[Column3]],Table15[[#This Row],[Column3]]="NEW",Table15[[#This Row],[Column3]]),"")</f>
        <v>121.01484810240001</v>
      </c>
      <c r="H122" s="15" cm="1">
        <f t="array" ref="H122">_xlfn.IFS(Table15[[#This Row],[Column4]]="NEW",AVERAGEIFS(Table15[Column4],Table15[Year],Table15[[#This Row],[Year]]),ISNUMBER(Table15[[#This Row],[Column4]]),Table15[[#This Row],[Column4]],Table15[[#This Row],[Column4]]="",H121*(1+Table15[[#This Row],[Ávöxtun]]))</f>
        <v>121.01484810240001</v>
      </c>
      <c r="I122" s="30" cm="1">
        <f t="array" ref="I122">_xlfn.IFS(Table15[[#This Row],[Column4]]="NEW",_xlfn.XLOOKUP(Table15[[#This Row],[Year]]-1,$N$2:$N$27,$P$2:$P$27)*(1+Table15[[#This Row],[Ávöxtun]]),ISNUMBER(Table15[[#This Row],[Column4]]),Table15[[#This Row],[Column4]],Table15[[#This Row],[Column4]]="",I121*(1+Table15[[#This Row],[Ávöxtun]]))</f>
        <v>121.01484810240001</v>
      </c>
      <c r="L122" s="33">
        <v>121.01484810240001</v>
      </c>
      <c r="M122" s="33">
        <v>121.01484810240001</v>
      </c>
    </row>
    <row r="123" spans="1:13">
      <c r="A123" t="s">
        <v>67</v>
      </c>
      <c r="B123">
        <v>2005</v>
      </c>
      <c r="C123" s="16">
        <v>0.08</v>
      </c>
      <c r="D123" s="1">
        <v>683879</v>
      </c>
      <c r="E123" s="29">
        <f>Table15[[#This Row],[Ávöxtun]]*Table15[[#This Row],[Eignir]]/SUMIFS(Table15[Eignir],Table15[Year],Table15[[#This Row],[Year]])</f>
        <v>4.8790224389673867E-5</v>
      </c>
      <c r="F123" s="23">
        <f>IF(B123=1997, 100, IF(COUNTIF(A$1:A122,A123)=0, "NEW", F122*(1+Table15[[#This Row],[Ávöxtun]])))</f>
        <v>130.69603595059201</v>
      </c>
      <c r="G123" s="18" cm="1">
        <f t="array" ref="G123">IFERROR(_xlfn.IFS(ISNUMBER(Table15[[#This Row],[Column3]]),Table15[[#This Row],[Column3]],Table15[[#This Row],[Column3]]="NEW",Table15[[#This Row],[Column3]]),"")</f>
        <v>130.69603595059201</v>
      </c>
      <c r="H123" s="15" cm="1">
        <f t="array" ref="H123">_xlfn.IFS(Table15[[#This Row],[Column4]]="NEW",AVERAGEIFS(Table15[Column4],Table15[Year],Table15[[#This Row],[Year]]),ISNUMBER(Table15[[#This Row],[Column4]]),Table15[[#This Row],[Column4]],Table15[[#This Row],[Column4]]="",H122*(1+Table15[[#This Row],[Ávöxtun]]))</f>
        <v>130.69603595059201</v>
      </c>
      <c r="I123" s="30" cm="1">
        <f t="array" ref="I123">_xlfn.IFS(Table15[[#This Row],[Column4]]="NEW",_xlfn.XLOOKUP(Table15[[#This Row],[Year]]-1,$N$2:$N$27,$P$2:$P$27)*(1+Table15[[#This Row],[Ávöxtun]]),ISNUMBER(Table15[[#This Row],[Column4]]),Table15[[#This Row],[Column4]],Table15[[#This Row],[Column4]]="",I122*(1+Table15[[#This Row],[Ávöxtun]]))</f>
        <v>130.69603595059201</v>
      </c>
      <c r="L123" s="33">
        <v>130.69603595059201</v>
      </c>
      <c r="M123" s="33">
        <v>130.69603595059201</v>
      </c>
    </row>
    <row r="124" spans="1:13">
      <c r="A124" t="s">
        <v>67</v>
      </c>
      <c r="B124">
        <v>2006</v>
      </c>
      <c r="C124" s="16">
        <v>9.69E-2</v>
      </c>
      <c r="D124" s="1">
        <v>803064</v>
      </c>
      <c r="E124" s="29">
        <f>Table15[[#This Row],[Ávöxtun]]*Table15[[#This Row],[Eignir]]/SUMIFS(Table15[Eignir],Table15[Year],Table15[[#This Row],[Year]])</f>
        <v>5.6689941405239766E-5</v>
      </c>
      <c r="F124" s="23">
        <f>IF(B124=1997, 100, IF(COUNTIF(A$1:A123,A124)=0, "NEW", F123*(1+Table15[[#This Row],[Ávöxtun]])))</f>
        <v>143.36048183420436</v>
      </c>
      <c r="G124" s="18" cm="1">
        <f t="array" ref="G124">IFERROR(_xlfn.IFS(ISNUMBER(Table15[[#This Row],[Column3]]),Table15[[#This Row],[Column3]],Table15[[#This Row],[Column3]]="NEW",Table15[[#This Row],[Column3]]),"")</f>
        <v>143.36048183420436</v>
      </c>
      <c r="H124" s="15" cm="1">
        <f t="array" ref="H124">_xlfn.IFS(Table15[[#This Row],[Column4]]="NEW",AVERAGEIFS(Table15[Column4],Table15[Year],Table15[[#This Row],[Year]]),ISNUMBER(Table15[[#This Row],[Column4]]),Table15[[#This Row],[Column4]],Table15[[#This Row],[Column4]]="",H123*(1+Table15[[#This Row],[Ávöxtun]]))</f>
        <v>143.36048183420436</v>
      </c>
      <c r="I124" s="30" cm="1">
        <f t="array" ref="I124">_xlfn.IFS(Table15[[#This Row],[Column4]]="NEW",_xlfn.XLOOKUP(Table15[[#This Row],[Year]]-1,$N$2:$N$27,$P$2:$P$27)*(1+Table15[[#This Row],[Ávöxtun]]),ISNUMBER(Table15[[#This Row],[Column4]]),Table15[[#This Row],[Column4]],Table15[[#This Row],[Column4]]="",I123*(1+Table15[[#This Row],[Ávöxtun]]))</f>
        <v>143.36048183420436</v>
      </c>
      <c r="L124" s="33">
        <v>143.36048183420436</v>
      </c>
      <c r="M124" s="33">
        <v>143.36048183420436</v>
      </c>
    </row>
    <row r="125" spans="1:13">
      <c r="A125" t="s">
        <v>67</v>
      </c>
      <c r="B125">
        <v>2007</v>
      </c>
      <c r="C125" s="16">
        <v>5.9299999999999999E-2</v>
      </c>
      <c r="D125" s="1">
        <v>2238036</v>
      </c>
      <c r="E125" s="29">
        <f>Table15[[#This Row],[Ávöxtun]]*Table15[[#This Row],[Eignir]]/SUMIFS(Table15[Eignir],Table15[Year],Table15[[#This Row],[Year]])</f>
        <v>8.5821810636348592E-5</v>
      </c>
      <c r="F125" s="23">
        <f>IF(B125=1997, 100, IF(COUNTIF(A$1:A124,A125)=0, "NEW", F124*(1+Table15[[#This Row],[Ávöxtun]])))</f>
        <v>151.86175840697268</v>
      </c>
      <c r="G125" s="18" cm="1">
        <f t="array" ref="G125">IFERROR(_xlfn.IFS(ISNUMBER(Table15[[#This Row],[Column3]]),Table15[[#This Row],[Column3]],Table15[[#This Row],[Column3]]="NEW",Table15[[#This Row],[Column3]]),"")</f>
        <v>151.86175840697268</v>
      </c>
      <c r="H125" s="15" cm="1">
        <f t="array" ref="H125">_xlfn.IFS(Table15[[#This Row],[Column4]]="NEW",AVERAGEIFS(Table15[Column4],Table15[Year],Table15[[#This Row],[Year]]),ISNUMBER(Table15[[#This Row],[Column4]]),Table15[[#This Row],[Column4]],Table15[[#This Row],[Column4]]="",H124*(1+Table15[[#This Row],[Ávöxtun]]))</f>
        <v>151.86175840697268</v>
      </c>
      <c r="I125" s="30" cm="1">
        <f t="array" ref="I125">_xlfn.IFS(Table15[[#This Row],[Column4]]="NEW",_xlfn.XLOOKUP(Table15[[#This Row],[Year]]-1,$N$2:$N$27,$P$2:$P$27)*(1+Table15[[#This Row],[Ávöxtun]]),ISNUMBER(Table15[[#This Row],[Column4]]),Table15[[#This Row],[Column4]],Table15[[#This Row],[Column4]]="",I124*(1+Table15[[#This Row],[Ávöxtun]]))</f>
        <v>151.86175840697268</v>
      </c>
      <c r="L125" s="33">
        <v>151.86175840697268</v>
      </c>
      <c r="M125" s="33">
        <v>151.86175840697268</v>
      </c>
    </row>
    <row r="126" spans="1:13">
      <c r="A126" t="s">
        <v>67</v>
      </c>
      <c r="B126">
        <v>2008</v>
      </c>
      <c r="C126" s="16">
        <v>-3.3300000000000003E-2</v>
      </c>
      <c r="D126" s="1">
        <v>2472134</v>
      </c>
      <c r="E126" s="29">
        <f>Table15[[#This Row],[Ávöxtun]]*Table15[[#This Row],[Eignir]]/SUMIFS(Table15[Eignir],Table15[Year],Table15[[#This Row],[Year]])</f>
        <v>-5.4979682063535503E-5</v>
      </c>
      <c r="F126" s="23">
        <f>IF(B126=1997, 100, IF(COUNTIF(A$1:A125,A126)=0, "NEW", F125*(1+Table15[[#This Row],[Ávöxtun]])))</f>
        <v>146.8047618520205</v>
      </c>
      <c r="G126" s="18" cm="1">
        <f t="array" ref="G126">IFERROR(_xlfn.IFS(ISNUMBER(Table15[[#This Row],[Column3]]),Table15[[#This Row],[Column3]],Table15[[#This Row],[Column3]]="NEW",Table15[[#This Row],[Column3]]),"")</f>
        <v>146.8047618520205</v>
      </c>
      <c r="H126" s="15" cm="1">
        <f t="array" ref="H126">_xlfn.IFS(Table15[[#This Row],[Column4]]="NEW",AVERAGEIFS(Table15[Column4],Table15[Year],Table15[[#This Row],[Year]]),ISNUMBER(Table15[[#This Row],[Column4]]),Table15[[#This Row],[Column4]],Table15[[#This Row],[Column4]]="",H125*(1+Table15[[#This Row],[Ávöxtun]]))</f>
        <v>146.8047618520205</v>
      </c>
      <c r="I126" s="30" cm="1">
        <f t="array" ref="I126">_xlfn.IFS(Table15[[#This Row],[Column4]]="NEW",_xlfn.XLOOKUP(Table15[[#This Row],[Year]]-1,$N$2:$N$27,$P$2:$P$27)*(1+Table15[[#This Row],[Ávöxtun]]),ISNUMBER(Table15[[#This Row],[Column4]]),Table15[[#This Row],[Column4]],Table15[[#This Row],[Column4]]="",I125*(1+Table15[[#This Row],[Ávöxtun]]))</f>
        <v>146.8047618520205</v>
      </c>
      <c r="L126" s="33">
        <v>146.8047618520205</v>
      </c>
      <c r="M126" s="33">
        <v>146.8047618520205</v>
      </c>
    </row>
    <row r="127" spans="1:13">
      <c r="A127" t="s">
        <v>67</v>
      </c>
      <c r="B127">
        <v>2009</v>
      </c>
      <c r="C127" s="16">
        <v>2.3599999999999999E-2</v>
      </c>
      <c r="D127" s="1">
        <v>2820276</v>
      </c>
      <c r="E127" s="29">
        <f>Table15[[#This Row],[Ávöxtun]]*Table15[[#This Row],[Eignir]]/SUMIFS(Table15[Eignir],Table15[Year],Table15[[#This Row],[Year]])</f>
        <v>3.9897005952777619E-5</v>
      </c>
      <c r="F127" s="23">
        <f>IF(B127=1997, 100, IF(COUNTIF(A$1:A126,A127)=0, "NEW", F126*(1+Table15[[#This Row],[Ávöxtun]])))</f>
        <v>150.26935423172819</v>
      </c>
      <c r="G127" s="18" cm="1">
        <f t="array" ref="G127">IFERROR(_xlfn.IFS(ISNUMBER(Table15[[#This Row],[Column3]]),Table15[[#This Row],[Column3]],Table15[[#This Row],[Column3]]="NEW",Table15[[#This Row],[Column3]]),"")</f>
        <v>150.26935423172819</v>
      </c>
      <c r="H127" s="15" cm="1">
        <f t="array" ref="H127">_xlfn.IFS(Table15[[#This Row],[Column4]]="NEW",AVERAGEIFS(Table15[Column4],Table15[Year],Table15[[#This Row],[Year]]),ISNUMBER(Table15[[#This Row],[Column4]]),Table15[[#This Row],[Column4]],Table15[[#This Row],[Column4]]="",H126*(1+Table15[[#This Row],[Ávöxtun]]))</f>
        <v>150.26935423172819</v>
      </c>
      <c r="I127" s="30" cm="1">
        <f t="array" ref="I127">_xlfn.IFS(Table15[[#This Row],[Column4]]="NEW",_xlfn.XLOOKUP(Table15[[#This Row],[Year]]-1,$N$2:$N$27,$P$2:$P$27)*(1+Table15[[#This Row],[Ávöxtun]]),ISNUMBER(Table15[[#This Row],[Column4]]),Table15[[#This Row],[Column4]],Table15[[#This Row],[Column4]]="",I126*(1+Table15[[#This Row],[Ávöxtun]]))</f>
        <v>150.26935423172819</v>
      </c>
      <c r="L127" s="33">
        <v>150.26935423172819</v>
      </c>
      <c r="M127" s="33">
        <v>150.26935423172819</v>
      </c>
    </row>
    <row r="128" spans="1:13">
      <c r="A128" t="s">
        <v>67</v>
      </c>
      <c r="B128">
        <v>2010</v>
      </c>
      <c r="C128" s="16">
        <v>3.3000000000000002E-2</v>
      </c>
      <c r="D128" s="1">
        <v>2910176</v>
      </c>
      <c r="E128" s="29">
        <f>Table15[[#This Row],[Ávöxtun]]*Table15[[#This Row],[Eignir]]/SUMIFS(Table15[Eignir],Table15[Year],Table15[[#This Row],[Year]])</f>
        <v>5.3717714520528513E-5</v>
      </c>
      <c r="F128" s="23">
        <f>IF(B128=1997, 100, IF(COUNTIF(A$1:A127,A128)=0, "NEW", F127*(1+Table15[[#This Row],[Ávöxtun]])))</f>
        <v>155.2282429213752</v>
      </c>
      <c r="G128" s="18" cm="1">
        <f t="array" ref="G128">IFERROR(_xlfn.IFS(ISNUMBER(Table15[[#This Row],[Column3]]),Table15[[#This Row],[Column3]],Table15[[#This Row],[Column3]]="NEW",Table15[[#This Row],[Column3]]),"")</f>
        <v>155.2282429213752</v>
      </c>
      <c r="H128" s="15" cm="1">
        <f t="array" ref="H128">_xlfn.IFS(Table15[[#This Row],[Column4]]="NEW",AVERAGEIFS(Table15[Column4],Table15[Year],Table15[[#This Row],[Year]]),ISNUMBER(Table15[[#This Row],[Column4]]),Table15[[#This Row],[Column4]],Table15[[#This Row],[Column4]]="",H127*(1+Table15[[#This Row],[Ávöxtun]]))</f>
        <v>155.2282429213752</v>
      </c>
      <c r="I128" s="30" cm="1">
        <f t="array" ref="I128">_xlfn.IFS(Table15[[#This Row],[Column4]]="NEW",_xlfn.XLOOKUP(Table15[[#This Row],[Year]]-1,$N$2:$N$27,$P$2:$P$27)*(1+Table15[[#This Row],[Ávöxtun]]),ISNUMBER(Table15[[#This Row],[Column4]]),Table15[[#This Row],[Column4]],Table15[[#This Row],[Column4]]="",I127*(1+Table15[[#This Row],[Ávöxtun]]))</f>
        <v>155.2282429213752</v>
      </c>
      <c r="L128" s="33">
        <v>155.2282429213752</v>
      </c>
      <c r="M128" s="33">
        <v>155.2282429213752</v>
      </c>
    </row>
    <row r="129" spans="1:13">
      <c r="A129" t="s">
        <v>67</v>
      </c>
      <c r="B129">
        <v>2011</v>
      </c>
      <c r="C129" s="16">
        <v>4.2000000000000003E-2</v>
      </c>
      <c r="D129" s="1">
        <v>3095568</v>
      </c>
      <c r="E129" s="29">
        <f>Table15[[#This Row],[Ávöxtun]]*Table15[[#This Row],[Eignir]]/SUMIFS(Table15[Eignir],Table15[Year],Table15[[#This Row],[Year]])</f>
        <v>6.6654670173040952E-5</v>
      </c>
      <c r="F129" s="23">
        <f>IF(B129=1997, 100, IF(COUNTIF(A$1:A128,A129)=0, "NEW", F128*(1+Table15[[#This Row],[Ávöxtun]])))</f>
        <v>161.74782912407295</v>
      </c>
      <c r="G129" s="18" cm="1">
        <f t="array" ref="G129">IFERROR(_xlfn.IFS(ISNUMBER(Table15[[#This Row],[Column3]]),Table15[[#This Row],[Column3]],Table15[[#This Row],[Column3]]="NEW",Table15[[#This Row],[Column3]]),"")</f>
        <v>161.74782912407295</v>
      </c>
      <c r="H129" s="15" cm="1">
        <f t="array" ref="H129">_xlfn.IFS(Table15[[#This Row],[Column4]]="NEW",AVERAGEIFS(Table15[Column4],Table15[Year],Table15[[#This Row],[Year]]),ISNUMBER(Table15[[#This Row],[Column4]]),Table15[[#This Row],[Column4]],Table15[[#This Row],[Column4]]="",H128*(1+Table15[[#This Row],[Ávöxtun]]))</f>
        <v>161.74782912407295</v>
      </c>
      <c r="I129" s="30" cm="1">
        <f t="array" ref="I129">_xlfn.IFS(Table15[[#This Row],[Column4]]="NEW",_xlfn.XLOOKUP(Table15[[#This Row],[Year]]-1,$N$2:$N$27,$P$2:$P$27)*(1+Table15[[#This Row],[Ávöxtun]]),ISNUMBER(Table15[[#This Row],[Column4]]),Table15[[#This Row],[Column4]],Table15[[#This Row],[Column4]]="",I128*(1+Table15[[#This Row],[Ávöxtun]]))</f>
        <v>161.74782912407295</v>
      </c>
      <c r="L129" s="33">
        <v>161.74782912407295</v>
      </c>
      <c r="M129" s="33">
        <v>161.74782912407295</v>
      </c>
    </row>
    <row r="130" spans="1:13">
      <c r="A130" t="s">
        <v>67</v>
      </c>
      <c r="B130">
        <v>2012</v>
      </c>
      <c r="C130" s="16">
        <v>6.5000000000000002E-2</v>
      </c>
      <c r="D130" s="1">
        <v>3321777</v>
      </c>
      <c r="E130" s="29">
        <f>Table15[[#This Row],[Ávöxtun]]*Table15[[#This Row],[Eignir]]/SUMIFS(Table15[Eignir],Table15[Year],Table15[[#This Row],[Year]])</f>
        <v>9.8016746772201319E-5</v>
      </c>
      <c r="F130" s="23">
        <f>IF(B130=1997, 100, IF(COUNTIF(A$1:A129,A130)=0, "NEW", F129*(1+Table15[[#This Row],[Ávöxtun]])))</f>
        <v>172.26143801713769</v>
      </c>
      <c r="G130" s="18" cm="1">
        <f t="array" ref="G130">IFERROR(_xlfn.IFS(ISNUMBER(Table15[[#This Row],[Column3]]),Table15[[#This Row],[Column3]],Table15[[#This Row],[Column3]]="NEW",Table15[[#This Row],[Column3]]),"")</f>
        <v>172.26143801713769</v>
      </c>
      <c r="H130" s="15" cm="1">
        <f t="array" ref="H130">_xlfn.IFS(Table15[[#This Row],[Column4]]="NEW",AVERAGEIFS(Table15[Column4],Table15[Year],Table15[[#This Row],[Year]]),ISNUMBER(Table15[[#This Row],[Column4]]),Table15[[#This Row],[Column4]],Table15[[#This Row],[Column4]]="",H129*(1+Table15[[#This Row],[Ávöxtun]]))</f>
        <v>172.26143801713769</v>
      </c>
      <c r="I130" s="30" cm="1">
        <f t="array" ref="I130">_xlfn.IFS(Table15[[#This Row],[Column4]]="NEW",_xlfn.XLOOKUP(Table15[[#This Row],[Year]]-1,$N$2:$N$27,$P$2:$P$27)*(1+Table15[[#This Row],[Ávöxtun]]),ISNUMBER(Table15[[#This Row],[Column4]]),Table15[[#This Row],[Column4]],Table15[[#This Row],[Column4]]="",I129*(1+Table15[[#This Row],[Ávöxtun]]))</f>
        <v>172.26143801713769</v>
      </c>
      <c r="L130" s="33">
        <v>172.26143801713769</v>
      </c>
      <c r="M130" s="33">
        <v>172.26143801713769</v>
      </c>
    </row>
    <row r="131" spans="1:13">
      <c r="A131" t="s">
        <v>67</v>
      </c>
      <c r="B131">
        <v>2013</v>
      </c>
      <c r="C131" s="16">
        <v>7.2000000000000008E-2</v>
      </c>
      <c r="D131" s="1">
        <v>3569359</v>
      </c>
      <c r="E131" s="29">
        <f>Table15[[#This Row],[Ávöxtun]]*Table15[[#This Row],[Eignir]]/SUMIFS(Table15[Eignir],Table15[Year],Table15[[#This Row],[Year]])</f>
        <v>1.0560322546302547E-4</v>
      </c>
      <c r="F131" s="23">
        <f>IF(B131=1997, 100, IF(COUNTIF(A$1:A130,A131)=0, "NEW", F130*(1+Table15[[#This Row],[Ávöxtun]])))</f>
        <v>184.66426155437162</v>
      </c>
      <c r="G131" s="18" cm="1">
        <f t="array" ref="G131">IFERROR(_xlfn.IFS(ISNUMBER(Table15[[#This Row],[Column3]]),Table15[[#This Row],[Column3]],Table15[[#This Row],[Column3]]="NEW",Table15[[#This Row],[Column3]]),"")</f>
        <v>184.66426155437162</v>
      </c>
      <c r="H131" s="15" cm="1">
        <f t="array" ref="H131">_xlfn.IFS(Table15[[#This Row],[Column4]]="NEW",AVERAGEIFS(Table15[Column4],Table15[Year],Table15[[#This Row],[Year]]),ISNUMBER(Table15[[#This Row],[Column4]]),Table15[[#This Row],[Column4]],Table15[[#This Row],[Column4]]="",H130*(1+Table15[[#This Row],[Ávöxtun]]))</f>
        <v>184.66426155437162</v>
      </c>
      <c r="I131" s="30" cm="1">
        <f t="array" ref="I131">_xlfn.IFS(Table15[[#This Row],[Column4]]="NEW",_xlfn.XLOOKUP(Table15[[#This Row],[Year]]-1,$N$2:$N$27,$P$2:$P$27)*(1+Table15[[#This Row],[Ávöxtun]]),ISNUMBER(Table15[[#This Row],[Column4]]),Table15[[#This Row],[Column4]],Table15[[#This Row],[Column4]]="",I130*(1+Table15[[#This Row],[Ávöxtun]]))</f>
        <v>184.66426155437162</v>
      </c>
      <c r="L131" s="33">
        <v>184.66426155437162</v>
      </c>
      <c r="M131" s="33">
        <v>184.66426155437162</v>
      </c>
    </row>
    <row r="132" spans="1:13">
      <c r="A132" t="s">
        <v>67</v>
      </c>
      <c r="B132">
        <v>2014</v>
      </c>
      <c r="C132" s="16">
        <v>5.4000000000000006E-2</v>
      </c>
      <c r="D132" s="1">
        <v>3676993</v>
      </c>
      <c r="E132" s="29">
        <f>Table15[[#This Row],[Ávöxtun]]*Table15[[#This Row],[Eignir]]/SUMIFS(Table15[Eignir],Table15[Year],Table15[[#This Row],[Year]])</f>
        <v>7.4842155980046505E-5</v>
      </c>
      <c r="F132" s="23">
        <f>IF(B132=1997, 100, IF(COUNTIF(A$1:A131,A132)=0, "NEW", F131*(1+Table15[[#This Row],[Ávöxtun]])))</f>
        <v>194.63613167830769</v>
      </c>
      <c r="G132" s="18" cm="1">
        <f t="array" ref="G132">IFERROR(_xlfn.IFS(ISNUMBER(Table15[[#This Row],[Column3]]),Table15[[#This Row],[Column3]],Table15[[#This Row],[Column3]]="NEW",Table15[[#This Row],[Column3]]),"")</f>
        <v>194.63613167830769</v>
      </c>
      <c r="H132" s="15" cm="1">
        <f t="array" ref="H132">_xlfn.IFS(Table15[[#This Row],[Column4]]="NEW",AVERAGEIFS(Table15[Column4],Table15[Year],Table15[[#This Row],[Year]]),ISNUMBER(Table15[[#This Row],[Column4]]),Table15[[#This Row],[Column4]],Table15[[#This Row],[Column4]]="",H131*(1+Table15[[#This Row],[Ávöxtun]]))</f>
        <v>194.63613167830769</v>
      </c>
      <c r="I132" s="30" cm="1">
        <f t="array" ref="I132">_xlfn.IFS(Table15[[#This Row],[Column4]]="NEW",_xlfn.XLOOKUP(Table15[[#This Row],[Year]]-1,$N$2:$N$27,$P$2:$P$27)*(1+Table15[[#This Row],[Ávöxtun]]),ISNUMBER(Table15[[#This Row],[Column4]]),Table15[[#This Row],[Column4]],Table15[[#This Row],[Column4]]="",I131*(1+Table15[[#This Row],[Ávöxtun]]))</f>
        <v>194.63613167830769</v>
      </c>
      <c r="L132" s="33">
        <v>194.63613167830769</v>
      </c>
      <c r="M132" s="33">
        <v>194.63613167830769</v>
      </c>
    </row>
    <row r="133" spans="1:13">
      <c r="A133" t="s">
        <v>67</v>
      </c>
      <c r="B133">
        <v>2015</v>
      </c>
      <c r="C133" s="16">
        <v>9.9000000000000005E-2</v>
      </c>
      <c r="D133" s="1">
        <v>3954387</v>
      </c>
      <c r="E133" s="29">
        <f>Table15[[#This Row],[Ávöxtun]]*Table15[[#This Row],[Eignir]]/SUMIFS(Table15[Eignir],Table15[Year],Table15[[#This Row],[Year]])</f>
        <v>1.3219666068873038E-4</v>
      </c>
      <c r="F133" s="23">
        <f>IF(B133=1997, 100, IF(COUNTIF(A$1:A132,A133)=0, "NEW", F132*(1+Table15[[#This Row],[Ávöxtun]])))</f>
        <v>213.90510871446014</v>
      </c>
      <c r="G133" s="18" cm="1">
        <f t="array" ref="G133">IFERROR(_xlfn.IFS(ISNUMBER(Table15[[#This Row],[Column3]]),Table15[[#This Row],[Column3]],Table15[[#This Row],[Column3]]="NEW",Table15[[#This Row],[Column3]]),"")</f>
        <v>213.90510871446014</v>
      </c>
      <c r="H133" s="15" cm="1">
        <f t="array" ref="H133">_xlfn.IFS(Table15[[#This Row],[Column4]]="NEW",AVERAGEIFS(Table15[Column4],Table15[Year],Table15[[#This Row],[Year]]),ISNUMBER(Table15[[#This Row],[Column4]]),Table15[[#This Row],[Column4]],Table15[[#This Row],[Column4]]="",H132*(1+Table15[[#This Row],[Ávöxtun]]))</f>
        <v>213.90510871446014</v>
      </c>
      <c r="I133" s="30" cm="1">
        <f t="array" ref="I133">_xlfn.IFS(Table15[[#This Row],[Column4]]="NEW",_xlfn.XLOOKUP(Table15[[#This Row],[Year]]-1,$N$2:$N$27,$P$2:$P$27)*(1+Table15[[#This Row],[Ávöxtun]]),ISNUMBER(Table15[[#This Row],[Column4]]),Table15[[#This Row],[Column4]],Table15[[#This Row],[Column4]]="",I132*(1+Table15[[#This Row],[Ávöxtun]]))</f>
        <v>213.90510871446014</v>
      </c>
      <c r="L133" s="33">
        <v>213.90510871446014</v>
      </c>
      <c r="M133" s="33">
        <v>213.90510871446014</v>
      </c>
    </row>
    <row r="134" spans="1:13">
      <c r="A134" t="s">
        <v>67</v>
      </c>
      <c r="B134">
        <v>2016</v>
      </c>
      <c r="C134" s="16">
        <v>-1.4999999999999999E-2</v>
      </c>
      <c r="D134" s="1">
        <v>4026601.54</v>
      </c>
      <c r="E134" s="29">
        <f>Table15[[#This Row],[Ávöxtun]]*Table15[[#This Row],[Eignir]]/SUMIFS(Table15[Eignir],Table15[Year],Table15[[#This Row],[Year]])</f>
        <v>-1.8874419519155535E-5</v>
      </c>
      <c r="F134" s="23">
        <f>IF(B134=1997, 100, IF(COUNTIF(A$1:A133,A134)=0, "NEW", F133*(1+Table15[[#This Row],[Ávöxtun]])))</f>
        <v>210.69653208374325</v>
      </c>
      <c r="G134" s="18" cm="1">
        <f t="array" ref="G134">IFERROR(_xlfn.IFS(ISNUMBER(Table15[[#This Row],[Column3]]),Table15[[#This Row],[Column3]],Table15[[#This Row],[Column3]]="NEW",Table15[[#This Row],[Column3]]),"")</f>
        <v>210.69653208374325</v>
      </c>
      <c r="H134" s="15" cm="1">
        <f t="array" ref="H134">_xlfn.IFS(Table15[[#This Row],[Column4]]="NEW",AVERAGEIFS(Table15[Column4],Table15[Year],Table15[[#This Row],[Year]]),ISNUMBER(Table15[[#This Row],[Column4]]),Table15[[#This Row],[Column4]],Table15[[#This Row],[Column4]]="",H133*(1+Table15[[#This Row],[Ávöxtun]]))</f>
        <v>210.69653208374325</v>
      </c>
      <c r="I134" s="30" cm="1">
        <f t="array" ref="I134">_xlfn.IFS(Table15[[#This Row],[Column4]]="NEW",_xlfn.XLOOKUP(Table15[[#This Row],[Year]]-1,$N$2:$N$27,$P$2:$P$27)*(1+Table15[[#This Row],[Ávöxtun]]),ISNUMBER(Table15[[#This Row],[Column4]]),Table15[[#This Row],[Column4]],Table15[[#This Row],[Column4]]="",I133*(1+Table15[[#This Row],[Ávöxtun]]))</f>
        <v>210.69653208374325</v>
      </c>
      <c r="L134" s="33">
        <v>210.69653208374325</v>
      </c>
      <c r="M134" s="33">
        <v>210.69653208374325</v>
      </c>
    </row>
    <row r="135" spans="1:13">
      <c r="A135" t="s">
        <v>68</v>
      </c>
      <c r="B135">
        <v>1997</v>
      </c>
      <c r="C135" s="16">
        <v>7.0000000000000007E-2</v>
      </c>
      <c r="D135" s="1">
        <v>1200321.1299999999</v>
      </c>
      <c r="E135" s="29">
        <f>Table15[[#This Row],[Ávöxtun]]*Table15[[#This Row],[Eignir]]/SUMIFS(Table15[Eignir],Table15[Year],Table15[[#This Row],[Year]])</f>
        <v>2.4783539396631342E-4</v>
      </c>
      <c r="F135" s="23">
        <f>IF(B135=1997, 100, IF(COUNTIF(A$1:A134,A135)=0, "NEW", F134*(1+Table15[[#This Row],[Ávöxtun]])))</f>
        <v>100</v>
      </c>
      <c r="G135" s="18" cm="1">
        <f t="array" ref="G135">IFERROR(_xlfn.IFS(ISNUMBER(Table15[[#This Row],[Column3]]),Table15[[#This Row],[Column3]],Table15[[#This Row],[Column3]]="NEW",Table15[[#This Row],[Column3]]),"")</f>
        <v>100</v>
      </c>
      <c r="H135" s="15" cm="1">
        <f t="array" ref="H135">_xlfn.IFS(Table15[[#This Row],[Column4]]="NEW",AVERAGEIFS(Table15[Column4],Table15[Year],Table15[[#This Row],[Year]]),ISNUMBER(Table15[[#This Row],[Column4]]),Table15[[#This Row],[Column4]],Table15[[#This Row],[Column4]]="",H134*(1+Table15[[#This Row],[Ávöxtun]]))</f>
        <v>100</v>
      </c>
      <c r="I135" s="30" cm="1">
        <f t="array" ref="I135">_xlfn.IFS(Table15[[#This Row],[Column4]]="NEW",_xlfn.XLOOKUP(Table15[[#This Row],[Year]]-1,$N$2:$N$27,$P$2:$P$27)*(1+Table15[[#This Row],[Ávöxtun]]),ISNUMBER(Table15[[#This Row],[Column4]]),Table15[[#This Row],[Column4]],Table15[[#This Row],[Column4]]="",I134*(1+Table15[[#This Row],[Ávöxtun]]))</f>
        <v>100</v>
      </c>
      <c r="L135" s="33">
        <v>100</v>
      </c>
      <c r="M135" s="33">
        <v>100</v>
      </c>
    </row>
    <row r="136" spans="1:13">
      <c r="A136" t="s">
        <v>68</v>
      </c>
      <c r="B136">
        <v>1998</v>
      </c>
      <c r="C136" s="16">
        <v>0.11</v>
      </c>
      <c r="D136" s="1">
        <v>1395118.5</v>
      </c>
      <c r="E136" s="29">
        <f>Table15[[#This Row],[Ávöxtun]]*Table15[[#This Row],[Eignir]]/SUMIFS(Table15[Eignir],Table15[Year],Table15[[#This Row],[Year]])</f>
        <v>3.9185228579005155E-4</v>
      </c>
      <c r="F136" s="23">
        <f>IF(B136=1997, 100, IF(COUNTIF(A$1:A135,A136)=0, "NEW", F135*(1+Table15[[#This Row],[Ávöxtun]])))</f>
        <v>111.00000000000001</v>
      </c>
      <c r="G136" s="18" cm="1">
        <f t="array" ref="G136">IFERROR(_xlfn.IFS(ISNUMBER(Table15[[#This Row],[Column3]]),Table15[[#This Row],[Column3]],Table15[[#This Row],[Column3]]="NEW",Table15[[#This Row],[Column3]]),"")</f>
        <v>111.00000000000001</v>
      </c>
      <c r="H136" s="15" cm="1">
        <f t="array" ref="H136">_xlfn.IFS(Table15[[#This Row],[Column4]]="NEW",AVERAGEIFS(Table15[Column4],Table15[Year],Table15[[#This Row],[Year]]),ISNUMBER(Table15[[#This Row],[Column4]]),Table15[[#This Row],[Column4]],Table15[[#This Row],[Column4]]="",H135*(1+Table15[[#This Row],[Ávöxtun]]))</f>
        <v>111.00000000000001</v>
      </c>
      <c r="I136" s="30" cm="1">
        <f t="array" ref="I136">_xlfn.IFS(Table15[[#This Row],[Column4]]="NEW",_xlfn.XLOOKUP(Table15[[#This Row],[Year]]-1,$N$2:$N$27,$P$2:$P$27)*(1+Table15[[#This Row],[Ávöxtun]]),ISNUMBER(Table15[[#This Row],[Column4]]),Table15[[#This Row],[Column4]],Table15[[#This Row],[Column4]]="",I135*(1+Table15[[#This Row],[Ávöxtun]]))</f>
        <v>111.00000000000001</v>
      </c>
      <c r="L136" s="33">
        <v>111.00000000000001</v>
      </c>
      <c r="M136" s="33">
        <v>111.00000000000001</v>
      </c>
    </row>
    <row r="137" spans="1:13">
      <c r="A137" t="s">
        <v>68</v>
      </c>
      <c r="B137">
        <v>1999</v>
      </c>
      <c r="C137" s="16">
        <v>0.08</v>
      </c>
      <c r="D137" s="1">
        <v>1650594.18</v>
      </c>
      <c r="E137" s="29">
        <f>Table15[[#This Row],[Ávöxtun]]*Table15[[#This Row],[Eignir]]/SUMIFS(Table15[Eignir],Table15[Year],Table15[[#This Row],[Year]])</f>
        <v>2.5358806019475257E-4</v>
      </c>
      <c r="F137" s="23">
        <f>IF(B137=1997, 100, IF(COUNTIF(A$1:A136,A137)=0, "NEW", F136*(1+Table15[[#This Row],[Ávöxtun]])))</f>
        <v>119.88000000000002</v>
      </c>
      <c r="G137" s="18" cm="1">
        <f t="array" ref="G137">IFERROR(_xlfn.IFS(ISNUMBER(Table15[[#This Row],[Column3]]),Table15[[#This Row],[Column3]],Table15[[#This Row],[Column3]]="NEW",Table15[[#This Row],[Column3]]),"")</f>
        <v>119.88000000000002</v>
      </c>
      <c r="H137" s="15" cm="1">
        <f t="array" ref="H137">_xlfn.IFS(Table15[[#This Row],[Column4]]="NEW",AVERAGEIFS(Table15[Column4],Table15[Year],Table15[[#This Row],[Year]]),ISNUMBER(Table15[[#This Row],[Column4]]),Table15[[#This Row],[Column4]],Table15[[#This Row],[Column4]]="",H136*(1+Table15[[#This Row],[Ávöxtun]]))</f>
        <v>119.88000000000002</v>
      </c>
      <c r="I137" s="30" cm="1">
        <f t="array" ref="I137">_xlfn.IFS(Table15[[#This Row],[Column4]]="NEW",_xlfn.XLOOKUP(Table15[[#This Row],[Year]]-1,$N$2:$N$27,$P$2:$P$27)*(1+Table15[[#This Row],[Ávöxtun]]),ISNUMBER(Table15[[#This Row],[Column4]]),Table15[[#This Row],[Column4]],Table15[[#This Row],[Column4]]="",I136*(1+Table15[[#This Row],[Ávöxtun]]))</f>
        <v>119.88000000000002</v>
      </c>
      <c r="L137" s="33">
        <v>119.88000000000002</v>
      </c>
      <c r="M137" s="33">
        <v>119.88000000000002</v>
      </c>
    </row>
    <row r="138" spans="1:13">
      <c r="A138" t="s">
        <v>68</v>
      </c>
      <c r="B138">
        <v>2000</v>
      </c>
      <c r="C138" s="16">
        <v>-0.06</v>
      </c>
      <c r="D138" s="1">
        <v>1697089.07</v>
      </c>
      <c r="E138" s="29">
        <f>Table15[[#This Row],[Ávöxtun]]*Table15[[#This Row],[Eignir]]/SUMIFS(Table15[Eignir],Table15[Year],Table15[[#This Row],[Year]])</f>
        <v>-1.4323648611856964E-4</v>
      </c>
      <c r="F138" s="23">
        <f>IF(B138=1997, 100, IF(COUNTIF(A$1:A137,A138)=0, "NEW", F137*(1+Table15[[#This Row],[Ávöxtun]])))</f>
        <v>112.68720000000002</v>
      </c>
      <c r="G138" s="18" cm="1">
        <f t="array" ref="G138">IFERROR(_xlfn.IFS(ISNUMBER(Table15[[#This Row],[Column3]]),Table15[[#This Row],[Column3]],Table15[[#This Row],[Column3]]="NEW",Table15[[#This Row],[Column3]]),"")</f>
        <v>112.68720000000002</v>
      </c>
      <c r="H138" s="15" cm="1">
        <f t="array" ref="H138">_xlfn.IFS(Table15[[#This Row],[Column4]]="NEW",AVERAGEIFS(Table15[Column4],Table15[Year],Table15[[#This Row],[Year]]),ISNUMBER(Table15[[#This Row],[Column4]]),Table15[[#This Row],[Column4]],Table15[[#This Row],[Column4]]="",H137*(1+Table15[[#This Row],[Ávöxtun]]))</f>
        <v>112.68720000000002</v>
      </c>
      <c r="I138" s="30" cm="1">
        <f t="array" ref="I138">_xlfn.IFS(Table15[[#This Row],[Column4]]="NEW",_xlfn.XLOOKUP(Table15[[#This Row],[Year]]-1,$N$2:$N$27,$P$2:$P$27)*(1+Table15[[#This Row],[Ávöxtun]]),ISNUMBER(Table15[[#This Row],[Column4]]),Table15[[#This Row],[Column4]],Table15[[#This Row],[Column4]]="",I137*(1+Table15[[#This Row],[Ávöxtun]]))</f>
        <v>112.68720000000002</v>
      </c>
      <c r="L138" s="33">
        <v>112.68720000000002</v>
      </c>
      <c r="M138" s="33">
        <v>112.68720000000002</v>
      </c>
    </row>
    <row r="139" spans="1:13">
      <c r="A139" t="s">
        <v>68</v>
      </c>
      <c r="B139">
        <v>2001</v>
      </c>
      <c r="C139" s="16">
        <v>-7.0000000000000007E-2</v>
      </c>
      <c r="D139" s="1">
        <v>1413860.28</v>
      </c>
      <c r="E139" s="29">
        <f>Table15[[#This Row],[Ávöxtun]]*Table15[[#This Row],[Eignir]]/SUMIFS(Table15[Eignir],Table15[Year],Table15[[#This Row],[Year]])</f>
        <v>-8.5472731376596382E-5</v>
      </c>
      <c r="F139" s="23">
        <f>IF(B139=1997, 100, IF(COUNTIF(A$1:A138,A139)=0, "NEW", F138*(1+Table15[[#This Row],[Ávöxtun]])))</f>
        <v>104.79909600000001</v>
      </c>
      <c r="G139" s="18" cm="1">
        <f t="array" ref="G139">IFERROR(_xlfn.IFS(ISNUMBER(Table15[[#This Row],[Column3]]),Table15[[#This Row],[Column3]],Table15[[#This Row],[Column3]]="NEW",Table15[[#This Row],[Column3]]),"")</f>
        <v>104.79909600000001</v>
      </c>
      <c r="H139" s="15" cm="1">
        <f t="array" ref="H139">_xlfn.IFS(Table15[[#This Row],[Column4]]="NEW",AVERAGEIFS(Table15[Column4],Table15[Year],Table15[[#This Row],[Year]]),ISNUMBER(Table15[[#This Row],[Column4]]),Table15[[#This Row],[Column4]],Table15[[#This Row],[Column4]]="",H138*(1+Table15[[#This Row],[Ávöxtun]]))</f>
        <v>104.79909600000001</v>
      </c>
      <c r="I139" s="30" cm="1">
        <f t="array" ref="I139">_xlfn.IFS(Table15[[#This Row],[Column4]]="NEW",_xlfn.XLOOKUP(Table15[[#This Row],[Year]]-1,$N$2:$N$27,$P$2:$P$27)*(1+Table15[[#This Row],[Ávöxtun]]),ISNUMBER(Table15[[#This Row],[Column4]]),Table15[[#This Row],[Column4]],Table15[[#This Row],[Column4]]="",I138*(1+Table15[[#This Row],[Ávöxtun]]))</f>
        <v>104.79909600000001</v>
      </c>
      <c r="L139" s="33">
        <v>104.79909600000001</v>
      </c>
      <c r="M139" s="33">
        <v>104.79909600000001</v>
      </c>
    </row>
    <row r="140" spans="1:13">
      <c r="A140" t="s">
        <v>68</v>
      </c>
      <c r="B140">
        <v>2002</v>
      </c>
      <c r="C140" s="16">
        <v>-0.03</v>
      </c>
      <c r="D140" s="1">
        <v>1346720</v>
      </c>
      <c r="E140" s="29">
        <f>Table15[[#This Row],[Ávöxtun]]*Table15[[#This Row],[Eignir]]/SUMIFS(Table15[Eignir],Table15[Year],Table15[[#This Row],[Year]])</f>
        <v>-6.3608123443888661E-5</v>
      </c>
      <c r="F140" s="23">
        <f>IF(B140=1997, 100, IF(COUNTIF(A$1:A139,A140)=0, "NEW", F139*(1+Table15[[#This Row],[Ávöxtun]])))</f>
        <v>101.65512312</v>
      </c>
      <c r="G140" s="18" cm="1">
        <f t="array" ref="G140">IFERROR(_xlfn.IFS(ISNUMBER(Table15[[#This Row],[Column3]]),Table15[[#This Row],[Column3]],Table15[[#This Row],[Column3]]="NEW",Table15[[#This Row],[Column3]]),"")</f>
        <v>101.65512312</v>
      </c>
      <c r="H140" s="15" cm="1">
        <f t="array" ref="H140">_xlfn.IFS(Table15[[#This Row],[Column4]]="NEW",AVERAGEIFS(Table15[Column4],Table15[Year],Table15[[#This Row],[Year]]),ISNUMBER(Table15[[#This Row],[Column4]]),Table15[[#This Row],[Column4]],Table15[[#This Row],[Column4]]="",H139*(1+Table15[[#This Row],[Ávöxtun]]))</f>
        <v>101.65512312</v>
      </c>
      <c r="I140" s="30" cm="1">
        <f t="array" ref="I140">_xlfn.IFS(Table15[[#This Row],[Column4]]="NEW",_xlfn.XLOOKUP(Table15[[#This Row],[Year]]-1,$N$2:$N$27,$P$2:$P$27)*(1+Table15[[#This Row],[Ávöxtun]]),ISNUMBER(Table15[[#This Row],[Column4]]),Table15[[#This Row],[Column4]],Table15[[#This Row],[Column4]]="",I139*(1+Table15[[#This Row],[Ávöxtun]]))</f>
        <v>101.65512312</v>
      </c>
      <c r="L140" s="33">
        <v>101.65512312</v>
      </c>
      <c r="M140" s="33">
        <v>101.65512312</v>
      </c>
    </row>
    <row r="141" spans="1:13">
      <c r="A141" t="s">
        <v>68</v>
      </c>
      <c r="B141">
        <v>2003</v>
      </c>
      <c r="C141" s="16">
        <v>7.0000000000000007E-2</v>
      </c>
      <c r="D141" s="1">
        <v>1419171.14</v>
      </c>
      <c r="E141" s="29">
        <f>Table15[[#This Row],[Ávöxtun]]*Table15[[#This Row],[Eignir]]/SUMIFS(Table15[Eignir],Table15[Year],Table15[[#This Row],[Year]])</f>
        <v>1.3073181308625707E-4</v>
      </c>
      <c r="F141" s="23">
        <f>IF(B141=1997, 100, IF(COUNTIF(A$1:A140,A141)=0, "NEW", F140*(1+Table15[[#This Row],[Ávöxtun]])))</f>
        <v>108.77098173840001</v>
      </c>
      <c r="G141" s="18" cm="1">
        <f t="array" ref="G141">IFERROR(_xlfn.IFS(ISNUMBER(Table15[[#This Row],[Column3]]),Table15[[#This Row],[Column3]],Table15[[#This Row],[Column3]]="NEW",Table15[[#This Row],[Column3]]),"")</f>
        <v>108.77098173840001</v>
      </c>
      <c r="H141" s="15" cm="1">
        <f t="array" ref="H141">_xlfn.IFS(Table15[[#This Row],[Column4]]="NEW",AVERAGEIFS(Table15[Column4],Table15[Year],Table15[[#This Row],[Year]]),ISNUMBER(Table15[[#This Row],[Column4]]),Table15[[#This Row],[Column4]],Table15[[#This Row],[Column4]]="",H140*(1+Table15[[#This Row],[Ávöxtun]]))</f>
        <v>108.77098173840001</v>
      </c>
      <c r="I141" s="30" cm="1">
        <f t="array" ref="I141">_xlfn.IFS(Table15[[#This Row],[Column4]]="NEW",_xlfn.XLOOKUP(Table15[[#This Row],[Year]]-1,$N$2:$N$27,$P$2:$P$27)*(1+Table15[[#This Row],[Ávöxtun]]),ISNUMBER(Table15[[#This Row],[Column4]]),Table15[[#This Row],[Column4]],Table15[[#This Row],[Column4]]="",I140*(1+Table15[[#This Row],[Ávöxtun]]))</f>
        <v>108.77098173840001</v>
      </c>
      <c r="L141" s="33">
        <v>108.77098173840001</v>
      </c>
      <c r="M141" s="33">
        <v>108.77098173840001</v>
      </c>
    </row>
    <row r="142" spans="1:13">
      <c r="A142" t="s">
        <v>69</v>
      </c>
      <c r="B142">
        <v>1997</v>
      </c>
      <c r="C142" s="16">
        <v>0.03</v>
      </c>
      <c r="D142" s="1">
        <v>181986.57</v>
      </c>
      <c r="E142" s="29">
        <f>Table15[[#This Row],[Ávöxtun]]*Table15[[#This Row],[Eignir]]/SUMIFS(Table15[Eignir],Table15[Year],Table15[[#This Row],[Year]])</f>
        <v>1.6103802371332819E-5</v>
      </c>
      <c r="F142" s="23">
        <f>IF(B142=1997, 100, IF(COUNTIF(A$1:A141,A142)=0, "NEW", F141*(1+Table15[[#This Row],[Ávöxtun]])))</f>
        <v>100</v>
      </c>
      <c r="G142" s="18" cm="1">
        <f t="array" ref="G142">IFERROR(_xlfn.IFS(ISNUMBER(Table15[[#This Row],[Column3]]),Table15[[#This Row],[Column3]],Table15[[#This Row],[Column3]]="NEW",Table15[[#This Row],[Column3]]),"")</f>
        <v>100</v>
      </c>
      <c r="H142" s="15" cm="1">
        <f t="array" ref="H142">_xlfn.IFS(Table15[[#This Row],[Column4]]="NEW",AVERAGEIFS(Table15[Column4],Table15[Year],Table15[[#This Row],[Year]]),ISNUMBER(Table15[[#This Row],[Column4]]),Table15[[#This Row],[Column4]],Table15[[#This Row],[Column4]]="",H141*(1+Table15[[#This Row],[Ávöxtun]]))</f>
        <v>100</v>
      </c>
      <c r="I142" s="30" cm="1">
        <f t="array" ref="I142">_xlfn.IFS(Table15[[#This Row],[Column4]]="NEW",_xlfn.XLOOKUP(Table15[[#This Row],[Year]]-1,$N$2:$N$27,$P$2:$P$27)*(1+Table15[[#This Row],[Ávöxtun]]),ISNUMBER(Table15[[#This Row],[Column4]]),Table15[[#This Row],[Column4]],Table15[[#This Row],[Column4]]="",I141*(1+Table15[[#This Row],[Ávöxtun]]))</f>
        <v>100</v>
      </c>
      <c r="L142" s="33">
        <v>100</v>
      </c>
      <c r="M142" s="33">
        <v>100</v>
      </c>
    </row>
    <row r="143" spans="1:13">
      <c r="A143" t="s">
        <v>69</v>
      </c>
      <c r="B143">
        <v>1998</v>
      </c>
      <c r="C143" s="16">
        <v>0.04</v>
      </c>
      <c r="D143" s="1">
        <v>201857.63</v>
      </c>
      <c r="E143" s="29">
        <f>Table15[[#This Row],[Ávöxtun]]*Table15[[#This Row],[Eignir]]/SUMIFS(Table15[Eignir],Table15[Year],Table15[[#This Row],[Year]])</f>
        <v>2.0616918913316807E-5</v>
      </c>
      <c r="F143" s="23">
        <f>IF(B143=1997, 100, IF(COUNTIF(A$1:A142,A143)=0, "NEW", F142*(1+Table15[[#This Row],[Ávöxtun]])))</f>
        <v>104</v>
      </c>
      <c r="G143" s="18" cm="1">
        <f t="array" ref="G143">IFERROR(_xlfn.IFS(ISNUMBER(Table15[[#This Row],[Column3]]),Table15[[#This Row],[Column3]],Table15[[#This Row],[Column3]]="NEW",Table15[[#This Row],[Column3]]),"")</f>
        <v>104</v>
      </c>
      <c r="H143" s="15" cm="1">
        <f t="array" ref="H143">_xlfn.IFS(Table15[[#This Row],[Column4]]="NEW",AVERAGEIFS(Table15[Column4],Table15[Year],Table15[[#This Row],[Year]]),ISNUMBER(Table15[[#This Row],[Column4]]),Table15[[#This Row],[Column4]],Table15[[#This Row],[Column4]]="",H142*(1+Table15[[#This Row],[Ávöxtun]]))</f>
        <v>104</v>
      </c>
      <c r="I143" s="30" cm="1">
        <f t="array" ref="I143">_xlfn.IFS(Table15[[#This Row],[Column4]]="NEW",_xlfn.XLOOKUP(Table15[[#This Row],[Year]]-1,$N$2:$N$27,$P$2:$P$27)*(1+Table15[[#This Row],[Ávöxtun]]),ISNUMBER(Table15[[#This Row],[Column4]]),Table15[[#This Row],[Column4]],Table15[[#This Row],[Column4]]="",I142*(1+Table15[[#This Row],[Ávöxtun]]))</f>
        <v>104</v>
      </c>
      <c r="L143" s="33">
        <v>104</v>
      </c>
      <c r="M143" s="33">
        <v>104</v>
      </c>
    </row>
    <row r="144" spans="1:13">
      <c r="A144" t="s">
        <v>69</v>
      </c>
      <c r="B144">
        <v>1999</v>
      </c>
      <c r="C144" s="16">
        <v>0</v>
      </c>
      <c r="D144" s="1">
        <v>134620.59</v>
      </c>
      <c r="E144" s="29">
        <f>Table15[[#This Row],[Ávöxtun]]*Table15[[#This Row],[Eignir]]/SUMIFS(Table15[Eignir],Table15[Year],Table15[[#This Row],[Year]])</f>
        <v>0</v>
      </c>
      <c r="F144" s="23">
        <f>IF(B144=1997, 100, IF(COUNTIF(A$1:A143,A144)=0, "NEW", F143*(1+Table15[[#This Row],[Ávöxtun]])))</f>
        <v>104</v>
      </c>
      <c r="G144" s="18" cm="1">
        <f t="array" ref="G144">IFERROR(_xlfn.IFS(ISNUMBER(Table15[[#This Row],[Column3]]),Table15[[#This Row],[Column3]],Table15[[#This Row],[Column3]]="NEW",Table15[[#This Row],[Column3]]),"")</f>
        <v>104</v>
      </c>
      <c r="H144" s="15" cm="1">
        <f t="array" ref="H144">_xlfn.IFS(Table15[[#This Row],[Column4]]="NEW",AVERAGEIFS(Table15[Column4],Table15[Year],Table15[[#This Row],[Year]]),ISNUMBER(Table15[[#This Row],[Column4]]),Table15[[#This Row],[Column4]],Table15[[#This Row],[Column4]]="",H143*(1+Table15[[#This Row],[Ávöxtun]]))</f>
        <v>104</v>
      </c>
      <c r="I144" s="30" cm="1">
        <f t="array" ref="I144">_xlfn.IFS(Table15[[#This Row],[Column4]]="NEW",_xlfn.XLOOKUP(Table15[[#This Row],[Year]]-1,$N$2:$N$27,$P$2:$P$27)*(1+Table15[[#This Row],[Ávöxtun]]),ISNUMBER(Table15[[#This Row],[Column4]]),Table15[[#This Row],[Column4]],Table15[[#This Row],[Column4]]="",I143*(1+Table15[[#This Row],[Ávöxtun]]))</f>
        <v>104</v>
      </c>
      <c r="L144" s="33">
        <v>104</v>
      </c>
      <c r="M144" s="33">
        <v>104</v>
      </c>
    </row>
    <row r="145" spans="1:13">
      <c r="A145" t="s">
        <v>69</v>
      </c>
      <c r="B145">
        <v>2000</v>
      </c>
      <c r="C145" s="16">
        <v>0.02</v>
      </c>
      <c r="D145" s="1">
        <v>109293.44</v>
      </c>
      <c r="E145" s="29">
        <f>Table15[[#This Row],[Ávöxtun]]*Table15[[#This Row],[Eignir]]/SUMIFS(Table15[Eignir],Table15[Year],Table15[[#This Row],[Year]])</f>
        <v>3.0748353318919055E-6</v>
      </c>
      <c r="F145" s="23">
        <f>IF(B145=1997, 100, IF(COUNTIF(A$1:A144,A145)=0, "NEW", F144*(1+Table15[[#This Row],[Ávöxtun]])))</f>
        <v>106.08</v>
      </c>
      <c r="G145" s="18" cm="1">
        <f t="array" ref="G145">IFERROR(_xlfn.IFS(ISNUMBER(Table15[[#This Row],[Column3]]),Table15[[#This Row],[Column3]],Table15[[#This Row],[Column3]]="NEW",Table15[[#This Row],[Column3]]),"")</f>
        <v>106.08</v>
      </c>
      <c r="H145" s="15" cm="1">
        <f t="array" ref="H145">_xlfn.IFS(Table15[[#This Row],[Column4]]="NEW",AVERAGEIFS(Table15[Column4],Table15[Year],Table15[[#This Row],[Year]]),ISNUMBER(Table15[[#This Row],[Column4]]),Table15[[#This Row],[Column4]],Table15[[#This Row],[Column4]]="",H144*(1+Table15[[#This Row],[Ávöxtun]]))</f>
        <v>106.08</v>
      </c>
      <c r="I145" s="30" cm="1">
        <f t="array" ref="I145">_xlfn.IFS(Table15[[#This Row],[Column4]]="NEW",_xlfn.XLOOKUP(Table15[[#This Row],[Year]]-1,$N$2:$N$27,$P$2:$P$27)*(1+Table15[[#This Row],[Ávöxtun]]),ISNUMBER(Table15[[#This Row],[Column4]]),Table15[[#This Row],[Column4]],Table15[[#This Row],[Column4]]="",I144*(1+Table15[[#This Row],[Ávöxtun]]))</f>
        <v>106.08</v>
      </c>
      <c r="L145" s="33">
        <v>106.08</v>
      </c>
      <c r="M145" s="33">
        <v>106.08</v>
      </c>
    </row>
    <row r="146" spans="1:13">
      <c r="A146" t="s">
        <v>69</v>
      </c>
      <c r="B146">
        <v>2001</v>
      </c>
      <c r="C146" s="16">
        <v>0</v>
      </c>
      <c r="D146" s="1">
        <v>103756</v>
      </c>
      <c r="E146" s="29">
        <f>Table15[[#This Row],[Ávöxtun]]*Table15[[#This Row],[Eignir]]/SUMIFS(Table15[Eignir],Table15[Year],Table15[[#This Row],[Year]])</f>
        <v>0</v>
      </c>
      <c r="F146" s="23">
        <f>IF(B146=1997, 100, IF(COUNTIF(A$1:A145,A146)=0, "NEW", F145*(1+Table15[[#This Row],[Ávöxtun]])))</f>
        <v>106.08</v>
      </c>
      <c r="G146" s="18" cm="1">
        <f t="array" ref="G146">IFERROR(_xlfn.IFS(ISNUMBER(Table15[[#This Row],[Column3]]),Table15[[#This Row],[Column3]],Table15[[#This Row],[Column3]]="NEW",Table15[[#This Row],[Column3]]),"")</f>
        <v>106.08</v>
      </c>
      <c r="H146" s="15" cm="1">
        <f t="array" ref="H146">_xlfn.IFS(Table15[[#This Row],[Column4]]="NEW",AVERAGEIFS(Table15[Column4],Table15[Year],Table15[[#This Row],[Year]]),ISNUMBER(Table15[[#This Row],[Column4]]),Table15[[#This Row],[Column4]],Table15[[#This Row],[Column4]]="",H145*(1+Table15[[#This Row],[Ávöxtun]]))</f>
        <v>106.08</v>
      </c>
      <c r="I146" s="30" cm="1">
        <f t="array" ref="I146">_xlfn.IFS(Table15[[#This Row],[Column4]]="NEW",_xlfn.XLOOKUP(Table15[[#This Row],[Year]]-1,$N$2:$N$27,$P$2:$P$27)*(1+Table15[[#This Row],[Ávöxtun]]),ISNUMBER(Table15[[#This Row],[Column4]]),Table15[[#This Row],[Column4]],Table15[[#This Row],[Column4]]="",I145*(1+Table15[[#This Row],[Ávöxtun]]))</f>
        <v>106.08</v>
      </c>
      <c r="L146" s="33">
        <v>106.08</v>
      </c>
      <c r="M146" s="33">
        <v>106.08</v>
      </c>
    </row>
    <row r="147" spans="1:13">
      <c r="A147" t="s">
        <v>69</v>
      </c>
      <c r="B147">
        <v>2002</v>
      </c>
      <c r="C147" s="16">
        <v>0.02</v>
      </c>
      <c r="D147" s="1">
        <v>104163.4</v>
      </c>
      <c r="E147" s="29">
        <f>Table15[[#This Row],[Ávöxtun]]*Table15[[#This Row],[Eignir]]/SUMIFS(Table15[Eignir],Table15[Year],Table15[[#This Row],[Year]])</f>
        <v>3.2798891160425097E-6</v>
      </c>
      <c r="F147" s="23">
        <f>IF(B147=1997, 100, IF(COUNTIF(A$1:A146,A147)=0, "NEW", F146*(1+Table15[[#This Row],[Ávöxtun]])))</f>
        <v>108.2016</v>
      </c>
      <c r="G147" s="18" cm="1">
        <f t="array" ref="G147">IFERROR(_xlfn.IFS(ISNUMBER(Table15[[#This Row],[Column3]]),Table15[[#This Row],[Column3]],Table15[[#This Row],[Column3]]="NEW",Table15[[#This Row],[Column3]]),"")</f>
        <v>108.2016</v>
      </c>
      <c r="H147" s="15" cm="1">
        <f t="array" ref="H147">_xlfn.IFS(Table15[[#This Row],[Column4]]="NEW",AVERAGEIFS(Table15[Column4],Table15[Year],Table15[[#This Row],[Year]]),ISNUMBER(Table15[[#This Row],[Column4]]),Table15[[#This Row],[Column4]],Table15[[#This Row],[Column4]]="",H146*(1+Table15[[#This Row],[Ávöxtun]]))</f>
        <v>108.2016</v>
      </c>
      <c r="I147" s="30" cm="1">
        <f t="array" ref="I147">_xlfn.IFS(Table15[[#This Row],[Column4]]="NEW",_xlfn.XLOOKUP(Table15[[#This Row],[Year]]-1,$N$2:$N$27,$P$2:$P$27)*(1+Table15[[#This Row],[Ávöxtun]]),ISNUMBER(Table15[[#This Row],[Column4]]),Table15[[#This Row],[Column4]],Table15[[#This Row],[Column4]]="",I146*(1+Table15[[#This Row],[Ávöxtun]]))</f>
        <v>108.2016</v>
      </c>
      <c r="L147" s="33">
        <v>108.2016</v>
      </c>
      <c r="M147" s="33">
        <v>108.2016</v>
      </c>
    </row>
    <row r="148" spans="1:13">
      <c r="A148" t="s">
        <v>69</v>
      </c>
      <c r="B148">
        <v>2003</v>
      </c>
      <c r="C148" s="16">
        <v>0.01</v>
      </c>
      <c r="D148" s="1">
        <v>97770</v>
      </c>
      <c r="E148" s="29">
        <f>Table15[[#This Row],[Ávöxtun]]*Table15[[#This Row],[Eignir]]/SUMIFS(Table15[Eignir],Table15[Year],Table15[[#This Row],[Year]])</f>
        <v>1.2866312299368282E-6</v>
      </c>
      <c r="F148" s="23">
        <f>IF(B148=1997, 100, IF(COUNTIF(A$1:A147,A148)=0, "NEW", F147*(1+Table15[[#This Row],[Ávöxtun]])))</f>
        <v>109.28361599999999</v>
      </c>
      <c r="G148" s="18" cm="1">
        <f t="array" ref="G148">IFERROR(_xlfn.IFS(ISNUMBER(Table15[[#This Row],[Column3]]),Table15[[#This Row],[Column3]],Table15[[#This Row],[Column3]]="NEW",Table15[[#This Row],[Column3]]),"")</f>
        <v>109.28361599999999</v>
      </c>
      <c r="H148" s="15" cm="1">
        <f t="array" ref="H148">_xlfn.IFS(Table15[[#This Row],[Column4]]="NEW",AVERAGEIFS(Table15[Column4],Table15[Year],Table15[[#This Row],[Year]]),ISNUMBER(Table15[[#This Row],[Column4]]),Table15[[#This Row],[Column4]],Table15[[#This Row],[Column4]]="",H147*(1+Table15[[#This Row],[Ávöxtun]]))</f>
        <v>109.28361599999999</v>
      </c>
      <c r="I148" s="30" cm="1">
        <f t="array" ref="I148">_xlfn.IFS(Table15[[#This Row],[Column4]]="NEW",_xlfn.XLOOKUP(Table15[[#This Row],[Year]]-1,$N$2:$N$27,$P$2:$P$27)*(1+Table15[[#This Row],[Ávöxtun]]),ISNUMBER(Table15[[#This Row],[Column4]]),Table15[[#This Row],[Column4]],Table15[[#This Row],[Column4]]="",I147*(1+Table15[[#This Row],[Ávöxtun]]))</f>
        <v>109.28361599999999</v>
      </c>
      <c r="L148" s="33">
        <v>109.28361599999999</v>
      </c>
      <c r="M148" s="33">
        <v>109.28361599999999</v>
      </c>
    </row>
    <row r="149" spans="1:13">
      <c r="A149" t="s">
        <v>69</v>
      </c>
      <c r="B149">
        <v>2004</v>
      </c>
      <c r="C149" s="16">
        <v>0.01</v>
      </c>
      <c r="D149" s="1">
        <v>90196</v>
      </c>
      <c r="E149" s="29">
        <f>Table15[[#This Row],[Ávöxtun]]*Table15[[#This Row],[Eignir]]/SUMIFS(Table15[Eignir],Table15[Year],Table15[[#This Row],[Year]])</f>
        <v>9.9370870206599543E-7</v>
      </c>
      <c r="F149" s="23">
        <f>IF(B149=1997, 100, IF(COUNTIF(A$1:A148,A149)=0, "NEW", F148*(1+Table15[[#This Row],[Ávöxtun]])))</f>
        <v>110.37645216</v>
      </c>
      <c r="G149" s="18" cm="1">
        <f t="array" ref="G149">IFERROR(_xlfn.IFS(ISNUMBER(Table15[[#This Row],[Column3]]),Table15[[#This Row],[Column3]],Table15[[#This Row],[Column3]]="NEW",Table15[[#This Row],[Column3]]),"")</f>
        <v>110.37645216</v>
      </c>
      <c r="H149" s="15" cm="1">
        <f t="array" ref="H149">_xlfn.IFS(Table15[[#This Row],[Column4]]="NEW",AVERAGEIFS(Table15[Column4],Table15[Year],Table15[[#This Row],[Year]]),ISNUMBER(Table15[[#This Row],[Column4]]),Table15[[#This Row],[Column4]],Table15[[#This Row],[Column4]]="",H148*(1+Table15[[#This Row],[Ávöxtun]]))</f>
        <v>110.37645216</v>
      </c>
      <c r="I149" s="30" cm="1">
        <f t="array" ref="I149">_xlfn.IFS(Table15[[#This Row],[Column4]]="NEW",_xlfn.XLOOKUP(Table15[[#This Row],[Year]]-1,$N$2:$N$27,$P$2:$P$27)*(1+Table15[[#This Row],[Ávöxtun]]),ISNUMBER(Table15[[#This Row],[Column4]]),Table15[[#This Row],[Column4]],Table15[[#This Row],[Column4]]="",I148*(1+Table15[[#This Row],[Ávöxtun]]))</f>
        <v>110.37645216</v>
      </c>
      <c r="L149" s="33">
        <v>110.37645216</v>
      </c>
      <c r="M149" s="33">
        <v>110.37645216</v>
      </c>
    </row>
    <row r="150" spans="1:13">
      <c r="A150" t="s">
        <v>69</v>
      </c>
      <c r="B150">
        <v>2005</v>
      </c>
      <c r="C150" s="16">
        <v>0</v>
      </c>
      <c r="D150" s="1">
        <v>71767</v>
      </c>
      <c r="E150" s="29">
        <f>Table15[[#This Row],[Ávöxtun]]*Table15[[#This Row],[Eignir]]/SUMIFS(Table15[Eignir],Table15[Year],Table15[[#This Row],[Year]])</f>
        <v>0</v>
      </c>
      <c r="F150" s="23">
        <f>IF(B150=1997, 100, IF(COUNTIF(A$1:A149,A150)=0, "NEW", F149*(1+Table15[[#This Row],[Ávöxtun]])))</f>
        <v>110.37645216</v>
      </c>
      <c r="G150" s="18" cm="1">
        <f t="array" ref="G150">IFERROR(_xlfn.IFS(ISNUMBER(Table15[[#This Row],[Column3]]),Table15[[#This Row],[Column3]],Table15[[#This Row],[Column3]]="NEW",Table15[[#This Row],[Column3]]),"")</f>
        <v>110.37645216</v>
      </c>
      <c r="H150" s="15" cm="1">
        <f t="array" ref="H150">_xlfn.IFS(Table15[[#This Row],[Column4]]="NEW",AVERAGEIFS(Table15[Column4],Table15[Year],Table15[[#This Row],[Year]]),ISNUMBER(Table15[[#This Row],[Column4]]),Table15[[#This Row],[Column4]],Table15[[#This Row],[Column4]]="",H149*(1+Table15[[#This Row],[Ávöxtun]]))</f>
        <v>110.37645216</v>
      </c>
      <c r="I150" s="30" cm="1">
        <f t="array" ref="I150">_xlfn.IFS(Table15[[#This Row],[Column4]]="NEW",_xlfn.XLOOKUP(Table15[[#This Row],[Year]]-1,$N$2:$N$27,$P$2:$P$27)*(1+Table15[[#This Row],[Ávöxtun]]),ISNUMBER(Table15[[#This Row],[Column4]]),Table15[[#This Row],[Column4]],Table15[[#This Row],[Column4]]="",I149*(1+Table15[[#This Row],[Ávöxtun]]))</f>
        <v>110.37645216</v>
      </c>
      <c r="L150" s="33">
        <v>110.37645216</v>
      </c>
      <c r="M150" s="33">
        <v>110.37645216</v>
      </c>
    </row>
    <row r="151" spans="1:13">
      <c r="A151" t="s">
        <v>69</v>
      </c>
      <c r="B151">
        <v>2006</v>
      </c>
      <c r="C151" s="16">
        <v>-4.7400000000000005E-2</v>
      </c>
      <c r="D151" s="1">
        <v>42744</v>
      </c>
      <c r="E151" s="29">
        <f>Table15[[#This Row],[Ávöxtun]]*Table15[[#This Row],[Eignir]]/SUMIFS(Table15[Eignir],Table15[Year],Table15[[#This Row],[Year]])</f>
        <v>-1.4759973448643703E-6</v>
      </c>
      <c r="F151" s="23">
        <f>IF(B151=1997, 100, IF(COUNTIF(A$1:A150,A151)=0, "NEW", F150*(1+Table15[[#This Row],[Ávöxtun]])))</f>
        <v>105.144608327616</v>
      </c>
      <c r="G151" s="18" cm="1">
        <f t="array" ref="G151">IFERROR(_xlfn.IFS(ISNUMBER(Table15[[#This Row],[Column3]]),Table15[[#This Row],[Column3]],Table15[[#This Row],[Column3]]="NEW",Table15[[#This Row],[Column3]]),"")</f>
        <v>105.144608327616</v>
      </c>
      <c r="H151" s="15" cm="1">
        <f t="array" ref="H151">_xlfn.IFS(Table15[[#This Row],[Column4]]="NEW",AVERAGEIFS(Table15[Column4],Table15[Year],Table15[[#This Row],[Year]]),ISNUMBER(Table15[[#This Row],[Column4]]),Table15[[#This Row],[Column4]],Table15[[#This Row],[Column4]]="",H150*(1+Table15[[#This Row],[Ávöxtun]]))</f>
        <v>105.144608327616</v>
      </c>
      <c r="I151" s="30" cm="1">
        <f t="array" ref="I151">_xlfn.IFS(Table15[[#This Row],[Column4]]="NEW",_xlfn.XLOOKUP(Table15[[#This Row],[Year]]-1,$N$2:$N$27,$P$2:$P$27)*(1+Table15[[#This Row],[Ávöxtun]]),ISNUMBER(Table15[[#This Row],[Column4]]),Table15[[#This Row],[Column4]],Table15[[#This Row],[Column4]]="",I150*(1+Table15[[#This Row],[Ávöxtun]]))</f>
        <v>105.144608327616</v>
      </c>
      <c r="L151" s="33">
        <v>105.144608327616</v>
      </c>
      <c r="M151" s="33">
        <v>105.144608327616</v>
      </c>
    </row>
    <row r="152" spans="1:13">
      <c r="A152" t="s">
        <v>69</v>
      </c>
      <c r="B152">
        <v>2007</v>
      </c>
      <c r="C152" s="16">
        <v>-3.4599999999999999E-2</v>
      </c>
      <c r="D152" s="1">
        <v>39014</v>
      </c>
      <c r="E152" s="29">
        <f>Table15[[#This Row],[Ávöxtun]]*Table15[[#This Row],[Eignir]]/SUMIFS(Table15[Eignir],Table15[Year],Table15[[#This Row],[Year]])</f>
        <v>-8.7291607220167749E-7</v>
      </c>
      <c r="F152" s="23">
        <f>IF(B152=1997, 100, IF(COUNTIF(A$1:A151,A152)=0, "NEW", F151*(1+Table15[[#This Row],[Ávöxtun]])))</f>
        <v>101.50660487948049</v>
      </c>
      <c r="G152" s="18" cm="1">
        <f t="array" ref="G152">IFERROR(_xlfn.IFS(ISNUMBER(Table15[[#This Row],[Column3]]),Table15[[#This Row],[Column3]],Table15[[#This Row],[Column3]]="NEW",Table15[[#This Row],[Column3]]),"")</f>
        <v>101.50660487948049</v>
      </c>
      <c r="H152" s="15" cm="1">
        <f t="array" ref="H152">_xlfn.IFS(Table15[[#This Row],[Column4]]="NEW",AVERAGEIFS(Table15[Column4],Table15[Year],Table15[[#This Row],[Year]]),ISNUMBER(Table15[[#This Row],[Column4]]),Table15[[#This Row],[Column4]],Table15[[#This Row],[Column4]]="",H151*(1+Table15[[#This Row],[Ávöxtun]]))</f>
        <v>101.50660487948049</v>
      </c>
      <c r="I152" s="30" cm="1">
        <f t="array" ref="I152">_xlfn.IFS(Table15[[#This Row],[Column4]]="NEW",_xlfn.XLOOKUP(Table15[[#This Row],[Year]]-1,$N$2:$N$27,$P$2:$P$27)*(1+Table15[[#This Row],[Ávöxtun]]),ISNUMBER(Table15[[#This Row],[Column4]]),Table15[[#This Row],[Column4]],Table15[[#This Row],[Column4]]="",I151*(1+Table15[[#This Row],[Ávöxtun]]))</f>
        <v>101.50660487948049</v>
      </c>
      <c r="L152" s="33">
        <v>101.50660487948049</v>
      </c>
      <c r="M152" s="33">
        <v>101.50660487948049</v>
      </c>
    </row>
    <row r="153" spans="1:13">
      <c r="A153" t="s">
        <v>69</v>
      </c>
      <c r="B153">
        <v>2008</v>
      </c>
      <c r="C153" s="16">
        <v>-8.900000000000001E-2</v>
      </c>
      <c r="D153" s="1">
        <v>22083</v>
      </c>
      <c r="E153" s="29">
        <f>Table15[[#This Row],[Ávöxtun]]*Table15[[#This Row],[Eignir]]/SUMIFS(Table15[Eignir],Table15[Year],Table15[[#This Row],[Year]])</f>
        <v>-1.3126050235389493E-6</v>
      </c>
      <c r="F153" s="23">
        <f>IF(B153=1997, 100, IF(COUNTIF(A$1:A152,A153)=0, "NEW", F152*(1+Table15[[#This Row],[Ávöxtun]])))</f>
        <v>92.472517045206729</v>
      </c>
      <c r="G153" s="18" cm="1">
        <f t="array" ref="G153">IFERROR(_xlfn.IFS(ISNUMBER(Table15[[#This Row],[Column3]]),Table15[[#This Row],[Column3]],Table15[[#This Row],[Column3]]="NEW",Table15[[#This Row],[Column3]]),"")</f>
        <v>92.472517045206729</v>
      </c>
      <c r="H153" s="15" cm="1">
        <f t="array" ref="H153">_xlfn.IFS(Table15[[#This Row],[Column4]]="NEW",AVERAGEIFS(Table15[Column4],Table15[Year],Table15[[#This Row],[Year]]),ISNUMBER(Table15[[#This Row],[Column4]]),Table15[[#This Row],[Column4]],Table15[[#This Row],[Column4]]="",H152*(1+Table15[[#This Row],[Ávöxtun]]))</f>
        <v>92.472517045206729</v>
      </c>
      <c r="I153" s="30" cm="1">
        <f t="array" ref="I153">_xlfn.IFS(Table15[[#This Row],[Column4]]="NEW",_xlfn.XLOOKUP(Table15[[#This Row],[Year]]-1,$N$2:$N$27,$P$2:$P$27)*(1+Table15[[#This Row],[Ávöxtun]]),ISNUMBER(Table15[[#This Row],[Column4]]),Table15[[#This Row],[Column4]],Table15[[#This Row],[Column4]]="",I152*(1+Table15[[#This Row],[Ávöxtun]]))</f>
        <v>92.472517045206729</v>
      </c>
      <c r="L153" s="33">
        <v>92.472517045206729</v>
      </c>
      <c r="M153" s="33">
        <v>92.472517045206729</v>
      </c>
    </row>
    <row r="154" spans="1:13">
      <c r="A154" t="s">
        <v>69</v>
      </c>
      <c r="B154">
        <v>2009</v>
      </c>
      <c r="C154" s="16">
        <v>-7.0999999999999994E-2</v>
      </c>
      <c r="D154" s="1">
        <v>20946</v>
      </c>
      <c r="E154" s="29">
        <f>Table15[[#This Row],[Ávöxtun]]*Table15[[#This Row],[Eignir]]/SUMIFS(Table15[Eignir],Table15[Year],Table15[[#This Row],[Year]])</f>
        <v>-8.9144825425861776E-7</v>
      </c>
      <c r="F154" s="23">
        <f>IF(B154=1997, 100, IF(COUNTIF(A$1:A153,A154)=0, "NEW", F153*(1+Table15[[#This Row],[Ávöxtun]])))</f>
        <v>85.90696833499706</v>
      </c>
      <c r="G154" s="18" cm="1">
        <f t="array" ref="G154">IFERROR(_xlfn.IFS(ISNUMBER(Table15[[#This Row],[Column3]]),Table15[[#This Row],[Column3]],Table15[[#This Row],[Column3]]="NEW",Table15[[#This Row],[Column3]]),"")</f>
        <v>85.90696833499706</v>
      </c>
      <c r="H154" s="15" cm="1">
        <f t="array" ref="H154">_xlfn.IFS(Table15[[#This Row],[Column4]]="NEW",AVERAGEIFS(Table15[Column4],Table15[Year],Table15[[#This Row],[Year]]),ISNUMBER(Table15[[#This Row],[Column4]]),Table15[[#This Row],[Column4]],Table15[[#This Row],[Column4]]="",H153*(1+Table15[[#This Row],[Ávöxtun]]))</f>
        <v>85.90696833499706</v>
      </c>
      <c r="I154" s="30" cm="1">
        <f t="array" ref="I154">_xlfn.IFS(Table15[[#This Row],[Column4]]="NEW",_xlfn.XLOOKUP(Table15[[#This Row],[Year]]-1,$N$2:$N$27,$P$2:$P$27)*(1+Table15[[#This Row],[Ávöxtun]]),ISNUMBER(Table15[[#This Row],[Column4]]),Table15[[#This Row],[Column4]],Table15[[#This Row],[Column4]]="",I153*(1+Table15[[#This Row],[Ávöxtun]]))</f>
        <v>85.90696833499706</v>
      </c>
      <c r="L154" s="33">
        <v>85.90696833499706</v>
      </c>
      <c r="M154" s="33">
        <v>85.90696833499706</v>
      </c>
    </row>
    <row r="155" spans="1:13">
      <c r="A155" t="s">
        <v>69</v>
      </c>
      <c r="B155">
        <v>2010</v>
      </c>
      <c r="C155" s="16">
        <v>-0.35869999999999996</v>
      </c>
      <c r="D155" s="1">
        <v>32349</v>
      </c>
      <c r="E155" s="29">
        <f>Table15[[#This Row],[Ávöxtun]]*Table15[[#This Row],[Eignir]]/SUMIFS(Table15[Eignir],Table15[Year],Table15[[#This Row],[Year]])</f>
        <v>-6.4904763052310196E-6</v>
      </c>
      <c r="F155" s="23">
        <f>IF(B155=1997, 100, IF(COUNTIF(A$1:A154,A155)=0, "NEW", F154*(1+Table15[[#This Row],[Ávöxtun]])))</f>
        <v>55.092138793233616</v>
      </c>
      <c r="G155" s="18" cm="1">
        <f t="array" ref="G155">IFERROR(_xlfn.IFS(ISNUMBER(Table15[[#This Row],[Column3]]),Table15[[#This Row],[Column3]],Table15[[#This Row],[Column3]]="NEW",Table15[[#This Row],[Column3]]),"")</f>
        <v>55.092138793233616</v>
      </c>
      <c r="H155" s="15" cm="1">
        <f t="array" ref="H155">_xlfn.IFS(Table15[[#This Row],[Column4]]="NEW",AVERAGEIFS(Table15[Column4],Table15[Year],Table15[[#This Row],[Year]]),ISNUMBER(Table15[[#This Row],[Column4]]),Table15[[#This Row],[Column4]],Table15[[#This Row],[Column4]]="",H154*(1+Table15[[#This Row],[Ávöxtun]]))</f>
        <v>55.092138793233616</v>
      </c>
      <c r="I155" s="30" cm="1">
        <f t="array" ref="I155">_xlfn.IFS(Table15[[#This Row],[Column4]]="NEW",_xlfn.XLOOKUP(Table15[[#This Row],[Year]]-1,$N$2:$N$27,$P$2:$P$27)*(1+Table15[[#This Row],[Ávöxtun]]),ISNUMBER(Table15[[#This Row],[Column4]]),Table15[[#This Row],[Column4]],Table15[[#This Row],[Column4]]="",I154*(1+Table15[[#This Row],[Ávöxtun]]))</f>
        <v>55.092138793233616</v>
      </c>
      <c r="L155" s="33">
        <v>55.092138793233616</v>
      </c>
      <c r="M155" s="33">
        <v>55.092138793233616</v>
      </c>
    </row>
    <row r="156" spans="1:13">
      <c r="A156" t="s">
        <v>69</v>
      </c>
      <c r="B156">
        <v>2011</v>
      </c>
      <c r="C156" s="16">
        <v>-0.33200000000000002</v>
      </c>
      <c r="D156" s="1">
        <v>25992</v>
      </c>
      <c r="E156" s="29">
        <f>Table15[[#This Row],[Ávöxtun]]*Table15[[#This Row],[Eignir]]/SUMIFS(Table15[Eignir],Table15[Year],Table15[[#This Row],[Year]])</f>
        <v>-4.4240367590490504E-6</v>
      </c>
      <c r="F156" s="23">
        <f>IF(B156=1997, 100, IF(COUNTIF(A$1:A155,A156)=0, "NEW", F155*(1+Table15[[#This Row],[Ávöxtun]])))</f>
        <v>36.801548713880052</v>
      </c>
      <c r="G156" s="18" cm="1">
        <f t="array" ref="G156">IFERROR(_xlfn.IFS(ISNUMBER(Table15[[#This Row],[Column3]]),Table15[[#This Row],[Column3]],Table15[[#This Row],[Column3]]="NEW",Table15[[#This Row],[Column3]]),"")</f>
        <v>36.801548713880052</v>
      </c>
      <c r="H156" s="15" cm="1">
        <f t="array" ref="H156">_xlfn.IFS(Table15[[#This Row],[Column4]]="NEW",AVERAGEIFS(Table15[Column4],Table15[Year],Table15[[#This Row],[Year]]),ISNUMBER(Table15[[#This Row],[Column4]]),Table15[[#This Row],[Column4]],Table15[[#This Row],[Column4]]="",H155*(1+Table15[[#This Row],[Ávöxtun]]))</f>
        <v>36.801548713880052</v>
      </c>
      <c r="I156" s="30" cm="1">
        <f t="array" ref="I156">_xlfn.IFS(Table15[[#This Row],[Column4]]="NEW",_xlfn.XLOOKUP(Table15[[#This Row],[Year]]-1,$N$2:$N$27,$P$2:$P$27)*(1+Table15[[#This Row],[Ávöxtun]]),ISNUMBER(Table15[[#This Row],[Column4]]),Table15[[#This Row],[Column4]],Table15[[#This Row],[Column4]]="",I155*(1+Table15[[#This Row],[Ávöxtun]]))</f>
        <v>36.801548713880052</v>
      </c>
      <c r="L156" s="33">
        <v>36.801548713880052</v>
      </c>
      <c r="M156" s="33">
        <v>36.801548713880052</v>
      </c>
    </row>
    <row r="157" spans="1:13">
      <c r="A157" t="s">
        <v>69</v>
      </c>
      <c r="B157">
        <v>2012</v>
      </c>
      <c r="C157" s="16">
        <v>-0.47500000000000003</v>
      </c>
      <c r="D157" s="1">
        <v>18178</v>
      </c>
      <c r="E157" s="29">
        <f>Table15[[#This Row],[Ávöxtun]]*Table15[[#This Row],[Eignir]]/SUMIFS(Table15[Eignir],Table15[Year],Table15[[#This Row],[Year]])</f>
        <v>-3.9197300853494101E-6</v>
      </c>
      <c r="F157" s="23">
        <f>IF(B157=1997, 100, IF(COUNTIF(A$1:A156,A157)=0, "NEW", F156*(1+Table15[[#This Row],[Ávöxtun]])))</f>
        <v>19.320813074787026</v>
      </c>
      <c r="G157" s="18" cm="1">
        <f t="array" ref="G157">IFERROR(_xlfn.IFS(ISNUMBER(Table15[[#This Row],[Column3]]),Table15[[#This Row],[Column3]],Table15[[#This Row],[Column3]]="NEW",Table15[[#This Row],[Column3]]),"")</f>
        <v>19.320813074787026</v>
      </c>
      <c r="H157" s="15" cm="1">
        <f t="array" ref="H157">_xlfn.IFS(Table15[[#This Row],[Column4]]="NEW",AVERAGEIFS(Table15[Column4],Table15[Year],Table15[[#This Row],[Year]]),ISNUMBER(Table15[[#This Row],[Column4]]),Table15[[#This Row],[Column4]],Table15[[#This Row],[Column4]]="",H156*(1+Table15[[#This Row],[Ávöxtun]]))</f>
        <v>19.320813074787026</v>
      </c>
      <c r="I157" s="30" cm="1">
        <f t="array" ref="I157">_xlfn.IFS(Table15[[#This Row],[Column4]]="NEW",_xlfn.XLOOKUP(Table15[[#This Row],[Year]]-1,$N$2:$N$27,$P$2:$P$27)*(1+Table15[[#This Row],[Ávöxtun]]),ISNUMBER(Table15[[#This Row],[Column4]]),Table15[[#This Row],[Column4]],Table15[[#This Row],[Column4]]="",I156*(1+Table15[[#This Row],[Ávöxtun]]))</f>
        <v>19.320813074787026</v>
      </c>
      <c r="L157" s="33">
        <v>19.320813074787026</v>
      </c>
      <c r="M157" s="33">
        <v>19.320813074787026</v>
      </c>
    </row>
    <row r="158" spans="1:13">
      <c r="A158" t="s">
        <v>69</v>
      </c>
      <c r="B158">
        <v>2013</v>
      </c>
      <c r="C158" s="16">
        <v>-0.81599999999999995</v>
      </c>
      <c r="D158" s="1">
        <v>9224</v>
      </c>
      <c r="E158" s="29">
        <f>Table15[[#This Row],[Ávöxtun]]*Table15[[#This Row],[Eignir]]/SUMIFS(Table15[Eignir],Table15[Year],Table15[[#This Row],[Year]])</f>
        <v>-3.0928859735330809E-6</v>
      </c>
      <c r="F158" s="23">
        <f>IF(B158=1997, 100, IF(COUNTIF(A$1:A157,A158)=0, "NEW", F157*(1+Table15[[#This Row],[Ávöxtun]])))</f>
        <v>3.5550296057608137</v>
      </c>
      <c r="G158" s="18" cm="1">
        <f t="array" ref="G158">IFERROR(_xlfn.IFS(ISNUMBER(Table15[[#This Row],[Column3]]),Table15[[#This Row],[Column3]],Table15[[#This Row],[Column3]]="NEW",Table15[[#This Row],[Column3]]),"")</f>
        <v>3.5550296057608137</v>
      </c>
      <c r="H158" s="15" cm="1">
        <f t="array" ref="H158">_xlfn.IFS(Table15[[#This Row],[Column4]]="NEW",AVERAGEIFS(Table15[Column4],Table15[Year],Table15[[#This Row],[Year]]),ISNUMBER(Table15[[#This Row],[Column4]]),Table15[[#This Row],[Column4]],Table15[[#This Row],[Column4]]="",H157*(1+Table15[[#This Row],[Ávöxtun]]))</f>
        <v>3.5550296057608137</v>
      </c>
      <c r="I158" s="30" cm="1">
        <f t="array" ref="I158">_xlfn.IFS(Table15[[#This Row],[Column4]]="NEW",_xlfn.XLOOKUP(Table15[[#This Row],[Year]]-1,$N$2:$N$27,$P$2:$P$27)*(1+Table15[[#This Row],[Ávöxtun]]),ISNUMBER(Table15[[#This Row],[Column4]]),Table15[[#This Row],[Column4]],Table15[[#This Row],[Column4]]="",I157*(1+Table15[[#This Row],[Ávöxtun]]))</f>
        <v>3.5550296057608137</v>
      </c>
      <c r="L158" s="33">
        <v>3.5550296057608137</v>
      </c>
      <c r="M158" s="33">
        <v>3.5550296057608137</v>
      </c>
    </row>
    <row r="159" spans="1:13">
      <c r="A159" t="s">
        <v>69</v>
      </c>
      <c r="B159">
        <v>2014</v>
      </c>
      <c r="C159" s="16">
        <v>-1.4830000000000001</v>
      </c>
      <c r="D159" s="1">
        <v>29907</v>
      </c>
      <c r="E159" s="29">
        <f>Table15[[#This Row],[Ávöxtun]]*Table15[[#This Row],[Eignir]]/SUMIFS(Table15[Eignir],Table15[Year],Table15[[#This Row],[Year]])</f>
        <v>-1.6717592257635204E-5</v>
      </c>
      <c r="F159" s="23">
        <f>IF(B159=1997, 100, IF(COUNTIF(A$1:A158,A159)=0, "NEW", F158*(1+Table15[[#This Row],[Ávöxtun]])))</f>
        <v>-1.7170792995824733</v>
      </c>
      <c r="G159" s="18" cm="1">
        <f t="array" ref="G159">IFERROR(_xlfn.IFS(ISNUMBER(Table15[[#This Row],[Column3]]),Table15[[#This Row],[Column3]],Table15[[#This Row],[Column3]]="NEW",Table15[[#This Row],[Column3]]),"")</f>
        <v>-1.7170792995824733</v>
      </c>
      <c r="H159" s="15" cm="1">
        <f t="array" ref="H159">_xlfn.IFS(Table15[[#This Row],[Column4]]="NEW",AVERAGEIFS(Table15[Column4],Table15[Year],Table15[[#This Row],[Year]]),ISNUMBER(Table15[[#This Row],[Column4]]),Table15[[#This Row],[Column4]],Table15[[#This Row],[Column4]]="",H158*(1+Table15[[#This Row],[Ávöxtun]]))</f>
        <v>-1.7170792995824733</v>
      </c>
      <c r="I159" s="30" cm="1">
        <f t="array" ref="I159">_xlfn.IFS(Table15[[#This Row],[Column4]]="NEW",_xlfn.XLOOKUP(Table15[[#This Row],[Year]]-1,$N$2:$N$27,$P$2:$P$27)*(1+Table15[[#This Row],[Ávöxtun]]),ISNUMBER(Table15[[#This Row],[Column4]]),Table15[[#This Row],[Column4]],Table15[[#This Row],[Column4]]="",I158*(1+Table15[[#This Row],[Ávöxtun]]))</f>
        <v>-1.7170792995824733</v>
      </c>
      <c r="L159" s="33">
        <v>-1.7170792995824733</v>
      </c>
      <c r="M159" s="33">
        <v>-1.7170792995824733</v>
      </c>
    </row>
    <row r="160" spans="1:13">
      <c r="A160" t="s">
        <v>69</v>
      </c>
      <c r="B160">
        <v>2015</v>
      </c>
      <c r="C160" s="16">
        <v>-0.34899999999999998</v>
      </c>
      <c r="D160" s="1">
        <v>34063</v>
      </c>
      <c r="E160" s="29">
        <f>Table15[[#This Row],[Ávöxtun]]*Table15[[#This Row],[Eignir]]/SUMIFS(Table15[Eignir],Table15[Year],Table15[[#This Row],[Year]])</f>
        <v>-4.0143426735748609E-6</v>
      </c>
      <c r="F160" s="23">
        <f>IF(B160=1997, 100, IF(COUNTIF(A$1:A159,A160)=0, "NEW", F159*(1+Table15[[#This Row],[Ávöxtun]])))</f>
        <v>-1.1178186240281902</v>
      </c>
      <c r="G160" s="18" cm="1">
        <f t="array" ref="G160">IFERROR(_xlfn.IFS(ISNUMBER(Table15[[#This Row],[Column3]]),Table15[[#This Row],[Column3]],Table15[[#This Row],[Column3]]="NEW",Table15[[#This Row],[Column3]]),"")</f>
        <v>-1.1178186240281902</v>
      </c>
      <c r="H160" s="15" cm="1">
        <f t="array" ref="H160">_xlfn.IFS(Table15[[#This Row],[Column4]]="NEW",AVERAGEIFS(Table15[Column4],Table15[Year],Table15[[#This Row],[Year]]),ISNUMBER(Table15[[#This Row],[Column4]]),Table15[[#This Row],[Column4]],Table15[[#This Row],[Column4]]="",H159*(1+Table15[[#This Row],[Ávöxtun]]))</f>
        <v>-1.1178186240281902</v>
      </c>
      <c r="I160" s="30" cm="1">
        <f t="array" ref="I160">_xlfn.IFS(Table15[[#This Row],[Column4]]="NEW",_xlfn.XLOOKUP(Table15[[#This Row],[Year]]-1,$N$2:$N$27,$P$2:$P$27)*(1+Table15[[#This Row],[Ávöxtun]]),ISNUMBER(Table15[[#This Row],[Column4]]),Table15[[#This Row],[Column4]],Table15[[#This Row],[Column4]]="",I159*(1+Table15[[#This Row],[Ávöxtun]]))</f>
        <v>-1.1178186240281902</v>
      </c>
      <c r="L160" s="33">
        <v>-1.1178186240281902</v>
      </c>
      <c r="M160" s="33">
        <v>-1.1178186240281902</v>
      </c>
    </row>
    <row r="161" spans="1:13">
      <c r="A161" t="s">
        <v>69</v>
      </c>
      <c r="B161">
        <v>2016</v>
      </c>
      <c r="C161" s="16">
        <v>-0.33200000000000002</v>
      </c>
      <c r="D161" s="1">
        <v>38840.51</v>
      </c>
      <c r="E161" s="29">
        <f>Table15[[#This Row],[Ávöxtun]]*Table15[[#This Row],[Eignir]]/SUMIFS(Table15[Eignir],Table15[Year],Table15[[#This Row],[Year]])</f>
        <v>-4.0296441580340946E-6</v>
      </c>
      <c r="F161" s="23">
        <f>IF(B161=1997, 100, IF(COUNTIF(A$1:A160,A161)=0, "NEW", F160*(1+Table15[[#This Row],[Ávöxtun]])))</f>
        <v>-0.74670284085083094</v>
      </c>
      <c r="G161" s="18" cm="1">
        <f t="array" ref="G161">IFERROR(_xlfn.IFS(ISNUMBER(Table15[[#This Row],[Column3]]),Table15[[#This Row],[Column3]],Table15[[#This Row],[Column3]]="NEW",Table15[[#This Row],[Column3]]),"")</f>
        <v>-0.74670284085083094</v>
      </c>
      <c r="H161" s="15" cm="1">
        <f t="array" ref="H161">_xlfn.IFS(Table15[[#This Row],[Column4]]="NEW",AVERAGEIFS(Table15[Column4],Table15[Year],Table15[[#This Row],[Year]]),ISNUMBER(Table15[[#This Row],[Column4]]),Table15[[#This Row],[Column4]],Table15[[#This Row],[Column4]]="",H160*(1+Table15[[#This Row],[Ávöxtun]]))</f>
        <v>-0.74670284085083094</v>
      </c>
      <c r="I161" s="30" cm="1">
        <f t="array" ref="I161">_xlfn.IFS(Table15[[#This Row],[Column4]]="NEW",_xlfn.XLOOKUP(Table15[[#This Row],[Year]]-1,$N$2:$N$27,$P$2:$P$27)*(1+Table15[[#This Row],[Ávöxtun]]),ISNUMBER(Table15[[#This Row],[Column4]]),Table15[[#This Row],[Column4]],Table15[[#This Row],[Column4]]="",I160*(1+Table15[[#This Row],[Ávöxtun]]))</f>
        <v>-0.74670284085083094</v>
      </c>
      <c r="L161" s="33">
        <v>-0.74670284085083094</v>
      </c>
      <c r="M161" s="33">
        <v>-0.74670284085083094</v>
      </c>
    </row>
    <row r="162" spans="1:13">
      <c r="A162" t="s">
        <v>69</v>
      </c>
      <c r="B162">
        <v>2017</v>
      </c>
      <c r="C162" s="16">
        <v>-0.36499999999999999</v>
      </c>
      <c r="D162" s="1">
        <v>29527</v>
      </c>
      <c r="E162" s="29">
        <f>Table15[[#This Row],[Ávöxtun]]*Table15[[#This Row],[Eignir]]/SUMIFS(Table15[Eignir],Table15[Year],Table15[[#This Row],[Year]])</f>
        <v>-3.0280688008639043E-6</v>
      </c>
      <c r="F162" s="23">
        <f>IF(B162=1997, 100, IF(COUNTIF(A$1:A161,A162)=0, "NEW", F161*(1+Table15[[#This Row],[Ávöxtun]])))</f>
        <v>-0.47415630394027763</v>
      </c>
      <c r="G162" s="18" cm="1">
        <f t="array" ref="G162">IFERROR(_xlfn.IFS(ISNUMBER(Table15[[#This Row],[Column3]]),Table15[[#This Row],[Column3]],Table15[[#This Row],[Column3]]="NEW",Table15[[#This Row],[Column3]]),"")</f>
        <v>-0.47415630394027763</v>
      </c>
      <c r="H162" s="15" cm="1">
        <f t="array" ref="H162">_xlfn.IFS(Table15[[#This Row],[Column4]]="NEW",AVERAGEIFS(Table15[Column4],Table15[Year],Table15[[#This Row],[Year]]),ISNUMBER(Table15[[#This Row],[Column4]]),Table15[[#This Row],[Column4]],Table15[[#This Row],[Column4]]="",H161*(1+Table15[[#This Row],[Ávöxtun]]))</f>
        <v>-0.47415630394027763</v>
      </c>
      <c r="I162" s="30" cm="1">
        <f t="array" ref="I162">_xlfn.IFS(Table15[[#This Row],[Column4]]="NEW",_xlfn.XLOOKUP(Table15[[#This Row],[Year]]-1,$N$2:$N$27,$P$2:$P$27)*(1+Table15[[#This Row],[Ávöxtun]]),ISNUMBER(Table15[[#This Row],[Column4]]),Table15[[#This Row],[Column4]],Table15[[#This Row],[Column4]]="",I161*(1+Table15[[#This Row],[Ávöxtun]]))</f>
        <v>-0.47415630394027763</v>
      </c>
      <c r="L162" s="33">
        <v>-0.47415630394027763</v>
      </c>
      <c r="M162" s="33">
        <v>-0.47415630394027763</v>
      </c>
    </row>
    <row r="163" spans="1:13">
      <c r="A163" t="s">
        <v>70</v>
      </c>
      <c r="B163">
        <v>2006</v>
      </c>
      <c r="C163" s="16">
        <v>0.1106</v>
      </c>
      <c r="D163" s="1">
        <v>49484781</v>
      </c>
      <c r="E163" s="29">
        <f>Table15[[#This Row],[Ávöxtun]]*Table15[[#This Row],[Eignir]]/SUMIFS(Table15[Eignir],Table15[Year],Table15[[#This Row],[Year]])</f>
        <v>3.9871158335701212E-3</v>
      </c>
      <c r="F163" s="23" t="str">
        <f>IF(B163=1997, 100, IF(COUNTIF(A$1:A162,A163)=0, "NEW", F162*(1+Table15[[#This Row],[Ávöxtun]])))</f>
        <v>NEW</v>
      </c>
      <c r="G163" s="18" t="str" cm="1">
        <f t="array" ref="G163">IFERROR(_xlfn.IFS(ISNUMBER(Table15[[#This Row],[Column3]]),Table15[[#This Row],[Column3]],Table15[[#This Row],[Column3]]="NEW",Table15[[#This Row],[Column3]]),"")</f>
        <v>NEW</v>
      </c>
      <c r="H163" s="15" cm="1">
        <f t="array" ref="H163">_xlfn.IFS(Table15[[#This Row],[Column4]]="NEW",AVERAGEIFS(Table15[Column4],Table15[Year],Table15[[#This Row],[Year]]),ISNUMBER(Table15[[#This Row],[Column4]]),Table15[[#This Row],[Column4]],Table15[[#This Row],[Column4]]="",H162*(1+Table15[[#This Row],[Ávöxtun]]))</f>
        <v>173.57107422928632</v>
      </c>
      <c r="I163" s="30" cm="1">
        <f t="array" ref="I163">_xlfn.IFS(Table15[[#This Row],[Column4]]="NEW",_xlfn.XLOOKUP(Table15[[#This Row],[Year]]-1,$N$2:$N$27,$P$2:$P$27)*(1+Table15[[#This Row],[Ávöxtun]]),ISNUMBER(Table15[[#This Row],[Column4]]),Table15[[#This Row],[Column4]],Table15[[#This Row],[Column4]]="",I162*(1+Table15[[#This Row],[Ávöxtun]]))</f>
        <v>198.15952006832967</v>
      </c>
      <c r="L163" s="33">
        <v>173.57107422928632</v>
      </c>
      <c r="M163" s="33">
        <v>219.26690788715638</v>
      </c>
    </row>
    <row r="164" spans="1:13">
      <c r="A164" t="s">
        <v>70</v>
      </c>
      <c r="B164">
        <v>2007</v>
      </c>
      <c r="C164" s="16">
        <v>2.7700000000000002E-2</v>
      </c>
      <c r="D164" s="1">
        <v>55430643</v>
      </c>
      <c r="E164" s="29">
        <f>Table15[[#This Row],[Ávöxtun]]*Table15[[#This Row],[Eignir]]/SUMIFS(Table15[Eignir],Table15[Year],Table15[[#This Row],[Year]])</f>
        <v>9.9290019718036851E-4</v>
      </c>
      <c r="F164" s="23" t="e">
        <f>IF(B164=1997, 100, IF(COUNTIF(A$1:A163,A164)=0, "NEW", F163*(1+Table15[[#This Row],[Ávöxtun]])))</f>
        <v>#VALUE!</v>
      </c>
      <c r="G164" s="18" t="str" cm="1">
        <f t="array" ref="G164">IFERROR(_xlfn.IFS(ISNUMBER(Table15[[#This Row],[Column3]]),Table15[[#This Row],[Column3]],Table15[[#This Row],[Column3]]="NEW",Table15[[#This Row],[Column3]]),"")</f>
        <v/>
      </c>
      <c r="H164" s="15" cm="1">
        <f t="array" ref="H164">_xlfn.IFS(Table15[[#This Row],[Column4]]="NEW",AVERAGEIFS(Table15[Column4],Table15[Year],Table15[[#This Row],[Year]]),ISNUMBER(Table15[[#This Row],[Column4]]),Table15[[#This Row],[Column4]],Table15[[#This Row],[Column4]]="",H163*(1+Table15[[#This Row],[Ávöxtun]]))</f>
        <v>178.37899298543758</v>
      </c>
      <c r="I164" s="30" cm="1">
        <f t="array" ref="I164">_xlfn.IFS(Table15[[#This Row],[Column4]]="NEW",_xlfn.XLOOKUP(Table15[[#This Row],[Year]]-1,$N$2:$N$27,$P$2:$P$27)*(1+Table15[[#This Row],[Ávöxtun]]),ISNUMBER(Table15[[#This Row],[Column4]]),Table15[[#This Row],[Column4]],Table15[[#This Row],[Column4]]="",I163*(1+Table15[[#This Row],[Ávöxtun]]))</f>
        <v>203.6485387742224</v>
      </c>
      <c r="L164" s="33">
        <v>178.37899298543758</v>
      </c>
      <c r="M164" s="33">
        <v>225.34060123563063</v>
      </c>
    </row>
    <row r="165" spans="1:13">
      <c r="A165" t="s">
        <v>70</v>
      </c>
      <c r="B165">
        <v>2008</v>
      </c>
      <c r="C165" s="16">
        <v>-0.18840000000000001</v>
      </c>
      <c r="D165" s="1">
        <v>56941947</v>
      </c>
      <c r="E165" s="29">
        <f>Table15[[#This Row],[Ávöxtun]]*Table15[[#This Row],[Eignir]]/SUMIFS(Table15[Eignir],Table15[Year],Table15[[#This Row],[Year]])</f>
        <v>-7.1647195298143174E-3</v>
      </c>
      <c r="F165" s="23" t="e">
        <f>IF(B165=1997, 100, IF(COUNTIF(A$1:A164,A165)=0, "NEW", F164*(1+Table15[[#This Row],[Ávöxtun]])))</f>
        <v>#VALUE!</v>
      </c>
      <c r="G165" s="18" t="str" cm="1">
        <f t="array" ref="G165">IFERROR(_xlfn.IFS(ISNUMBER(Table15[[#This Row],[Column3]]),Table15[[#This Row],[Column3]],Table15[[#This Row],[Column3]]="NEW",Table15[[#This Row],[Column3]]),"")</f>
        <v/>
      </c>
      <c r="H165" s="15" cm="1">
        <f t="array" ref="H165">_xlfn.IFS(Table15[[#This Row],[Column4]]="NEW",AVERAGEIFS(Table15[Column4],Table15[Year],Table15[[#This Row],[Year]]),ISNUMBER(Table15[[#This Row],[Column4]]),Table15[[#This Row],[Column4]],Table15[[#This Row],[Column4]]="",H164*(1+Table15[[#This Row],[Ávöxtun]]))</f>
        <v>144.77239070698113</v>
      </c>
      <c r="I165" s="30" cm="1">
        <f t="array" ref="I165">_xlfn.IFS(Table15[[#This Row],[Column4]]="NEW",_xlfn.XLOOKUP(Table15[[#This Row],[Year]]-1,$N$2:$N$27,$P$2:$P$27)*(1+Table15[[#This Row],[Ávöxtun]]),ISNUMBER(Table15[[#This Row],[Column4]]),Table15[[#This Row],[Column4]],Table15[[#This Row],[Column4]]="",I164*(1+Table15[[#This Row],[Ávöxtun]]))</f>
        <v>165.2811540691589</v>
      </c>
      <c r="L165" s="33">
        <v>144.77239070698113</v>
      </c>
      <c r="M165" s="33">
        <v>182.8864319628378</v>
      </c>
    </row>
    <row r="166" spans="1:13">
      <c r="A166" t="s">
        <v>70</v>
      </c>
      <c r="B166">
        <v>2009</v>
      </c>
      <c r="C166" s="16">
        <v>-5.2000000000000005E-2</v>
      </c>
      <c r="D166" s="1">
        <v>61072687</v>
      </c>
      <c r="E166" s="29">
        <f>Table15[[#This Row],[Ávöxtun]]*Table15[[#This Row],[Eignir]]/SUMIFS(Table15[Eignir],Table15[Year],Table15[[#This Row],[Year]])</f>
        <v>-1.9036498217883649E-3</v>
      </c>
      <c r="F166" s="23" t="e">
        <f>IF(B166=1997, 100, IF(COUNTIF(A$1:A165,A166)=0, "NEW", F165*(1+Table15[[#This Row],[Ávöxtun]])))</f>
        <v>#VALUE!</v>
      </c>
      <c r="G166" s="18" t="str" cm="1">
        <f t="array" ref="G166">IFERROR(_xlfn.IFS(ISNUMBER(Table15[[#This Row],[Column3]]),Table15[[#This Row],[Column3]],Table15[[#This Row],[Column3]]="NEW",Table15[[#This Row],[Column3]]),"")</f>
        <v/>
      </c>
      <c r="H166" s="15" cm="1">
        <f t="array" ref="H166">_xlfn.IFS(Table15[[#This Row],[Column4]]="NEW",AVERAGEIFS(Table15[Column4],Table15[Year],Table15[[#This Row],[Year]]),ISNUMBER(Table15[[#This Row],[Column4]]),Table15[[#This Row],[Column4]],Table15[[#This Row],[Column4]]="",H165*(1+Table15[[#This Row],[Ávöxtun]]))</f>
        <v>137.2442263902181</v>
      </c>
      <c r="I166" s="30" cm="1">
        <f t="array" ref="I166">_xlfn.IFS(Table15[[#This Row],[Column4]]="NEW",_xlfn.XLOOKUP(Table15[[#This Row],[Year]]-1,$N$2:$N$27,$P$2:$P$27)*(1+Table15[[#This Row],[Ávöxtun]]),ISNUMBER(Table15[[#This Row],[Column4]]),Table15[[#This Row],[Column4]],Table15[[#This Row],[Column4]]="",I165*(1+Table15[[#This Row],[Ávöxtun]]))</f>
        <v>156.68653405756262</v>
      </c>
      <c r="L166" s="33">
        <v>137.2442263902181</v>
      </c>
      <c r="M166" s="33">
        <v>173.37633750077023</v>
      </c>
    </row>
    <row r="167" spans="1:13">
      <c r="A167" t="s">
        <v>70</v>
      </c>
      <c r="B167">
        <v>2010</v>
      </c>
      <c r="C167" s="16">
        <v>2.1000000000000001E-2</v>
      </c>
      <c r="D167" s="1">
        <v>66171290</v>
      </c>
      <c r="E167" s="29">
        <f>Table15[[#This Row],[Ávöxtun]]*Table15[[#This Row],[Eignir]]/SUMIFS(Table15[Eignir],Table15[Year],Table15[[#This Row],[Year]])</f>
        <v>7.7727236677362229E-4</v>
      </c>
      <c r="F167" s="23" t="e">
        <f>IF(B167=1997, 100, IF(COUNTIF(A$1:A166,A167)=0, "NEW", F166*(1+Table15[[#This Row],[Ávöxtun]])))</f>
        <v>#VALUE!</v>
      </c>
      <c r="G167" s="18" t="str" cm="1">
        <f t="array" ref="G167">IFERROR(_xlfn.IFS(ISNUMBER(Table15[[#This Row],[Column3]]),Table15[[#This Row],[Column3]],Table15[[#This Row],[Column3]]="NEW",Table15[[#This Row],[Column3]]),"")</f>
        <v/>
      </c>
      <c r="H167" s="15" cm="1">
        <f t="array" ref="H167">_xlfn.IFS(Table15[[#This Row],[Column4]]="NEW",AVERAGEIFS(Table15[Column4],Table15[Year],Table15[[#This Row],[Year]]),ISNUMBER(Table15[[#This Row],[Column4]]),Table15[[#This Row],[Column4]],Table15[[#This Row],[Column4]]="",H166*(1+Table15[[#This Row],[Ávöxtun]]))</f>
        <v>140.12635514441266</v>
      </c>
      <c r="I167" s="30" cm="1">
        <f t="array" ref="I167">_xlfn.IFS(Table15[[#This Row],[Column4]]="NEW",_xlfn.XLOOKUP(Table15[[#This Row],[Year]]-1,$N$2:$N$27,$P$2:$P$27)*(1+Table15[[#This Row],[Ávöxtun]]),ISNUMBER(Table15[[#This Row],[Column4]]),Table15[[#This Row],[Column4]],Table15[[#This Row],[Column4]]="",I166*(1+Table15[[#This Row],[Ávöxtun]]))</f>
        <v>159.97695127277143</v>
      </c>
      <c r="L167" s="33">
        <v>140.12635514441266</v>
      </c>
      <c r="M167" s="33">
        <v>177.0172405882864</v>
      </c>
    </row>
    <row r="168" spans="1:13">
      <c r="A168" t="s">
        <v>70</v>
      </c>
      <c r="B168">
        <v>2011</v>
      </c>
      <c r="C168" s="16">
        <v>1.8000000000000002E-2</v>
      </c>
      <c r="D168" s="1">
        <v>71442566</v>
      </c>
      <c r="E168" s="29">
        <f>Table15[[#This Row],[Ávöxtun]]*Table15[[#This Row],[Eignir]]/SUMIFS(Table15[Eignir],Table15[Year],Table15[[#This Row],[Year]])</f>
        <v>6.5928090091276707E-4</v>
      </c>
      <c r="F168" s="23" t="e">
        <f>IF(B168=1997, 100, IF(COUNTIF(A$1:A167,A168)=0, "NEW", F167*(1+Table15[[#This Row],[Ávöxtun]])))</f>
        <v>#VALUE!</v>
      </c>
      <c r="G168" s="18" t="str" cm="1">
        <f t="array" ref="G168">IFERROR(_xlfn.IFS(ISNUMBER(Table15[[#This Row],[Column3]]),Table15[[#This Row],[Column3]],Table15[[#This Row],[Column3]]="NEW",Table15[[#This Row],[Column3]]),"")</f>
        <v/>
      </c>
      <c r="H168" s="15" cm="1">
        <f t="array" ref="H168">_xlfn.IFS(Table15[[#This Row],[Column4]]="NEW",AVERAGEIFS(Table15[Column4],Table15[Year],Table15[[#This Row],[Year]]),ISNUMBER(Table15[[#This Row],[Column4]]),Table15[[#This Row],[Column4]],Table15[[#This Row],[Column4]]="",H167*(1+Table15[[#This Row],[Ávöxtun]]))</f>
        <v>142.64862953701208</v>
      </c>
      <c r="I168" s="30" cm="1">
        <f t="array" ref="I168">_xlfn.IFS(Table15[[#This Row],[Column4]]="NEW",_xlfn.XLOOKUP(Table15[[#This Row],[Year]]-1,$N$2:$N$27,$P$2:$P$27)*(1+Table15[[#This Row],[Ávöxtun]]),ISNUMBER(Table15[[#This Row],[Column4]]),Table15[[#This Row],[Column4]],Table15[[#This Row],[Column4]]="",I167*(1+Table15[[#This Row],[Ávöxtun]]))</f>
        <v>162.85653639568133</v>
      </c>
      <c r="L168" s="33">
        <v>142.64862953701208</v>
      </c>
      <c r="M168" s="33">
        <v>180.20355091887555</v>
      </c>
    </row>
    <row r="169" spans="1:13">
      <c r="A169" t="s">
        <v>70</v>
      </c>
      <c r="B169">
        <v>2012</v>
      </c>
      <c r="C169" s="16">
        <v>0.06</v>
      </c>
      <c r="D169" s="1">
        <v>81175431</v>
      </c>
      <c r="E169" s="29">
        <f>Table15[[#This Row],[Ávöxtun]]*Table15[[#This Row],[Eignir]]/SUMIFS(Table15[Eignir],Table15[Year],Table15[[#This Row],[Year]])</f>
        <v>2.2110181474326173E-3</v>
      </c>
      <c r="F169" s="23" t="e">
        <f>IF(B169=1997, 100, IF(COUNTIF(A$1:A168,A169)=0, "NEW", F168*(1+Table15[[#This Row],[Ávöxtun]])))</f>
        <v>#VALUE!</v>
      </c>
      <c r="G169" s="18" t="str" cm="1">
        <f t="array" ref="G169">IFERROR(_xlfn.IFS(ISNUMBER(Table15[[#This Row],[Column3]]),Table15[[#This Row],[Column3]],Table15[[#This Row],[Column3]]="NEW",Table15[[#This Row],[Column3]]),"")</f>
        <v/>
      </c>
      <c r="H169" s="15" cm="1">
        <f t="array" ref="H169">_xlfn.IFS(Table15[[#This Row],[Column4]]="NEW",AVERAGEIFS(Table15[Column4],Table15[Year],Table15[[#This Row],[Year]]),ISNUMBER(Table15[[#This Row],[Column4]]),Table15[[#This Row],[Column4]],Table15[[#This Row],[Column4]]="",H168*(1+Table15[[#This Row],[Ávöxtun]]))</f>
        <v>151.20754730923281</v>
      </c>
      <c r="I169" s="30" cm="1">
        <f t="array" ref="I169">_xlfn.IFS(Table15[[#This Row],[Column4]]="NEW",_xlfn.XLOOKUP(Table15[[#This Row],[Year]]-1,$N$2:$N$27,$P$2:$P$27)*(1+Table15[[#This Row],[Ávöxtun]]),ISNUMBER(Table15[[#This Row],[Column4]]),Table15[[#This Row],[Column4]],Table15[[#This Row],[Column4]]="",I168*(1+Table15[[#This Row],[Ávöxtun]]))</f>
        <v>172.62792857942222</v>
      </c>
      <c r="L169" s="33">
        <v>151.20754730923281</v>
      </c>
      <c r="M169" s="33">
        <v>191.01576397400808</v>
      </c>
    </row>
    <row r="170" spans="1:13">
      <c r="A170" t="s">
        <v>70</v>
      </c>
      <c r="B170">
        <v>2013</v>
      </c>
      <c r="C170" s="16">
        <v>5.5E-2</v>
      </c>
      <c r="D170" s="1">
        <v>90629835</v>
      </c>
      <c r="E170" s="29">
        <f>Table15[[#This Row],[Ávöxtun]]*Table15[[#This Row],[Eignir]]/SUMIFS(Table15[Eignir],Table15[Year],Table15[[#This Row],[Year]])</f>
        <v>2.0482753324702107E-3</v>
      </c>
      <c r="F170" s="23" t="e">
        <f>IF(B170=1997, 100, IF(COUNTIF(A$1:A169,A170)=0, "NEW", F169*(1+Table15[[#This Row],[Ávöxtun]])))</f>
        <v>#VALUE!</v>
      </c>
      <c r="G170" s="18" t="str" cm="1">
        <f t="array" ref="G170">IFERROR(_xlfn.IFS(ISNUMBER(Table15[[#This Row],[Column3]]),Table15[[#This Row],[Column3]],Table15[[#This Row],[Column3]]="NEW",Table15[[#This Row],[Column3]]),"")</f>
        <v/>
      </c>
      <c r="H170" s="15" cm="1">
        <f t="array" ref="H170">_xlfn.IFS(Table15[[#This Row],[Column4]]="NEW",AVERAGEIFS(Table15[Column4],Table15[Year],Table15[[#This Row],[Year]]),ISNUMBER(Table15[[#This Row],[Column4]]),Table15[[#This Row],[Column4]],Table15[[#This Row],[Column4]]="",H169*(1+Table15[[#This Row],[Ávöxtun]]))</f>
        <v>159.5239624112406</v>
      </c>
      <c r="I170" s="30" cm="1">
        <f t="array" ref="I170">_xlfn.IFS(Table15[[#This Row],[Column4]]="NEW",_xlfn.XLOOKUP(Table15[[#This Row],[Year]]-1,$N$2:$N$27,$P$2:$P$27)*(1+Table15[[#This Row],[Ávöxtun]]),ISNUMBER(Table15[[#This Row],[Column4]]),Table15[[#This Row],[Column4]],Table15[[#This Row],[Column4]]="",I169*(1+Table15[[#This Row],[Ávöxtun]]))</f>
        <v>182.12246465129044</v>
      </c>
      <c r="L170" s="33">
        <v>159.5239624112406</v>
      </c>
      <c r="M170" s="33">
        <v>201.52163099257851</v>
      </c>
    </row>
    <row r="171" spans="1:13">
      <c r="A171" t="s">
        <v>70</v>
      </c>
      <c r="B171">
        <v>2014</v>
      </c>
      <c r="C171" s="16">
        <v>6.7000000000000004E-2</v>
      </c>
      <c r="D171" s="1">
        <v>99181133</v>
      </c>
      <c r="E171" s="29">
        <f>Table15[[#This Row],[Ávöxtun]]*Table15[[#This Row],[Eignir]]/SUMIFS(Table15[Eignir],Table15[Year],Table15[[#This Row],[Year]])</f>
        <v>2.5047454403924639E-3</v>
      </c>
      <c r="F171" s="23" t="e">
        <f>IF(B171=1997, 100, IF(COUNTIF(A$1:A170,A171)=0, "NEW", F170*(1+Table15[[#This Row],[Ávöxtun]])))</f>
        <v>#VALUE!</v>
      </c>
      <c r="G171" s="18" t="str" cm="1">
        <f t="array" ref="G171">IFERROR(_xlfn.IFS(ISNUMBER(Table15[[#This Row],[Column3]]),Table15[[#This Row],[Column3]],Table15[[#This Row],[Column3]]="NEW",Table15[[#This Row],[Column3]]),"")</f>
        <v/>
      </c>
      <c r="H171" s="15" cm="1">
        <f t="array" ref="H171">_xlfn.IFS(Table15[[#This Row],[Column4]]="NEW",AVERAGEIFS(Table15[Column4],Table15[Year],Table15[[#This Row],[Year]]),ISNUMBER(Table15[[#This Row],[Column4]]),Table15[[#This Row],[Column4]],Table15[[#This Row],[Column4]]="",H170*(1+Table15[[#This Row],[Ávöxtun]]))</f>
        <v>170.21206789279373</v>
      </c>
      <c r="I171" s="30" cm="1">
        <f t="array" ref="I171">_xlfn.IFS(Table15[[#This Row],[Column4]]="NEW",_xlfn.XLOOKUP(Table15[[#This Row],[Year]]-1,$N$2:$N$27,$P$2:$P$27)*(1+Table15[[#This Row],[Ávöxtun]]),ISNUMBER(Table15[[#This Row],[Column4]]),Table15[[#This Row],[Column4]],Table15[[#This Row],[Column4]]="",I170*(1+Table15[[#This Row],[Ávöxtun]]))</f>
        <v>194.32466978292689</v>
      </c>
      <c r="L171" s="33">
        <v>170.21206789279373</v>
      </c>
      <c r="M171" s="33">
        <v>215.02358026908126</v>
      </c>
    </row>
    <row r="172" spans="1:13">
      <c r="A172" t="s">
        <v>70</v>
      </c>
      <c r="B172">
        <v>2015</v>
      </c>
      <c r="C172" s="16">
        <v>8.199999999999999E-2</v>
      </c>
      <c r="D172" s="1">
        <v>112149164</v>
      </c>
      <c r="E172" s="29">
        <f>Table15[[#This Row],[Ávöxtun]]*Table15[[#This Row],[Eignir]]/SUMIFS(Table15[Eignir],Table15[Year],Table15[[#This Row],[Year]])</f>
        <v>3.1053890232027957E-3</v>
      </c>
      <c r="F172" s="23" t="e">
        <f>IF(B172=1997, 100, IF(COUNTIF(A$1:A171,A172)=0, "NEW", F171*(1+Table15[[#This Row],[Ávöxtun]])))</f>
        <v>#VALUE!</v>
      </c>
      <c r="G172" s="18" t="str" cm="1">
        <f t="array" ref="G172">IFERROR(_xlfn.IFS(ISNUMBER(Table15[[#This Row],[Column3]]),Table15[[#This Row],[Column3]],Table15[[#This Row],[Column3]]="NEW",Table15[[#This Row],[Column3]]),"")</f>
        <v/>
      </c>
      <c r="H172" s="15" cm="1">
        <f t="array" ref="H172">_xlfn.IFS(Table15[[#This Row],[Column4]]="NEW",AVERAGEIFS(Table15[Column4],Table15[Year],Table15[[#This Row],[Year]]),ISNUMBER(Table15[[#This Row],[Column4]]),Table15[[#This Row],[Column4]],Table15[[#This Row],[Column4]]="",H171*(1+Table15[[#This Row],[Ávöxtun]]))</f>
        <v>184.16945746000283</v>
      </c>
      <c r="I172" s="30" cm="1">
        <f t="array" ref="I172">_xlfn.IFS(Table15[[#This Row],[Column4]]="NEW",_xlfn.XLOOKUP(Table15[[#This Row],[Year]]-1,$N$2:$N$27,$P$2:$P$27)*(1+Table15[[#This Row],[Ávöxtun]]),ISNUMBER(Table15[[#This Row],[Column4]]),Table15[[#This Row],[Column4]],Table15[[#This Row],[Column4]]="",I171*(1+Table15[[#This Row],[Ávöxtun]]))</f>
        <v>210.25929270512691</v>
      </c>
      <c r="L172" s="33">
        <v>184.16945746000283</v>
      </c>
      <c r="M172" s="33">
        <v>232.65551385114594</v>
      </c>
    </row>
    <row r="173" spans="1:13">
      <c r="A173" t="s">
        <v>70</v>
      </c>
      <c r="B173">
        <v>2016</v>
      </c>
      <c r="C173" s="16">
        <v>5.3E-3</v>
      </c>
      <c r="D173" s="1">
        <v>119454530.14</v>
      </c>
      <c r="E173" s="29">
        <f>Table15[[#This Row],[Ávöxtun]]*Table15[[#This Row],[Eignir]]/SUMIFS(Table15[Eignir],Table15[Year],Table15[[#This Row],[Year]])</f>
        <v>1.978436808728391E-4</v>
      </c>
      <c r="F173" s="23" t="e">
        <f>IF(B173=1997, 100, IF(COUNTIF(A$1:A172,A173)=0, "NEW", F172*(1+Table15[[#This Row],[Ávöxtun]])))</f>
        <v>#VALUE!</v>
      </c>
      <c r="G173" s="18" t="str" cm="1">
        <f t="array" ref="G173">IFERROR(_xlfn.IFS(ISNUMBER(Table15[[#This Row],[Column3]]),Table15[[#This Row],[Column3]],Table15[[#This Row],[Column3]]="NEW",Table15[[#This Row],[Column3]]),"")</f>
        <v/>
      </c>
      <c r="H173" s="15" cm="1">
        <f t="array" ref="H173">_xlfn.IFS(Table15[[#This Row],[Column4]]="NEW",AVERAGEIFS(Table15[Column4],Table15[Year],Table15[[#This Row],[Year]]),ISNUMBER(Table15[[#This Row],[Column4]]),Table15[[#This Row],[Column4]],Table15[[#This Row],[Column4]]="",H172*(1+Table15[[#This Row],[Ávöxtun]]))</f>
        <v>185.14555558454086</v>
      </c>
      <c r="I173" s="30" cm="1">
        <f t="array" ref="I173">_xlfn.IFS(Table15[[#This Row],[Column4]]="NEW",_xlfn.XLOOKUP(Table15[[#This Row],[Year]]-1,$N$2:$N$27,$P$2:$P$27)*(1+Table15[[#This Row],[Ávöxtun]]),ISNUMBER(Table15[[#This Row],[Column4]]),Table15[[#This Row],[Column4]],Table15[[#This Row],[Column4]]="",I172*(1+Table15[[#This Row],[Ávöxtun]]))</f>
        <v>211.37366695646409</v>
      </c>
      <c r="L173" s="33">
        <v>185.14555558454086</v>
      </c>
      <c r="M173" s="33">
        <v>233.88858807455702</v>
      </c>
    </row>
    <row r="174" spans="1:13">
      <c r="A174" t="s">
        <v>70</v>
      </c>
      <c r="B174">
        <v>2017</v>
      </c>
      <c r="C174" s="16">
        <v>5.2999999999999999E-2</v>
      </c>
      <c r="D174" s="1">
        <v>133123682</v>
      </c>
      <c r="E174" s="29">
        <f>Table15[[#This Row],[Ávöxtun]]*Table15[[#This Row],[Eignir]]/SUMIFS(Table15[Eignir],Table15[Year],Table15[[#This Row],[Year]])</f>
        <v>1.9823701093985833E-3</v>
      </c>
      <c r="F174" s="23" t="e">
        <f>IF(B174=1997, 100, IF(COUNTIF(A$1:A173,A174)=0, "NEW", F173*(1+Table15[[#This Row],[Ávöxtun]])))</f>
        <v>#VALUE!</v>
      </c>
      <c r="G174" s="18" t="str" cm="1">
        <f t="array" ref="G174">IFERROR(_xlfn.IFS(ISNUMBER(Table15[[#This Row],[Column3]]),Table15[[#This Row],[Column3]],Table15[[#This Row],[Column3]]="NEW",Table15[[#This Row],[Column3]]),"")</f>
        <v/>
      </c>
      <c r="H174" s="15" cm="1">
        <f t="array" ref="H174">_xlfn.IFS(Table15[[#This Row],[Column4]]="NEW",AVERAGEIFS(Table15[Column4],Table15[Year],Table15[[#This Row],[Year]]),ISNUMBER(Table15[[#This Row],[Column4]]),Table15[[#This Row],[Column4]],Table15[[#This Row],[Column4]]="",H173*(1+Table15[[#This Row],[Ávöxtun]]))</f>
        <v>194.9582700305215</v>
      </c>
      <c r="I174" s="30" cm="1">
        <f t="array" ref="I174">_xlfn.IFS(Table15[[#This Row],[Column4]]="NEW",_xlfn.XLOOKUP(Table15[[#This Row],[Year]]-1,$N$2:$N$27,$P$2:$P$27)*(1+Table15[[#This Row],[Ávöxtun]]),ISNUMBER(Table15[[#This Row],[Column4]]),Table15[[#This Row],[Column4]],Table15[[#This Row],[Column4]]="",I173*(1+Table15[[#This Row],[Ávöxtun]]))</f>
        <v>222.57647130515667</v>
      </c>
      <c r="L174" s="33">
        <v>194.9582700305215</v>
      </c>
      <c r="M174" s="33">
        <v>246.28468324250852</v>
      </c>
    </row>
    <row r="175" spans="1:13">
      <c r="A175" t="s">
        <v>70</v>
      </c>
      <c r="B175">
        <v>2018</v>
      </c>
      <c r="C175" s="16">
        <v>2.7000000000000003E-2</v>
      </c>
      <c r="D175" s="1">
        <v>148517074</v>
      </c>
      <c r="E175" s="29">
        <f>Table15[[#This Row],[Ávöxtun]]*Table15[[#This Row],[Eignir]]/SUMIFS(Table15[Eignir],Table15[Year],Table15[[#This Row],[Year]])</f>
        <v>1.0501903108703814E-3</v>
      </c>
      <c r="F175" s="23" t="e">
        <f>IF(B175=1997, 100, IF(COUNTIF(A$1:A174,A175)=0, "NEW", F174*(1+Table15[[#This Row],[Ávöxtun]])))</f>
        <v>#VALUE!</v>
      </c>
      <c r="G175" s="18" t="str" cm="1">
        <f t="array" ref="G175">IFERROR(_xlfn.IFS(ISNUMBER(Table15[[#This Row],[Column3]]),Table15[[#This Row],[Column3]],Table15[[#This Row],[Column3]]="NEW",Table15[[#This Row],[Column3]]),"")</f>
        <v/>
      </c>
      <c r="H175" s="15" cm="1">
        <f t="array" ref="H175">_xlfn.IFS(Table15[[#This Row],[Column4]]="NEW",AVERAGEIFS(Table15[Column4],Table15[Year],Table15[[#This Row],[Year]]),ISNUMBER(Table15[[#This Row],[Column4]]),Table15[[#This Row],[Column4]],Table15[[#This Row],[Column4]]="",H174*(1+Table15[[#This Row],[Ávöxtun]]))</f>
        <v>200.22214332134556</v>
      </c>
      <c r="I175" s="30" cm="1">
        <f t="array" ref="I175">_xlfn.IFS(Table15[[#This Row],[Column4]]="NEW",_xlfn.XLOOKUP(Table15[[#This Row],[Year]]-1,$N$2:$N$27,$P$2:$P$27)*(1+Table15[[#This Row],[Ávöxtun]]),ISNUMBER(Table15[[#This Row],[Column4]]),Table15[[#This Row],[Column4]],Table15[[#This Row],[Column4]]="",I174*(1+Table15[[#This Row],[Ávöxtun]]))</f>
        <v>228.58603603039589</v>
      </c>
      <c r="L175" s="33">
        <v>200.22214332134556</v>
      </c>
      <c r="M175" s="33">
        <v>252.93436969005623</v>
      </c>
    </row>
    <row r="176" spans="1:13">
      <c r="A176" t="s">
        <v>70</v>
      </c>
      <c r="B176">
        <v>2019</v>
      </c>
      <c r="C176" s="16">
        <v>0.1023</v>
      </c>
      <c r="D176" s="1">
        <v>176025022.56999999</v>
      </c>
      <c r="E176" s="29">
        <f>Table15[[#This Row],[Ávöxtun]]*Table15[[#This Row],[Eignir]]/SUMIFS(Table15[Eignir],Table15[Year],Table15[[#This Row],[Year]])</f>
        <v>4.0677324751516404E-3</v>
      </c>
      <c r="F176" s="23" t="e">
        <f>IF(B176=1997, 100, IF(COUNTIF(A$1:A175,A176)=0, "NEW", F175*(1+Table15[[#This Row],[Ávöxtun]])))</f>
        <v>#VALUE!</v>
      </c>
      <c r="G176" s="18" t="str" cm="1">
        <f t="array" ref="G176">IFERROR(_xlfn.IFS(ISNUMBER(Table15[[#This Row],[Column3]]),Table15[[#This Row],[Column3]],Table15[[#This Row],[Column3]]="NEW",Table15[[#This Row],[Column3]]),"")</f>
        <v/>
      </c>
      <c r="H176" s="15" cm="1">
        <f t="array" ref="H176">_xlfn.IFS(Table15[[#This Row],[Column4]]="NEW",AVERAGEIFS(Table15[Column4],Table15[Year],Table15[[#This Row],[Year]]),ISNUMBER(Table15[[#This Row],[Column4]]),Table15[[#This Row],[Column4]],Table15[[#This Row],[Column4]]="",H175*(1+Table15[[#This Row],[Ávöxtun]]))</f>
        <v>220.70486858311921</v>
      </c>
      <c r="I176" s="30" cm="1">
        <f t="array" ref="I176">_xlfn.IFS(Table15[[#This Row],[Column4]]="NEW",_xlfn.XLOOKUP(Table15[[#This Row],[Year]]-1,$N$2:$N$27,$P$2:$P$27)*(1+Table15[[#This Row],[Ávöxtun]]),ISNUMBER(Table15[[#This Row],[Column4]]),Table15[[#This Row],[Column4]],Table15[[#This Row],[Column4]]="",I175*(1+Table15[[#This Row],[Ávöxtun]]))</f>
        <v>251.97038751630541</v>
      </c>
      <c r="L176" s="33">
        <v>220.70486858311921</v>
      </c>
      <c r="M176" s="33">
        <v>278.80955570934901</v>
      </c>
    </row>
    <row r="177" spans="1:13">
      <c r="A177" t="s">
        <v>70</v>
      </c>
      <c r="B177">
        <v>2020</v>
      </c>
      <c r="C177" s="16">
        <v>9.1199999999999989E-2</v>
      </c>
      <c r="D177" s="1">
        <v>205752769.16999999</v>
      </c>
      <c r="E177" s="29">
        <f>Table15[[#This Row],[Ávöxtun]]*Table15[[#This Row],[Eignir]]/SUMIFS(Table15[Eignir],Table15[Year],Table15[[#This Row],[Year]])</f>
        <v>3.6531173949966686E-3</v>
      </c>
      <c r="F177" s="23" t="e">
        <f>IF(B177=1997, 100, IF(COUNTIF(A$1:A176,A177)=0, "NEW", F176*(1+Table15[[#This Row],[Ávöxtun]])))</f>
        <v>#VALUE!</v>
      </c>
      <c r="G177" s="18" t="str" cm="1">
        <f t="array" ref="G177">IFERROR(_xlfn.IFS(ISNUMBER(Table15[[#This Row],[Column3]]),Table15[[#This Row],[Column3]],Table15[[#This Row],[Column3]]="NEW",Table15[[#This Row],[Column3]]),"")</f>
        <v/>
      </c>
      <c r="H177" s="15" cm="1">
        <f t="array" ref="H177">_xlfn.IFS(Table15[[#This Row],[Column4]]="NEW",AVERAGEIFS(Table15[Column4],Table15[Year],Table15[[#This Row],[Year]]),ISNUMBER(Table15[[#This Row],[Column4]]),Table15[[#This Row],[Column4]],Table15[[#This Row],[Column4]]="",H176*(1+Table15[[#This Row],[Ávöxtun]]))</f>
        <v>240.83315259789967</v>
      </c>
      <c r="I177" s="30" cm="1">
        <f t="array" ref="I177">_xlfn.IFS(Table15[[#This Row],[Column4]]="NEW",_xlfn.XLOOKUP(Table15[[#This Row],[Year]]-1,$N$2:$N$27,$P$2:$P$27)*(1+Table15[[#This Row],[Ávöxtun]]),ISNUMBER(Table15[[#This Row],[Column4]]),Table15[[#This Row],[Column4]],Table15[[#This Row],[Column4]]="",I176*(1+Table15[[#This Row],[Ávöxtun]]))</f>
        <v>274.95008685779243</v>
      </c>
      <c r="L177" s="33">
        <v>240.83315259789967</v>
      </c>
      <c r="M177" s="33">
        <v>304.23698719004165</v>
      </c>
    </row>
    <row r="178" spans="1:13">
      <c r="A178" t="s">
        <v>70</v>
      </c>
      <c r="B178">
        <v>2021</v>
      </c>
      <c r="C178" s="16">
        <v>0.11</v>
      </c>
      <c r="D178" s="1">
        <v>246426482.16999999</v>
      </c>
      <c r="E178" s="29">
        <f>Table15[[#This Row],[Ávöxtun]]*Table15[[#This Row],[Eignir]]/SUMIFS(Table15[Eignir],Table15[Year],Table15[[#This Row],[Year]])</f>
        <v>4.4882723842463125E-3</v>
      </c>
      <c r="F178" s="23" t="e">
        <f>IF(B178=1997, 100, IF(COUNTIF(A$1:A177,A178)=0, "NEW", F177*(1+Table15[[#This Row],[Ávöxtun]])))</f>
        <v>#VALUE!</v>
      </c>
      <c r="G178" s="18" t="str" cm="1">
        <f t="array" ref="G178">IFERROR(_xlfn.IFS(ISNUMBER(Table15[[#This Row],[Column3]]),Table15[[#This Row],[Column3]],Table15[[#This Row],[Column3]]="NEW",Table15[[#This Row],[Column3]]),"")</f>
        <v/>
      </c>
      <c r="H178" s="15" cm="1">
        <f t="array" ref="H178">_xlfn.IFS(Table15[[#This Row],[Column4]]="NEW",AVERAGEIFS(Table15[Column4],Table15[Year],Table15[[#This Row],[Year]]),ISNUMBER(Table15[[#This Row],[Column4]]),Table15[[#This Row],[Column4]],Table15[[#This Row],[Column4]]="",H177*(1+Table15[[#This Row],[Ávöxtun]]))</f>
        <v>267.32479938366868</v>
      </c>
      <c r="I178" s="30" cm="1">
        <f t="array" ref="I178">_xlfn.IFS(Table15[[#This Row],[Column4]]="NEW",_xlfn.XLOOKUP(Table15[[#This Row],[Year]]-1,$N$2:$N$27,$P$2:$P$27)*(1+Table15[[#This Row],[Ávöxtun]]),ISNUMBER(Table15[[#This Row],[Column4]]),Table15[[#This Row],[Column4]],Table15[[#This Row],[Column4]]="",I177*(1+Table15[[#This Row],[Ávöxtun]]))</f>
        <v>305.19459641214962</v>
      </c>
      <c r="L178" s="33">
        <v>267.32479938366868</v>
      </c>
      <c r="M178" s="33">
        <v>337.70305578094627</v>
      </c>
    </row>
    <row r="179" spans="1:13">
      <c r="A179" t="s">
        <v>71</v>
      </c>
      <c r="B179">
        <v>1999</v>
      </c>
      <c r="C179" s="16">
        <v>0.1</v>
      </c>
      <c r="D179" s="1">
        <v>7466280.2000000002</v>
      </c>
      <c r="E179" s="29">
        <f>Table15[[#This Row],[Ávöxtun]]*Table15[[#This Row],[Eignir]]/SUMIFS(Table15[Eignir],Table15[Year],Table15[[#This Row],[Year]])</f>
        <v>1.433846925951E-3</v>
      </c>
      <c r="F179" s="23" t="str">
        <f>IF(B179=1997, 100, IF(COUNTIF(A$1:A178,A179)=0, "NEW", F178*(1+Table15[[#This Row],[Ávöxtun]])))</f>
        <v>NEW</v>
      </c>
      <c r="G179" s="18" t="str" cm="1">
        <f t="array" ref="G179">IFERROR(_xlfn.IFS(ISNUMBER(Table15[[#This Row],[Column3]]),Table15[[#This Row],[Column3]],Table15[[#This Row],[Column3]]="NEW",Table15[[#This Row],[Column3]]),"")</f>
        <v>NEW</v>
      </c>
      <c r="H179" s="15" cm="1">
        <f t="array" ref="H179">_xlfn.IFS(Table15[[#This Row],[Column4]]="NEW",AVERAGEIFS(Table15[Column4],Table15[Year],Table15[[#This Row],[Year]]),ISNUMBER(Table15[[#This Row],[Column4]]),Table15[[#This Row],[Column4]],Table15[[#This Row],[Column4]]="",H178*(1+Table15[[#This Row],[Ávöxtun]]))</f>
        <v>117.05306122448981</v>
      </c>
      <c r="I179" s="30" cm="1">
        <f t="array" ref="I179">_xlfn.IFS(Table15[[#This Row],[Column4]]="NEW",_xlfn.XLOOKUP(Table15[[#This Row],[Year]]-1,$N$2:$N$27,$P$2:$P$27)*(1+Table15[[#This Row],[Ávöxtun]]),ISNUMBER(Table15[[#This Row],[Column4]]),Table15[[#This Row],[Column4]],Table15[[#This Row],[Column4]]="",I178*(1+Table15[[#This Row],[Ávöxtun]]))</f>
        <v>117.82305222241067</v>
      </c>
      <c r="L179" s="33">
        <v>117.05306122448981</v>
      </c>
      <c r="M179" s="33">
        <v>129.26988390123572</v>
      </c>
    </row>
    <row r="180" spans="1:13">
      <c r="A180" t="s">
        <v>71</v>
      </c>
      <c r="B180">
        <v>2000</v>
      </c>
      <c r="C180" s="16">
        <v>-0.01</v>
      </c>
      <c r="D180" s="1">
        <v>8867305.8699999992</v>
      </c>
      <c r="E180" s="29">
        <f>Table15[[#This Row],[Ávöxtun]]*Table15[[#This Row],[Eignir]]/SUMIFS(Table15[Eignir],Table15[Year],Table15[[#This Row],[Year]])</f>
        <v>-1.247353244063344E-4</v>
      </c>
      <c r="F180" s="23" t="e">
        <f>IF(B180=1997, 100, IF(COUNTIF(A$1:A179,A180)=0, "NEW", F179*(1+Table15[[#This Row],[Ávöxtun]])))</f>
        <v>#VALUE!</v>
      </c>
      <c r="G180" s="18" t="str" cm="1">
        <f t="array" ref="G180">IFERROR(_xlfn.IFS(ISNUMBER(Table15[[#This Row],[Column3]]),Table15[[#This Row],[Column3]],Table15[[#This Row],[Column3]]="NEW",Table15[[#This Row],[Column3]]),"")</f>
        <v/>
      </c>
      <c r="H180" s="15" cm="1">
        <f t="array" ref="H180">_xlfn.IFS(Table15[[#This Row],[Column4]]="NEW",AVERAGEIFS(Table15[Column4],Table15[Year],Table15[[#This Row],[Year]]),ISNUMBER(Table15[[#This Row],[Column4]]),Table15[[#This Row],[Column4]],Table15[[#This Row],[Column4]]="",H179*(1+Table15[[#This Row],[Ávöxtun]]))</f>
        <v>115.88253061224491</v>
      </c>
      <c r="I180" s="30" cm="1">
        <f t="array" ref="I180">_xlfn.IFS(Table15[[#This Row],[Column4]]="NEW",_xlfn.XLOOKUP(Table15[[#This Row],[Year]]-1,$N$2:$N$27,$P$2:$P$27)*(1+Table15[[#This Row],[Ávöxtun]]),ISNUMBER(Table15[[#This Row],[Column4]]),Table15[[#This Row],[Column4]],Table15[[#This Row],[Column4]]="",I179*(1+Table15[[#This Row],[Ávöxtun]]))</f>
        <v>116.64482170018655</v>
      </c>
      <c r="L180" s="33">
        <v>115.88253061224491</v>
      </c>
      <c r="M180" s="33">
        <v>127.97718506222336</v>
      </c>
    </row>
    <row r="181" spans="1:13">
      <c r="A181" t="s">
        <v>71</v>
      </c>
      <c r="B181">
        <v>2001</v>
      </c>
      <c r="C181" s="16">
        <v>-0.05</v>
      </c>
      <c r="D181" s="1">
        <v>11693253</v>
      </c>
      <c r="E181" s="29">
        <f>Table15[[#This Row],[Ávöxtun]]*Table15[[#This Row],[Eignir]]/SUMIFS(Table15[Eignir],Table15[Year],Table15[[#This Row],[Year]])</f>
        <v>-5.0492677323895707E-4</v>
      </c>
      <c r="F181" s="23" t="e">
        <f>IF(B181=1997, 100, IF(COUNTIF(A$1:A180,A181)=0, "NEW", F180*(1+Table15[[#This Row],[Ávöxtun]])))</f>
        <v>#VALUE!</v>
      </c>
      <c r="G181" s="18" t="str" cm="1">
        <f t="array" ref="G181">IFERROR(_xlfn.IFS(ISNUMBER(Table15[[#This Row],[Column3]]),Table15[[#This Row],[Column3]],Table15[[#This Row],[Column3]]="NEW",Table15[[#This Row],[Column3]]),"")</f>
        <v/>
      </c>
      <c r="H181" s="15" cm="1">
        <f t="array" ref="H181">_xlfn.IFS(Table15[[#This Row],[Column4]]="NEW",AVERAGEIFS(Table15[Column4],Table15[Year],Table15[[#This Row],[Year]]),ISNUMBER(Table15[[#This Row],[Column4]]),Table15[[#This Row],[Column4]],Table15[[#This Row],[Column4]]="",H180*(1+Table15[[#This Row],[Ávöxtun]]))</f>
        <v>110.08840408163266</v>
      </c>
      <c r="I181" s="30" cm="1">
        <f t="array" ref="I181">_xlfn.IFS(Table15[[#This Row],[Column4]]="NEW",_xlfn.XLOOKUP(Table15[[#This Row],[Year]]-1,$N$2:$N$27,$P$2:$P$27)*(1+Table15[[#This Row],[Ávöxtun]]),ISNUMBER(Table15[[#This Row],[Column4]]),Table15[[#This Row],[Column4]],Table15[[#This Row],[Column4]]="",I180*(1+Table15[[#This Row],[Ávöxtun]]))</f>
        <v>110.81258061517723</v>
      </c>
      <c r="L181" s="33">
        <v>110.08840408163266</v>
      </c>
      <c r="M181" s="33">
        <v>121.57832580911219</v>
      </c>
    </row>
    <row r="182" spans="1:13">
      <c r="A182" t="s">
        <v>71</v>
      </c>
      <c r="B182">
        <v>2002</v>
      </c>
      <c r="C182" s="16">
        <v>-0.09</v>
      </c>
      <c r="D182" s="1">
        <v>1876502</v>
      </c>
      <c r="E182" s="29">
        <f>Table15[[#This Row],[Ávöxtun]]*Table15[[#This Row],[Eignir]]/SUMIFS(Table15[Eignir],Table15[Year],Table15[[#This Row],[Year]])</f>
        <v>-2.6589217697525237E-4</v>
      </c>
      <c r="F182" s="23" t="e">
        <f>IF(B182=1997, 100, IF(COUNTIF(A$1:A181,A182)=0, "NEW", F181*(1+Table15[[#This Row],[Ávöxtun]])))</f>
        <v>#VALUE!</v>
      </c>
      <c r="G182" s="18" t="str" cm="1">
        <f t="array" ref="G182">IFERROR(_xlfn.IFS(ISNUMBER(Table15[[#This Row],[Column3]]),Table15[[#This Row],[Column3]],Table15[[#This Row],[Column3]]="NEW",Table15[[#This Row],[Column3]]),"")</f>
        <v/>
      </c>
      <c r="H182" s="15" cm="1">
        <f t="array" ref="H182">_xlfn.IFS(Table15[[#This Row],[Column4]]="NEW",AVERAGEIFS(Table15[Column4],Table15[Year],Table15[[#This Row],[Year]]),ISNUMBER(Table15[[#This Row],[Column4]]),Table15[[#This Row],[Column4]],Table15[[#This Row],[Column4]]="",H181*(1+Table15[[#This Row],[Ávöxtun]]))</f>
        <v>100.18044771428572</v>
      </c>
      <c r="I182" s="30" cm="1">
        <f t="array" ref="I182">_xlfn.IFS(Table15[[#This Row],[Column4]]="NEW",_xlfn.XLOOKUP(Table15[[#This Row],[Year]]-1,$N$2:$N$27,$P$2:$P$27)*(1+Table15[[#This Row],[Ávöxtun]]),ISNUMBER(Table15[[#This Row],[Column4]]),Table15[[#This Row],[Column4]],Table15[[#This Row],[Column4]]="",I181*(1+Table15[[#This Row],[Ávöxtun]]))</f>
        <v>100.83944835981127</v>
      </c>
      <c r="L182" s="33">
        <v>100.18044771428572</v>
      </c>
      <c r="M182" s="33">
        <v>110.63627648629209</v>
      </c>
    </row>
    <row r="183" spans="1:13">
      <c r="A183" t="s">
        <v>71</v>
      </c>
      <c r="B183">
        <v>2003</v>
      </c>
      <c r="C183" s="16">
        <v>0.16</v>
      </c>
      <c r="D183" s="1">
        <v>3112396</v>
      </c>
      <c r="E183" s="29">
        <f>Table15[[#This Row],[Ávöxtun]]*Table15[[#This Row],[Eignir]]/SUMIFS(Table15[Eignir],Table15[Year],Table15[[#This Row],[Year]])</f>
        <v>6.5533491149112632E-4</v>
      </c>
      <c r="F183" s="23" t="e">
        <f>IF(B183=1997, 100, IF(COUNTIF(A$1:A182,A183)=0, "NEW", F182*(1+Table15[[#This Row],[Ávöxtun]])))</f>
        <v>#VALUE!</v>
      </c>
      <c r="G183" s="18" t="str" cm="1">
        <f t="array" ref="G183">IFERROR(_xlfn.IFS(ISNUMBER(Table15[[#This Row],[Column3]]),Table15[[#This Row],[Column3]],Table15[[#This Row],[Column3]]="NEW",Table15[[#This Row],[Column3]]),"")</f>
        <v/>
      </c>
      <c r="H183" s="15" cm="1">
        <f t="array" ref="H183">_xlfn.IFS(Table15[[#This Row],[Column4]]="NEW",AVERAGEIFS(Table15[Column4],Table15[Year],Table15[[#This Row],[Year]]),ISNUMBER(Table15[[#This Row],[Column4]]),Table15[[#This Row],[Column4]],Table15[[#This Row],[Column4]]="",H182*(1+Table15[[#This Row],[Ávöxtun]]))</f>
        <v>116.20931934857143</v>
      </c>
      <c r="I183" s="30" cm="1">
        <f t="array" ref="I183">_xlfn.IFS(Table15[[#This Row],[Column4]]="NEW",_xlfn.XLOOKUP(Table15[[#This Row],[Year]]-1,$N$2:$N$27,$P$2:$P$27)*(1+Table15[[#This Row],[Ávöxtun]]),ISNUMBER(Table15[[#This Row],[Column4]]),Table15[[#This Row],[Column4]],Table15[[#This Row],[Column4]]="",I182*(1+Table15[[#This Row],[Ávöxtun]]))</f>
        <v>116.97376009738106</v>
      </c>
      <c r="L183" s="33">
        <v>116.20931934857143</v>
      </c>
      <c r="M183" s="33">
        <v>128.3380807240988</v>
      </c>
    </row>
    <row r="184" spans="1:13">
      <c r="A184" t="s">
        <v>71</v>
      </c>
      <c r="B184">
        <v>2004</v>
      </c>
      <c r="C184" s="16">
        <v>0.09</v>
      </c>
      <c r="D184" s="1">
        <v>5182588.8</v>
      </c>
      <c r="E184" s="29">
        <f>Table15[[#This Row],[Ávöxtun]]*Table15[[#This Row],[Eignir]]/SUMIFS(Table15[Eignir],Table15[Year],Table15[[#This Row],[Year]])</f>
        <v>5.1387924418053882E-4</v>
      </c>
      <c r="F184" s="23" t="e">
        <f>IF(B184=1997, 100, IF(COUNTIF(A$1:A183,A184)=0, "NEW", F183*(1+Table15[[#This Row],[Ávöxtun]])))</f>
        <v>#VALUE!</v>
      </c>
      <c r="G184" s="18" t="str" cm="1">
        <f t="array" ref="G184">IFERROR(_xlfn.IFS(ISNUMBER(Table15[[#This Row],[Column3]]),Table15[[#This Row],[Column3]],Table15[[#This Row],[Column3]]="NEW",Table15[[#This Row],[Column3]]),"")</f>
        <v/>
      </c>
      <c r="H184" s="15" cm="1">
        <f t="array" ref="H184">_xlfn.IFS(Table15[[#This Row],[Column4]]="NEW",AVERAGEIFS(Table15[Column4],Table15[Year],Table15[[#This Row],[Year]]),ISNUMBER(Table15[[#This Row],[Column4]]),Table15[[#This Row],[Column4]],Table15[[#This Row],[Column4]]="",H183*(1+Table15[[#This Row],[Ávöxtun]]))</f>
        <v>126.66815808994286</v>
      </c>
      <c r="I184" s="30" cm="1">
        <f t="array" ref="I184">_xlfn.IFS(Table15[[#This Row],[Column4]]="NEW",_xlfn.XLOOKUP(Table15[[#This Row],[Year]]-1,$N$2:$N$27,$P$2:$P$27)*(1+Table15[[#This Row],[Ávöxtun]]),ISNUMBER(Table15[[#This Row],[Column4]]),Table15[[#This Row],[Column4]],Table15[[#This Row],[Column4]]="",I183*(1+Table15[[#This Row],[Ávöxtun]]))</f>
        <v>127.50139850614536</v>
      </c>
      <c r="L184" s="33">
        <v>126.66815808994286</v>
      </c>
      <c r="M184" s="33">
        <v>139.88850798926771</v>
      </c>
    </row>
    <row r="185" spans="1:13">
      <c r="A185" t="s">
        <v>71</v>
      </c>
      <c r="B185">
        <v>2005</v>
      </c>
      <c r="C185" s="16">
        <v>0.12</v>
      </c>
      <c r="D185" s="1">
        <v>7064513</v>
      </c>
      <c r="E185" s="29">
        <f>Table15[[#This Row],[Ávöxtun]]*Table15[[#This Row],[Eignir]]/SUMIFS(Table15[Eignir],Table15[Year],Table15[[#This Row],[Year]])</f>
        <v>7.5600912107354093E-4</v>
      </c>
      <c r="F185" s="23" t="e">
        <f>IF(B185=1997, 100, IF(COUNTIF(A$1:A184,A185)=0, "NEW", F184*(1+Table15[[#This Row],[Ávöxtun]])))</f>
        <v>#VALUE!</v>
      </c>
      <c r="G185" s="18" t="str" cm="1">
        <f t="array" ref="G185">IFERROR(_xlfn.IFS(ISNUMBER(Table15[[#This Row],[Column3]]),Table15[[#This Row],[Column3]],Table15[[#This Row],[Column3]]="NEW",Table15[[#This Row],[Column3]]),"")</f>
        <v/>
      </c>
      <c r="H185" s="15" cm="1">
        <f t="array" ref="H185">_xlfn.IFS(Table15[[#This Row],[Column4]]="NEW",AVERAGEIFS(Table15[Column4],Table15[Year],Table15[[#This Row],[Year]]),ISNUMBER(Table15[[#This Row],[Column4]]),Table15[[#This Row],[Column4]],Table15[[#This Row],[Column4]]="",H184*(1+Table15[[#This Row],[Ávöxtun]]))</f>
        <v>141.86833706073602</v>
      </c>
      <c r="I185" s="30" cm="1">
        <f t="array" ref="I185">_xlfn.IFS(Table15[[#This Row],[Column4]]="NEW",_xlfn.XLOOKUP(Table15[[#This Row],[Year]]-1,$N$2:$N$27,$P$2:$P$27)*(1+Table15[[#This Row],[Ávöxtun]]),ISNUMBER(Table15[[#This Row],[Column4]]),Table15[[#This Row],[Column4]],Table15[[#This Row],[Column4]]="",I184*(1+Table15[[#This Row],[Ávöxtun]]))</f>
        <v>142.80156632688283</v>
      </c>
      <c r="L185" s="33">
        <v>141.86833706073602</v>
      </c>
      <c r="M185" s="33">
        <v>156.67512894797986</v>
      </c>
    </row>
    <row r="186" spans="1:13">
      <c r="A186" t="s">
        <v>71</v>
      </c>
      <c r="B186">
        <v>2006</v>
      </c>
      <c r="C186" s="16">
        <v>0.11410000000000001</v>
      </c>
      <c r="D186" s="1">
        <v>11594418</v>
      </c>
      <c r="E186" s="29">
        <f>Table15[[#This Row],[Ávöxtun]]*Table15[[#This Row],[Eignir]]/SUMIFS(Table15[Eignir],Table15[Year],Table15[[#This Row],[Year]])</f>
        <v>9.6375506000820419E-4</v>
      </c>
      <c r="F186" s="23" t="e">
        <f>IF(B186=1997, 100, IF(COUNTIF(A$1:A185,A186)=0, "NEW", F185*(1+Table15[[#This Row],[Ávöxtun]])))</f>
        <v>#VALUE!</v>
      </c>
      <c r="G186" s="18" t="str" cm="1">
        <f t="array" ref="G186">IFERROR(_xlfn.IFS(ISNUMBER(Table15[[#This Row],[Column3]]),Table15[[#This Row],[Column3]],Table15[[#This Row],[Column3]]="NEW",Table15[[#This Row],[Column3]]),"")</f>
        <v/>
      </c>
      <c r="H186" s="15" cm="1">
        <f t="array" ref="H186">_xlfn.IFS(Table15[[#This Row],[Column4]]="NEW",AVERAGEIFS(Table15[Column4],Table15[Year],Table15[[#This Row],[Year]]),ISNUMBER(Table15[[#This Row],[Column4]]),Table15[[#This Row],[Column4]],Table15[[#This Row],[Column4]]="",H185*(1+Table15[[#This Row],[Ávöxtun]]))</f>
        <v>158.05551431936601</v>
      </c>
      <c r="I186" s="30" cm="1">
        <f t="array" ref="I186">_xlfn.IFS(Table15[[#This Row],[Column4]]="NEW",_xlfn.XLOOKUP(Table15[[#This Row],[Year]]-1,$N$2:$N$27,$P$2:$P$27)*(1+Table15[[#This Row],[Ávöxtun]]),ISNUMBER(Table15[[#This Row],[Column4]]),Table15[[#This Row],[Column4]],Table15[[#This Row],[Column4]]="",I185*(1+Table15[[#This Row],[Ávöxtun]]))</f>
        <v>159.09522504478019</v>
      </c>
      <c r="L186" s="33">
        <v>158.05551431936601</v>
      </c>
      <c r="M186" s="33">
        <v>174.55176116094438</v>
      </c>
    </row>
    <row r="187" spans="1:13">
      <c r="A187" t="s">
        <v>71</v>
      </c>
      <c r="B187">
        <v>2007</v>
      </c>
      <c r="C187" s="16">
        <v>-2.35E-2</v>
      </c>
      <c r="D187" s="1">
        <v>12728071</v>
      </c>
      <c r="E187" s="29">
        <f>Table15[[#This Row],[Ávöxtun]]*Table15[[#This Row],[Eignir]]/SUMIFS(Table15[Eignir],Table15[Year],Table15[[#This Row],[Year]])</f>
        <v>-1.9342221969863928E-4</v>
      </c>
      <c r="F187" s="23" t="e">
        <f>IF(B187=1997, 100, IF(COUNTIF(A$1:A186,A187)=0, "NEW", F186*(1+Table15[[#This Row],[Ávöxtun]])))</f>
        <v>#VALUE!</v>
      </c>
      <c r="G187" s="18" t="str" cm="1">
        <f t="array" ref="G187">IFERROR(_xlfn.IFS(ISNUMBER(Table15[[#This Row],[Column3]]),Table15[[#This Row],[Column3]],Table15[[#This Row],[Column3]]="NEW",Table15[[#This Row],[Column3]]),"")</f>
        <v/>
      </c>
      <c r="H187" s="15" cm="1">
        <f t="array" ref="H187">_xlfn.IFS(Table15[[#This Row],[Column4]]="NEW",AVERAGEIFS(Table15[Column4],Table15[Year],Table15[[#This Row],[Year]]),ISNUMBER(Table15[[#This Row],[Column4]]),Table15[[#This Row],[Column4]],Table15[[#This Row],[Column4]]="",H186*(1+Table15[[#This Row],[Ávöxtun]]))</f>
        <v>154.3412097328609</v>
      </c>
      <c r="I187" s="30" cm="1">
        <f t="array" ref="I187">_xlfn.IFS(Table15[[#This Row],[Column4]]="NEW",_xlfn.XLOOKUP(Table15[[#This Row],[Year]]-1,$N$2:$N$27,$P$2:$P$27)*(1+Table15[[#This Row],[Ávöxtun]]),ISNUMBER(Table15[[#This Row],[Column4]]),Table15[[#This Row],[Column4]],Table15[[#This Row],[Column4]]="",I186*(1+Table15[[#This Row],[Ávöxtun]]))</f>
        <v>155.35648725622787</v>
      </c>
      <c r="L187" s="33">
        <v>154.3412097328609</v>
      </c>
      <c r="M187" s="33">
        <v>170.44979477366221</v>
      </c>
    </row>
    <row r="188" spans="1:13">
      <c r="A188" t="s">
        <v>71</v>
      </c>
      <c r="B188">
        <v>2008</v>
      </c>
      <c r="C188" s="16">
        <v>-0.20620000000000002</v>
      </c>
      <c r="D188" s="1">
        <v>13755504</v>
      </c>
      <c r="E188" s="29">
        <f>Table15[[#This Row],[Ávöxtun]]*Table15[[#This Row],[Eignir]]/SUMIFS(Table15[Eignir],Table15[Year],Table15[[#This Row],[Year]])</f>
        <v>-1.8943104340176386E-3</v>
      </c>
      <c r="F188" s="23" t="e">
        <f>IF(B188=1997, 100, IF(COUNTIF(A$1:A187,A188)=0, "NEW", F187*(1+Table15[[#This Row],[Ávöxtun]])))</f>
        <v>#VALUE!</v>
      </c>
      <c r="G188" s="18" t="str" cm="1">
        <f t="array" ref="G188">IFERROR(_xlfn.IFS(ISNUMBER(Table15[[#This Row],[Column3]]),Table15[[#This Row],[Column3]],Table15[[#This Row],[Column3]]="NEW",Table15[[#This Row],[Column3]]),"")</f>
        <v/>
      </c>
      <c r="H188" s="15" cm="1">
        <f t="array" ref="H188">_xlfn.IFS(Table15[[#This Row],[Column4]]="NEW",AVERAGEIFS(Table15[Column4],Table15[Year],Table15[[#This Row],[Year]]),ISNUMBER(Table15[[#This Row],[Column4]]),Table15[[#This Row],[Column4]],Table15[[#This Row],[Column4]]="",H187*(1+Table15[[#This Row],[Ávöxtun]]))</f>
        <v>122.51605228594498</v>
      </c>
      <c r="I188" s="30" cm="1">
        <f t="array" ref="I188">_xlfn.IFS(Table15[[#This Row],[Column4]]="NEW",_xlfn.XLOOKUP(Table15[[#This Row],[Year]]-1,$N$2:$N$27,$P$2:$P$27)*(1+Table15[[#This Row],[Ávöxtun]]),ISNUMBER(Table15[[#This Row],[Column4]]),Table15[[#This Row],[Column4]],Table15[[#This Row],[Column4]]="",I187*(1+Table15[[#This Row],[Ávöxtun]]))</f>
        <v>123.32197958399367</v>
      </c>
      <c r="L188" s="33">
        <v>122.51605228594498</v>
      </c>
      <c r="M188" s="33">
        <v>135.30304709133304</v>
      </c>
    </row>
    <row r="189" spans="1:13">
      <c r="A189" t="s">
        <v>71</v>
      </c>
      <c r="B189">
        <v>2009</v>
      </c>
      <c r="C189" s="16">
        <v>5.7999999999999996E-3</v>
      </c>
      <c r="D189" s="1">
        <v>16690404</v>
      </c>
      <c r="E189" s="29">
        <f>Table15[[#This Row],[Ávöxtun]]*Table15[[#This Row],[Eignir]]/SUMIFS(Table15[Eignir],Table15[Year],Table15[[#This Row],[Year]])</f>
        <v>5.8027189130394382E-5</v>
      </c>
      <c r="F189" s="23" t="e">
        <f>IF(B189=1997, 100, IF(COUNTIF(A$1:A188,A189)=0, "NEW", F188*(1+Table15[[#This Row],[Ávöxtun]])))</f>
        <v>#VALUE!</v>
      </c>
      <c r="G189" s="18" t="str" cm="1">
        <f t="array" ref="G189">IFERROR(_xlfn.IFS(ISNUMBER(Table15[[#This Row],[Column3]]),Table15[[#This Row],[Column3]],Table15[[#This Row],[Column3]]="NEW",Table15[[#This Row],[Column3]]),"")</f>
        <v/>
      </c>
      <c r="H189" s="15" cm="1">
        <f t="array" ref="H189">_xlfn.IFS(Table15[[#This Row],[Column4]]="NEW",AVERAGEIFS(Table15[Column4],Table15[Year],Table15[[#This Row],[Year]]),ISNUMBER(Table15[[#This Row],[Column4]]),Table15[[#This Row],[Column4]],Table15[[#This Row],[Column4]]="",H188*(1+Table15[[#This Row],[Ávöxtun]]))</f>
        <v>123.22664538920347</v>
      </c>
      <c r="I189" s="30" cm="1">
        <f t="array" ref="I189">_xlfn.IFS(Table15[[#This Row],[Column4]]="NEW",_xlfn.XLOOKUP(Table15[[#This Row],[Year]]-1,$N$2:$N$27,$P$2:$P$27)*(1+Table15[[#This Row],[Ávöxtun]]),ISNUMBER(Table15[[#This Row],[Column4]]),Table15[[#This Row],[Column4]],Table15[[#This Row],[Column4]]="",I188*(1+Table15[[#This Row],[Ávöxtun]]))</f>
        <v>124.03724706558083</v>
      </c>
      <c r="L189" s="33">
        <v>123.22664538920347</v>
      </c>
      <c r="M189" s="33">
        <v>136.08780476446279</v>
      </c>
    </row>
    <row r="190" spans="1:13">
      <c r="A190" t="s">
        <v>71</v>
      </c>
      <c r="B190">
        <v>2010</v>
      </c>
      <c r="C190" s="16">
        <v>5.0199999999999995E-2</v>
      </c>
      <c r="D190" s="1">
        <v>19866077</v>
      </c>
      <c r="E190" s="29">
        <f>Table15[[#This Row],[Ávöxtun]]*Table15[[#This Row],[Eignir]]/SUMIFS(Table15[Eignir],Table15[Year],Table15[[#This Row],[Year]])</f>
        <v>5.5782781248664697E-4</v>
      </c>
      <c r="F190" s="23" t="e">
        <f>IF(B190=1997, 100, IF(COUNTIF(A$1:A189,A190)=0, "NEW", F189*(1+Table15[[#This Row],[Ávöxtun]])))</f>
        <v>#VALUE!</v>
      </c>
      <c r="G190" s="18" t="str" cm="1">
        <f t="array" ref="G190">IFERROR(_xlfn.IFS(ISNUMBER(Table15[[#This Row],[Column3]]),Table15[[#This Row],[Column3]],Table15[[#This Row],[Column3]]="NEW",Table15[[#This Row],[Column3]]),"")</f>
        <v/>
      </c>
      <c r="H190" s="15" cm="1">
        <f t="array" ref="H190">_xlfn.IFS(Table15[[#This Row],[Column4]]="NEW",AVERAGEIFS(Table15[Column4],Table15[Year],Table15[[#This Row],[Year]]),ISNUMBER(Table15[[#This Row],[Column4]]),Table15[[#This Row],[Column4]],Table15[[#This Row],[Column4]]="",H189*(1+Table15[[#This Row],[Ávöxtun]]))</f>
        <v>129.41262298774149</v>
      </c>
      <c r="I190" s="30" cm="1">
        <f t="array" ref="I190">_xlfn.IFS(Table15[[#This Row],[Column4]]="NEW",_xlfn.XLOOKUP(Table15[[#This Row],[Year]]-1,$N$2:$N$27,$P$2:$P$27)*(1+Table15[[#This Row],[Ávöxtun]]),ISNUMBER(Table15[[#This Row],[Column4]]),Table15[[#This Row],[Column4]],Table15[[#This Row],[Column4]]="",I189*(1+Table15[[#This Row],[Ávöxtun]]))</f>
        <v>130.26391686827299</v>
      </c>
      <c r="L190" s="33">
        <v>129.41262298774149</v>
      </c>
      <c r="M190" s="33">
        <v>142.91941256363882</v>
      </c>
    </row>
    <row r="191" spans="1:13">
      <c r="A191" t="s">
        <v>71</v>
      </c>
      <c r="B191">
        <v>2011</v>
      </c>
      <c r="C191" s="16">
        <v>3.6000000000000004E-2</v>
      </c>
      <c r="D191" s="1">
        <v>23879708</v>
      </c>
      <c r="E191" s="29">
        <f>Table15[[#This Row],[Ávöxtun]]*Table15[[#This Row],[Eignir]]/SUMIFS(Table15[Eignir],Table15[Year],Table15[[#This Row],[Year]])</f>
        <v>4.4072984175215133E-4</v>
      </c>
      <c r="F191" s="23" t="e">
        <f>IF(B191=1997, 100, IF(COUNTIF(A$1:A190,A191)=0, "NEW", F190*(1+Table15[[#This Row],[Ávöxtun]])))</f>
        <v>#VALUE!</v>
      </c>
      <c r="G191" s="18" t="str" cm="1">
        <f t="array" ref="G191">IFERROR(_xlfn.IFS(ISNUMBER(Table15[[#This Row],[Column3]]),Table15[[#This Row],[Column3]],Table15[[#This Row],[Column3]]="NEW",Table15[[#This Row],[Column3]]),"")</f>
        <v/>
      </c>
      <c r="H191" s="15" cm="1">
        <f t="array" ref="H191">_xlfn.IFS(Table15[[#This Row],[Column4]]="NEW",AVERAGEIFS(Table15[Column4],Table15[Year],Table15[[#This Row],[Year]]),ISNUMBER(Table15[[#This Row],[Column4]]),Table15[[#This Row],[Column4]],Table15[[#This Row],[Column4]]="",H190*(1+Table15[[#This Row],[Ávöxtun]]))</f>
        <v>134.07147741530019</v>
      </c>
      <c r="I191" s="30" cm="1">
        <f t="array" ref="I191">_xlfn.IFS(Table15[[#This Row],[Column4]]="NEW",_xlfn.XLOOKUP(Table15[[#This Row],[Year]]-1,$N$2:$N$27,$P$2:$P$27)*(1+Table15[[#This Row],[Ávöxtun]]),ISNUMBER(Table15[[#This Row],[Column4]]),Table15[[#This Row],[Column4]],Table15[[#This Row],[Column4]]="",I190*(1+Table15[[#This Row],[Ávöxtun]]))</f>
        <v>134.95341787553082</v>
      </c>
      <c r="L191" s="33">
        <v>134.07147741530019</v>
      </c>
      <c r="M191" s="33">
        <v>148.06451141592981</v>
      </c>
    </row>
    <row r="192" spans="1:13">
      <c r="A192" t="s">
        <v>71</v>
      </c>
      <c r="B192">
        <v>2012</v>
      </c>
      <c r="C192" s="16">
        <v>5.7000000000000002E-2</v>
      </c>
      <c r="D192" s="1">
        <v>29200973</v>
      </c>
      <c r="E192" s="29">
        <f>Table15[[#This Row],[Ávöxtun]]*Table15[[#This Row],[Eignir]]/SUMIFS(Table15[Eignir],Table15[Year],Table15[[#This Row],[Year]])</f>
        <v>7.5559422855919778E-4</v>
      </c>
      <c r="F192" s="23" t="e">
        <f>IF(B192=1997, 100, IF(COUNTIF(A$1:A191,A192)=0, "NEW", F191*(1+Table15[[#This Row],[Ávöxtun]])))</f>
        <v>#VALUE!</v>
      </c>
      <c r="G192" s="18" t="str" cm="1">
        <f t="array" ref="G192">IFERROR(_xlfn.IFS(ISNUMBER(Table15[[#This Row],[Column3]]),Table15[[#This Row],[Column3]],Table15[[#This Row],[Column3]]="NEW",Table15[[#This Row],[Column3]]),"")</f>
        <v/>
      </c>
      <c r="H192" s="15" cm="1">
        <f t="array" ref="H192">_xlfn.IFS(Table15[[#This Row],[Column4]]="NEW",AVERAGEIFS(Table15[Column4],Table15[Year],Table15[[#This Row],[Year]]),ISNUMBER(Table15[[#This Row],[Column4]]),Table15[[#This Row],[Column4]],Table15[[#This Row],[Column4]]="",H191*(1+Table15[[#This Row],[Ávöxtun]]))</f>
        <v>141.71355162797229</v>
      </c>
      <c r="I192" s="30" cm="1">
        <f t="array" ref="I192">_xlfn.IFS(Table15[[#This Row],[Column4]]="NEW",_xlfn.XLOOKUP(Table15[[#This Row],[Year]]-1,$N$2:$N$27,$P$2:$P$27)*(1+Table15[[#This Row],[Ávöxtun]]),ISNUMBER(Table15[[#This Row],[Column4]]),Table15[[#This Row],[Column4]],Table15[[#This Row],[Column4]]="",I191*(1+Table15[[#This Row],[Ávöxtun]]))</f>
        <v>142.64576269443606</v>
      </c>
      <c r="L192" s="33">
        <v>141.71355162797229</v>
      </c>
      <c r="M192" s="33">
        <v>156.50418856663779</v>
      </c>
    </row>
    <row r="193" spans="1:13">
      <c r="A193" t="s">
        <v>71</v>
      </c>
      <c r="B193">
        <v>2013</v>
      </c>
      <c r="C193" s="16">
        <v>5.2999999999999999E-2</v>
      </c>
      <c r="D193" s="1">
        <v>35016806</v>
      </c>
      <c r="E193" s="29">
        <f>Table15[[#This Row],[Ávöxtun]]*Table15[[#This Row],[Eignir]]/SUMIFS(Table15[Eignir],Table15[Year],Table15[[#This Row],[Year]])</f>
        <v>7.6261765584244724E-4</v>
      </c>
      <c r="F193" s="23" t="e">
        <f>IF(B193=1997, 100, IF(COUNTIF(A$1:A192,A193)=0, "NEW", F192*(1+Table15[[#This Row],[Ávöxtun]])))</f>
        <v>#VALUE!</v>
      </c>
      <c r="G193" s="18" t="str" cm="1">
        <f t="array" ref="G193">IFERROR(_xlfn.IFS(ISNUMBER(Table15[[#This Row],[Column3]]),Table15[[#This Row],[Column3]],Table15[[#This Row],[Column3]]="NEW",Table15[[#This Row],[Column3]]),"")</f>
        <v/>
      </c>
      <c r="H193" s="15" cm="1">
        <f t="array" ref="H193">_xlfn.IFS(Table15[[#This Row],[Column4]]="NEW",AVERAGEIFS(Table15[Column4],Table15[Year],Table15[[#This Row],[Year]]),ISNUMBER(Table15[[#This Row],[Column4]]),Table15[[#This Row],[Column4]],Table15[[#This Row],[Column4]]="",H192*(1+Table15[[#This Row],[Ávöxtun]]))</f>
        <v>149.22436986425481</v>
      </c>
      <c r="I193" s="30" cm="1">
        <f t="array" ref="I193">_xlfn.IFS(Table15[[#This Row],[Column4]]="NEW",_xlfn.XLOOKUP(Table15[[#This Row],[Year]]-1,$N$2:$N$27,$P$2:$P$27)*(1+Table15[[#This Row],[Ávöxtun]]),ISNUMBER(Table15[[#This Row],[Column4]]),Table15[[#This Row],[Column4]],Table15[[#This Row],[Column4]]="",I192*(1+Table15[[#This Row],[Ávöxtun]]))</f>
        <v>150.20598811724116</v>
      </c>
      <c r="L193" s="33">
        <v>149.22436986425481</v>
      </c>
      <c r="M193" s="33">
        <v>164.79891056066958</v>
      </c>
    </row>
    <row r="194" spans="1:13">
      <c r="A194" t="s">
        <v>71</v>
      </c>
      <c r="B194">
        <v>2014</v>
      </c>
      <c r="C194" s="16">
        <v>4.4999999999999998E-2</v>
      </c>
      <c r="D194" s="1">
        <v>40731963</v>
      </c>
      <c r="E194" s="29">
        <f>Table15[[#This Row],[Ávöxtun]]*Table15[[#This Row],[Eignir]]/SUMIFS(Table15[Eignir],Table15[Year],Table15[[#This Row],[Year]])</f>
        <v>6.9088789132394385E-4</v>
      </c>
      <c r="F194" s="23" t="e">
        <f>IF(B194=1997, 100, IF(COUNTIF(A$1:A193,A194)=0, "NEW", F193*(1+Table15[[#This Row],[Ávöxtun]])))</f>
        <v>#VALUE!</v>
      </c>
      <c r="G194" s="18" t="str" cm="1">
        <f t="array" ref="G194">IFERROR(_xlfn.IFS(ISNUMBER(Table15[[#This Row],[Column3]]),Table15[[#This Row],[Column3]],Table15[[#This Row],[Column3]]="NEW",Table15[[#This Row],[Column3]]),"")</f>
        <v/>
      </c>
      <c r="H194" s="15" cm="1">
        <f t="array" ref="H194">_xlfn.IFS(Table15[[#This Row],[Column4]]="NEW",AVERAGEIFS(Table15[Column4],Table15[Year],Table15[[#This Row],[Year]]),ISNUMBER(Table15[[#This Row],[Column4]]),Table15[[#This Row],[Column4]],Table15[[#This Row],[Column4]]="",H193*(1+Table15[[#This Row],[Ávöxtun]]))</f>
        <v>155.93946650814627</v>
      </c>
      <c r="I194" s="30" cm="1">
        <f t="array" ref="I194">_xlfn.IFS(Table15[[#This Row],[Column4]]="NEW",_xlfn.XLOOKUP(Table15[[#This Row],[Year]]-1,$N$2:$N$27,$P$2:$P$27)*(1+Table15[[#This Row],[Ávöxtun]]),ISNUMBER(Table15[[#This Row],[Column4]]),Table15[[#This Row],[Column4]],Table15[[#This Row],[Column4]]="",I193*(1+Table15[[#This Row],[Ávöxtun]]))</f>
        <v>156.96525758251701</v>
      </c>
      <c r="L194" s="33">
        <v>155.93946650814627</v>
      </c>
      <c r="M194" s="33">
        <v>172.2148615358997</v>
      </c>
    </row>
    <row r="195" spans="1:13">
      <c r="A195" t="s">
        <v>71</v>
      </c>
      <c r="B195">
        <v>2015</v>
      </c>
      <c r="C195" s="16">
        <v>8.4000000000000005E-2</v>
      </c>
      <c r="D195" s="1">
        <v>49307622</v>
      </c>
      <c r="E195" s="29">
        <f>Table15[[#This Row],[Ávöxtun]]*Table15[[#This Row],[Eignir]]/SUMIFS(Table15[Eignir],Table15[Year],Table15[[#This Row],[Year]])</f>
        <v>1.398619131622224E-3</v>
      </c>
      <c r="F195" s="23" t="e">
        <f>IF(B195=1997, 100, IF(COUNTIF(A$1:A194,A195)=0, "NEW", F194*(1+Table15[[#This Row],[Ávöxtun]])))</f>
        <v>#VALUE!</v>
      </c>
      <c r="G195" s="18" t="str" cm="1">
        <f t="array" ref="G195">IFERROR(_xlfn.IFS(ISNUMBER(Table15[[#This Row],[Column3]]),Table15[[#This Row],[Column3]],Table15[[#This Row],[Column3]]="NEW",Table15[[#This Row],[Column3]]),"")</f>
        <v/>
      </c>
      <c r="H195" s="15" cm="1">
        <f t="array" ref="H195">_xlfn.IFS(Table15[[#This Row],[Column4]]="NEW",AVERAGEIFS(Table15[Column4],Table15[Year],Table15[[#This Row],[Year]]),ISNUMBER(Table15[[#This Row],[Column4]]),Table15[[#This Row],[Column4]],Table15[[#This Row],[Column4]]="",H194*(1+Table15[[#This Row],[Ávöxtun]]))</f>
        <v>169.03838169483058</v>
      </c>
      <c r="I195" s="30" cm="1">
        <f t="array" ref="I195">_xlfn.IFS(Table15[[#This Row],[Column4]]="NEW",_xlfn.XLOOKUP(Table15[[#This Row],[Year]]-1,$N$2:$N$27,$P$2:$P$27)*(1+Table15[[#This Row],[Ávöxtun]]),ISNUMBER(Table15[[#This Row],[Column4]]),Table15[[#This Row],[Column4]],Table15[[#This Row],[Column4]]="",I194*(1+Table15[[#This Row],[Ávöxtun]]))</f>
        <v>170.15033921944845</v>
      </c>
      <c r="L195" s="33">
        <v>169.03838169483058</v>
      </c>
      <c r="M195" s="33">
        <v>186.6809099049153</v>
      </c>
    </row>
    <row r="196" spans="1:13">
      <c r="A196" t="s">
        <v>71</v>
      </c>
      <c r="B196">
        <v>2016</v>
      </c>
      <c r="C196" s="16">
        <v>-1E-3</v>
      </c>
      <c r="D196" s="1">
        <v>55602567</v>
      </c>
      <c r="E196" s="29">
        <f>Table15[[#This Row],[Ávöxtun]]*Table15[[#This Row],[Eignir]]/SUMIFS(Table15[Eignir],Table15[Year],Table15[[#This Row],[Year]])</f>
        <v>-1.7375548842278434E-5</v>
      </c>
      <c r="F196" s="23" t="e">
        <f>IF(B196=1997, 100, IF(COUNTIF(A$1:A195,A196)=0, "NEW", F195*(1+Table15[[#This Row],[Ávöxtun]])))</f>
        <v>#VALUE!</v>
      </c>
      <c r="G196" s="18" t="str" cm="1">
        <f t="array" ref="G196">IFERROR(_xlfn.IFS(ISNUMBER(Table15[[#This Row],[Column3]]),Table15[[#This Row],[Column3]],Table15[[#This Row],[Column3]]="NEW",Table15[[#This Row],[Column3]]),"")</f>
        <v/>
      </c>
      <c r="H196" s="15" cm="1">
        <f t="array" ref="H196">_xlfn.IFS(Table15[[#This Row],[Column4]]="NEW",AVERAGEIFS(Table15[Column4],Table15[Year],Table15[[#This Row],[Year]]),ISNUMBER(Table15[[#This Row],[Column4]]),Table15[[#This Row],[Column4]],Table15[[#This Row],[Column4]]="",H195*(1+Table15[[#This Row],[Ávöxtun]]))</f>
        <v>168.86934331313574</v>
      </c>
      <c r="I196" s="30" cm="1">
        <f t="array" ref="I196">_xlfn.IFS(Table15[[#This Row],[Column4]]="NEW",_xlfn.XLOOKUP(Table15[[#This Row],[Year]]-1,$N$2:$N$27,$P$2:$P$27)*(1+Table15[[#This Row],[Ávöxtun]]),ISNUMBER(Table15[[#This Row],[Column4]]),Table15[[#This Row],[Column4]],Table15[[#This Row],[Column4]]="",I195*(1+Table15[[#This Row],[Ávöxtun]]))</f>
        <v>169.98018888022901</v>
      </c>
      <c r="L196" s="33">
        <v>168.86934331313574</v>
      </c>
      <c r="M196" s="33">
        <v>186.49422899501039</v>
      </c>
    </row>
    <row r="197" spans="1:13">
      <c r="A197" t="s">
        <v>71</v>
      </c>
      <c r="B197">
        <v>2017</v>
      </c>
      <c r="C197" s="16">
        <v>0.03</v>
      </c>
      <c r="D197" s="1">
        <v>63913344</v>
      </c>
      <c r="E197" s="29">
        <f>Table15[[#This Row],[Ávöxtun]]*Table15[[#This Row],[Eignir]]/SUMIFS(Table15[Eignir],Table15[Year],Table15[[#This Row],[Year]])</f>
        <v>5.3872402716236651E-4</v>
      </c>
      <c r="F197" s="23" t="e">
        <f>IF(B197=1997, 100, IF(COUNTIF(A$1:A196,A197)=0, "NEW", F196*(1+Table15[[#This Row],[Ávöxtun]])))</f>
        <v>#VALUE!</v>
      </c>
      <c r="G197" s="18" t="str" cm="1">
        <f t="array" ref="G197">IFERROR(_xlfn.IFS(ISNUMBER(Table15[[#This Row],[Column3]]),Table15[[#This Row],[Column3]],Table15[[#This Row],[Column3]]="NEW",Table15[[#This Row],[Column3]]),"")</f>
        <v/>
      </c>
      <c r="H197" s="15" cm="1">
        <f t="array" ref="H197">_xlfn.IFS(Table15[[#This Row],[Column4]]="NEW",AVERAGEIFS(Table15[Column4],Table15[Year],Table15[[#This Row],[Year]]),ISNUMBER(Table15[[#This Row],[Column4]]),Table15[[#This Row],[Column4]],Table15[[#This Row],[Column4]]="",H196*(1+Table15[[#This Row],[Ávöxtun]]))</f>
        <v>173.93542361252983</v>
      </c>
      <c r="I197" s="30" cm="1">
        <f t="array" ref="I197">_xlfn.IFS(Table15[[#This Row],[Column4]]="NEW",_xlfn.XLOOKUP(Table15[[#This Row],[Year]]-1,$N$2:$N$27,$P$2:$P$27)*(1+Table15[[#This Row],[Ávöxtun]]),ISNUMBER(Table15[[#This Row],[Column4]]),Table15[[#This Row],[Column4]],Table15[[#This Row],[Column4]]="",I196*(1+Table15[[#This Row],[Ávöxtun]]))</f>
        <v>175.07959454663589</v>
      </c>
      <c r="L197" s="33">
        <v>173.93542361252983</v>
      </c>
      <c r="M197" s="33">
        <v>192.08905586486071</v>
      </c>
    </row>
    <row r="198" spans="1:13">
      <c r="A198" t="s">
        <v>71</v>
      </c>
      <c r="B198">
        <v>2018</v>
      </c>
      <c r="C198" s="16">
        <v>1.8000000000000002E-2</v>
      </c>
      <c r="D198" s="1">
        <v>73497172</v>
      </c>
      <c r="E198" s="29">
        <f>Table15[[#This Row],[Ávöxtun]]*Table15[[#This Row],[Eignir]]/SUMIFS(Table15[Eignir],Table15[Year],Table15[[#This Row],[Year]])</f>
        <v>3.4647427321285137E-4</v>
      </c>
      <c r="F198" s="23" t="e">
        <f>IF(B198=1997, 100, IF(COUNTIF(A$1:A197,A198)=0, "NEW", F197*(1+Table15[[#This Row],[Ávöxtun]])))</f>
        <v>#VALUE!</v>
      </c>
      <c r="G198" s="18" t="str" cm="1">
        <f t="array" ref="G198">IFERROR(_xlfn.IFS(ISNUMBER(Table15[[#This Row],[Column3]]),Table15[[#This Row],[Column3]],Table15[[#This Row],[Column3]]="NEW",Table15[[#This Row],[Column3]]),"")</f>
        <v/>
      </c>
      <c r="H198" s="15" cm="1">
        <f t="array" ref="H198">_xlfn.IFS(Table15[[#This Row],[Column4]]="NEW",AVERAGEIFS(Table15[Column4],Table15[Year],Table15[[#This Row],[Year]]),ISNUMBER(Table15[[#This Row],[Column4]]),Table15[[#This Row],[Column4]],Table15[[#This Row],[Column4]]="",H197*(1+Table15[[#This Row],[Ávöxtun]]))</f>
        <v>177.06626123755538</v>
      </c>
      <c r="I198" s="30" cm="1">
        <f t="array" ref="I198">_xlfn.IFS(Table15[[#This Row],[Column4]]="NEW",_xlfn.XLOOKUP(Table15[[#This Row],[Year]]-1,$N$2:$N$27,$P$2:$P$27)*(1+Table15[[#This Row],[Ávöxtun]]),ISNUMBER(Table15[[#This Row],[Column4]]),Table15[[#This Row],[Column4]],Table15[[#This Row],[Column4]]="",I197*(1+Table15[[#This Row],[Ávöxtun]]))</f>
        <v>178.23102724847533</v>
      </c>
      <c r="L198" s="33">
        <v>177.06626123755538</v>
      </c>
      <c r="M198" s="33">
        <v>195.54665887042822</v>
      </c>
    </row>
    <row r="199" spans="1:13">
      <c r="A199" t="s">
        <v>71</v>
      </c>
      <c r="B199">
        <v>2019</v>
      </c>
      <c r="C199" s="16">
        <v>0.09</v>
      </c>
      <c r="D199" s="1">
        <v>88576442</v>
      </c>
      <c r="E199" s="29">
        <f>Table15[[#This Row],[Ávöxtun]]*Table15[[#This Row],[Eignir]]/SUMIFS(Table15[Eignir],Table15[Year],Table15[[#This Row],[Year]])</f>
        <v>1.8007900443608549E-3</v>
      </c>
      <c r="F199" s="23" t="e">
        <f>IF(B199=1997, 100, IF(COUNTIF(A$1:A198,A199)=0, "NEW", F198*(1+Table15[[#This Row],[Ávöxtun]])))</f>
        <v>#VALUE!</v>
      </c>
      <c r="G199" s="18" t="str" cm="1">
        <f t="array" ref="G199">IFERROR(_xlfn.IFS(ISNUMBER(Table15[[#This Row],[Column3]]),Table15[[#This Row],[Column3]],Table15[[#This Row],[Column3]]="NEW",Table15[[#This Row],[Column3]]),"")</f>
        <v/>
      </c>
      <c r="H199" s="15" cm="1">
        <f t="array" ref="H199">_xlfn.IFS(Table15[[#This Row],[Column4]]="NEW",AVERAGEIFS(Table15[Column4],Table15[Year],Table15[[#This Row],[Year]]),ISNUMBER(Table15[[#This Row],[Column4]]),Table15[[#This Row],[Column4]],Table15[[#This Row],[Column4]]="",H198*(1+Table15[[#This Row],[Ávöxtun]]))</f>
        <v>193.00222474893539</v>
      </c>
      <c r="I199" s="30" cm="1">
        <f t="array" ref="I199">_xlfn.IFS(Table15[[#This Row],[Column4]]="NEW",_xlfn.XLOOKUP(Table15[[#This Row],[Year]]-1,$N$2:$N$27,$P$2:$P$27)*(1+Table15[[#This Row],[Ávöxtun]]),ISNUMBER(Table15[[#This Row],[Column4]]),Table15[[#This Row],[Column4]],Table15[[#This Row],[Column4]]="",I198*(1+Table15[[#This Row],[Ávöxtun]]))</f>
        <v>194.27181970083811</v>
      </c>
      <c r="L199" s="33">
        <v>193.00222474893539</v>
      </c>
      <c r="M199" s="33">
        <v>213.14585816876678</v>
      </c>
    </row>
    <row r="200" spans="1:13">
      <c r="A200" t="s">
        <v>71</v>
      </c>
      <c r="B200">
        <v>2020</v>
      </c>
      <c r="C200" s="16">
        <v>7.6999999999999999E-2</v>
      </c>
      <c r="D200" s="1">
        <v>105138169</v>
      </c>
      <c r="E200" s="29">
        <f>Table15[[#This Row],[Ávöxtun]]*Table15[[#This Row],[Eignir]]/SUMIFS(Table15[Eignir],Table15[Year],Table15[[#This Row],[Year]])</f>
        <v>1.576065404135446E-3</v>
      </c>
      <c r="F200" s="23" t="e">
        <f>IF(B200=1997, 100, IF(COUNTIF(A$1:A199,A200)=0, "NEW", F199*(1+Table15[[#This Row],[Ávöxtun]])))</f>
        <v>#VALUE!</v>
      </c>
      <c r="G200" s="18" t="str" cm="1">
        <f t="array" ref="G200">IFERROR(_xlfn.IFS(ISNUMBER(Table15[[#This Row],[Column3]]),Table15[[#This Row],[Column3]],Table15[[#This Row],[Column3]]="NEW",Table15[[#This Row],[Column3]]),"")</f>
        <v/>
      </c>
      <c r="H200" s="15" cm="1">
        <f t="array" ref="H200">_xlfn.IFS(Table15[[#This Row],[Column4]]="NEW",AVERAGEIFS(Table15[Column4],Table15[Year],Table15[[#This Row],[Year]]),ISNUMBER(Table15[[#This Row],[Column4]]),Table15[[#This Row],[Column4]],Table15[[#This Row],[Column4]]="",H199*(1+Table15[[#This Row],[Ávöxtun]]))</f>
        <v>207.86339605460341</v>
      </c>
      <c r="I200" s="30" cm="1">
        <f t="array" ref="I200">_xlfn.IFS(Table15[[#This Row],[Column4]]="NEW",_xlfn.XLOOKUP(Table15[[#This Row],[Year]]-1,$N$2:$N$27,$P$2:$P$27)*(1+Table15[[#This Row],[Ávöxtun]]),ISNUMBER(Table15[[#This Row],[Column4]]),Table15[[#This Row],[Column4]],Table15[[#This Row],[Column4]]="",I199*(1+Table15[[#This Row],[Ávöxtun]]))</f>
        <v>209.23074981780263</v>
      </c>
      <c r="L200" s="33">
        <v>207.86339605460341</v>
      </c>
      <c r="M200" s="33">
        <v>229.55808924776181</v>
      </c>
    </row>
    <row r="201" spans="1:13">
      <c r="A201" t="s">
        <v>71</v>
      </c>
      <c r="B201">
        <v>2021</v>
      </c>
      <c r="C201" s="16">
        <v>8.8000000000000009E-2</v>
      </c>
      <c r="D201" s="1">
        <v>127195421</v>
      </c>
      <c r="E201" s="29">
        <f>Table15[[#This Row],[Ávöxtun]]*Table15[[#This Row],[Eignir]]/SUMIFS(Table15[Eignir],Table15[Year],Table15[[#This Row],[Year]])</f>
        <v>1.8533322894511001E-3</v>
      </c>
      <c r="F201" s="23" t="e">
        <f>IF(B201=1997, 100, IF(COUNTIF(A$1:A200,A201)=0, "NEW", F200*(1+Table15[[#This Row],[Ávöxtun]])))</f>
        <v>#VALUE!</v>
      </c>
      <c r="G201" s="18" t="str" cm="1">
        <f t="array" ref="G201">IFERROR(_xlfn.IFS(ISNUMBER(Table15[[#This Row],[Column3]]),Table15[[#This Row],[Column3]],Table15[[#This Row],[Column3]]="NEW",Table15[[#This Row],[Column3]]),"")</f>
        <v/>
      </c>
      <c r="H201" s="15" cm="1">
        <f t="array" ref="H201">_xlfn.IFS(Table15[[#This Row],[Column4]]="NEW",AVERAGEIFS(Table15[Column4],Table15[Year],Table15[[#This Row],[Year]]),ISNUMBER(Table15[[#This Row],[Column4]]),Table15[[#This Row],[Column4]],Table15[[#This Row],[Column4]]="",H200*(1+Table15[[#This Row],[Ávöxtun]]))</f>
        <v>226.15537490740854</v>
      </c>
      <c r="I201" s="30" cm="1">
        <f t="array" ref="I201">_xlfn.IFS(Table15[[#This Row],[Column4]]="NEW",_xlfn.XLOOKUP(Table15[[#This Row],[Year]]-1,$N$2:$N$27,$P$2:$P$27)*(1+Table15[[#This Row],[Ávöxtun]]),ISNUMBER(Table15[[#This Row],[Column4]]),Table15[[#This Row],[Column4]],Table15[[#This Row],[Column4]]="",I200*(1+Table15[[#This Row],[Ávöxtun]]))</f>
        <v>227.64305580176929</v>
      </c>
      <c r="L201" s="33">
        <v>226.15537490740854</v>
      </c>
      <c r="M201" s="33">
        <v>249.75920110156488</v>
      </c>
    </row>
    <row r="202" spans="1:13">
      <c r="A202" t="s">
        <v>72</v>
      </c>
      <c r="B202">
        <v>2005</v>
      </c>
      <c r="C202" s="16">
        <v>0.18</v>
      </c>
      <c r="D202" s="1">
        <v>180049302</v>
      </c>
      <c r="E202" s="29">
        <f>Table15[[#This Row],[Ávöxtun]]*Table15[[#This Row],[Eignir]]/SUMIFS(Table15[Eignir],Table15[Year],Table15[[#This Row],[Year]])</f>
        <v>2.8901974110938266E-2</v>
      </c>
      <c r="F202" s="23" t="str">
        <f>IF(B202=1997, 100, IF(COUNTIF(A$1:A201,A202)=0, "NEW", F201*(1+Table15[[#This Row],[Ávöxtun]])))</f>
        <v>NEW</v>
      </c>
      <c r="G202" s="18" t="str" cm="1">
        <f t="array" ref="G202">IFERROR(_xlfn.IFS(ISNUMBER(Table15[[#This Row],[Column3]]),Table15[[#This Row],[Column3]],Table15[[#This Row],[Column3]]="NEW",Table15[[#This Row],[Column3]]),"")</f>
        <v>NEW</v>
      </c>
      <c r="H202" s="15" cm="1">
        <f t="array" ref="H202">_xlfn.IFS(Table15[[#This Row],[Column4]]="NEW",AVERAGEIFS(Table15[Column4],Table15[Year],Table15[[#This Row],[Year]]),ISNUMBER(Table15[[#This Row],[Column4]]),Table15[[#This Row],[Column4]],Table15[[#This Row],[Column4]]="",H201*(1+Table15[[#This Row],[Ávöxtun]]))</f>
        <v>159.65347376579254</v>
      </c>
      <c r="I202" s="30" cm="1">
        <f t="array" ref="I202">_xlfn.IFS(Table15[[#This Row],[Column4]]="NEW",_xlfn.XLOOKUP(Table15[[#This Row],[Year]]-1,$N$2:$N$27,$P$2:$P$27)*(1+Table15[[#This Row],[Ávöxtun]]),ISNUMBER(Table15[[#This Row],[Column4]]),Table15[[#This Row],[Column4]],Table15[[#This Row],[Column4]]="",I201*(1+Table15[[#This Row],[Ávöxtun]]))</f>
        <v>178.67406127067633</v>
      </c>
      <c r="L202" s="33">
        <v>159.65347376579254</v>
      </c>
      <c r="M202" s="33">
        <v>192.17629490178845</v>
      </c>
    </row>
    <row r="203" spans="1:13">
      <c r="A203" t="s">
        <v>72</v>
      </c>
      <c r="B203">
        <v>2006</v>
      </c>
      <c r="C203" s="16">
        <v>9.3699999999999992E-2</v>
      </c>
      <c r="D203" s="1">
        <v>216080811</v>
      </c>
      <c r="E203" s="29">
        <f>Table15[[#This Row],[Ávöxtun]]*Table15[[#This Row],[Eignir]]/SUMIFS(Table15[Eignir],Table15[Year],Table15[[#This Row],[Year]])</f>
        <v>1.4749858889242035E-2</v>
      </c>
      <c r="F203" s="23" t="e">
        <f>IF(B203=1997, 100, IF(COUNTIF(A$1:A202,A203)=0, "NEW", F202*(1+Table15[[#This Row],[Ávöxtun]])))</f>
        <v>#VALUE!</v>
      </c>
      <c r="G203" s="18" t="str" cm="1">
        <f t="array" ref="G203">IFERROR(_xlfn.IFS(ISNUMBER(Table15[[#This Row],[Column3]]),Table15[[#This Row],[Column3]],Table15[[#This Row],[Column3]]="NEW",Table15[[#This Row],[Column3]]),"")</f>
        <v/>
      </c>
      <c r="H203" s="15" cm="1">
        <f t="array" ref="H203">_xlfn.IFS(Table15[[#This Row],[Column4]]="NEW",AVERAGEIFS(Table15[Column4],Table15[Year],Table15[[#This Row],[Year]]),ISNUMBER(Table15[[#This Row],[Column4]]),Table15[[#This Row],[Column4]],Table15[[#This Row],[Column4]]="",H202*(1+Table15[[#This Row],[Ávöxtun]]))</f>
        <v>174.61300425764728</v>
      </c>
      <c r="I203" s="30" cm="1">
        <f t="array" ref="I203">_xlfn.IFS(Table15[[#This Row],[Column4]]="NEW",_xlfn.XLOOKUP(Table15[[#This Row],[Year]]-1,$N$2:$N$27,$P$2:$P$27)*(1+Table15[[#This Row],[Ávöxtun]]),ISNUMBER(Table15[[#This Row],[Column4]]),Table15[[#This Row],[Column4]],Table15[[#This Row],[Column4]]="",I202*(1+Table15[[#This Row],[Ávöxtun]]))</f>
        <v>195.41582081173868</v>
      </c>
      <c r="L203" s="33">
        <v>174.61300425764728</v>
      </c>
      <c r="M203" s="33">
        <v>210.183213734086</v>
      </c>
    </row>
    <row r="204" spans="1:13">
      <c r="A204" t="s">
        <v>72</v>
      </c>
      <c r="B204">
        <v>2007</v>
      </c>
      <c r="C204" s="16">
        <v>2.3599999999999999E-2</v>
      </c>
      <c r="D204" s="1">
        <v>236837900</v>
      </c>
      <c r="E204" s="29">
        <f>Table15[[#This Row],[Ávöxtun]]*Table15[[#This Row],[Eignir]]/SUMIFS(Table15[Eignir],Table15[Year],Table15[[#This Row],[Year]])</f>
        <v>3.6144241553048915E-3</v>
      </c>
      <c r="F204" s="23" t="e">
        <f>IF(B204=1997, 100, IF(COUNTIF(A$1:A203,A204)=0, "NEW", F203*(1+Table15[[#This Row],[Ávöxtun]])))</f>
        <v>#VALUE!</v>
      </c>
      <c r="G204" s="18" t="str" cm="1">
        <f t="array" ref="G204">IFERROR(_xlfn.IFS(ISNUMBER(Table15[[#This Row],[Column3]]),Table15[[#This Row],[Column3]],Table15[[#This Row],[Column3]]="NEW",Table15[[#This Row],[Column3]]),"")</f>
        <v/>
      </c>
      <c r="H204" s="15" cm="1">
        <f t="array" ref="H204">_xlfn.IFS(Table15[[#This Row],[Column4]]="NEW",AVERAGEIFS(Table15[Column4],Table15[Year],Table15[[#This Row],[Year]]),ISNUMBER(Table15[[#This Row],[Column4]]),Table15[[#This Row],[Column4]],Table15[[#This Row],[Column4]]="",H203*(1+Table15[[#This Row],[Ávöxtun]]))</f>
        <v>178.73387115812776</v>
      </c>
      <c r="I204" s="30" cm="1">
        <f t="array" ref="I204">_xlfn.IFS(Table15[[#This Row],[Column4]]="NEW",_xlfn.XLOOKUP(Table15[[#This Row],[Year]]-1,$N$2:$N$27,$P$2:$P$27)*(1+Table15[[#This Row],[Ávöxtun]]),ISNUMBER(Table15[[#This Row],[Column4]]),Table15[[#This Row],[Column4]],Table15[[#This Row],[Column4]]="",I203*(1+Table15[[#This Row],[Ávöxtun]]))</f>
        <v>200.02763418289572</v>
      </c>
      <c r="L204" s="33">
        <v>178.73387115812776</v>
      </c>
      <c r="M204" s="33">
        <v>215.14353757821044</v>
      </c>
    </row>
    <row r="205" spans="1:13">
      <c r="A205" t="s">
        <v>72</v>
      </c>
      <c r="B205">
        <v>2008</v>
      </c>
      <c r="C205" s="16">
        <v>-0.26700000000000002</v>
      </c>
      <c r="D205" s="1">
        <v>211603847</v>
      </c>
      <c r="E205" s="29">
        <f>Table15[[#This Row],[Ávöxtun]]*Table15[[#This Row],[Eignir]]/SUMIFS(Table15[Eignir],Table15[Year],Table15[[#This Row],[Year]])</f>
        <v>-3.7732953752529171E-2</v>
      </c>
      <c r="F205" s="23" t="e">
        <f>IF(B205=1997, 100, IF(COUNTIF(A$1:A204,A205)=0, "NEW", F204*(1+Table15[[#This Row],[Ávöxtun]])))</f>
        <v>#VALUE!</v>
      </c>
      <c r="G205" s="18" t="str" cm="1">
        <f t="array" ref="G205">IFERROR(_xlfn.IFS(ISNUMBER(Table15[[#This Row],[Column3]]),Table15[[#This Row],[Column3]],Table15[[#This Row],[Column3]]="NEW",Table15[[#This Row],[Column3]]),"")</f>
        <v/>
      </c>
      <c r="H205" s="15" cm="1">
        <f t="array" ref="H205">_xlfn.IFS(Table15[[#This Row],[Column4]]="NEW",AVERAGEIFS(Table15[Column4],Table15[Year],Table15[[#This Row],[Year]]),ISNUMBER(Table15[[#This Row],[Column4]]),Table15[[#This Row],[Column4]],Table15[[#This Row],[Column4]]="",H204*(1+Table15[[#This Row],[Ávöxtun]]))</f>
        <v>131.01192755890764</v>
      </c>
      <c r="I205" s="30" cm="1">
        <f t="array" ref="I205">_xlfn.IFS(Table15[[#This Row],[Column4]]="NEW",_xlfn.XLOOKUP(Table15[[#This Row],[Year]]-1,$N$2:$N$27,$P$2:$P$27)*(1+Table15[[#This Row],[Ávöxtun]]),ISNUMBER(Table15[[#This Row],[Column4]]),Table15[[#This Row],[Column4]],Table15[[#This Row],[Column4]]="",I204*(1+Table15[[#This Row],[Ávöxtun]]))</f>
        <v>146.62025585606256</v>
      </c>
      <c r="L205" s="33">
        <v>131.01192755890764</v>
      </c>
      <c r="M205" s="33">
        <v>157.70021304482825</v>
      </c>
    </row>
    <row r="206" spans="1:13">
      <c r="A206" t="s">
        <v>72</v>
      </c>
      <c r="B206">
        <v>2009</v>
      </c>
      <c r="C206" s="16">
        <v>-1.7000000000000001E-2</v>
      </c>
      <c r="D206" s="1">
        <v>232092994</v>
      </c>
      <c r="E206" s="29">
        <f>Table15[[#This Row],[Ávöxtun]]*Table15[[#This Row],[Eignir]]/SUMIFS(Table15[Eignir],Table15[Year],Table15[[#This Row],[Year]])</f>
        <v>-2.3650898444143088E-3</v>
      </c>
      <c r="F206" s="23" t="e">
        <f>IF(B206=1997, 100, IF(COUNTIF(A$1:A205,A206)=0, "NEW", F205*(1+Table15[[#This Row],[Ávöxtun]])))</f>
        <v>#VALUE!</v>
      </c>
      <c r="G206" s="18" t="str" cm="1">
        <f t="array" ref="G206">IFERROR(_xlfn.IFS(ISNUMBER(Table15[[#This Row],[Column3]]),Table15[[#This Row],[Column3]],Table15[[#This Row],[Column3]]="NEW",Table15[[#This Row],[Column3]]),"")</f>
        <v/>
      </c>
      <c r="H206" s="15" cm="1">
        <f t="array" ref="H206">_xlfn.IFS(Table15[[#This Row],[Column4]]="NEW",AVERAGEIFS(Table15[Column4],Table15[Year],Table15[[#This Row],[Year]]),ISNUMBER(Table15[[#This Row],[Column4]]),Table15[[#This Row],[Column4]],Table15[[#This Row],[Column4]]="",H205*(1+Table15[[#This Row],[Ávöxtun]]))</f>
        <v>128.78472479040622</v>
      </c>
      <c r="I206" s="30" cm="1">
        <f t="array" ref="I206">_xlfn.IFS(Table15[[#This Row],[Column4]]="NEW",_xlfn.XLOOKUP(Table15[[#This Row],[Year]]-1,$N$2:$N$27,$P$2:$P$27)*(1+Table15[[#This Row],[Ávöxtun]]),ISNUMBER(Table15[[#This Row],[Column4]]),Table15[[#This Row],[Column4]],Table15[[#This Row],[Column4]]="",I205*(1+Table15[[#This Row],[Ávöxtun]]))</f>
        <v>144.12771150650948</v>
      </c>
      <c r="L206" s="33">
        <v>128.78472479040622</v>
      </c>
      <c r="M206" s="33">
        <v>155.01930942306618</v>
      </c>
    </row>
    <row r="207" spans="1:13">
      <c r="A207" t="s">
        <v>72</v>
      </c>
      <c r="B207">
        <v>2010</v>
      </c>
      <c r="C207" s="16">
        <v>1.3700000000000002E-2</v>
      </c>
      <c r="D207" s="1">
        <v>244292253</v>
      </c>
      <c r="E207" s="29">
        <f>Table15[[#This Row],[Ávöxtun]]*Table15[[#This Row],[Eignir]]/SUMIFS(Table15[Eignir],Table15[Year],Table15[[#This Row],[Year]])</f>
        <v>1.8720377157170475E-3</v>
      </c>
      <c r="F207" s="23" t="e">
        <f>IF(B207=1997, 100, IF(COUNTIF(A$1:A206,A207)=0, "NEW", F206*(1+Table15[[#This Row],[Ávöxtun]])))</f>
        <v>#VALUE!</v>
      </c>
      <c r="G207" s="18" t="str" cm="1">
        <f t="array" ref="G207">IFERROR(_xlfn.IFS(ISNUMBER(Table15[[#This Row],[Column3]]),Table15[[#This Row],[Column3]],Table15[[#This Row],[Column3]]="NEW",Table15[[#This Row],[Column3]]),"")</f>
        <v/>
      </c>
      <c r="H207" s="15" cm="1">
        <f t="array" ref="H207">_xlfn.IFS(Table15[[#This Row],[Column4]]="NEW",AVERAGEIFS(Table15[Column4],Table15[Year],Table15[[#This Row],[Year]]),ISNUMBER(Table15[[#This Row],[Column4]]),Table15[[#This Row],[Column4]],Table15[[#This Row],[Column4]]="",H206*(1+Table15[[#This Row],[Ávöxtun]]))</f>
        <v>130.54907552003479</v>
      </c>
      <c r="I207" s="30" cm="1">
        <f t="array" ref="I207">_xlfn.IFS(Table15[[#This Row],[Column4]]="NEW",_xlfn.XLOOKUP(Table15[[#This Row],[Year]]-1,$N$2:$N$27,$P$2:$P$27)*(1+Table15[[#This Row],[Ávöxtun]]),ISNUMBER(Table15[[#This Row],[Column4]]),Table15[[#This Row],[Column4]],Table15[[#This Row],[Column4]]="",I206*(1+Table15[[#This Row],[Ávöxtun]]))</f>
        <v>146.10226115414866</v>
      </c>
      <c r="L207" s="33">
        <v>130.54907552003479</v>
      </c>
      <c r="M207" s="33">
        <v>157.14307396216219</v>
      </c>
    </row>
    <row r="208" spans="1:13">
      <c r="A208" t="s">
        <v>72</v>
      </c>
      <c r="B208">
        <v>2011</v>
      </c>
      <c r="C208" s="16">
        <v>2.7000000000000003E-2</v>
      </c>
      <c r="D208" s="1">
        <v>266064707</v>
      </c>
      <c r="E208" s="29">
        <f>Table15[[#This Row],[Ávöxtun]]*Table15[[#This Row],[Eignir]]/SUMIFS(Table15[Eignir],Table15[Year],Table15[[#This Row],[Year]])</f>
        <v>3.6829174024639194E-3</v>
      </c>
      <c r="F208" s="23" t="e">
        <f>IF(B208=1997, 100, IF(COUNTIF(A$1:A207,A208)=0, "NEW", F207*(1+Table15[[#This Row],[Ávöxtun]])))</f>
        <v>#VALUE!</v>
      </c>
      <c r="G208" s="18" t="str" cm="1">
        <f t="array" ref="G208">IFERROR(_xlfn.IFS(ISNUMBER(Table15[[#This Row],[Column3]]),Table15[[#This Row],[Column3]],Table15[[#This Row],[Column3]]="NEW",Table15[[#This Row],[Column3]]),"")</f>
        <v/>
      </c>
      <c r="H208" s="15" cm="1">
        <f t="array" ref="H208">_xlfn.IFS(Table15[[#This Row],[Column4]]="NEW",AVERAGEIFS(Table15[Column4],Table15[Year],Table15[[#This Row],[Year]]),ISNUMBER(Table15[[#This Row],[Column4]]),Table15[[#This Row],[Column4]],Table15[[#This Row],[Column4]]="",H207*(1+Table15[[#This Row],[Ávöxtun]]))</f>
        <v>134.07390055907572</v>
      </c>
      <c r="I208" s="30" cm="1">
        <f t="array" ref="I208">_xlfn.IFS(Table15[[#This Row],[Column4]]="NEW",_xlfn.XLOOKUP(Table15[[#This Row],[Year]]-1,$N$2:$N$27,$P$2:$P$27)*(1+Table15[[#This Row],[Ávöxtun]]),ISNUMBER(Table15[[#This Row],[Column4]]),Table15[[#This Row],[Column4]],Table15[[#This Row],[Column4]]="",I207*(1+Table15[[#This Row],[Ávöxtun]]))</f>
        <v>150.04702220531067</v>
      </c>
      <c r="L208" s="33">
        <v>134.07390055907572</v>
      </c>
      <c r="M208" s="33">
        <v>161.38593695914057</v>
      </c>
    </row>
    <row r="209" spans="1:13">
      <c r="A209" t="s">
        <v>72</v>
      </c>
      <c r="B209">
        <v>2012</v>
      </c>
      <c r="C209" s="16">
        <v>7.2999999999999995E-2</v>
      </c>
      <c r="D209" s="1">
        <v>300817878</v>
      </c>
      <c r="E209" s="29">
        <f>Table15[[#This Row],[Ávöxtun]]*Table15[[#This Row],[Eignir]]/SUMIFS(Table15[Eignir],Table15[Year],Table15[[#This Row],[Year]])</f>
        <v>9.9688017004189531E-3</v>
      </c>
      <c r="F209" s="23" t="e">
        <f>IF(B209=1997, 100, IF(COUNTIF(A$1:A208,A209)=0, "NEW", F208*(1+Table15[[#This Row],[Ávöxtun]])))</f>
        <v>#VALUE!</v>
      </c>
      <c r="G209" s="18" t="str" cm="1">
        <f t="array" ref="G209">IFERROR(_xlfn.IFS(ISNUMBER(Table15[[#This Row],[Column3]]),Table15[[#This Row],[Column3]],Table15[[#This Row],[Column3]]="NEW",Table15[[#This Row],[Column3]]),"")</f>
        <v/>
      </c>
      <c r="H209" s="15" cm="1">
        <f t="array" ref="H209">_xlfn.IFS(Table15[[#This Row],[Column4]]="NEW",AVERAGEIFS(Table15[Column4],Table15[Year],Table15[[#This Row],[Year]]),ISNUMBER(Table15[[#This Row],[Column4]]),Table15[[#This Row],[Column4]],Table15[[#This Row],[Column4]]="",H208*(1+Table15[[#This Row],[Ávöxtun]]))</f>
        <v>143.86129529988824</v>
      </c>
      <c r="I209" s="30" cm="1">
        <f t="array" ref="I209">_xlfn.IFS(Table15[[#This Row],[Column4]]="NEW",_xlfn.XLOOKUP(Table15[[#This Row],[Year]]-1,$N$2:$N$27,$P$2:$P$27)*(1+Table15[[#This Row],[Ávöxtun]]),ISNUMBER(Table15[[#This Row],[Column4]]),Table15[[#This Row],[Column4]],Table15[[#This Row],[Column4]]="",I208*(1+Table15[[#This Row],[Ávöxtun]]))</f>
        <v>161.00045482629835</v>
      </c>
      <c r="L209" s="33">
        <v>143.86129529988824</v>
      </c>
      <c r="M209" s="33">
        <v>173.16711035715781</v>
      </c>
    </row>
    <row r="210" spans="1:13">
      <c r="A210" t="s">
        <v>72</v>
      </c>
      <c r="B210">
        <v>2013</v>
      </c>
      <c r="C210" s="16">
        <v>5.2999999999999999E-2</v>
      </c>
      <c r="D210" s="1">
        <v>332759686</v>
      </c>
      <c r="E210" s="29">
        <f>Table15[[#This Row],[Ávöxtun]]*Table15[[#This Row],[Eignir]]/SUMIFS(Table15[Eignir],Table15[Year],Table15[[#This Row],[Year]])</f>
        <v>7.2470462239242724E-3</v>
      </c>
      <c r="F210" s="23" t="e">
        <f>IF(B210=1997, 100, IF(COUNTIF(A$1:A209,A210)=0, "NEW", F209*(1+Table15[[#This Row],[Ávöxtun]])))</f>
        <v>#VALUE!</v>
      </c>
      <c r="G210" s="18" t="str" cm="1">
        <f t="array" ref="G210">IFERROR(_xlfn.IFS(ISNUMBER(Table15[[#This Row],[Column3]]),Table15[[#This Row],[Column3]],Table15[[#This Row],[Column3]]="NEW",Table15[[#This Row],[Column3]]),"")</f>
        <v/>
      </c>
      <c r="H210" s="15" cm="1">
        <f t="array" ref="H210">_xlfn.IFS(Table15[[#This Row],[Column4]]="NEW",AVERAGEIFS(Table15[Column4],Table15[Year],Table15[[#This Row],[Year]]),ISNUMBER(Table15[[#This Row],[Column4]]),Table15[[#This Row],[Column4]],Table15[[#This Row],[Column4]]="",H209*(1+Table15[[#This Row],[Ávöxtun]]))</f>
        <v>151.48594395078231</v>
      </c>
      <c r="I210" s="30" cm="1">
        <f t="array" ref="I210">_xlfn.IFS(Table15[[#This Row],[Column4]]="NEW",_xlfn.XLOOKUP(Table15[[#This Row],[Year]]-1,$N$2:$N$27,$P$2:$P$27)*(1+Table15[[#This Row],[Ávöxtun]]),ISNUMBER(Table15[[#This Row],[Column4]]),Table15[[#This Row],[Column4]],Table15[[#This Row],[Column4]]="",I209*(1+Table15[[#This Row],[Ávöxtun]]))</f>
        <v>169.53347893209215</v>
      </c>
      <c r="L210" s="33">
        <v>151.48594395078231</v>
      </c>
      <c r="M210" s="33">
        <v>182.34496720608718</v>
      </c>
    </row>
    <row r="211" spans="1:13">
      <c r="A211" t="s">
        <v>72</v>
      </c>
      <c r="B211">
        <v>2014</v>
      </c>
      <c r="C211" s="16">
        <v>8.8000000000000009E-2</v>
      </c>
      <c r="D211" s="1">
        <v>368499662</v>
      </c>
      <c r="E211" s="29">
        <f>Table15[[#This Row],[Ávöxtun]]*Table15[[#This Row],[Eignir]]/SUMIFS(Table15[Eignir],Table15[Year],Table15[[#This Row],[Year]])</f>
        <v>1.2223047312763751E-2</v>
      </c>
      <c r="F211" s="23" t="e">
        <f>IF(B211=1997, 100, IF(COUNTIF(A$1:A210,A211)=0, "NEW", F210*(1+Table15[[#This Row],[Ávöxtun]])))</f>
        <v>#VALUE!</v>
      </c>
      <c r="G211" s="18" t="str" cm="1">
        <f t="array" ref="G211">IFERROR(_xlfn.IFS(ISNUMBER(Table15[[#This Row],[Column3]]),Table15[[#This Row],[Column3]],Table15[[#This Row],[Column3]]="NEW",Table15[[#This Row],[Column3]]),"")</f>
        <v/>
      </c>
      <c r="H211" s="15" cm="1">
        <f t="array" ref="H211">_xlfn.IFS(Table15[[#This Row],[Column4]]="NEW",AVERAGEIFS(Table15[Column4],Table15[Year],Table15[[#This Row],[Year]]),ISNUMBER(Table15[[#This Row],[Column4]]),Table15[[#This Row],[Column4]],Table15[[#This Row],[Column4]]="",H210*(1+Table15[[#This Row],[Ávöxtun]]))</f>
        <v>164.81670701845118</v>
      </c>
      <c r="I211" s="30" cm="1">
        <f t="array" ref="I211">_xlfn.IFS(Table15[[#This Row],[Column4]]="NEW",_xlfn.XLOOKUP(Table15[[#This Row],[Year]]-1,$N$2:$N$27,$P$2:$P$27)*(1+Table15[[#This Row],[Ávöxtun]]),ISNUMBER(Table15[[#This Row],[Column4]]),Table15[[#This Row],[Column4]],Table15[[#This Row],[Column4]]="",I210*(1+Table15[[#This Row],[Ávöxtun]]))</f>
        <v>184.45242507811628</v>
      </c>
      <c r="L211" s="33">
        <v>164.81670701845118</v>
      </c>
      <c r="M211" s="33">
        <v>198.39132432022285</v>
      </c>
    </row>
    <row r="212" spans="1:13">
      <c r="A212" t="s">
        <v>72</v>
      </c>
      <c r="B212">
        <v>2015</v>
      </c>
      <c r="C212" s="16">
        <v>7.6999999999999999E-2</v>
      </c>
      <c r="D212" s="1">
        <v>451441236</v>
      </c>
      <c r="E212" s="29">
        <f>Table15[[#This Row],[Ávöxtun]]*Table15[[#This Row],[Eignir]]/SUMIFS(Table15[Eignir],Table15[Year],Table15[[#This Row],[Year]])</f>
        <v>1.1738107217650545E-2</v>
      </c>
      <c r="F212" s="23" t="e">
        <f>IF(B212=1997, 100, IF(COUNTIF(A$1:A211,A212)=0, "NEW", F211*(1+Table15[[#This Row],[Ávöxtun]])))</f>
        <v>#VALUE!</v>
      </c>
      <c r="G212" s="18" t="str" cm="1">
        <f t="array" ref="G212">IFERROR(_xlfn.IFS(ISNUMBER(Table15[[#This Row],[Column3]]),Table15[[#This Row],[Column3]],Table15[[#This Row],[Column3]]="NEW",Table15[[#This Row],[Column3]]),"")</f>
        <v/>
      </c>
      <c r="H212" s="15" cm="1">
        <f t="array" ref="H212">_xlfn.IFS(Table15[[#This Row],[Column4]]="NEW",AVERAGEIFS(Table15[Column4],Table15[Year],Table15[[#This Row],[Year]]),ISNUMBER(Table15[[#This Row],[Column4]]),Table15[[#This Row],[Column4]],Table15[[#This Row],[Column4]]="",H211*(1+Table15[[#This Row],[Ávöxtun]]))</f>
        <v>177.50759345887192</v>
      </c>
      <c r="I212" s="30" cm="1">
        <f t="array" ref="I212">_xlfn.IFS(Table15[[#This Row],[Column4]]="NEW",_xlfn.XLOOKUP(Table15[[#This Row],[Year]]-1,$N$2:$N$27,$P$2:$P$27)*(1+Table15[[#This Row],[Ávöxtun]]),ISNUMBER(Table15[[#This Row],[Column4]]),Table15[[#This Row],[Column4]],Table15[[#This Row],[Column4]]="",I211*(1+Table15[[#This Row],[Ávöxtun]]))</f>
        <v>198.65526180913122</v>
      </c>
      <c r="L212" s="33">
        <v>177.50759345887192</v>
      </c>
      <c r="M212" s="33">
        <v>213.66745629287999</v>
      </c>
    </row>
    <row r="213" spans="1:13">
      <c r="A213" t="s">
        <v>72</v>
      </c>
      <c r="B213">
        <v>2016</v>
      </c>
      <c r="C213" s="16">
        <v>-9.0000000000000011E-3</v>
      </c>
      <c r="D213" s="1">
        <v>467906976.25</v>
      </c>
      <c r="E213" s="29">
        <f>Table15[[#This Row],[Ávöxtun]]*Table15[[#This Row],[Eignir]]/SUMIFS(Table15[Eignir],Table15[Year],Table15[[#This Row],[Year]])</f>
        <v>-1.3159691831363151E-3</v>
      </c>
      <c r="F213" s="23" t="e">
        <f>IF(B213=1997, 100, IF(COUNTIF(A$1:A212,A213)=0, "NEW", F212*(1+Table15[[#This Row],[Ávöxtun]])))</f>
        <v>#VALUE!</v>
      </c>
      <c r="G213" s="18" t="str" cm="1">
        <f t="array" ref="G213">IFERROR(_xlfn.IFS(ISNUMBER(Table15[[#This Row],[Column3]]),Table15[[#This Row],[Column3]],Table15[[#This Row],[Column3]]="NEW",Table15[[#This Row],[Column3]]),"")</f>
        <v/>
      </c>
      <c r="H213" s="15" cm="1">
        <f t="array" ref="H213">_xlfn.IFS(Table15[[#This Row],[Column4]]="NEW",AVERAGEIFS(Table15[Column4],Table15[Year],Table15[[#This Row],[Year]]),ISNUMBER(Table15[[#This Row],[Column4]]),Table15[[#This Row],[Column4]],Table15[[#This Row],[Column4]]="",H212*(1+Table15[[#This Row],[Ávöxtun]]))</f>
        <v>175.91002511774207</v>
      </c>
      <c r="I213" s="30" cm="1">
        <f t="array" ref="I213">_xlfn.IFS(Table15[[#This Row],[Column4]]="NEW",_xlfn.XLOOKUP(Table15[[#This Row],[Year]]-1,$N$2:$N$27,$P$2:$P$27)*(1+Table15[[#This Row],[Ávöxtun]]),ISNUMBER(Table15[[#This Row],[Column4]]),Table15[[#This Row],[Column4]],Table15[[#This Row],[Column4]]="",I212*(1+Table15[[#This Row],[Ávöxtun]]))</f>
        <v>196.86736445284905</v>
      </c>
      <c r="L213" s="33">
        <v>175.91002511774207</v>
      </c>
      <c r="M213" s="33">
        <v>211.74444918624405</v>
      </c>
    </row>
    <row r="214" spans="1:13">
      <c r="A214" t="s">
        <v>72</v>
      </c>
      <c r="B214">
        <v>2017</v>
      </c>
      <c r="C214" s="16">
        <v>5.7999999999999996E-2</v>
      </c>
      <c r="D214" s="1">
        <v>513247400</v>
      </c>
      <c r="E214" s="29">
        <f>Table15[[#This Row],[Ávöxtun]]*Table15[[#This Row],[Eignir]]/SUMIFS(Table15[Eignir],Table15[Year],Table15[[#This Row],[Year]])</f>
        <v>8.3638897916735559E-3</v>
      </c>
      <c r="F214" s="23" t="e">
        <f>IF(B214=1997, 100, IF(COUNTIF(A$1:A213,A214)=0, "NEW", F213*(1+Table15[[#This Row],[Ávöxtun]])))</f>
        <v>#VALUE!</v>
      </c>
      <c r="G214" s="18" t="str" cm="1">
        <f t="array" ref="G214">IFERROR(_xlfn.IFS(ISNUMBER(Table15[[#This Row],[Column3]]),Table15[[#This Row],[Column3]],Table15[[#This Row],[Column3]]="NEW",Table15[[#This Row],[Column3]]),"")</f>
        <v/>
      </c>
      <c r="H214" s="15" cm="1">
        <f t="array" ref="H214">_xlfn.IFS(Table15[[#This Row],[Column4]]="NEW",AVERAGEIFS(Table15[Column4],Table15[Year],Table15[[#This Row],[Year]]),ISNUMBER(Table15[[#This Row],[Column4]]),Table15[[#This Row],[Column4]],Table15[[#This Row],[Column4]]="",H213*(1+Table15[[#This Row],[Ávöxtun]]))</f>
        <v>186.11280657457112</v>
      </c>
      <c r="I214" s="30" cm="1">
        <f t="array" ref="I214">_xlfn.IFS(Table15[[#This Row],[Column4]]="NEW",_xlfn.XLOOKUP(Table15[[#This Row],[Year]]-1,$N$2:$N$27,$P$2:$P$27)*(1+Table15[[#This Row],[Ávöxtun]]),ISNUMBER(Table15[[#This Row],[Column4]]),Table15[[#This Row],[Column4]],Table15[[#This Row],[Column4]]="",I213*(1+Table15[[#This Row],[Ávöxtun]]))</f>
        <v>208.28567159111429</v>
      </c>
      <c r="L214" s="33">
        <v>186.11280657457112</v>
      </c>
      <c r="M214" s="33">
        <v>224.02562723904623</v>
      </c>
    </row>
    <row r="215" spans="1:13">
      <c r="A215" t="s">
        <v>72</v>
      </c>
      <c r="B215">
        <v>2018</v>
      </c>
      <c r="C215" s="16">
        <v>2.4E-2</v>
      </c>
      <c r="D215" s="1">
        <v>556757276</v>
      </c>
      <c r="E215" s="29">
        <f>Table15[[#This Row],[Ávöxtun]]*Table15[[#This Row],[Eignir]]/SUMIFS(Table15[Eignir],Table15[Year],Table15[[#This Row],[Year]])</f>
        <v>3.4994919724361069E-3</v>
      </c>
      <c r="F215" s="23" t="e">
        <f>IF(B215=1997, 100, IF(COUNTIF(A$1:A214,A215)=0, "NEW", F214*(1+Table15[[#This Row],[Ávöxtun]])))</f>
        <v>#VALUE!</v>
      </c>
      <c r="G215" s="18" t="str" cm="1">
        <f t="array" ref="G215">IFERROR(_xlfn.IFS(ISNUMBER(Table15[[#This Row],[Column3]]),Table15[[#This Row],[Column3]],Table15[[#This Row],[Column3]]="NEW",Table15[[#This Row],[Column3]]),"")</f>
        <v/>
      </c>
      <c r="H215" s="15" cm="1">
        <f t="array" ref="H215">_xlfn.IFS(Table15[[#This Row],[Column4]]="NEW",AVERAGEIFS(Table15[Column4],Table15[Year],Table15[[#This Row],[Year]]),ISNUMBER(Table15[[#This Row],[Column4]]),Table15[[#This Row],[Column4]],Table15[[#This Row],[Column4]]="",H214*(1+Table15[[#This Row],[Ávöxtun]]))</f>
        <v>190.57951393236084</v>
      </c>
      <c r="I215" s="30" cm="1">
        <f t="array" ref="I215">_xlfn.IFS(Table15[[#This Row],[Column4]]="NEW",_xlfn.XLOOKUP(Table15[[#This Row],[Year]]-1,$N$2:$N$27,$P$2:$P$27)*(1+Table15[[#This Row],[Ávöxtun]]),ISNUMBER(Table15[[#This Row],[Column4]]),Table15[[#This Row],[Column4]],Table15[[#This Row],[Column4]]="",I214*(1+Table15[[#This Row],[Ávöxtun]]))</f>
        <v>213.28452770930105</v>
      </c>
      <c r="L215" s="33">
        <v>190.57951393236084</v>
      </c>
      <c r="M215" s="33">
        <v>229.40224229278334</v>
      </c>
    </row>
    <row r="216" spans="1:13">
      <c r="A216" t="s">
        <v>72</v>
      </c>
      <c r="B216">
        <v>2019</v>
      </c>
      <c r="C216" s="16">
        <v>0.121</v>
      </c>
      <c r="D216" s="1">
        <v>655831224.77999997</v>
      </c>
      <c r="E216" s="29">
        <f>Table15[[#This Row],[Ávöxtun]]*Table15[[#This Row],[Eignir]]/SUMIFS(Table15[Eignir],Table15[Year],Table15[[#This Row],[Year]])</f>
        <v>1.7925851759914773E-2</v>
      </c>
      <c r="F216" s="23" t="e">
        <f>IF(B216=1997, 100, IF(COUNTIF(A$1:A215,A216)=0, "NEW", F215*(1+Table15[[#This Row],[Ávöxtun]])))</f>
        <v>#VALUE!</v>
      </c>
      <c r="G216" s="18" t="str" cm="1">
        <f t="array" ref="G216">IFERROR(_xlfn.IFS(ISNUMBER(Table15[[#This Row],[Column3]]),Table15[[#This Row],[Column3]],Table15[[#This Row],[Column3]]="NEW",Table15[[#This Row],[Column3]]),"")</f>
        <v/>
      </c>
      <c r="H216" s="15" cm="1">
        <f t="array" ref="H216">_xlfn.IFS(Table15[[#This Row],[Column4]]="NEW",AVERAGEIFS(Table15[Column4],Table15[Year],Table15[[#This Row],[Year]]),ISNUMBER(Table15[[#This Row],[Column4]]),Table15[[#This Row],[Column4]],Table15[[#This Row],[Column4]]="",H215*(1+Table15[[#This Row],[Ávöxtun]]))</f>
        <v>213.6396351181765</v>
      </c>
      <c r="I216" s="30" cm="1">
        <f t="array" ref="I216">_xlfn.IFS(Table15[[#This Row],[Column4]]="NEW",_xlfn.XLOOKUP(Table15[[#This Row],[Year]]-1,$N$2:$N$27,$P$2:$P$27)*(1+Table15[[#This Row],[Ávöxtun]]),ISNUMBER(Table15[[#This Row],[Column4]]),Table15[[#This Row],[Column4]],Table15[[#This Row],[Column4]]="",I215*(1+Table15[[#This Row],[Ávöxtun]]))</f>
        <v>239.09195556212646</v>
      </c>
      <c r="L216" s="33">
        <v>213.6396351181765</v>
      </c>
      <c r="M216" s="33">
        <v>257.15991361021014</v>
      </c>
    </row>
    <row r="217" spans="1:13">
      <c r="A217" t="s">
        <v>72</v>
      </c>
      <c r="B217">
        <v>2020</v>
      </c>
      <c r="C217" s="16">
        <v>9.6999999999999989E-2</v>
      </c>
      <c r="D217" s="1">
        <v>758131827.01999998</v>
      </c>
      <c r="E217" s="29">
        <f>Table15[[#This Row],[Ávöxtun]]*Table15[[#This Row],[Eignir]]/SUMIFS(Table15[Eignir],Table15[Year],Table15[[#This Row],[Year]])</f>
        <v>1.4316589242045711E-2</v>
      </c>
      <c r="F217" s="23" t="e">
        <f>IF(B217=1997, 100, IF(COUNTIF(A$1:A216,A217)=0, "NEW", F216*(1+Table15[[#This Row],[Ávöxtun]])))</f>
        <v>#VALUE!</v>
      </c>
      <c r="G217" s="18" t="str" cm="1">
        <f t="array" ref="G217">IFERROR(_xlfn.IFS(ISNUMBER(Table15[[#This Row],[Column3]]),Table15[[#This Row],[Column3]],Table15[[#This Row],[Column3]]="NEW",Table15[[#This Row],[Column3]]),"")</f>
        <v/>
      </c>
      <c r="H217" s="15" cm="1">
        <f t="array" ref="H217">_xlfn.IFS(Table15[[#This Row],[Column4]]="NEW",AVERAGEIFS(Table15[Column4],Table15[Year],Table15[[#This Row],[Year]]),ISNUMBER(Table15[[#This Row],[Column4]]),Table15[[#This Row],[Column4]],Table15[[#This Row],[Column4]]="",H216*(1+Table15[[#This Row],[Ávöxtun]]))</f>
        <v>234.36267972463961</v>
      </c>
      <c r="I217" s="30" cm="1">
        <f t="array" ref="I217">_xlfn.IFS(Table15[[#This Row],[Column4]]="NEW",_xlfn.XLOOKUP(Table15[[#This Row],[Year]]-1,$N$2:$N$27,$P$2:$P$27)*(1+Table15[[#This Row],[Ávöxtun]]),ISNUMBER(Table15[[#This Row],[Column4]]),Table15[[#This Row],[Column4]],Table15[[#This Row],[Column4]]="",I216*(1+Table15[[#This Row],[Ávöxtun]]))</f>
        <v>262.28387525165272</v>
      </c>
      <c r="L217" s="33">
        <v>234.36267972463961</v>
      </c>
      <c r="M217" s="33">
        <v>282.10442523040052</v>
      </c>
    </row>
    <row r="218" spans="1:13">
      <c r="A218" t="s">
        <v>72</v>
      </c>
      <c r="B218">
        <v>2021</v>
      </c>
      <c r="C218" s="16">
        <v>0.12400000000000001</v>
      </c>
      <c r="D218" s="1">
        <v>908990102.27999997</v>
      </c>
      <c r="E218" s="29">
        <f>Table15[[#This Row],[Ávöxtun]]*Table15[[#This Row],[Eignir]]/SUMIFS(Table15[Eignir],Table15[Year],Table15[[#This Row],[Year]])</f>
        <v>1.8662936676197589E-2</v>
      </c>
      <c r="F218" s="23" t="e">
        <f>IF(B218=1997, 100, IF(COUNTIF(A$1:A217,A218)=0, "NEW", F217*(1+Table15[[#This Row],[Ávöxtun]])))</f>
        <v>#VALUE!</v>
      </c>
      <c r="G218" s="18" t="str" cm="1">
        <f t="array" ref="G218">IFERROR(_xlfn.IFS(ISNUMBER(Table15[[#This Row],[Column3]]),Table15[[#This Row],[Column3]],Table15[[#This Row],[Column3]]="NEW",Table15[[#This Row],[Column3]]),"")</f>
        <v/>
      </c>
      <c r="H218" s="15" cm="1">
        <f t="array" ref="H218">_xlfn.IFS(Table15[[#This Row],[Column4]]="NEW",AVERAGEIFS(Table15[Column4],Table15[Year],Table15[[#This Row],[Year]]),ISNUMBER(Table15[[#This Row],[Column4]]),Table15[[#This Row],[Column4]],Table15[[#This Row],[Column4]]="",H217*(1+Table15[[#This Row],[Ávöxtun]]))</f>
        <v>263.42365201049495</v>
      </c>
      <c r="I218" s="30" cm="1">
        <f t="array" ref="I218">_xlfn.IFS(Table15[[#This Row],[Column4]]="NEW",_xlfn.XLOOKUP(Table15[[#This Row],[Year]]-1,$N$2:$N$27,$P$2:$P$27)*(1+Table15[[#This Row],[Ávöxtun]]),ISNUMBER(Table15[[#This Row],[Column4]]),Table15[[#This Row],[Column4]],Table15[[#This Row],[Column4]]="",I217*(1+Table15[[#This Row],[Ávöxtun]]))</f>
        <v>294.80707578285768</v>
      </c>
      <c r="L218" s="33">
        <v>263.42365201049495</v>
      </c>
      <c r="M218" s="33">
        <v>317.08537395897019</v>
      </c>
    </row>
    <row r="219" spans="1:13">
      <c r="A219" t="s">
        <v>136</v>
      </c>
      <c r="B219">
        <v>1999</v>
      </c>
      <c r="C219" s="16">
        <v>0.1</v>
      </c>
      <c r="D219" s="1">
        <v>3482771.87</v>
      </c>
      <c r="E219" s="29">
        <f>Table15[[#This Row],[Ávöxtun]]*Table15[[#This Row],[Eignir]]/SUMIFS(Table15[Eignir],Table15[Year],Table15[[#This Row],[Year]])</f>
        <v>6.6884199438270702E-4</v>
      </c>
      <c r="F219" s="23" t="str">
        <f>IF(B219=1997, 100, IF(COUNTIF(A$1:A218,A219)=0, "NEW", F218*(1+Table15[[#This Row],[Ávöxtun]])))</f>
        <v>NEW</v>
      </c>
      <c r="G219" s="18" t="str" cm="1">
        <f t="array" ref="G219">IFERROR(_xlfn.IFS(ISNUMBER(Table15[[#This Row],[Column3]]),Table15[[#This Row],[Column3]],Table15[[#This Row],[Column3]]="NEW",Table15[[#This Row],[Column3]]),"")</f>
        <v>NEW</v>
      </c>
      <c r="H219" s="15" cm="1">
        <f t="array" ref="H219">_xlfn.IFS(Table15[[#This Row],[Column4]]="NEW",AVERAGEIFS(Table15[Column4],Table15[Year],Table15[[#This Row],[Year]]),ISNUMBER(Table15[[#This Row],[Column4]]),Table15[[#This Row],[Column4]],Table15[[#This Row],[Column4]]="",H218*(1+Table15[[#This Row],[Ávöxtun]]))</f>
        <v>117.05306122448981</v>
      </c>
      <c r="I219" s="30" cm="1">
        <f t="array" ref="I219">_xlfn.IFS(Table15[[#This Row],[Column4]]="NEW",_xlfn.XLOOKUP(Table15[[#This Row],[Year]]-1,$N$2:$N$27,$P$2:$P$27)*(1+Table15[[#This Row],[Ávöxtun]]),ISNUMBER(Table15[[#This Row],[Column4]]),Table15[[#This Row],[Column4]],Table15[[#This Row],[Column4]]="",I218*(1+Table15[[#This Row],[Ávöxtun]]))</f>
        <v>117.82305222241067</v>
      </c>
      <c r="L219" s="33">
        <v>117.05306122448981</v>
      </c>
      <c r="M219" s="33">
        <v>129.26988390123572</v>
      </c>
    </row>
    <row r="220" spans="1:13">
      <c r="A220" t="s">
        <v>136</v>
      </c>
      <c r="B220">
        <v>2000</v>
      </c>
      <c r="C220" s="16">
        <v>-0.05</v>
      </c>
      <c r="D220" s="1">
        <v>4052011.51</v>
      </c>
      <c r="E220" s="29">
        <f>Table15[[#This Row],[Ávöxtun]]*Table15[[#This Row],[Eignir]]/SUMIFS(Table15[Eignir],Table15[Year],Table15[[#This Row],[Year]])</f>
        <v>-2.8499579105984471E-4</v>
      </c>
      <c r="F220" s="23" t="e">
        <f>IF(B220=1997, 100, IF(COUNTIF(A$1:A219,A220)=0, "NEW", F219*(1+Table15[[#This Row],[Ávöxtun]])))</f>
        <v>#VALUE!</v>
      </c>
      <c r="G220" s="18" t="str" cm="1">
        <f t="array" ref="G220">IFERROR(_xlfn.IFS(ISNUMBER(Table15[[#This Row],[Column3]]),Table15[[#This Row],[Column3]],Table15[[#This Row],[Column3]]="NEW",Table15[[#This Row],[Column3]]),"")</f>
        <v/>
      </c>
      <c r="H220" s="15" cm="1">
        <f t="array" ref="H220">_xlfn.IFS(Table15[[#This Row],[Column4]]="NEW",AVERAGEIFS(Table15[Column4],Table15[Year],Table15[[#This Row],[Year]]),ISNUMBER(Table15[[#This Row],[Column4]]),Table15[[#This Row],[Column4]],Table15[[#This Row],[Column4]]="",H219*(1+Table15[[#This Row],[Ávöxtun]]))</f>
        <v>111.20040816326531</v>
      </c>
      <c r="I220" s="30" cm="1">
        <f t="array" ref="I220">_xlfn.IFS(Table15[[#This Row],[Column4]]="NEW",_xlfn.XLOOKUP(Table15[[#This Row],[Year]]-1,$N$2:$N$27,$P$2:$P$27)*(1+Table15[[#This Row],[Ávöxtun]]),ISNUMBER(Table15[[#This Row],[Column4]]),Table15[[#This Row],[Column4]],Table15[[#This Row],[Column4]]="",I219*(1+Table15[[#This Row],[Ávöxtun]]))</f>
        <v>111.93189961129013</v>
      </c>
      <c r="L220" s="33">
        <v>111.20040816326531</v>
      </c>
      <c r="M220" s="33">
        <v>122.80638970617392</v>
      </c>
    </row>
    <row r="221" spans="1:13">
      <c r="A221" t="s">
        <v>136</v>
      </c>
      <c r="B221">
        <v>2001</v>
      </c>
      <c r="C221" s="16">
        <v>-0.05</v>
      </c>
      <c r="D221" s="1">
        <v>5197072.95</v>
      </c>
      <c r="E221" s="29">
        <f>Table15[[#This Row],[Ávöxtun]]*Table15[[#This Row],[Eignir]]/SUMIFS(Table15[Eignir],Table15[Year],Table15[[#This Row],[Year]])</f>
        <v>-2.2441499169914203E-4</v>
      </c>
      <c r="F221" s="23" t="e">
        <f>IF(B221=1997, 100, IF(COUNTIF(A$1:A220,A221)=0, "NEW", F220*(1+Table15[[#This Row],[Ávöxtun]])))</f>
        <v>#VALUE!</v>
      </c>
      <c r="G221" s="18" t="str" cm="1">
        <f t="array" ref="G221">IFERROR(_xlfn.IFS(ISNUMBER(Table15[[#This Row],[Column3]]),Table15[[#This Row],[Column3]],Table15[[#This Row],[Column3]]="NEW",Table15[[#This Row],[Column3]]),"")</f>
        <v/>
      </c>
      <c r="H221" s="15" cm="1">
        <f t="array" ref="H221">_xlfn.IFS(Table15[[#This Row],[Column4]]="NEW",AVERAGEIFS(Table15[Column4],Table15[Year],Table15[[#This Row],[Year]]),ISNUMBER(Table15[[#This Row],[Column4]]),Table15[[#This Row],[Column4]],Table15[[#This Row],[Column4]]="",H220*(1+Table15[[#This Row],[Ávöxtun]]))</f>
        <v>105.64038775510204</v>
      </c>
      <c r="I221" s="30" cm="1">
        <f t="array" ref="I221">_xlfn.IFS(Table15[[#This Row],[Column4]]="NEW",_xlfn.XLOOKUP(Table15[[#This Row],[Year]]-1,$N$2:$N$27,$P$2:$P$27)*(1+Table15[[#This Row],[Ávöxtun]]),ISNUMBER(Table15[[#This Row],[Column4]]),Table15[[#This Row],[Column4]],Table15[[#This Row],[Column4]]="",I220*(1+Table15[[#This Row],[Ávöxtun]]))</f>
        <v>106.33530463072562</v>
      </c>
      <c r="L221" s="33">
        <v>105.64038775510204</v>
      </c>
      <c r="M221" s="33">
        <v>116.66607022086522</v>
      </c>
    </row>
    <row r="222" spans="1:13">
      <c r="A222" t="s">
        <v>136</v>
      </c>
      <c r="B222">
        <v>2002</v>
      </c>
      <c r="C222" s="16">
        <v>-0.02</v>
      </c>
      <c r="D222" s="1">
        <v>445857.1</v>
      </c>
      <c r="E222" s="29">
        <f>Table15[[#This Row],[Ávöxtun]]*Table15[[#This Row],[Eignir]]/SUMIFS(Table15[Eignir],Table15[Year],Table15[[#This Row],[Year]])</f>
        <v>-1.4039114022778412E-5</v>
      </c>
      <c r="F222" s="23" t="e">
        <f>IF(B222=1997, 100, IF(COUNTIF(A$1:A221,A222)=0, "NEW", F221*(1+Table15[[#This Row],[Ávöxtun]])))</f>
        <v>#VALUE!</v>
      </c>
      <c r="G222" s="18" t="str" cm="1">
        <f t="array" ref="G222">IFERROR(_xlfn.IFS(ISNUMBER(Table15[[#This Row],[Column3]]),Table15[[#This Row],[Column3]],Table15[[#This Row],[Column3]]="NEW",Table15[[#This Row],[Column3]]),"")</f>
        <v/>
      </c>
      <c r="H222" s="15" cm="1">
        <f t="array" ref="H222">_xlfn.IFS(Table15[[#This Row],[Column4]]="NEW",AVERAGEIFS(Table15[Column4],Table15[Year],Table15[[#This Row],[Year]]),ISNUMBER(Table15[[#This Row],[Column4]]),Table15[[#This Row],[Column4]],Table15[[#This Row],[Column4]]="",H221*(1+Table15[[#This Row],[Ávöxtun]]))</f>
        <v>103.52758</v>
      </c>
      <c r="I222" s="30" cm="1">
        <f t="array" ref="I222">_xlfn.IFS(Table15[[#This Row],[Column4]]="NEW",_xlfn.XLOOKUP(Table15[[#This Row],[Year]]-1,$N$2:$N$27,$P$2:$P$27)*(1+Table15[[#This Row],[Ávöxtun]]),ISNUMBER(Table15[[#This Row],[Column4]]),Table15[[#This Row],[Column4]],Table15[[#This Row],[Column4]]="",I221*(1+Table15[[#This Row],[Ávöxtun]]))</f>
        <v>104.2085985381111</v>
      </c>
      <c r="L222" s="33">
        <v>103.52758</v>
      </c>
      <c r="M222" s="33">
        <v>114.33274881644792</v>
      </c>
    </row>
    <row r="223" spans="1:13">
      <c r="A223" t="s">
        <v>136</v>
      </c>
      <c r="B223">
        <v>2003</v>
      </c>
      <c r="C223" s="16">
        <v>0.1</v>
      </c>
      <c r="D223" s="1">
        <v>727539.4</v>
      </c>
      <c r="E223" s="29">
        <f>Table15[[#This Row],[Ávöxtun]]*Table15[[#This Row],[Eignir]]/SUMIFS(Table15[Eignir],Table15[Year],Table15[[#This Row],[Year]])</f>
        <v>9.5742550173826533E-5</v>
      </c>
      <c r="F223" s="23" t="e">
        <f>IF(B223=1997, 100, IF(COUNTIF(A$1:A222,A223)=0, "NEW", F222*(1+Table15[[#This Row],[Ávöxtun]])))</f>
        <v>#VALUE!</v>
      </c>
      <c r="G223" s="18" t="str" cm="1">
        <f t="array" ref="G223">IFERROR(_xlfn.IFS(ISNUMBER(Table15[[#This Row],[Column3]]),Table15[[#This Row],[Column3]],Table15[[#This Row],[Column3]]="NEW",Table15[[#This Row],[Column3]]),"")</f>
        <v/>
      </c>
      <c r="H223" s="15" cm="1">
        <f t="array" ref="H223">_xlfn.IFS(Table15[[#This Row],[Column4]]="NEW",AVERAGEIFS(Table15[Column4],Table15[Year],Table15[[#This Row],[Year]]),ISNUMBER(Table15[[#This Row],[Column4]]),Table15[[#This Row],[Column4]],Table15[[#This Row],[Column4]]="",H222*(1+Table15[[#This Row],[Ávöxtun]]))</f>
        <v>113.88033800000001</v>
      </c>
      <c r="I223" s="30" cm="1">
        <f t="array" ref="I223">_xlfn.IFS(Table15[[#This Row],[Column4]]="NEW",_xlfn.XLOOKUP(Table15[[#This Row],[Year]]-1,$N$2:$N$27,$P$2:$P$27)*(1+Table15[[#This Row],[Ávöxtun]]),ISNUMBER(Table15[[#This Row],[Column4]]),Table15[[#This Row],[Column4]],Table15[[#This Row],[Column4]]="",I222*(1+Table15[[#This Row],[Ávöxtun]]))</f>
        <v>114.62945839192223</v>
      </c>
      <c r="L223" s="33">
        <v>113.88033800000001</v>
      </c>
      <c r="M223" s="33">
        <v>125.76602369809272</v>
      </c>
    </row>
    <row r="224" spans="1:13">
      <c r="A224" t="s">
        <v>136</v>
      </c>
      <c r="B224">
        <v>2004</v>
      </c>
      <c r="C224" s="16">
        <v>0.06</v>
      </c>
      <c r="D224" s="1">
        <v>1055515.8400000001</v>
      </c>
      <c r="E224" s="29">
        <f>Table15[[#This Row],[Ávöxtun]]*Table15[[#This Row],[Eignir]]/SUMIFS(Table15[Eignir],Table15[Year],Table15[[#This Row],[Year]])</f>
        <v>6.977306812119156E-5</v>
      </c>
      <c r="F224" s="23" t="e">
        <f>IF(B224=1997, 100, IF(COUNTIF(A$1:A223,A224)=0, "NEW", F223*(1+Table15[[#This Row],[Ávöxtun]])))</f>
        <v>#VALUE!</v>
      </c>
      <c r="G224" s="18" t="str" cm="1">
        <f t="array" ref="G224">IFERROR(_xlfn.IFS(ISNUMBER(Table15[[#This Row],[Column3]]),Table15[[#This Row],[Column3]],Table15[[#This Row],[Column3]]="NEW",Table15[[#This Row],[Column3]]),"")</f>
        <v/>
      </c>
      <c r="H224" s="15" cm="1">
        <f t="array" ref="H224">_xlfn.IFS(Table15[[#This Row],[Column4]]="NEW",AVERAGEIFS(Table15[Column4],Table15[Year],Table15[[#This Row],[Year]]),ISNUMBER(Table15[[#This Row],[Column4]]),Table15[[#This Row],[Column4]],Table15[[#This Row],[Column4]]="",H223*(1+Table15[[#This Row],[Ávöxtun]]))</f>
        <v>120.71315828000002</v>
      </c>
      <c r="I224" s="30" cm="1">
        <f t="array" ref="I224">_xlfn.IFS(Table15[[#This Row],[Column4]]="NEW",_xlfn.XLOOKUP(Table15[[#This Row],[Year]]-1,$N$2:$N$27,$P$2:$P$27)*(1+Table15[[#This Row],[Ávöxtun]]),ISNUMBER(Table15[[#This Row],[Column4]]),Table15[[#This Row],[Column4]],Table15[[#This Row],[Column4]]="",I223*(1+Table15[[#This Row],[Ávöxtun]]))</f>
        <v>121.50722589543757</v>
      </c>
      <c r="L224" s="33">
        <v>120.71315828000002</v>
      </c>
      <c r="M224" s="33">
        <v>133.31198511997829</v>
      </c>
    </row>
    <row r="225" spans="1:13">
      <c r="A225" t="s">
        <v>136</v>
      </c>
      <c r="B225">
        <v>2005</v>
      </c>
      <c r="C225" s="16">
        <v>0.1</v>
      </c>
      <c r="D225" s="1">
        <v>1588580</v>
      </c>
      <c r="E225" s="29">
        <f>Table15[[#This Row],[Ávöxtun]]*Table15[[#This Row],[Eignir]]/SUMIFS(Table15[Eignir],Table15[Year],Table15[[#This Row],[Year]])</f>
        <v>1.4166828975035811E-4</v>
      </c>
      <c r="F225" s="23" t="e">
        <f>IF(B225=1997, 100, IF(COUNTIF(A$1:A224,A225)=0, "NEW", F224*(1+Table15[[#This Row],[Ávöxtun]])))</f>
        <v>#VALUE!</v>
      </c>
      <c r="G225" s="18" t="str" cm="1">
        <f t="array" ref="G225">IFERROR(_xlfn.IFS(ISNUMBER(Table15[[#This Row],[Column3]]),Table15[[#This Row],[Column3]],Table15[[#This Row],[Column3]]="NEW",Table15[[#This Row],[Column3]]),"")</f>
        <v/>
      </c>
      <c r="H225" s="15" cm="1">
        <f t="array" ref="H225">_xlfn.IFS(Table15[[#This Row],[Column4]]="NEW",AVERAGEIFS(Table15[Column4],Table15[Year],Table15[[#This Row],[Year]]),ISNUMBER(Table15[[#This Row],[Column4]]),Table15[[#This Row],[Column4]],Table15[[#This Row],[Column4]]="",H224*(1+Table15[[#This Row],[Ávöxtun]]))</f>
        <v>132.78447410800004</v>
      </c>
      <c r="I225" s="30" cm="1">
        <f t="array" ref="I225">_xlfn.IFS(Table15[[#This Row],[Column4]]="NEW",_xlfn.XLOOKUP(Table15[[#This Row],[Year]]-1,$N$2:$N$27,$P$2:$P$27)*(1+Table15[[#This Row],[Ávöxtun]]),ISNUMBER(Table15[[#This Row],[Column4]]),Table15[[#This Row],[Column4]],Table15[[#This Row],[Column4]]="",I224*(1+Table15[[#This Row],[Ávöxtun]]))</f>
        <v>133.65794848498135</v>
      </c>
      <c r="L225" s="33">
        <v>132.78447410800004</v>
      </c>
      <c r="M225" s="33">
        <v>146.64318363197614</v>
      </c>
    </row>
    <row r="226" spans="1:13">
      <c r="A226" t="s">
        <v>136</v>
      </c>
      <c r="B226">
        <v>2006</v>
      </c>
      <c r="C226" s="16">
        <v>0.11900000000000001</v>
      </c>
      <c r="D226" s="1">
        <v>2384071</v>
      </c>
      <c r="E226" s="29">
        <f>Table15[[#This Row],[Ávöxtun]]*Table15[[#This Row],[Eignir]]/SUMIFS(Table15[Eignir],Table15[Year],Table15[[#This Row],[Year]])</f>
        <v>2.0667988906687381E-4</v>
      </c>
      <c r="F226" s="23" t="e">
        <f>IF(B226=1997, 100, IF(COUNTIF(A$1:A225,A226)=0, "NEW", F225*(1+Table15[[#This Row],[Ávöxtun]])))</f>
        <v>#VALUE!</v>
      </c>
      <c r="G226" s="18" t="str" cm="1">
        <f t="array" ref="G226">IFERROR(_xlfn.IFS(ISNUMBER(Table15[[#This Row],[Column3]]),Table15[[#This Row],[Column3]],Table15[[#This Row],[Column3]]="NEW",Table15[[#This Row],[Column3]]),"")</f>
        <v/>
      </c>
      <c r="H226" s="15" cm="1">
        <f t="array" ref="H226">_xlfn.IFS(Table15[[#This Row],[Column4]]="NEW",AVERAGEIFS(Table15[Column4],Table15[Year],Table15[[#This Row],[Year]]),ISNUMBER(Table15[[#This Row],[Column4]]),Table15[[#This Row],[Column4]],Table15[[#This Row],[Column4]]="",H225*(1+Table15[[#This Row],[Ávöxtun]]))</f>
        <v>148.58582652685203</v>
      </c>
      <c r="I226" s="30" cm="1">
        <f t="array" ref="I226">_xlfn.IFS(Table15[[#This Row],[Column4]]="NEW",_xlfn.XLOOKUP(Table15[[#This Row],[Year]]-1,$N$2:$N$27,$P$2:$P$27)*(1+Table15[[#This Row],[Ávöxtun]]),ISNUMBER(Table15[[#This Row],[Column4]]),Table15[[#This Row],[Column4]],Table15[[#This Row],[Column4]]="",I225*(1+Table15[[#This Row],[Ávöxtun]]))</f>
        <v>149.56324435469412</v>
      </c>
      <c r="L226" s="33">
        <v>148.58582652685203</v>
      </c>
      <c r="M226" s="33">
        <v>164.09372248418131</v>
      </c>
    </row>
    <row r="227" spans="1:13">
      <c r="A227" t="s">
        <v>136</v>
      </c>
      <c r="B227">
        <v>2007</v>
      </c>
      <c r="C227" s="16">
        <v>1.8000000000000002E-2</v>
      </c>
      <c r="D227" s="1">
        <v>2449600</v>
      </c>
      <c r="E227" s="29">
        <f>Table15[[#This Row],[Ávöxtun]]*Table15[[#This Row],[Eignir]]/SUMIFS(Table15[Eignir],Table15[Year],Table15[[#This Row],[Year]])</f>
        <v>2.8513044367631872E-5</v>
      </c>
      <c r="F227" s="23" t="e">
        <f>IF(B227=1997, 100, IF(COUNTIF(A$1:A226,A227)=0, "NEW", F226*(1+Table15[[#This Row],[Ávöxtun]])))</f>
        <v>#VALUE!</v>
      </c>
      <c r="G227" s="18" t="str" cm="1">
        <f t="array" ref="G227">IFERROR(_xlfn.IFS(ISNUMBER(Table15[[#This Row],[Column3]]),Table15[[#This Row],[Column3]],Table15[[#This Row],[Column3]]="NEW",Table15[[#This Row],[Column3]]),"")</f>
        <v/>
      </c>
      <c r="H227" s="15" cm="1">
        <f t="array" ref="H227">_xlfn.IFS(Table15[[#This Row],[Column4]]="NEW",AVERAGEIFS(Table15[Column4],Table15[Year],Table15[[#This Row],[Year]]),ISNUMBER(Table15[[#This Row],[Column4]]),Table15[[#This Row],[Column4]],Table15[[#This Row],[Column4]]="",H226*(1+Table15[[#This Row],[Ávöxtun]]))</f>
        <v>151.26037140433536</v>
      </c>
      <c r="I227" s="30" cm="1">
        <f t="array" ref="I227">_xlfn.IFS(Table15[[#This Row],[Column4]]="NEW",_xlfn.XLOOKUP(Table15[[#This Row],[Year]]-1,$N$2:$N$27,$P$2:$P$27)*(1+Table15[[#This Row],[Ávöxtun]]),ISNUMBER(Table15[[#This Row],[Column4]]),Table15[[#This Row],[Column4]],Table15[[#This Row],[Column4]]="",I226*(1+Table15[[#This Row],[Ávöxtun]]))</f>
        <v>152.25538275307861</v>
      </c>
      <c r="L227" s="33">
        <v>151.26037140433536</v>
      </c>
      <c r="M227" s="33">
        <v>167.04740948889659</v>
      </c>
    </row>
    <row r="228" spans="1:13">
      <c r="A228" t="s">
        <v>136</v>
      </c>
      <c r="B228">
        <v>2008</v>
      </c>
      <c r="C228" s="16">
        <v>-0.31209999999999999</v>
      </c>
      <c r="D228" s="1">
        <v>2487181</v>
      </c>
      <c r="E228" s="29">
        <f>Table15[[#This Row],[Ávöxtun]]*Table15[[#This Row],[Eignir]]/SUMIFS(Table15[Eignir],Table15[Year],Table15[[#This Row],[Year]])</f>
        <v>-5.1842644041265199E-4</v>
      </c>
      <c r="F228" s="23" t="e">
        <f>IF(B228=1997, 100, IF(COUNTIF(A$1:A227,A228)=0, "NEW", F227*(1+Table15[[#This Row],[Ávöxtun]])))</f>
        <v>#VALUE!</v>
      </c>
      <c r="G228" s="18" t="str" cm="1">
        <f t="array" ref="G228">IFERROR(_xlfn.IFS(ISNUMBER(Table15[[#This Row],[Column3]]),Table15[[#This Row],[Column3]],Table15[[#This Row],[Column3]]="NEW",Table15[[#This Row],[Column3]]),"")</f>
        <v/>
      </c>
      <c r="H228" s="15" cm="1">
        <f t="array" ref="H228">_xlfn.IFS(Table15[[#This Row],[Column4]]="NEW",AVERAGEIFS(Table15[Column4],Table15[Year],Table15[[#This Row],[Year]]),ISNUMBER(Table15[[#This Row],[Column4]]),Table15[[#This Row],[Column4]],Table15[[#This Row],[Column4]]="",H227*(1+Table15[[#This Row],[Ávöxtun]]))</f>
        <v>104.05200948904229</v>
      </c>
      <c r="I228" s="30" cm="1">
        <f t="array" ref="I228">_xlfn.IFS(Table15[[#This Row],[Column4]]="NEW",_xlfn.XLOOKUP(Table15[[#This Row],[Year]]-1,$N$2:$N$27,$P$2:$P$27)*(1+Table15[[#This Row],[Ávöxtun]]),ISNUMBER(Table15[[#This Row],[Column4]]),Table15[[#This Row],[Column4]],Table15[[#This Row],[Column4]]="",I227*(1+Table15[[#This Row],[Ávöxtun]]))</f>
        <v>104.73647779584277</v>
      </c>
      <c r="L228" s="33">
        <v>104.05200948904229</v>
      </c>
      <c r="M228" s="33">
        <v>114.91191298741195</v>
      </c>
    </row>
    <row r="229" spans="1:13">
      <c r="A229" t="s">
        <v>136</v>
      </c>
      <c r="B229">
        <v>2009</v>
      </c>
      <c r="C229" s="16">
        <v>3.1800000000000002E-2</v>
      </c>
      <c r="D229" s="1">
        <v>3454109</v>
      </c>
      <c r="E229" s="29">
        <f>Table15[[#This Row],[Ávöxtun]]*Table15[[#This Row],[Eignir]]/SUMIFS(Table15[Eignir],Table15[Year],Table15[[#This Row],[Year]])</f>
        <v>6.5841520133323099E-5</v>
      </c>
      <c r="F229" s="23" t="e">
        <f>IF(B229=1997, 100, IF(COUNTIF(A$1:A228,A229)=0, "NEW", F228*(1+Table15[[#This Row],[Ávöxtun]])))</f>
        <v>#VALUE!</v>
      </c>
      <c r="G229" s="18" t="str" cm="1">
        <f t="array" ref="G229">IFERROR(_xlfn.IFS(ISNUMBER(Table15[[#This Row],[Column3]]),Table15[[#This Row],[Column3]],Table15[[#This Row],[Column3]]="NEW",Table15[[#This Row],[Column3]]),"")</f>
        <v/>
      </c>
      <c r="H229" s="15" cm="1">
        <f t="array" ref="H229">_xlfn.IFS(Table15[[#This Row],[Column4]]="NEW",AVERAGEIFS(Table15[Column4],Table15[Year],Table15[[#This Row],[Year]]),ISNUMBER(Table15[[#This Row],[Column4]]),Table15[[#This Row],[Column4]],Table15[[#This Row],[Column4]]="",H228*(1+Table15[[#This Row],[Ávöxtun]]))</f>
        <v>107.36086339079384</v>
      </c>
      <c r="I229" s="30" cm="1">
        <f t="array" ref="I229">_xlfn.IFS(Table15[[#This Row],[Column4]]="NEW",_xlfn.XLOOKUP(Table15[[#This Row],[Year]]-1,$N$2:$N$27,$P$2:$P$27)*(1+Table15[[#This Row],[Ávöxtun]]),ISNUMBER(Table15[[#This Row],[Column4]]),Table15[[#This Row],[Column4]],Table15[[#This Row],[Column4]]="",I228*(1+Table15[[#This Row],[Ávöxtun]]))</f>
        <v>108.06709778975058</v>
      </c>
      <c r="L229" s="33">
        <v>107.36086339079384</v>
      </c>
      <c r="M229" s="33">
        <v>118.56611182041166</v>
      </c>
    </row>
    <row r="230" spans="1:13">
      <c r="A230" t="s">
        <v>136</v>
      </c>
      <c r="B230">
        <v>2010</v>
      </c>
      <c r="C230" s="16">
        <v>4.5999999999999999E-2</v>
      </c>
      <c r="D230" s="1">
        <v>4278252</v>
      </c>
      <c r="E230" s="29">
        <f>Table15[[#This Row],[Ávöxtun]]*Table15[[#This Row],[Eignir]]/SUMIFS(Table15[Eignir],Table15[Year],Table15[[#This Row],[Year]])</f>
        <v>1.1008002661686864E-4</v>
      </c>
      <c r="F230" s="23" t="e">
        <f>IF(B230=1997, 100, IF(COUNTIF(A$1:A229,A230)=0, "NEW", F229*(1+Table15[[#This Row],[Ávöxtun]])))</f>
        <v>#VALUE!</v>
      </c>
      <c r="G230" s="18" t="str" cm="1">
        <f t="array" ref="G230">IFERROR(_xlfn.IFS(ISNUMBER(Table15[[#This Row],[Column3]]),Table15[[#This Row],[Column3]],Table15[[#This Row],[Column3]]="NEW",Table15[[#This Row],[Column3]]),"")</f>
        <v/>
      </c>
      <c r="H230" s="15" cm="1">
        <f t="array" ref="H230">_xlfn.IFS(Table15[[#This Row],[Column4]]="NEW",AVERAGEIFS(Table15[Column4],Table15[Year],Table15[[#This Row],[Year]]),ISNUMBER(Table15[[#This Row],[Column4]]),Table15[[#This Row],[Column4]],Table15[[#This Row],[Column4]]="",H229*(1+Table15[[#This Row],[Ávöxtun]]))</f>
        <v>112.29946310677036</v>
      </c>
      <c r="I230" s="30" cm="1">
        <f t="array" ref="I230">_xlfn.IFS(Table15[[#This Row],[Column4]]="NEW",_xlfn.XLOOKUP(Table15[[#This Row],[Year]]-1,$N$2:$N$27,$P$2:$P$27)*(1+Table15[[#This Row],[Ávöxtun]]),ISNUMBER(Table15[[#This Row],[Column4]]),Table15[[#This Row],[Column4]],Table15[[#This Row],[Column4]]="",I229*(1+Table15[[#This Row],[Ávöxtun]]))</f>
        <v>113.03818428807911</v>
      </c>
      <c r="L230" s="33">
        <v>112.29946310677036</v>
      </c>
      <c r="M230" s="33">
        <v>124.02015296415061</v>
      </c>
    </row>
    <row r="231" spans="1:13">
      <c r="A231" t="s">
        <v>136</v>
      </c>
      <c r="B231">
        <v>2011</v>
      </c>
      <c r="C231" s="16">
        <v>0.02</v>
      </c>
      <c r="D231" s="1">
        <v>5226456</v>
      </c>
      <c r="E231" s="29">
        <f>Table15[[#This Row],[Ávöxtun]]*Table15[[#This Row],[Eignir]]/SUMIFS(Table15[Eignir],Table15[Year],Table15[[#This Row],[Year]])</f>
        <v>5.3589319103636288E-5</v>
      </c>
      <c r="F231" s="23" t="e">
        <f>IF(B231=1997, 100, IF(COUNTIF(A$1:A230,A231)=0, "NEW", F230*(1+Table15[[#This Row],[Ávöxtun]])))</f>
        <v>#VALUE!</v>
      </c>
      <c r="G231" s="18" t="str" cm="1">
        <f t="array" ref="G231">IFERROR(_xlfn.IFS(ISNUMBER(Table15[[#This Row],[Column3]]),Table15[[#This Row],[Column3]],Table15[[#This Row],[Column3]]="NEW",Table15[[#This Row],[Column3]]),"")</f>
        <v/>
      </c>
      <c r="H231" s="15" cm="1">
        <f t="array" ref="H231">_xlfn.IFS(Table15[[#This Row],[Column4]]="NEW",AVERAGEIFS(Table15[Column4],Table15[Year],Table15[[#This Row],[Year]]),ISNUMBER(Table15[[#This Row],[Column4]]),Table15[[#This Row],[Column4]],Table15[[#This Row],[Column4]]="",H230*(1+Table15[[#This Row],[Ávöxtun]]))</f>
        <v>114.54545236890577</v>
      </c>
      <c r="I231" s="30" cm="1">
        <f t="array" ref="I231">_xlfn.IFS(Table15[[#This Row],[Column4]]="NEW",_xlfn.XLOOKUP(Table15[[#This Row],[Year]]-1,$N$2:$N$27,$P$2:$P$27)*(1+Table15[[#This Row],[Ávöxtun]]),ISNUMBER(Table15[[#This Row],[Column4]]),Table15[[#This Row],[Column4]],Table15[[#This Row],[Column4]]="",I230*(1+Table15[[#This Row],[Ávöxtun]]))</f>
        <v>115.2989479738407</v>
      </c>
      <c r="L231" s="33">
        <v>114.54545236890577</v>
      </c>
      <c r="M231" s="33">
        <v>126.50055602343363</v>
      </c>
    </row>
    <row r="232" spans="1:13">
      <c r="A232" t="s">
        <v>136</v>
      </c>
      <c r="B232">
        <v>2012</v>
      </c>
      <c r="C232" s="16">
        <v>3.2000000000000001E-2</v>
      </c>
      <c r="D232" s="1">
        <v>6254807</v>
      </c>
      <c r="E232" s="29">
        <f>Table15[[#This Row],[Ávöxtun]]*Table15[[#This Row],[Eignir]]/SUMIFS(Table15[Eignir],Table15[Year],Table15[[#This Row],[Year]])</f>
        <v>9.0861592744327237E-5</v>
      </c>
      <c r="F232" s="23" t="e">
        <f>IF(B232=1997, 100, IF(COUNTIF(A$1:A231,A232)=0, "NEW", F231*(1+Table15[[#This Row],[Ávöxtun]])))</f>
        <v>#VALUE!</v>
      </c>
      <c r="G232" s="18" t="str" cm="1">
        <f t="array" ref="G232">IFERROR(_xlfn.IFS(ISNUMBER(Table15[[#This Row],[Column3]]),Table15[[#This Row],[Column3]],Table15[[#This Row],[Column3]]="NEW",Table15[[#This Row],[Column3]]),"")</f>
        <v/>
      </c>
      <c r="H232" s="15" cm="1">
        <f t="array" ref="H232">_xlfn.IFS(Table15[[#This Row],[Column4]]="NEW",AVERAGEIFS(Table15[Column4],Table15[Year],Table15[[#This Row],[Year]]),ISNUMBER(Table15[[#This Row],[Column4]]),Table15[[#This Row],[Column4]],Table15[[#This Row],[Column4]]="",H231*(1+Table15[[#This Row],[Ávöxtun]]))</f>
        <v>118.21090684471076</v>
      </c>
      <c r="I232" s="30" cm="1">
        <f t="array" ref="I232">_xlfn.IFS(Table15[[#This Row],[Column4]]="NEW",_xlfn.XLOOKUP(Table15[[#This Row],[Year]]-1,$N$2:$N$27,$P$2:$P$27)*(1+Table15[[#This Row],[Ávöxtun]]),ISNUMBER(Table15[[#This Row],[Column4]]),Table15[[#This Row],[Column4]],Table15[[#This Row],[Column4]]="",I231*(1+Table15[[#This Row],[Ávöxtun]]))</f>
        <v>118.98851430900361</v>
      </c>
      <c r="L232" s="33">
        <v>118.21090684471076</v>
      </c>
      <c r="M232" s="33">
        <v>130.54857381618351</v>
      </c>
    </row>
    <row r="233" spans="1:13">
      <c r="A233" t="s">
        <v>136</v>
      </c>
      <c r="B233">
        <v>2013</v>
      </c>
      <c r="C233" s="16">
        <v>5.7000000000000002E-2</v>
      </c>
      <c r="D233" s="1">
        <v>7505895</v>
      </c>
      <c r="E233" s="29">
        <f>Table15[[#This Row],[Ávöxtun]]*Table15[[#This Row],[Eignir]]/SUMIFS(Table15[Eignir],Table15[Year],Table15[[#This Row],[Year]])</f>
        <v>1.758052323230996E-4</v>
      </c>
      <c r="F233" s="23" t="e">
        <f>IF(B233=1997, 100, IF(COUNTIF(A$1:A232,A233)=0, "NEW", F232*(1+Table15[[#This Row],[Ávöxtun]])))</f>
        <v>#VALUE!</v>
      </c>
      <c r="G233" s="18" t="str" cm="1">
        <f t="array" ref="G233">IFERROR(_xlfn.IFS(ISNUMBER(Table15[[#This Row],[Column3]]),Table15[[#This Row],[Column3]],Table15[[#This Row],[Column3]]="NEW",Table15[[#This Row],[Column3]]),"")</f>
        <v/>
      </c>
      <c r="H233" s="15" cm="1">
        <f t="array" ref="H233">_xlfn.IFS(Table15[[#This Row],[Column4]]="NEW",AVERAGEIFS(Table15[Column4],Table15[Year],Table15[[#This Row],[Year]]),ISNUMBER(Table15[[#This Row],[Column4]]),Table15[[#This Row],[Column4]],Table15[[#This Row],[Column4]]="",H232*(1+Table15[[#This Row],[Ávöxtun]]))</f>
        <v>124.94892853485926</v>
      </c>
      <c r="I233" s="30" cm="1">
        <f t="array" ref="I233">_xlfn.IFS(Table15[[#This Row],[Column4]]="NEW",_xlfn.XLOOKUP(Table15[[#This Row],[Year]]-1,$N$2:$N$27,$P$2:$P$27)*(1+Table15[[#This Row],[Ávöxtun]]),ISNUMBER(Table15[[#This Row],[Column4]]),Table15[[#This Row],[Column4]],Table15[[#This Row],[Column4]]="",I232*(1+Table15[[#This Row],[Ávöxtun]]))</f>
        <v>125.7708596246168</v>
      </c>
      <c r="L233" s="33">
        <v>124.94892853485926</v>
      </c>
      <c r="M233" s="33">
        <v>137.98984252370596</v>
      </c>
    </row>
    <row r="234" spans="1:13">
      <c r="A234" t="s">
        <v>136</v>
      </c>
      <c r="B234">
        <v>2014</v>
      </c>
      <c r="C234" s="16">
        <v>4.9000000000000002E-2</v>
      </c>
      <c r="D234" s="1">
        <v>8566556</v>
      </c>
      <c r="E234" s="29">
        <f>Table15[[#This Row],[Ávöxtun]]*Table15[[#This Row],[Eignir]]/SUMIFS(Table15[Eignir],Table15[Year],Table15[[#This Row],[Year]])</f>
        <v>1.5822024952447485E-4</v>
      </c>
      <c r="F234" s="23" t="e">
        <f>IF(B234=1997, 100, IF(COUNTIF(A$1:A233,A234)=0, "NEW", F233*(1+Table15[[#This Row],[Ávöxtun]])))</f>
        <v>#VALUE!</v>
      </c>
      <c r="G234" s="18" t="str" cm="1">
        <f t="array" ref="G234">IFERROR(_xlfn.IFS(ISNUMBER(Table15[[#This Row],[Column3]]),Table15[[#This Row],[Column3]],Table15[[#This Row],[Column3]]="NEW",Table15[[#This Row],[Column3]]),"")</f>
        <v/>
      </c>
      <c r="H234" s="15" cm="1">
        <f t="array" ref="H234">_xlfn.IFS(Table15[[#This Row],[Column4]]="NEW",AVERAGEIFS(Table15[Column4],Table15[Year],Table15[[#This Row],[Year]]),ISNUMBER(Table15[[#This Row],[Column4]]),Table15[[#This Row],[Column4]],Table15[[#This Row],[Column4]]="",H233*(1+Table15[[#This Row],[Ávöxtun]]))</f>
        <v>131.07142603306735</v>
      </c>
      <c r="I234" s="30" cm="1">
        <f t="array" ref="I234">_xlfn.IFS(Table15[[#This Row],[Column4]]="NEW",_xlfn.XLOOKUP(Table15[[#This Row],[Year]]-1,$N$2:$N$27,$P$2:$P$27)*(1+Table15[[#This Row],[Ávöxtun]]),ISNUMBER(Table15[[#This Row],[Column4]]),Table15[[#This Row],[Column4]],Table15[[#This Row],[Column4]]="",I233*(1+Table15[[#This Row],[Ávöxtun]]))</f>
        <v>131.93363174622303</v>
      </c>
      <c r="L234" s="33">
        <v>131.07142603306735</v>
      </c>
      <c r="M234" s="33">
        <v>144.75134480736753</v>
      </c>
    </row>
    <row r="235" spans="1:13">
      <c r="A235" t="s">
        <v>136</v>
      </c>
      <c r="B235">
        <v>2015</v>
      </c>
      <c r="C235" s="16">
        <v>0.11599999999999999</v>
      </c>
      <c r="D235" s="1">
        <v>10638652</v>
      </c>
      <c r="E235" s="29">
        <f>Table15[[#This Row],[Ávöxtun]]*Table15[[#This Row],[Eignir]]/SUMIFS(Table15[Eignir],Table15[Year],Table15[[#This Row],[Year]])</f>
        <v>4.167261107114144E-4</v>
      </c>
      <c r="F235" s="23" t="e">
        <f>IF(B235=1997, 100, IF(COUNTIF(A$1:A234,A235)=0, "NEW", F234*(1+Table15[[#This Row],[Ávöxtun]])))</f>
        <v>#VALUE!</v>
      </c>
      <c r="G235" s="18" t="str" cm="1">
        <f t="array" ref="G235">IFERROR(_xlfn.IFS(ISNUMBER(Table15[[#This Row],[Column3]]),Table15[[#This Row],[Column3]],Table15[[#This Row],[Column3]]="NEW",Table15[[#This Row],[Column3]]),"")</f>
        <v/>
      </c>
      <c r="H235" s="15" cm="1">
        <f t="array" ref="H235">_xlfn.IFS(Table15[[#This Row],[Column4]]="NEW",AVERAGEIFS(Table15[Column4],Table15[Year],Table15[[#This Row],[Year]]),ISNUMBER(Table15[[#This Row],[Column4]]),Table15[[#This Row],[Column4]],Table15[[#This Row],[Column4]]="",H234*(1+Table15[[#This Row],[Ávöxtun]]))</f>
        <v>146.27571145290318</v>
      </c>
      <c r="I235" s="30" cm="1">
        <f t="array" ref="I235">_xlfn.IFS(Table15[[#This Row],[Column4]]="NEW",_xlfn.XLOOKUP(Table15[[#This Row],[Year]]-1,$N$2:$N$27,$P$2:$P$27)*(1+Table15[[#This Row],[Ávöxtun]]),ISNUMBER(Table15[[#This Row],[Column4]]),Table15[[#This Row],[Column4]],Table15[[#This Row],[Column4]]="",I234*(1+Table15[[#This Row],[Ávöxtun]]))</f>
        <v>147.23793302878491</v>
      </c>
      <c r="L235" s="33">
        <v>146.27571145290318</v>
      </c>
      <c r="M235" s="33">
        <v>161.54250080502217</v>
      </c>
    </row>
    <row r="236" spans="1:13">
      <c r="A236" t="s">
        <v>136</v>
      </c>
      <c r="B236">
        <v>2016</v>
      </c>
      <c r="C236" s="16">
        <v>1.26E-2</v>
      </c>
      <c r="D236" s="1">
        <v>12326313.23</v>
      </c>
      <c r="E236" s="29">
        <f>Table15[[#This Row],[Ávöxtun]]*Table15[[#This Row],[Eignir]]/SUMIFS(Table15[Eignir],Table15[Year],Table15[[#This Row],[Year]])</f>
        <v>4.8534150688059192E-5</v>
      </c>
      <c r="F236" s="23" t="e">
        <f>IF(B236=1997, 100, IF(COUNTIF(A$1:A235,A236)=0, "NEW", F235*(1+Table15[[#This Row],[Ávöxtun]])))</f>
        <v>#VALUE!</v>
      </c>
      <c r="G236" s="18" t="str" cm="1">
        <f t="array" ref="G236">IFERROR(_xlfn.IFS(ISNUMBER(Table15[[#This Row],[Column3]]),Table15[[#This Row],[Column3]],Table15[[#This Row],[Column3]]="NEW",Table15[[#This Row],[Column3]]),"")</f>
        <v/>
      </c>
      <c r="H236" s="15" cm="1">
        <f t="array" ref="H236">_xlfn.IFS(Table15[[#This Row],[Column4]]="NEW",AVERAGEIFS(Table15[Column4],Table15[Year],Table15[[#This Row],[Year]]),ISNUMBER(Table15[[#This Row],[Column4]]),Table15[[#This Row],[Column4]],Table15[[#This Row],[Column4]]="",H235*(1+Table15[[#This Row],[Ávöxtun]]))</f>
        <v>148.11878541720975</v>
      </c>
      <c r="I236" s="30" cm="1">
        <f t="array" ref="I236">_xlfn.IFS(Table15[[#This Row],[Column4]]="NEW",_xlfn.XLOOKUP(Table15[[#This Row],[Year]]-1,$N$2:$N$27,$P$2:$P$27)*(1+Table15[[#This Row],[Ávöxtun]]),ISNUMBER(Table15[[#This Row],[Column4]]),Table15[[#This Row],[Column4]],Table15[[#This Row],[Column4]]="",I235*(1+Table15[[#This Row],[Ávöxtun]]))</f>
        <v>149.09313098494758</v>
      </c>
      <c r="L236" s="33">
        <v>148.11878541720975</v>
      </c>
      <c r="M236" s="33">
        <v>163.57793631516543</v>
      </c>
    </row>
    <row r="237" spans="1:13">
      <c r="A237" t="s">
        <v>136</v>
      </c>
      <c r="B237">
        <v>2017</v>
      </c>
      <c r="C237" s="16">
        <v>4.8000000000000001E-2</v>
      </c>
      <c r="D237" s="1">
        <v>14738104</v>
      </c>
      <c r="E237" s="29">
        <f>Table15[[#This Row],[Ávöxtun]]*Table15[[#This Row],[Eignir]]/SUMIFS(Table15[Eignir],Table15[Year],Table15[[#This Row],[Year]])</f>
        <v>1.987633941260913E-4</v>
      </c>
      <c r="F237" s="23" t="e">
        <f>IF(B237=1997, 100, IF(COUNTIF(A$1:A236,A237)=0, "NEW", F236*(1+Table15[[#This Row],[Ávöxtun]])))</f>
        <v>#VALUE!</v>
      </c>
      <c r="G237" s="18" t="str" cm="1">
        <f t="array" ref="G237">IFERROR(_xlfn.IFS(ISNUMBER(Table15[[#This Row],[Column3]]),Table15[[#This Row],[Column3]],Table15[[#This Row],[Column3]]="NEW",Table15[[#This Row],[Column3]]),"")</f>
        <v/>
      </c>
      <c r="H237" s="15" cm="1">
        <f t="array" ref="H237">_xlfn.IFS(Table15[[#This Row],[Column4]]="NEW",AVERAGEIFS(Table15[Column4],Table15[Year],Table15[[#This Row],[Year]]),ISNUMBER(Table15[[#This Row],[Column4]]),Table15[[#This Row],[Column4]],Table15[[#This Row],[Column4]]="",H236*(1+Table15[[#This Row],[Ávöxtun]]))</f>
        <v>155.22848711723583</v>
      </c>
      <c r="I237" s="30" cm="1">
        <f t="array" ref="I237">_xlfn.IFS(Table15[[#This Row],[Column4]]="NEW",_xlfn.XLOOKUP(Table15[[#This Row],[Year]]-1,$N$2:$N$27,$P$2:$P$27)*(1+Table15[[#This Row],[Ávöxtun]]),ISNUMBER(Table15[[#This Row],[Column4]]),Table15[[#This Row],[Column4]],Table15[[#This Row],[Column4]]="",I236*(1+Table15[[#This Row],[Ávöxtun]]))</f>
        <v>156.24960127222508</v>
      </c>
      <c r="L237" s="33">
        <v>155.22848711723583</v>
      </c>
      <c r="M237" s="33">
        <v>171.42967725829337</v>
      </c>
    </row>
    <row r="238" spans="1:13">
      <c r="A238" t="s">
        <v>136</v>
      </c>
      <c r="B238">
        <v>2018</v>
      </c>
      <c r="C238" s="16">
        <v>1.1000000000000001E-2</v>
      </c>
      <c r="D238" s="1">
        <v>17195780</v>
      </c>
      <c r="E238" s="29">
        <f>Table15[[#This Row],[Ávöxtun]]*Table15[[#This Row],[Eignir]]/SUMIFS(Table15[Eignir],Table15[Year],Table15[[#This Row],[Year]])</f>
        <v>4.9538451142423196E-5</v>
      </c>
      <c r="F238" s="23" t="e">
        <f>IF(B238=1997, 100, IF(COUNTIF(A$1:A237,A238)=0, "NEW", F237*(1+Table15[[#This Row],[Ávöxtun]])))</f>
        <v>#VALUE!</v>
      </c>
      <c r="G238" s="18" t="str" cm="1">
        <f t="array" ref="G238">IFERROR(_xlfn.IFS(ISNUMBER(Table15[[#This Row],[Column3]]),Table15[[#This Row],[Column3]],Table15[[#This Row],[Column3]]="NEW",Table15[[#This Row],[Column3]]),"")</f>
        <v/>
      </c>
      <c r="H238" s="15" cm="1">
        <f t="array" ref="H238">_xlfn.IFS(Table15[[#This Row],[Column4]]="NEW",AVERAGEIFS(Table15[Column4],Table15[Year],Table15[[#This Row],[Year]]),ISNUMBER(Table15[[#This Row],[Column4]]),Table15[[#This Row],[Column4]],Table15[[#This Row],[Column4]]="",H237*(1+Table15[[#This Row],[Ávöxtun]]))</f>
        <v>156.93600047552542</v>
      </c>
      <c r="I238" s="30" cm="1">
        <f t="array" ref="I238">_xlfn.IFS(Table15[[#This Row],[Column4]]="NEW",_xlfn.XLOOKUP(Table15[[#This Row],[Year]]-1,$N$2:$N$27,$P$2:$P$27)*(1+Table15[[#This Row],[Ávöxtun]]),ISNUMBER(Table15[[#This Row],[Column4]]),Table15[[#This Row],[Column4]],Table15[[#This Row],[Column4]]="",I237*(1+Table15[[#This Row],[Ávöxtun]]))</f>
        <v>157.96834688621954</v>
      </c>
      <c r="L238" s="33">
        <v>156.93600047552542</v>
      </c>
      <c r="M238" s="33">
        <v>173.31540370813457</v>
      </c>
    </row>
    <row r="239" spans="1:13">
      <c r="A239" t="s">
        <v>136</v>
      </c>
      <c r="B239">
        <v>2019</v>
      </c>
      <c r="C239" s="16">
        <v>0.10189999999999999</v>
      </c>
      <c r="D239" s="1">
        <v>21479748.140000001</v>
      </c>
      <c r="E239" s="29">
        <f>Table15[[#This Row],[Ávöxtun]]*Table15[[#This Row],[Eignir]]/SUMIFS(Table15[Eignir],Table15[Year],Table15[[#This Row],[Year]])</f>
        <v>4.9443101889580315E-4</v>
      </c>
      <c r="F239" s="23" t="e">
        <f>IF(B239=1997, 100, IF(COUNTIF(A$1:A238,A239)=0, "NEW", F238*(1+Table15[[#This Row],[Ávöxtun]])))</f>
        <v>#VALUE!</v>
      </c>
      <c r="G239" s="18" t="str" cm="1">
        <f t="array" ref="G239">IFERROR(_xlfn.IFS(ISNUMBER(Table15[[#This Row],[Column3]]),Table15[[#This Row],[Column3]],Table15[[#This Row],[Column3]]="NEW",Table15[[#This Row],[Column3]]),"")</f>
        <v/>
      </c>
      <c r="H239" s="15" cm="1">
        <f t="array" ref="H239">_xlfn.IFS(Table15[[#This Row],[Column4]]="NEW",AVERAGEIFS(Table15[Column4],Table15[Year],Table15[[#This Row],[Year]]),ISNUMBER(Table15[[#This Row],[Column4]]),Table15[[#This Row],[Column4]],Table15[[#This Row],[Column4]]="",H238*(1+Table15[[#This Row],[Ávöxtun]]))</f>
        <v>172.92777892398146</v>
      </c>
      <c r="I239" s="30" cm="1">
        <f t="array" ref="I239">_xlfn.IFS(Table15[[#This Row],[Column4]]="NEW",_xlfn.XLOOKUP(Table15[[#This Row],[Year]]-1,$N$2:$N$27,$P$2:$P$27)*(1+Table15[[#This Row],[Ávöxtun]]),ISNUMBER(Table15[[#This Row],[Column4]]),Table15[[#This Row],[Column4]],Table15[[#This Row],[Column4]]="",I238*(1+Table15[[#This Row],[Ávöxtun]]))</f>
        <v>174.06532143392533</v>
      </c>
      <c r="L239" s="33">
        <v>172.92777892398146</v>
      </c>
      <c r="M239" s="33">
        <v>190.97624334599351</v>
      </c>
    </row>
    <row r="240" spans="1:13">
      <c r="A240" t="s">
        <v>136</v>
      </c>
      <c r="B240">
        <v>2020</v>
      </c>
      <c r="C240" s="16">
        <v>8.5900000000000004E-2</v>
      </c>
      <c r="D240" s="1">
        <v>26365091.859999999</v>
      </c>
      <c r="E240" s="29">
        <f>Table15[[#This Row],[Ávöxtun]]*Table15[[#This Row],[Eignir]]/SUMIFS(Table15[Eignir],Table15[Year],Table15[[#This Row],[Year]])</f>
        <v>4.4090553826434294E-4</v>
      </c>
      <c r="F240" s="23" t="e">
        <f>IF(B240=1997, 100, IF(COUNTIF(A$1:A239,A240)=0, "NEW", F239*(1+Table15[[#This Row],[Ávöxtun]])))</f>
        <v>#VALUE!</v>
      </c>
      <c r="G240" s="18" t="str" cm="1">
        <f t="array" ref="G240">IFERROR(_xlfn.IFS(ISNUMBER(Table15[[#This Row],[Column3]]),Table15[[#This Row],[Column3]],Table15[[#This Row],[Column3]]="NEW",Table15[[#This Row],[Column3]]),"")</f>
        <v/>
      </c>
      <c r="H240" s="15" cm="1">
        <f t="array" ref="H240">_xlfn.IFS(Table15[[#This Row],[Column4]]="NEW",AVERAGEIFS(Table15[Column4],Table15[Year],Table15[[#This Row],[Year]]),ISNUMBER(Table15[[#This Row],[Column4]]),Table15[[#This Row],[Column4]],Table15[[#This Row],[Column4]]="",H239*(1+Table15[[#This Row],[Ávöxtun]]))</f>
        <v>187.78227513355148</v>
      </c>
      <c r="I240" s="30" cm="1">
        <f t="array" ref="I240">_xlfn.IFS(Table15[[#This Row],[Column4]]="NEW",_xlfn.XLOOKUP(Table15[[#This Row],[Year]]-1,$N$2:$N$27,$P$2:$P$27)*(1+Table15[[#This Row],[Ávöxtun]]),ISNUMBER(Table15[[#This Row],[Column4]]),Table15[[#This Row],[Column4]],Table15[[#This Row],[Column4]]="",I239*(1+Table15[[#This Row],[Ávöxtun]]))</f>
        <v>189.01753254509953</v>
      </c>
      <c r="L240" s="33">
        <v>187.78227513355148</v>
      </c>
      <c r="M240" s="33">
        <v>207.38110264941437</v>
      </c>
    </row>
    <row r="241" spans="1:13">
      <c r="A241" t="s">
        <v>136</v>
      </c>
      <c r="B241">
        <v>2021</v>
      </c>
      <c r="C241" s="16">
        <v>7.6999999999999999E-2</v>
      </c>
      <c r="D241" s="1">
        <v>32258649.73</v>
      </c>
      <c r="E241" s="29">
        <f>Table15[[#This Row],[Ávöxtun]]*Table15[[#This Row],[Eignir]]/SUMIFS(Table15[Eignir],Table15[Year],Table15[[#This Row],[Year]])</f>
        <v>4.1127854369745165E-4</v>
      </c>
      <c r="F241" s="23" t="e">
        <f>IF(B241=1997, 100, IF(COUNTIF(A$1:A240,A241)=0, "NEW", F240*(1+Table15[[#This Row],[Ávöxtun]])))</f>
        <v>#VALUE!</v>
      </c>
      <c r="G241" s="18" t="str" cm="1">
        <f t="array" ref="G241">IFERROR(_xlfn.IFS(ISNUMBER(Table15[[#This Row],[Column3]]),Table15[[#This Row],[Column3]],Table15[[#This Row],[Column3]]="NEW",Table15[[#This Row],[Column3]]),"")</f>
        <v/>
      </c>
      <c r="H241" s="15" cm="1">
        <f t="array" ref="H241">_xlfn.IFS(Table15[[#This Row],[Column4]]="NEW",AVERAGEIFS(Table15[Column4],Table15[Year],Table15[[#This Row],[Year]]),ISNUMBER(Table15[[#This Row],[Column4]]),Table15[[#This Row],[Column4]],Table15[[#This Row],[Column4]]="",H240*(1+Table15[[#This Row],[Ávöxtun]]))</f>
        <v>202.24151031883494</v>
      </c>
      <c r="I241" s="30" cm="1">
        <f t="array" ref="I241">_xlfn.IFS(Table15[[#This Row],[Column4]]="NEW",_xlfn.XLOOKUP(Table15[[#This Row],[Year]]-1,$N$2:$N$27,$P$2:$P$27)*(1+Table15[[#This Row],[Ávöxtun]]),ISNUMBER(Table15[[#This Row],[Column4]]),Table15[[#This Row],[Column4]],Table15[[#This Row],[Column4]]="",I240*(1+Table15[[#This Row],[Ávöxtun]]))</f>
        <v>203.57188255107218</v>
      </c>
      <c r="L241" s="33">
        <v>202.24151031883494</v>
      </c>
      <c r="M241" s="33">
        <v>223.34944755341928</v>
      </c>
    </row>
    <row r="242" spans="1:13">
      <c r="A242" t="s">
        <v>73</v>
      </c>
      <c r="B242">
        <v>2007</v>
      </c>
      <c r="C242" s="16">
        <v>3.1000000000000003E-2</v>
      </c>
      <c r="D242" s="1">
        <v>10148626</v>
      </c>
      <c r="E242" s="29">
        <f>Table15[[#This Row],[Ávöxtun]]*Table15[[#This Row],[Eignir]]/SUMIFS(Table15[Eignir],Table15[Year],Table15[[#This Row],[Year]])</f>
        <v>2.0344398463385347E-4</v>
      </c>
      <c r="F242" s="23" t="str">
        <f>IF(B242=1997, 100, IF(COUNTIF(A$1:A241,A242)=0, "NEW", F241*(1+Table15[[#This Row],[Ávöxtun]])))</f>
        <v>NEW</v>
      </c>
      <c r="G242" s="18" t="str" cm="1">
        <f t="array" ref="G242">IFERROR(_xlfn.IFS(ISNUMBER(Table15[[#This Row],[Column3]]),Table15[[#This Row],[Column3]],Table15[[#This Row],[Column3]]="NEW",Table15[[#This Row],[Column3]]),"")</f>
        <v>NEW</v>
      </c>
      <c r="H242" s="15" cm="1">
        <f t="array" ref="H242">_xlfn.IFS(Table15[[#This Row],[Column4]]="NEW",AVERAGEIFS(Table15[Column4],Table15[Year],Table15[[#This Row],[Year]]),ISNUMBER(Table15[[#This Row],[Column4]]),Table15[[#This Row],[Column4]],Table15[[#This Row],[Column4]]="",H241*(1+Table15[[#This Row],[Ávöxtun]]))</f>
        <v>178.53851178563048</v>
      </c>
      <c r="I242" s="30" cm="1">
        <f t="array" ref="I242">_xlfn.IFS(Table15[[#This Row],[Column4]]="NEW",_xlfn.XLOOKUP(Table15[[#This Row],[Year]]-1,$N$2:$N$27,$P$2:$P$27)*(1+Table15[[#This Row],[Ávöxtun]]),ISNUMBER(Table15[[#This Row],[Column4]]),Table15[[#This Row],[Column4]],Table15[[#This Row],[Column4]]="",I241*(1+Table15[[#This Row],[Ávöxtun]]))</f>
        <v>209.88877557853797</v>
      </c>
      <c r="L242" s="33">
        <v>178.53851178563048</v>
      </c>
      <c r="M242" s="33">
        <v>220.80682239490886</v>
      </c>
    </row>
    <row r="243" spans="1:13">
      <c r="A243" t="s">
        <v>73</v>
      </c>
      <c r="B243">
        <v>2008</v>
      </c>
      <c r="C243" s="16">
        <v>-0.2772</v>
      </c>
      <c r="D243" s="1">
        <v>8077065</v>
      </c>
      <c r="E243" s="29">
        <f>Table15[[#This Row],[Ávöxtun]]*Table15[[#This Row],[Eignir]]/SUMIFS(Table15[Eignir],Table15[Year],Table15[[#This Row],[Year]])</f>
        <v>-1.4953153335102514E-3</v>
      </c>
      <c r="F243" s="23" t="e">
        <f>IF(B243=1997, 100, IF(COUNTIF(A$1:A242,A243)=0, "NEW", F242*(1+Table15[[#This Row],[Ávöxtun]])))</f>
        <v>#VALUE!</v>
      </c>
      <c r="G243" s="18" t="str" cm="1">
        <f t="array" ref="G243">IFERROR(_xlfn.IFS(ISNUMBER(Table15[[#This Row],[Column3]]),Table15[[#This Row],[Column3]],Table15[[#This Row],[Column3]]="NEW",Table15[[#This Row],[Column3]]),"")</f>
        <v/>
      </c>
      <c r="H243" s="15" cm="1">
        <f t="array" ref="H243">_xlfn.IFS(Table15[[#This Row],[Column4]]="NEW",AVERAGEIFS(Table15[Column4],Table15[Year],Table15[[#This Row],[Year]]),ISNUMBER(Table15[[#This Row],[Column4]]),Table15[[#This Row],[Column4]],Table15[[#This Row],[Column4]]="",H242*(1+Table15[[#This Row],[Ávöxtun]]))</f>
        <v>129.0476363186537</v>
      </c>
      <c r="I243" s="30" cm="1">
        <f t="array" ref="I243">_xlfn.IFS(Table15[[#This Row],[Column4]]="NEW",_xlfn.XLOOKUP(Table15[[#This Row],[Year]]-1,$N$2:$N$27,$P$2:$P$27)*(1+Table15[[#This Row],[Ávöxtun]]),ISNUMBER(Table15[[#This Row],[Column4]]),Table15[[#This Row],[Column4]],Table15[[#This Row],[Column4]]="",I242*(1+Table15[[#This Row],[Ávöxtun]]))</f>
        <v>151.70760698816724</v>
      </c>
      <c r="L243" s="33">
        <v>129.0476363186537</v>
      </c>
      <c r="M243" s="33">
        <v>159.59917122704013</v>
      </c>
    </row>
    <row r="244" spans="1:13">
      <c r="A244" t="s">
        <v>73</v>
      </c>
      <c r="B244">
        <v>2009</v>
      </c>
      <c r="C244" s="16">
        <v>-8.1000000000000013E-3</v>
      </c>
      <c r="D244" s="1">
        <v>8053248</v>
      </c>
      <c r="E244" s="29">
        <f>Table15[[#This Row],[Ávöxtun]]*Table15[[#This Row],[Eignir]]/SUMIFS(Table15[Eignir],Table15[Year],Table15[[#This Row],[Year]])</f>
        <v>-3.9101442846840786E-5</v>
      </c>
      <c r="F244" s="23" t="e">
        <f>IF(B244=1997, 100, IF(COUNTIF(A$1:A243,A244)=0, "NEW", F243*(1+Table15[[#This Row],[Ávöxtun]])))</f>
        <v>#VALUE!</v>
      </c>
      <c r="G244" s="18" t="str" cm="1">
        <f t="array" ref="G244">IFERROR(_xlfn.IFS(ISNUMBER(Table15[[#This Row],[Column3]]),Table15[[#This Row],[Column3]],Table15[[#This Row],[Column3]]="NEW",Table15[[#This Row],[Column3]]),"")</f>
        <v/>
      </c>
      <c r="H244" s="15" cm="1">
        <f t="array" ref="H244">_xlfn.IFS(Table15[[#This Row],[Column4]]="NEW",AVERAGEIFS(Table15[Column4],Table15[Year],Table15[[#This Row],[Year]]),ISNUMBER(Table15[[#This Row],[Column4]]),Table15[[#This Row],[Column4]],Table15[[#This Row],[Column4]]="",H243*(1+Table15[[#This Row],[Ávöxtun]]))</f>
        <v>128.00235046447261</v>
      </c>
      <c r="I244" s="30" cm="1">
        <f t="array" ref="I244">_xlfn.IFS(Table15[[#This Row],[Column4]]="NEW",_xlfn.XLOOKUP(Table15[[#This Row],[Year]]-1,$N$2:$N$27,$P$2:$P$27)*(1+Table15[[#This Row],[Ávöxtun]]),ISNUMBER(Table15[[#This Row],[Column4]]),Table15[[#This Row],[Column4]],Table15[[#This Row],[Column4]]="",I243*(1+Table15[[#This Row],[Ávöxtun]]))</f>
        <v>150.47877537156307</v>
      </c>
      <c r="L244" s="33">
        <v>128.00235046447261</v>
      </c>
      <c r="M244" s="33">
        <v>158.30641794010111</v>
      </c>
    </row>
    <row r="245" spans="1:13">
      <c r="A245" t="s">
        <v>73</v>
      </c>
      <c r="B245">
        <v>2010</v>
      </c>
      <c r="C245" s="16">
        <v>0.04</v>
      </c>
      <c r="D245" s="1">
        <v>8089047</v>
      </c>
      <c r="E245" s="29">
        <f>Table15[[#This Row],[Ávöxtun]]*Table15[[#This Row],[Eignir]]/SUMIFS(Table15[Eignir],Table15[Year],Table15[[#This Row],[Year]])</f>
        <v>1.8098462502200746E-4</v>
      </c>
      <c r="F245" s="23" t="e">
        <f>IF(B245=1997, 100, IF(COUNTIF(A$1:A244,A245)=0, "NEW", F244*(1+Table15[[#This Row],[Ávöxtun]])))</f>
        <v>#VALUE!</v>
      </c>
      <c r="G245" s="18" t="str" cm="1">
        <f t="array" ref="G245">IFERROR(_xlfn.IFS(ISNUMBER(Table15[[#This Row],[Column3]]),Table15[[#This Row],[Column3]],Table15[[#This Row],[Column3]]="NEW",Table15[[#This Row],[Column3]]),"")</f>
        <v/>
      </c>
      <c r="H245" s="15" cm="1">
        <f t="array" ref="H245">_xlfn.IFS(Table15[[#This Row],[Column4]]="NEW",AVERAGEIFS(Table15[Column4],Table15[Year],Table15[[#This Row],[Year]]),ISNUMBER(Table15[[#This Row],[Column4]]),Table15[[#This Row],[Column4]],Table15[[#This Row],[Column4]]="",H244*(1+Table15[[#This Row],[Ávöxtun]]))</f>
        <v>133.12244448305151</v>
      </c>
      <c r="I245" s="30" cm="1">
        <f t="array" ref="I245">_xlfn.IFS(Table15[[#This Row],[Column4]]="NEW",_xlfn.XLOOKUP(Table15[[#This Row],[Year]]-1,$N$2:$N$27,$P$2:$P$27)*(1+Table15[[#This Row],[Ávöxtun]]),ISNUMBER(Table15[[#This Row],[Column4]]),Table15[[#This Row],[Column4]],Table15[[#This Row],[Column4]]="",I244*(1+Table15[[#This Row],[Ávöxtun]]))</f>
        <v>156.4979263864256</v>
      </c>
      <c r="L245" s="33">
        <v>133.12244448305151</v>
      </c>
      <c r="M245" s="33">
        <v>164.63867465770517</v>
      </c>
    </row>
    <row r="246" spans="1:13">
      <c r="A246" t="s">
        <v>73</v>
      </c>
      <c r="B246">
        <v>2011</v>
      </c>
      <c r="C246" s="16">
        <v>0.04</v>
      </c>
      <c r="D246" s="1">
        <v>8352348</v>
      </c>
      <c r="E246" s="29">
        <f>Table15[[#This Row],[Ávöxtun]]*Table15[[#This Row],[Eignir]]/SUMIFS(Table15[Eignir],Table15[Year],Table15[[#This Row],[Year]])</f>
        <v>1.7128112902380441E-4</v>
      </c>
      <c r="F246" s="23" t="e">
        <f>IF(B246=1997, 100, IF(COUNTIF(A$1:A245,A246)=0, "NEW", F245*(1+Table15[[#This Row],[Ávöxtun]])))</f>
        <v>#VALUE!</v>
      </c>
      <c r="G246" s="18" t="str" cm="1">
        <f t="array" ref="G246">IFERROR(_xlfn.IFS(ISNUMBER(Table15[[#This Row],[Column3]]),Table15[[#This Row],[Column3]],Table15[[#This Row],[Column3]]="NEW",Table15[[#This Row],[Column3]]),"")</f>
        <v/>
      </c>
      <c r="H246" s="15" cm="1">
        <f t="array" ref="H246">_xlfn.IFS(Table15[[#This Row],[Column4]]="NEW",AVERAGEIFS(Table15[Column4],Table15[Year],Table15[[#This Row],[Year]]),ISNUMBER(Table15[[#This Row],[Column4]]),Table15[[#This Row],[Column4]],Table15[[#This Row],[Column4]]="",H245*(1+Table15[[#This Row],[Ávöxtun]]))</f>
        <v>138.44734226237358</v>
      </c>
      <c r="I246" s="30" cm="1">
        <f t="array" ref="I246">_xlfn.IFS(Table15[[#This Row],[Column4]]="NEW",_xlfn.XLOOKUP(Table15[[#This Row],[Year]]-1,$N$2:$N$27,$P$2:$P$27)*(1+Table15[[#This Row],[Ávöxtun]]),ISNUMBER(Table15[[#This Row],[Column4]]),Table15[[#This Row],[Column4]],Table15[[#This Row],[Column4]]="",I245*(1+Table15[[#This Row],[Ávöxtun]]))</f>
        <v>162.75784344188264</v>
      </c>
      <c r="L246" s="33">
        <v>138.44734226237358</v>
      </c>
      <c r="M246" s="33">
        <v>171.22422164401337</v>
      </c>
    </row>
    <row r="247" spans="1:13">
      <c r="A247" t="s">
        <v>77</v>
      </c>
      <c r="B247">
        <v>1997</v>
      </c>
      <c r="C247" s="16">
        <v>0.08</v>
      </c>
      <c r="D247" s="1">
        <v>7673160.8099999996</v>
      </c>
      <c r="E247" s="29">
        <f>Table15[[#This Row],[Ávöxtun]]*Table15[[#This Row],[Eignir]]/SUMIFS(Table15[Eignir],Table15[Year],Table15[[#This Row],[Year]])</f>
        <v>1.8106400598343938E-3</v>
      </c>
      <c r="F247" s="23">
        <f>IF(B247=1997, 100, IF(COUNTIF(A$1:A246,A247)=0, "NEW", F246*(1+Table15[[#This Row],[Ávöxtun]])))</f>
        <v>100</v>
      </c>
      <c r="G247" s="18" cm="1">
        <f t="array" ref="G247">IFERROR(_xlfn.IFS(ISNUMBER(Table15[[#This Row],[Column3]]),Table15[[#This Row],[Column3]],Table15[[#This Row],[Column3]]="NEW",Table15[[#This Row],[Column3]]),"")</f>
        <v>100</v>
      </c>
      <c r="H247" s="15" cm="1">
        <f t="array" ref="H247">_xlfn.IFS(Table15[[#This Row],[Column4]]="NEW",AVERAGEIFS(Table15[Column4],Table15[Year],Table15[[#This Row],[Year]]),ISNUMBER(Table15[[#This Row],[Column4]]),Table15[[#This Row],[Column4]],Table15[[#This Row],[Column4]]="",H246*(1+Table15[[#This Row],[Ávöxtun]]))</f>
        <v>100</v>
      </c>
      <c r="I247" s="30" cm="1">
        <f t="array" ref="I247">_xlfn.IFS(Table15[[#This Row],[Column4]]="NEW",_xlfn.XLOOKUP(Table15[[#This Row],[Year]]-1,$N$2:$N$27,$P$2:$P$27)*(1+Table15[[#This Row],[Ávöxtun]]),ISNUMBER(Table15[[#This Row],[Column4]]),Table15[[#This Row],[Column4]],Table15[[#This Row],[Column4]]="",I246*(1+Table15[[#This Row],[Ávöxtun]]))</f>
        <v>100</v>
      </c>
      <c r="L247" s="33">
        <v>100</v>
      </c>
      <c r="M247" s="33">
        <v>100</v>
      </c>
    </row>
    <row r="248" spans="1:13">
      <c r="A248" t="s">
        <v>77</v>
      </c>
      <c r="B248">
        <v>1998</v>
      </c>
      <c r="C248" s="16">
        <v>0.08</v>
      </c>
      <c r="D248" s="1">
        <v>8942160.8100000005</v>
      </c>
      <c r="E248" s="29">
        <f>Table15[[#This Row],[Ávöxtun]]*Table15[[#This Row],[Eignir]]/SUMIFS(Table15[Eignir],Table15[Year],Table15[[#This Row],[Year]])</f>
        <v>1.8266320111814387E-3</v>
      </c>
      <c r="F248" s="23">
        <f>IF(B248=1997, 100, IF(COUNTIF(A$1:A247,A248)=0, "NEW", F247*(1+Table15[[#This Row],[Ávöxtun]])))</f>
        <v>108</v>
      </c>
      <c r="G248" s="18" cm="1">
        <f t="array" ref="G248">IFERROR(_xlfn.IFS(ISNUMBER(Table15[[#This Row],[Column3]]),Table15[[#This Row],[Column3]],Table15[[#This Row],[Column3]]="NEW",Table15[[#This Row],[Column3]]),"")</f>
        <v>108</v>
      </c>
      <c r="H248" s="15" cm="1">
        <f t="array" ref="H248">_xlfn.IFS(Table15[[#This Row],[Column4]]="NEW",AVERAGEIFS(Table15[Column4],Table15[Year],Table15[[#This Row],[Year]]),ISNUMBER(Table15[[#This Row],[Column4]]),Table15[[#This Row],[Column4]],Table15[[#This Row],[Column4]]="",H247*(1+Table15[[#This Row],[Ávöxtun]]))</f>
        <v>108</v>
      </c>
      <c r="I248" s="30" cm="1">
        <f t="array" ref="I248">_xlfn.IFS(Table15[[#This Row],[Column4]]="NEW",_xlfn.XLOOKUP(Table15[[#This Row],[Year]]-1,$N$2:$N$27,$P$2:$P$27)*(1+Table15[[#This Row],[Ávöxtun]]),ISNUMBER(Table15[[#This Row],[Column4]]),Table15[[#This Row],[Column4]],Table15[[#This Row],[Column4]]="",I247*(1+Table15[[#This Row],[Ávöxtun]]))</f>
        <v>108</v>
      </c>
      <c r="L248" s="33">
        <v>108</v>
      </c>
      <c r="M248" s="33">
        <v>108</v>
      </c>
    </row>
    <row r="249" spans="1:13">
      <c r="A249" t="s">
        <v>77</v>
      </c>
      <c r="B249">
        <v>1999</v>
      </c>
      <c r="C249" s="16">
        <v>0.16</v>
      </c>
      <c r="D249" s="1">
        <v>11388315.029999999</v>
      </c>
      <c r="E249" s="29">
        <f>Table15[[#This Row],[Ávöxtun]]*Table15[[#This Row],[Eignir]]/SUMIFS(Table15[Eignir],Table15[Year],Table15[[#This Row],[Year]])</f>
        <v>3.4992740824330852E-3</v>
      </c>
      <c r="F249" s="23">
        <f>IF(B249=1997, 100, IF(COUNTIF(A$1:A248,A249)=0, "NEW", F248*(1+Table15[[#This Row],[Ávöxtun]])))</f>
        <v>125.27999999999999</v>
      </c>
      <c r="G249" s="18" cm="1">
        <f t="array" ref="G249">IFERROR(_xlfn.IFS(ISNUMBER(Table15[[#This Row],[Column3]]),Table15[[#This Row],[Column3]],Table15[[#This Row],[Column3]]="NEW",Table15[[#This Row],[Column3]]),"")</f>
        <v>125.27999999999999</v>
      </c>
      <c r="H249" s="15" cm="1">
        <f t="array" ref="H249">_xlfn.IFS(Table15[[#This Row],[Column4]]="NEW",AVERAGEIFS(Table15[Column4],Table15[Year],Table15[[#This Row],[Year]]),ISNUMBER(Table15[[#This Row],[Column4]]),Table15[[#This Row],[Column4]],Table15[[#This Row],[Column4]]="",H248*(1+Table15[[#This Row],[Ávöxtun]]))</f>
        <v>125.27999999999999</v>
      </c>
      <c r="I249" s="30" cm="1">
        <f t="array" ref="I249">_xlfn.IFS(Table15[[#This Row],[Column4]]="NEW",_xlfn.XLOOKUP(Table15[[#This Row],[Year]]-1,$N$2:$N$27,$P$2:$P$27)*(1+Table15[[#This Row],[Ávöxtun]]),ISNUMBER(Table15[[#This Row],[Column4]]),Table15[[#This Row],[Column4]],Table15[[#This Row],[Column4]]="",I248*(1+Table15[[#This Row],[Ávöxtun]]))</f>
        <v>125.27999999999999</v>
      </c>
      <c r="L249" s="33">
        <v>125.27999999999999</v>
      </c>
      <c r="M249" s="33">
        <v>125.27999999999999</v>
      </c>
    </row>
    <row r="250" spans="1:13">
      <c r="A250" t="s">
        <v>77</v>
      </c>
      <c r="B250">
        <v>2000</v>
      </c>
      <c r="C250" s="16">
        <v>-0.04</v>
      </c>
      <c r="D250" s="1">
        <v>11743787</v>
      </c>
      <c r="E250" s="29">
        <f>Table15[[#This Row],[Ávöxtun]]*Table15[[#This Row],[Eignir]]/SUMIFS(Table15[Eignir],Table15[Year],Table15[[#This Row],[Year]])</f>
        <v>-6.6079375299767009E-4</v>
      </c>
      <c r="F250" s="23">
        <f>IF(B250=1997, 100, IF(COUNTIF(A$1:A249,A250)=0, "NEW", F249*(1+Table15[[#This Row],[Ávöxtun]])))</f>
        <v>120.26879999999998</v>
      </c>
      <c r="G250" s="18" cm="1">
        <f t="array" ref="G250">IFERROR(_xlfn.IFS(ISNUMBER(Table15[[#This Row],[Column3]]),Table15[[#This Row],[Column3]],Table15[[#This Row],[Column3]]="NEW",Table15[[#This Row],[Column3]]),"")</f>
        <v>120.26879999999998</v>
      </c>
      <c r="H250" s="15" cm="1">
        <f t="array" ref="H250">_xlfn.IFS(Table15[[#This Row],[Column4]]="NEW",AVERAGEIFS(Table15[Column4],Table15[Year],Table15[[#This Row],[Year]]),ISNUMBER(Table15[[#This Row],[Column4]]),Table15[[#This Row],[Column4]],Table15[[#This Row],[Column4]]="",H249*(1+Table15[[#This Row],[Ávöxtun]]))</f>
        <v>120.26879999999998</v>
      </c>
      <c r="I250" s="30" cm="1">
        <f t="array" ref="I250">_xlfn.IFS(Table15[[#This Row],[Column4]]="NEW",_xlfn.XLOOKUP(Table15[[#This Row],[Year]]-1,$N$2:$N$27,$P$2:$P$27)*(1+Table15[[#This Row],[Ávöxtun]]),ISNUMBER(Table15[[#This Row],[Column4]]),Table15[[#This Row],[Column4]],Table15[[#This Row],[Column4]]="",I249*(1+Table15[[#This Row],[Ávöxtun]]))</f>
        <v>120.26879999999998</v>
      </c>
      <c r="L250" s="33">
        <v>120.26879999999998</v>
      </c>
      <c r="M250" s="33">
        <v>120.26879999999998</v>
      </c>
    </row>
    <row r="251" spans="1:13">
      <c r="A251" t="s">
        <v>77</v>
      </c>
      <c r="B251">
        <v>2001</v>
      </c>
      <c r="C251" s="16">
        <v>-0.03</v>
      </c>
      <c r="D251" s="1">
        <v>12836744</v>
      </c>
      <c r="E251" s="29">
        <f>Table15[[#This Row],[Ávöxtun]]*Table15[[#This Row],[Eignir]]/SUMIFS(Table15[Eignir],Table15[Year],Table15[[#This Row],[Year]])</f>
        <v>-3.3258233924201636E-4</v>
      </c>
      <c r="F251" s="23">
        <f>IF(B251=1997, 100, IF(COUNTIF(A$1:A250,A251)=0, "NEW", F250*(1+Table15[[#This Row],[Ávöxtun]])))</f>
        <v>116.66073599999999</v>
      </c>
      <c r="G251" s="18" cm="1">
        <f t="array" ref="G251">IFERROR(_xlfn.IFS(ISNUMBER(Table15[[#This Row],[Column3]]),Table15[[#This Row],[Column3]],Table15[[#This Row],[Column3]]="NEW",Table15[[#This Row],[Column3]]),"")</f>
        <v>116.66073599999999</v>
      </c>
      <c r="H251" s="15" cm="1">
        <f t="array" ref="H251">_xlfn.IFS(Table15[[#This Row],[Column4]]="NEW",AVERAGEIFS(Table15[Column4],Table15[Year],Table15[[#This Row],[Year]]),ISNUMBER(Table15[[#This Row],[Column4]]),Table15[[#This Row],[Column4]],Table15[[#This Row],[Column4]]="",H250*(1+Table15[[#This Row],[Ávöxtun]]))</f>
        <v>116.66073599999999</v>
      </c>
      <c r="I251" s="30" cm="1">
        <f t="array" ref="I251">_xlfn.IFS(Table15[[#This Row],[Column4]]="NEW",_xlfn.XLOOKUP(Table15[[#This Row],[Year]]-1,$N$2:$N$27,$P$2:$P$27)*(1+Table15[[#This Row],[Ávöxtun]]),ISNUMBER(Table15[[#This Row],[Column4]]),Table15[[#This Row],[Column4]],Table15[[#This Row],[Column4]]="",I250*(1+Table15[[#This Row],[Ávöxtun]]))</f>
        <v>116.66073599999999</v>
      </c>
      <c r="L251" s="33">
        <v>116.66073599999999</v>
      </c>
      <c r="M251" s="33">
        <v>116.66073599999999</v>
      </c>
    </row>
    <row r="252" spans="1:13">
      <c r="A252" t="s">
        <v>77</v>
      </c>
      <c r="B252">
        <v>2002</v>
      </c>
      <c r="C252" s="16">
        <v>-0.04</v>
      </c>
      <c r="D252" s="1">
        <v>13029503.6</v>
      </c>
      <c r="E252" s="29">
        <f>Table15[[#This Row],[Ávöxtun]]*Table15[[#This Row],[Eignir]]/SUMIFS(Table15[Eignir],Table15[Year],Table15[[#This Row],[Year]])</f>
        <v>-8.2054401152567395E-4</v>
      </c>
      <c r="F252" s="23">
        <f>IF(B252=1997, 100, IF(COUNTIF(A$1:A251,A252)=0, "NEW", F251*(1+Table15[[#This Row],[Ávöxtun]])))</f>
        <v>111.99430655999998</v>
      </c>
      <c r="G252" s="18" cm="1">
        <f t="array" ref="G252">IFERROR(_xlfn.IFS(ISNUMBER(Table15[[#This Row],[Column3]]),Table15[[#This Row],[Column3]],Table15[[#This Row],[Column3]]="NEW",Table15[[#This Row],[Column3]]),"")</f>
        <v>111.99430655999998</v>
      </c>
      <c r="H252" s="15" cm="1">
        <f t="array" ref="H252">_xlfn.IFS(Table15[[#This Row],[Column4]]="NEW",AVERAGEIFS(Table15[Column4],Table15[Year],Table15[[#This Row],[Year]]),ISNUMBER(Table15[[#This Row],[Column4]]),Table15[[#This Row],[Column4]],Table15[[#This Row],[Column4]]="",H251*(1+Table15[[#This Row],[Ávöxtun]]))</f>
        <v>111.99430655999998</v>
      </c>
      <c r="I252" s="30" cm="1">
        <f t="array" ref="I252">_xlfn.IFS(Table15[[#This Row],[Column4]]="NEW",_xlfn.XLOOKUP(Table15[[#This Row],[Year]]-1,$N$2:$N$27,$P$2:$P$27)*(1+Table15[[#This Row],[Ávöxtun]]),ISNUMBER(Table15[[#This Row],[Column4]]),Table15[[#This Row],[Column4]],Table15[[#This Row],[Column4]]="",I251*(1+Table15[[#This Row],[Ávöxtun]]))</f>
        <v>111.99430655999998</v>
      </c>
      <c r="L252" s="33">
        <v>111.99430655999998</v>
      </c>
      <c r="M252" s="33">
        <v>111.99430655999998</v>
      </c>
    </row>
    <row r="253" spans="1:13">
      <c r="A253" t="s">
        <v>77</v>
      </c>
      <c r="B253">
        <v>2003</v>
      </c>
      <c r="C253" s="16">
        <v>0.13</v>
      </c>
      <c r="D253" s="1">
        <v>15566304</v>
      </c>
      <c r="E253" s="29">
        <f>Table15[[#This Row],[Ávöxtun]]*Table15[[#This Row],[Eignir]]/SUMIFS(Table15[Eignir],Table15[Year],Table15[[#This Row],[Year]])</f>
        <v>2.6630378152212066E-3</v>
      </c>
      <c r="F253" s="23">
        <f>IF(B253=1997, 100, IF(COUNTIF(A$1:A252,A253)=0, "NEW", F252*(1+Table15[[#This Row],[Ávöxtun]])))</f>
        <v>126.55356641279997</v>
      </c>
      <c r="G253" s="18" cm="1">
        <f t="array" ref="G253">IFERROR(_xlfn.IFS(ISNUMBER(Table15[[#This Row],[Column3]]),Table15[[#This Row],[Column3]],Table15[[#This Row],[Column3]]="NEW",Table15[[#This Row],[Column3]]),"")</f>
        <v>126.55356641279997</v>
      </c>
      <c r="H253" s="15" cm="1">
        <f t="array" ref="H253">_xlfn.IFS(Table15[[#This Row],[Column4]]="NEW",AVERAGEIFS(Table15[Column4],Table15[Year],Table15[[#This Row],[Year]]),ISNUMBER(Table15[[#This Row],[Column4]]),Table15[[#This Row],[Column4]],Table15[[#This Row],[Column4]]="",H252*(1+Table15[[#This Row],[Ávöxtun]]))</f>
        <v>126.55356641279997</v>
      </c>
      <c r="I253" s="30" cm="1">
        <f t="array" ref="I253">_xlfn.IFS(Table15[[#This Row],[Column4]]="NEW",_xlfn.XLOOKUP(Table15[[#This Row],[Year]]-1,$N$2:$N$27,$P$2:$P$27)*(1+Table15[[#This Row],[Ávöxtun]]),ISNUMBER(Table15[[#This Row],[Column4]]),Table15[[#This Row],[Column4]],Table15[[#This Row],[Column4]]="",I252*(1+Table15[[#This Row],[Ávöxtun]]))</f>
        <v>126.55356641279997</v>
      </c>
      <c r="L253" s="33">
        <v>126.55356641279997</v>
      </c>
      <c r="M253" s="33">
        <v>126.55356641279997</v>
      </c>
    </row>
    <row r="254" spans="1:13">
      <c r="A254" t="s">
        <v>77</v>
      </c>
      <c r="B254">
        <v>2004</v>
      </c>
      <c r="C254" s="16">
        <v>0.12</v>
      </c>
      <c r="D254" s="1">
        <v>18636197</v>
      </c>
      <c r="E254" s="29">
        <f>Table15[[#This Row],[Ávöxtun]]*Table15[[#This Row],[Eignir]]/SUMIFS(Table15[Eignir],Table15[Year],Table15[[#This Row],[Year]])</f>
        <v>2.4638278148453856E-3</v>
      </c>
      <c r="F254" s="23">
        <f>IF(B254=1997, 100, IF(COUNTIF(A$1:A253,A254)=0, "NEW", F253*(1+Table15[[#This Row],[Ávöxtun]])))</f>
        <v>141.73999438233596</v>
      </c>
      <c r="G254" s="18" cm="1">
        <f t="array" ref="G254">IFERROR(_xlfn.IFS(ISNUMBER(Table15[[#This Row],[Column3]]),Table15[[#This Row],[Column3]],Table15[[#This Row],[Column3]]="NEW",Table15[[#This Row],[Column3]]),"")</f>
        <v>141.73999438233596</v>
      </c>
      <c r="H254" s="15" cm="1">
        <f t="array" ref="H254">_xlfn.IFS(Table15[[#This Row],[Column4]]="NEW",AVERAGEIFS(Table15[Column4],Table15[Year],Table15[[#This Row],[Year]]),ISNUMBER(Table15[[#This Row],[Column4]]),Table15[[#This Row],[Column4]],Table15[[#This Row],[Column4]]="",H253*(1+Table15[[#This Row],[Ávöxtun]]))</f>
        <v>141.73999438233596</v>
      </c>
      <c r="I254" s="30" cm="1">
        <f t="array" ref="I254">_xlfn.IFS(Table15[[#This Row],[Column4]]="NEW",_xlfn.XLOOKUP(Table15[[#This Row],[Year]]-1,$N$2:$N$27,$P$2:$P$27)*(1+Table15[[#This Row],[Ávöxtun]]),ISNUMBER(Table15[[#This Row],[Column4]]),Table15[[#This Row],[Column4]],Table15[[#This Row],[Column4]]="",I253*(1+Table15[[#This Row],[Ávöxtun]]))</f>
        <v>141.73999438233596</v>
      </c>
      <c r="L254" s="33">
        <v>141.73999438233596</v>
      </c>
      <c r="M254" s="33">
        <v>141.73999438233596</v>
      </c>
    </row>
    <row r="255" spans="1:13">
      <c r="A255" t="s">
        <v>77</v>
      </c>
      <c r="B255">
        <v>2005</v>
      </c>
      <c r="C255" s="16">
        <v>0.12</v>
      </c>
      <c r="D255" s="1">
        <v>22145651</v>
      </c>
      <c r="E255" s="29">
        <f>Table15[[#This Row],[Ávöxtun]]*Table15[[#This Row],[Eignir]]/SUMIFS(Table15[Eignir],Table15[Year],Table15[[#This Row],[Year]])</f>
        <v>2.3699176642624038E-3</v>
      </c>
      <c r="F255" s="23">
        <f>IF(B255=1997, 100, IF(COUNTIF(A$1:A254,A255)=0, "NEW", F254*(1+Table15[[#This Row],[Ávöxtun]])))</f>
        <v>158.74879370821628</v>
      </c>
      <c r="G255" s="18" cm="1">
        <f t="array" ref="G255">IFERROR(_xlfn.IFS(ISNUMBER(Table15[[#This Row],[Column3]]),Table15[[#This Row],[Column3]],Table15[[#This Row],[Column3]]="NEW",Table15[[#This Row],[Column3]]),"")</f>
        <v>158.74879370821628</v>
      </c>
      <c r="H255" s="15" cm="1">
        <f t="array" ref="H255">_xlfn.IFS(Table15[[#This Row],[Column4]]="NEW",AVERAGEIFS(Table15[Column4],Table15[Year],Table15[[#This Row],[Year]]),ISNUMBER(Table15[[#This Row],[Column4]]),Table15[[#This Row],[Column4]],Table15[[#This Row],[Column4]]="",H254*(1+Table15[[#This Row],[Ávöxtun]]))</f>
        <v>158.74879370821628</v>
      </c>
      <c r="I255" s="30" cm="1">
        <f t="array" ref="I255">_xlfn.IFS(Table15[[#This Row],[Column4]]="NEW",_xlfn.XLOOKUP(Table15[[#This Row],[Year]]-1,$N$2:$N$27,$P$2:$P$27)*(1+Table15[[#This Row],[Ávöxtun]]),ISNUMBER(Table15[[#This Row],[Column4]]),Table15[[#This Row],[Column4]],Table15[[#This Row],[Column4]]="",I254*(1+Table15[[#This Row],[Ávöxtun]]))</f>
        <v>158.74879370821628</v>
      </c>
      <c r="L255" s="33">
        <v>158.74879370821628</v>
      </c>
      <c r="M255" s="33">
        <v>158.74879370821628</v>
      </c>
    </row>
    <row r="256" spans="1:13">
      <c r="A256" t="s">
        <v>76</v>
      </c>
      <c r="B256">
        <v>1998</v>
      </c>
      <c r="C256" s="16">
        <v>7.0000000000000007E-2</v>
      </c>
      <c r="D256" s="1">
        <v>3921718.43</v>
      </c>
      <c r="E256" s="29">
        <f>Table15[[#This Row],[Ávöxtun]]*Table15[[#This Row],[Eignir]]/SUMIFS(Table15[Eignir],Table15[Year],Table15[[#This Row],[Year]])</f>
        <v>7.0095970128202574E-4</v>
      </c>
      <c r="F256" s="23" t="str">
        <f>IF(B256=1997, 100, IF(COUNTIF(A$1:A255,A256)=0, "NEW", F255*(1+Table15[[#This Row],[Ávöxtun]])))</f>
        <v>NEW</v>
      </c>
      <c r="G256" s="18" t="str" cm="1">
        <f t="array" ref="G256">IFERROR(_xlfn.IFS(ISNUMBER(Table15[[#This Row],[Column3]]),Table15[[#This Row],[Column3]],Table15[[#This Row],[Column3]]="NEW",Table15[[#This Row],[Column3]]),"")</f>
        <v>NEW</v>
      </c>
      <c r="H256" s="15" cm="1">
        <f t="array" ref="H256">_xlfn.IFS(Table15[[#This Row],[Column4]]="NEW",AVERAGEIFS(Table15[Column4],Table15[Year],Table15[[#This Row],[Year]]),ISNUMBER(Table15[[#This Row],[Column4]]),Table15[[#This Row],[Column4]],Table15[[#This Row],[Column4]]="",H255*(1+Table15[[#This Row],[Ávöxtun]]))</f>
        <v>106.70588235294117</v>
      </c>
      <c r="I256" s="30" cm="1">
        <f t="array" ref="I256">_xlfn.IFS(Table15[[#This Row],[Column4]]="NEW",_xlfn.XLOOKUP(Table15[[#This Row],[Year]]-1,$N$2:$N$27,$P$2:$P$27)*(1+Table15[[#This Row],[Ávöxtun]]),ISNUMBER(Table15[[#This Row],[Column4]]),Table15[[#This Row],[Column4]],Table15[[#This Row],[Column4]]="",I255*(1+Table15[[#This Row],[Ávöxtun]]))</f>
        <v>107</v>
      </c>
      <c r="L256" s="33">
        <v>106.70588235294117</v>
      </c>
      <c r="M256" s="33">
        <v>115.36660895196104</v>
      </c>
    </row>
    <row r="257" spans="1:13">
      <c r="A257" t="s">
        <v>76</v>
      </c>
      <c r="B257">
        <v>1999</v>
      </c>
      <c r="C257" s="16">
        <v>0.14000000000000001</v>
      </c>
      <c r="D257" s="1">
        <v>4937143.1900000004</v>
      </c>
      <c r="E257" s="29">
        <f>Table15[[#This Row],[Ávöxtun]]*Table15[[#This Row],[Eignir]]/SUMIFS(Table15[Eignir],Table15[Year],Table15[[#This Row],[Year]])</f>
        <v>1.3274013772408355E-3</v>
      </c>
      <c r="F257" s="23" t="e">
        <f>IF(B257=1997, 100, IF(COUNTIF(A$1:A256,A257)=0, "NEW", F256*(1+Table15[[#This Row],[Ávöxtun]])))</f>
        <v>#VALUE!</v>
      </c>
      <c r="G257" s="18" t="str" cm="1">
        <f t="array" ref="G257">IFERROR(_xlfn.IFS(ISNUMBER(Table15[[#This Row],[Column3]]),Table15[[#This Row],[Column3]],Table15[[#This Row],[Column3]]="NEW",Table15[[#This Row],[Column3]]),"")</f>
        <v/>
      </c>
      <c r="H257" s="15" cm="1">
        <f t="array" ref="H257">_xlfn.IFS(Table15[[#This Row],[Column4]]="NEW",AVERAGEIFS(Table15[Column4],Table15[Year],Table15[[#This Row],[Year]]),ISNUMBER(Table15[[#This Row],[Column4]]),Table15[[#This Row],[Column4]],Table15[[#This Row],[Column4]]="",H256*(1+Table15[[#This Row],[Ávöxtun]]))</f>
        <v>121.64470588235295</v>
      </c>
      <c r="I257" s="30" cm="1">
        <f t="array" ref="I257">_xlfn.IFS(Table15[[#This Row],[Column4]]="NEW",_xlfn.XLOOKUP(Table15[[#This Row],[Year]]-1,$N$2:$N$27,$P$2:$P$27)*(1+Table15[[#This Row],[Ávöxtun]]),ISNUMBER(Table15[[#This Row],[Column4]]),Table15[[#This Row],[Column4]],Table15[[#This Row],[Column4]]="",I256*(1+Table15[[#This Row],[Ávöxtun]]))</f>
        <v>121.98000000000002</v>
      </c>
      <c r="L257" s="33">
        <v>121.64470588235295</v>
      </c>
      <c r="M257" s="33">
        <v>131.5179342052356</v>
      </c>
    </row>
    <row r="258" spans="1:13">
      <c r="A258" t="s">
        <v>76</v>
      </c>
      <c r="B258">
        <v>2000</v>
      </c>
      <c r="C258" s="16">
        <v>-0.02</v>
      </c>
      <c r="D258" s="1">
        <v>5213181.3099999996</v>
      </c>
      <c r="E258" s="29">
        <f>Table15[[#This Row],[Ávöxtun]]*Table15[[#This Row],[Eignir]]/SUMIFS(Table15[Eignir],Table15[Year],Table15[[#This Row],[Year]])</f>
        <v>-1.466663880608619E-4</v>
      </c>
      <c r="F258" s="23" t="e">
        <f>IF(B258=1997, 100, IF(COUNTIF(A$1:A257,A258)=0, "NEW", F257*(1+Table15[[#This Row],[Ávöxtun]])))</f>
        <v>#VALUE!</v>
      </c>
      <c r="G258" s="18" t="str" cm="1">
        <f t="array" ref="G258">IFERROR(_xlfn.IFS(ISNUMBER(Table15[[#This Row],[Column3]]),Table15[[#This Row],[Column3]],Table15[[#This Row],[Column3]]="NEW",Table15[[#This Row],[Column3]]),"")</f>
        <v/>
      </c>
      <c r="H258" s="15" cm="1">
        <f t="array" ref="H258">_xlfn.IFS(Table15[[#This Row],[Column4]]="NEW",AVERAGEIFS(Table15[Column4],Table15[Year],Table15[[#This Row],[Year]]),ISNUMBER(Table15[[#This Row],[Column4]]),Table15[[#This Row],[Column4]],Table15[[#This Row],[Column4]]="",H257*(1+Table15[[#This Row],[Ávöxtun]]))</f>
        <v>119.21181176470589</v>
      </c>
      <c r="I258" s="30" cm="1">
        <f t="array" ref="I258">_xlfn.IFS(Table15[[#This Row],[Column4]]="NEW",_xlfn.XLOOKUP(Table15[[#This Row],[Year]]-1,$N$2:$N$27,$P$2:$P$27)*(1+Table15[[#This Row],[Ávöxtun]]),ISNUMBER(Table15[[#This Row],[Column4]]),Table15[[#This Row],[Column4]],Table15[[#This Row],[Column4]]="",I257*(1+Table15[[#This Row],[Ávöxtun]]))</f>
        <v>119.54040000000002</v>
      </c>
      <c r="L258" s="33">
        <v>119.21181176470589</v>
      </c>
      <c r="M258" s="33">
        <v>128.88757552113088</v>
      </c>
    </row>
    <row r="259" spans="1:13">
      <c r="A259" t="s">
        <v>76</v>
      </c>
      <c r="B259">
        <v>2001</v>
      </c>
      <c r="C259" s="16">
        <v>-0.06</v>
      </c>
      <c r="D259" s="1">
        <v>5542788</v>
      </c>
      <c r="E259" s="29">
        <f>Table15[[#This Row],[Ávöxtun]]*Table15[[#This Row],[Eignir]]/SUMIFS(Table15[Eignir],Table15[Year],Table15[[#This Row],[Year]])</f>
        <v>-2.8721199066719368E-4</v>
      </c>
      <c r="F259" s="23" t="e">
        <f>IF(B259=1997, 100, IF(COUNTIF(A$1:A258,A259)=0, "NEW", F258*(1+Table15[[#This Row],[Ávöxtun]])))</f>
        <v>#VALUE!</v>
      </c>
      <c r="G259" s="18" t="str" cm="1">
        <f t="array" ref="G259">IFERROR(_xlfn.IFS(ISNUMBER(Table15[[#This Row],[Column3]]),Table15[[#This Row],[Column3]],Table15[[#This Row],[Column3]]="NEW",Table15[[#This Row],[Column3]]),"")</f>
        <v/>
      </c>
      <c r="H259" s="15" cm="1">
        <f t="array" ref="H259">_xlfn.IFS(Table15[[#This Row],[Column4]]="NEW",AVERAGEIFS(Table15[Column4],Table15[Year],Table15[[#This Row],[Year]]),ISNUMBER(Table15[[#This Row],[Column4]]),Table15[[#This Row],[Column4]],Table15[[#This Row],[Column4]]="",H258*(1+Table15[[#This Row],[Ávöxtun]]))</f>
        <v>112.05910305882352</v>
      </c>
      <c r="I259" s="30" cm="1">
        <f t="array" ref="I259">_xlfn.IFS(Table15[[#This Row],[Column4]]="NEW",_xlfn.XLOOKUP(Table15[[#This Row],[Year]]-1,$N$2:$N$27,$P$2:$P$27)*(1+Table15[[#This Row],[Ávöxtun]]),ISNUMBER(Table15[[#This Row],[Column4]]),Table15[[#This Row],[Column4]],Table15[[#This Row],[Column4]]="",I258*(1+Table15[[#This Row],[Ávöxtun]]))</f>
        <v>112.36797600000001</v>
      </c>
      <c r="L259" s="33">
        <v>112.05910305882352</v>
      </c>
      <c r="M259" s="33">
        <v>121.15432098986302</v>
      </c>
    </row>
    <row r="260" spans="1:13">
      <c r="A260" t="s">
        <v>76</v>
      </c>
      <c r="B260">
        <v>2002</v>
      </c>
      <c r="C260" s="16">
        <v>-0.05</v>
      </c>
      <c r="D260" s="1">
        <v>5461028.79</v>
      </c>
      <c r="E260" s="29">
        <f>Table15[[#This Row],[Ávöxtun]]*Table15[[#This Row],[Eignir]]/SUMIFS(Table15[Eignir],Table15[Year],Table15[[#This Row],[Year]])</f>
        <v>-4.2989113476316532E-4</v>
      </c>
      <c r="F260" s="23" t="e">
        <f>IF(B260=1997, 100, IF(COUNTIF(A$1:A259,A260)=0, "NEW", F259*(1+Table15[[#This Row],[Ávöxtun]])))</f>
        <v>#VALUE!</v>
      </c>
      <c r="G260" s="18" t="str" cm="1">
        <f t="array" ref="G260">IFERROR(_xlfn.IFS(ISNUMBER(Table15[[#This Row],[Column3]]),Table15[[#This Row],[Column3]],Table15[[#This Row],[Column3]]="NEW",Table15[[#This Row],[Column3]]),"")</f>
        <v/>
      </c>
      <c r="H260" s="15" cm="1">
        <f t="array" ref="H260">_xlfn.IFS(Table15[[#This Row],[Column4]]="NEW",AVERAGEIFS(Table15[Column4],Table15[Year],Table15[[#This Row],[Year]]),ISNUMBER(Table15[[#This Row],[Column4]]),Table15[[#This Row],[Column4]],Table15[[#This Row],[Column4]]="",H259*(1+Table15[[#This Row],[Ávöxtun]]))</f>
        <v>106.45614790588235</v>
      </c>
      <c r="I260" s="30" cm="1">
        <f t="array" ref="I260">_xlfn.IFS(Table15[[#This Row],[Column4]]="NEW",_xlfn.XLOOKUP(Table15[[#This Row],[Year]]-1,$N$2:$N$27,$P$2:$P$27)*(1+Table15[[#This Row],[Ávöxtun]]),ISNUMBER(Table15[[#This Row],[Column4]]),Table15[[#This Row],[Column4]],Table15[[#This Row],[Column4]]="",I259*(1+Table15[[#This Row],[Ávöxtun]]))</f>
        <v>106.7495772</v>
      </c>
      <c r="L260" s="33">
        <v>106.45614790588235</v>
      </c>
      <c r="M260" s="33">
        <v>115.09660494036987</v>
      </c>
    </row>
    <row r="261" spans="1:13">
      <c r="A261" t="s">
        <v>76</v>
      </c>
      <c r="B261">
        <v>2003</v>
      </c>
      <c r="C261" s="16">
        <v>0.11</v>
      </c>
      <c r="D261" s="1">
        <v>6409499</v>
      </c>
      <c r="E261" s="29">
        <f>Table15[[#This Row],[Ávöxtun]]*Table15[[#This Row],[Eignir]]/SUMIFS(Table15[Eignir],Table15[Year],Table15[[#This Row],[Year]])</f>
        <v>9.2782323205622963E-4</v>
      </c>
      <c r="F261" s="23" t="e">
        <f>IF(B261=1997, 100, IF(COUNTIF(A$1:A260,A261)=0, "NEW", F260*(1+Table15[[#This Row],[Ávöxtun]])))</f>
        <v>#VALUE!</v>
      </c>
      <c r="G261" s="18" t="str" cm="1">
        <f t="array" ref="G261">IFERROR(_xlfn.IFS(ISNUMBER(Table15[[#This Row],[Column3]]),Table15[[#This Row],[Column3]],Table15[[#This Row],[Column3]]="NEW",Table15[[#This Row],[Column3]]),"")</f>
        <v/>
      </c>
      <c r="H261" s="15" cm="1">
        <f t="array" ref="H261">_xlfn.IFS(Table15[[#This Row],[Column4]]="NEW",AVERAGEIFS(Table15[Column4],Table15[Year],Table15[[#This Row],[Year]]),ISNUMBER(Table15[[#This Row],[Column4]]),Table15[[#This Row],[Column4]],Table15[[#This Row],[Column4]]="",H260*(1+Table15[[#This Row],[Ávöxtun]]))</f>
        <v>118.16632417552941</v>
      </c>
      <c r="I261" s="30" cm="1">
        <f t="array" ref="I261">_xlfn.IFS(Table15[[#This Row],[Column4]]="NEW",_xlfn.XLOOKUP(Table15[[#This Row],[Year]]-1,$N$2:$N$27,$P$2:$P$27)*(1+Table15[[#This Row],[Ávöxtun]]),ISNUMBER(Table15[[#This Row],[Column4]]),Table15[[#This Row],[Column4]],Table15[[#This Row],[Column4]]="",I260*(1+Table15[[#This Row],[Ávöxtun]]))</f>
        <v>118.49203069200001</v>
      </c>
      <c r="L261" s="33">
        <v>118.16632417552941</v>
      </c>
      <c r="M261" s="33">
        <v>127.75723148381057</v>
      </c>
    </row>
    <row r="262" spans="1:13">
      <c r="A262" t="s">
        <v>76</v>
      </c>
      <c r="B262">
        <v>2004</v>
      </c>
      <c r="C262" s="16">
        <v>7.0000000000000007E-2</v>
      </c>
      <c r="D262" s="1">
        <v>7326024</v>
      </c>
      <c r="E262" s="29">
        <f>Table15[[#This Row],[Ávöxtun]]*Table15[[#This Row],[Eignir]]/SUMIFS(Table15[Eignir],Table15[Year],Table15[[#This Row],[Year]])</f>
        <v>5.6498665797164317E-4</v>
      </c>
      <c r="F262" s="23" t="e">
        <f>IF(B262=1997, 100, IF(COUNTIF(A$1:A261,A262)=0, "NEW", F261*(1+Table15[[#This Row],[Ávöxtun]])))</f>
        <v>#VALUE!</v>
      </c>
      <c r="G262" s="18" t="str" cm="1">
        <f t="array" ref="G262">IFERROR(_xlfn.IFS(ISNUMBER(Table15[[#This Row],[Column3]]),Table15[[#This Row],[Column3]],Table15[[#This Row],[Column3]]="NEW",Table15[[#This Row],[Column3]]),"")</f>
        <v/>
      </c>
      <c r="H262" s="15" cm="1">
        <f t="array" ref="H262">_xlfn.IFS(Table15[[#This Row],[Column4]]="NEW",AVERAGEIFS(Table15[Column4],Table15[Year],Table15[[#This Row],[Year]]),ISNUMBER(Table15[[#This Row],[Column4]]),Table15[[#This Row],[Column4]],Table15[[#This Row],[Column4]]="",H261*(1+Table15[[#This Row],[Ávöxtun]]))</f>
        <v>126.43796686781647</v>
      </c>
      <c r="I262" s="30" cm="1">
        <f t="array" ref="I262">_xlfn.IFS(Table15[[#This Row],[Column4]]="NEW",_xlfn.XLOOKUP(Table15[[#This Row],[Year]]-1,$N$2:$N$27,$P$2:$P$27)*(1+Table15[[#This Row],[Ávöxtun]]),ISNUMBER(Table15[[#This Row],[Column4]]),Table15[[#This Row],[Column4]],Table15[[#This Row],[Column4]]="",I261*(1+Table15[[#This Row],[Ávöxtun]]))</f>
        <v>126.78647284044003</v>
      </c>
      <c r="L262" s="33">
        <v>126.43796686781647</v>
      </c>
      <c r="M262" s="33">
        <v>136.70023768767732</v>
      </c>
    </row>
    <row r="263" spans="1:13">
      <c r="A263" t="s">
        <v>76</v>
      </c>
      <c r="B263">
        <v>2005</v>
      </c>
      <c r="C263" s="16">
        <v>0.06</v>
      </c>
      <c r="D263" s="1">
        <v>26227815</v>
      </c>
      <c r="E263" s="29">
        <f>Table15[[#This Row],[Ávöxtun]]*Table15[[#This Row],[Eignir]]/SUMIFS(Table15[Eignir],Table15[Year],Table15[[#This Row],[Year]])</f>
        <v>1.4033852981677176E-3</v>
      </c>
      <c r="F263" s="23" t="e">
        <f>IF(B263=1997, 100, IF(COUNTIF(A$1:A262,A263)=0, "NEW", F262*(1+Table15[[#This Row],[Ávöxtun]])))</f>
        <v>#VALUE!</v>
      </c>
      <c r="G263" s="18" t="str" cm="1">
        <f t="array" ref="G263">IFERROR(_xlfn.IFS(ISNUMBER(Table15[[#This Row],[Column3]]),Table15[[#This Row],[Column3]],Table15[[#This Row],[Column3]]="NEW",Table15[[#This Row],[Column3]]),"")</f>
        <v/>
      </c>
      <c r="H263" s="15" cm="1">
        <f t="array" ref="H263">_xlfn.IFS(Table15[[#This Row],[Column4]]="NEW",AVERAGEIFS(Table15[Column4],Table15[Year],Table15[[#This Row],[Year]]),ISNUMBER(Table15[[#This Row],[Column4]]),Table15[[#This Row],[Column4]],Table15[[#This Row],[Column4]]="",H262*(1+Table15[[#This Row],[Ávöxtun]]))</f>
        <v>134.02424487988546</v>
      </c>
      <c r="I263" s="30" cm="1">
        <f t="array" ref="I263">_xlfn.IFS(Table15[[#This Row],[Column4]]="NEW",_xlfn.XLOOKUP(Table15[[#This Row],[Year]]-1,$N$2:$N$27,$P$2:$P$27)*(1+Table15[[#This Row],[Ávöxtun]]),ISNUMBER(Table15[[#This Row],[Column4]]),Table15[[#This Row],[Column4]],Table15[[#This Row],[Column4]]="",I262*(1+Table15[[#This Row],[Ávöxtun]]))</f>
        <v>134.39366121086644</v>
      </c>
      <c r="L263" s="33">
        <v>134.02424487988546</v>
      </c>
      <c r="M263" s="33">
        <v>144.90225194893796</v>
      </c>
    </row>
    <row r="264" spans="1:13">
      <c r="A264" t="s">
        <v>78</v>
      </c>
      <c r="B264">
        <v>1997</v>
      </c>
      <c r="C264" s="16">
        <v>7.0000000000000007E-2</v>
      </c>
      <c r="D264" s="1">
        <v>391064.47</v>
      </c>
      <c r="E264" s="29">
        <f>Table15[[#This Row],[Ávöxtun]]*Table15[[#This Row],[Eignir]]/SUMIFS(Table15[Eignir],Table15[Year],Table15[[#This Row],[Year]])</f>
        <v>8.0744739525394804E-5</v>
      </c>
      <c r="F264" s="23">
        <f>IF(B264=1997, 100, IF(COUNTIF(A$1:A263,A264)=0, "NEW", F263*(1+Table15[[#This Row],[Ávöxtun]])))</f>
        <v>100</v>
      </c>
      <c r="G264" s="18" cm="1">
        <f t="array" ref="G264">IFERROR(_xlfn.IFS(ISNUMBER(Table15[[#This Row],[Column3]]),Table15[[#This Row],[Column3]],Table15[[#This Row],[Column3]]="NEW",Table15[[#This Row],[Column3]]),"")</f>
        <v>100</v>
      </c>
      <c r="H264" s="15" cm="1">
        <f t="array" ref="H264">_xlfn.IFS(Table15[[#This Row],[Column4]]="NEW",AVERAGEIFS(Table15[Column4],Table15[Year],Table15[[#This Row],[Year]]),ISNUMBER(Table15[[#This Row],[Column4]]),Table15[[#This Row],[Column4]],Table15[[#This Row],[Column4]]="",H263*(1+Table15[[#This Row],[Ávöxtun]]))</f>
        <v>100</v>
      </c>
      <c r="I264" s="30" cm="1">
        <f t="array" ref="I264">_xlfn.IFS(Table15[[#This Row],[Column4]]="NEW",_xlfn.XLOOKUP(Table15[[#This Row],[Year]]-1,$N$2:$N$27,$P$2:$P$27)*(1+Table15[[#This Row],[Ávöxtun]]),ISNUMBER(Table15[[#This Row],[Column4]]),Table15[[#This Row],[Column4]],Table15[[#This Row],[Column4]]="",I263*(1+Table15[[#This Row],[Ávöxtun]]))</f>
        <v>100</v>
      </c>
      <c r="L264" s="33">
        <v>100</v>
      </c>
      <c r="M264" s="33">
        <v>100</v>
      </c>
    </row>
    <row r="265" spans="1:13">
      <c r="A265" t="s">
        <v>78</v>
      </c>
      <c r="B265">
        <v>1998</v>
      </c>
      <c r="C265" s="16">
        <v>0.08</v>
      </c>
      <c r="D265" s="1">
        <v>391511.84</v>
      </c>
      <c r="E265" s="29">
        <f>Table15[[#This Row],[Ávöxtun]]*Table15[[#This Row],[Eignir]]/SUMIFS(Table15[Eignir],Table15[Year],Table15[[#This Row],[Year]])</f>
        <v>7.9974860092070472E-5</v>
      </c>
      <c r="F265" s="23">
        <f>IF(B265=1997, 100, IF(COUNTIF(A$1:A264,A265)=0, "NEW", F264*(1+Table15[[#This Row],[Ávöxtun]])))</f>
        <v>108</v>
      </c>
      <c r="G265" s="18" cm="1">
        <f t="array" ref="G265">IFERROR(_xlfn.IFS(ISNUMBER(Table15[[#This Row],[Column3]]),Table15[[#This Row],[Column3]],Table15[[#This Row],[Column3]]="NEW",Table15[[#This Row],[Column3]]),"")</f>
        <v>108</v>
      </c>
      <c r="H265" s="15" cm="1">
        <f t="array" ref="H265">_xlfn.IFS(Table15[[#This Row],[Column4]]="NEW",AVERAGEIFS(Table15[Column4],Table15[Year],Table15[[#This Row],[Year]]),ISNUMBER(Table15[[#This Row],[Column4]]),Table15[[#This Row],[Column4]],Table15[[#This Row],[Column4]]="",H264*(1+Table15[[#This Row],[Ávöxtun]]))</f>
        <v>108</v>
      </c>
      <c r="I265" s="30" cm="1">
        <f t="array" ref="I265">_xlfn.IFS(Table15[[#This Row],[Column4]]="NEW",_xlfn.XLOOKUP(Table15[[#This Row],[Year]]-1,$N$2:$N$27,$P$2:$P$27)*(1+Table15[[#This Row],[Ávöxtun]]),ISNUMBER(Table15[[#This Row],[Column4]]),Table15[[#This Row],[Column4]],Table15[[#This Row],[Column4]]="",I264*(1+Table15[[#This Row],[Ávöxtun]]))</f>
        <v>108</v>
      </c>
      <c r="L265" s="33">
        <v>108</v>
      </c>
      <c r="M265" s="33">
        <v>108</v>
      </c>
    </row>
    <row r="266" spans="1:13">
      <c r="A266" t="s">
        <v>78</v>
      </c>
      <c r="B266">
        <v>1999</v>
      </c>
      <c r="C266" s="16">
        <v>7.0000000000000007E-2</v>
      </c>
      <c r="D266" s="1">
        <v>404826.63</v>
      </c>
      <c r="E266" s="29">
        <f>Table15[[#This Row],[Ávöxtun]]*Table15[[#This Row],[Eignir]]/SUMIFS(Table15[Eignir],Table15[Year],Table15[[#This Row],[Year]])</f>
        <v>5.4420887295124829E-5</v>
      </c>
      <c r="F266" s="23">
        <f>IF(B266=1997, 100, IF(COUNTIF(A$1:A265,A266)=0, "NEW", F265*(1+Table15[[#This Row],[Ávöxtun]])))</f>
        <v>115.56</v>
      </c>
      <c r="G266" s="18" cm="1">
        <f t="array" ref="G266">IFERROR(_xlfn.IFS(ISNUMBER(Table15[[#This Row],[Column3]]),Table15[[#This Row],[Column3]],Table15[[#This Row],[Column3]]="NEW",Table15[[#This Row],[Column3]]),"")</f>
        <v>115.56</v>
      </c>
      <c r="H266" s="15" cm="1">
        <f t="array" ref="H266">_xlfn.IFS(Table15[[#This Row],[Column4]]="NEW",AVERAGEIFS(Table15[Column4],Table15[Year],Table15[[#This Row],[Year]]),ISNUMBER(Table15[[#This Row],[Column4]]),Table15[[#This Row],[Column4]],Table15[[#This Row],[Column4]]="",H265*(1+Table15[[#This Row],[Ávöxtun]]))</f>
        <v>115.56</v>
      </c>
      <c r="I266" s="30" cm="1">
        <f t="array" ref="I266">_xlfn.IFS(Table15[[#This Row],[Column4]]="NEW",_xlfn.XLOOKUP(Table15[[#This Row],[Year]]-1,$N$2:$N$27,$P$2:$P$27)*(1+Table15[[#This Row],[Ávöxtun]]),ISNUMBER(Table15[[#This Row],[Column4]]),Table15[[#This Row],[Column4]],Table15[[#This Row],[Column4]]="",I265*(1+Table15[[#This Row],[Ávöxtun]]))</f>
        <v>115.56</v>
      </c>
      <c r="L266" s="33">
        <v>115.56</v>
      </c>
      <c r="M266" s="33">
        <v>115.56</v>
      </c>
    </row>
    <row r="267" spans="1:13">
      <c r="A267" t="s">
        <v>78</v>
      </c>
      <c r="B267">
        <v>2000</v>
      </c>
      <c r="C267" s="16">
        <v>7.0000000000000007E-2</v>
      </c>
      <c r="D267" s="1">
        <v>417759.47</v>
      </c>
      <c r="E267" s="29">
        <f>Table15[[#This Row],[Ávöxtun]]*Table15[[#This Row],[Eignir]]/SUMIFS(Table15[Eignir],Table15[Year],Table15[[#This Row],[Year]])</f>
        <v>4.1136005281373951E-5</v>
      </c>
      <c r="F267" s="23">
        <f>IF(B267=1997, 100, IF(COUNTIF(A$1:A266,A267)=0, "NEW", F266*(1+Table15[[#This Row],[Ávöxtun]])))</f>
        <v>123.64920000000001</v>
      </c>
      <c r="G267" s="18" cm="1">
        <f t="array" ref="G267">IFERROR(_xlfn.IFS(ISNUMBER(Table15[[#This Row],[Column3]]),Table15[[#This Row],[Column3]],Table15[[#This Row],[Column3]]="NEW",Table15[[#This Row],[Column3]]),"")</f>
        <v>123.64920000000001</v>
      </c>
      <c r="H267" s="15" cm="1">
        <f t="array" ref="H267">_xlfn.IFS(Table15[[#This Row],[Column4]]="NEW",AVERAGEIFS(Table15[Column4],Table15[Year],Table15[[#This Row],[Year]]),ISNUMBER(Table15[[#This Row],[Column4]]),Table15[[#This Row],[Column4]],Table15[[#This Row],[Column4]]="",H266*(1+Table15[[#This Row],[Ávöxtun]]))</f>
        <v>123.64920000000001</v>
      </c>
      <c r="I267" s="30" cm="1">
        <f t="array" ref="I267">_xlfn.IFS(Table15[[#This Row],[Column4]]="NEW",_xlfn.XLOOKUP(Table15[[#This Row],[Year]]-1,$N$2:$N$27,$P$2:$P$27)*(1+Table15[[#This Row],[Ávöxtun]]),ISNUMBER(Table15[[#This Row],[Column4]]),Table15[[#This Row],[Column4]],Table15[[#This Row],[Column4]]="",I266*(1+Table15[[#This Row],[Ávöxtun]]))</f>
        <v>123.64920000000001</v>
      </c>
      <c r="L267" s="33">
        <v>123.64920000000001</v>
      </c>
      <c r="M267" s="33">
        <v>123.64920000000001</v>
      </c>
    </row>
    <row r="268" spans="1:13">
      <c r="A268" t="s">
        <v>78</v>
      </c>
      <c r="B268">
        <v>2001</v>
      </c>
      <c r="C268" s="16">
        <v>0.06</v>
      </c>
      <c r="D268" s="1">
        <v>445780.39</v>
      </c>
      <c r="E268" s="29">
        <f>Table15[[#This Row],[Ávöxtun]]*Table15[[#This Row],[Eignir]]/SUMIFS(Table15[Eignir],Table15[Year],Table15[[#This Row],[Year]])</f>
        <v>2.3099110630299765E-5</v>
      </c>
      <c r="F268" s="23">
        <f>IF(B268=1997, 100, IF(COUNTIF(A$1:A267,A268)=0, "NEW", F267*(1+Table15[[#This Row],[Ávöxtun]])))</f>
        <v>131.06815200000003</v>
      </c>
      <c r="G268" s="18" cm="1">
        <f t="array" ref="G268">IFERROR(_xlfn.IFS(ISNUMBER(Table15[[#This Row],[Column3]]),Table15[[#This Row],[Column3]],Table15[[#This Row],[Column3]]="NEW",Table15[[#This Row],[Column3]]),"")</f>
        <v>131.06815200000003</v>
      </c>
      <c r="H268" s="15" cm="1">
        <f t="array" ref="H268">_xlfn.IFS(Table15[[#This Row],[Column4]]="NEW",AVERAGEIFS(Table15[Column4],Table15[Year],Table15[[#This Row],[Year]]),ISNUMBER(Table15[[#This Row],[Column4]]),Table15[[#This Row],[Column4]],Table15[[#This Row],[Column4]]="",H267*(1+Table15[[#This Row],[Ávöxtun]]))</f>
        <v>131.06815200000003</v>
      </c>
      <c r="I268" s="30" cm="1">
        <f t="array" ref="I268">_xlfn.IFS(Table15[[#This Row],[Column4]]="NEW",_xlfn.XLOOKUP(Table15[[#This Row],[Year]]-1,$N$2:$N$27,$P$2:$P$27)*(1+Table15[[#This Row],[Ávöxtun]]),ISNUMBER(Table15[[#This Row],[Column4]]),Table15[[#This Row],[Column4]],Table15[[#This Row],[Column4]]="",I267*(1+Table15[[#This Row],[Ávöxtun]]))</f>
        <v>131.06815200000003</v>
      </c>
      <c r="L268" s="33">
        <v>131.06815200000003</v>
      </c>
      <c r="M268" s="33">
        <v>131.06815200000003</v>
      </c>
    </row>
    <row r="269" spans="1:13">
      <c r="A269" t="s">
        <v>78</v>
      </c>
      <c r="B269">
        <v>2002</v>
      </c>
      <c r="C269" s="16">
        <v>7.0000000000000007E-2</v>
      </c>
      <c r="D269" s="1">
        <v>446348.6</v>
      </c>
      <c r="E269" s="29">
        <f>Table15[[#This Row],[Ávöxtun]]*Table15[[#This Row],[Eignir]]/SUMIFS(Table15[Eignir],Table15[Year],Table15[[#This Row],[Year]])</f>
        <v>4.9191066179222655E-5</v>
      </c>
      <c r="F269" s="23">
        <f>IF(B269=1997, 100, IF(COUNTIF(A$1:A268,A269)=0, "NEW", F268*(1+Table15[[#This Row],[Ávöxtun]])))</f>
        <v>140.24292264000005</v>
      </c>
      <c r="G269" s="18" cm="1">
        <f t="array" ref="G269">IFERROR(_xlfn.IFS(ISNUMBER(Table15[[#This Row],[Column3]]),Table15[[#This Row],[Column3]],Table15[[#This Row],[Column3]]="NEW",Table15[[#This Row],[Column3]]),"")</f>
        <v>140.24292264000005</v>
      </c>
      <c r="H269" s="15" cm="1">
        <f t="array" ref="H269">_xlfn.IFS(Table15[[#This Row],[Column4]]="NEW",AVERAGEIFS(Table15[Column4],Table15[Year],Table15[[#This Row],[Year]]),ISNUMBER(Table15[[#This Row],[Column4]]),Table15[[#This Row],[Column4]],Table15[[#This Row],[Column4]]="",H268*(1+Table15[[#This Row],[Ávöxtun]]))</f>
        <v>140.24292264000005</v>
      </c>
      <c r="I269" s="30" cm="1">
        <f t="array" ref="I269">_xlfn.IFS(Table15[[#This Row],[Column4]]="NEW",_xlfn.XLOOKUP(Table15[[#This Row],[Year]]-1,$N$2:$N$27,$P$2:$P$27)*(1+Table15[[#This Row],[Ávöxtun]]),ISNUMBER(Table15[[#This Row],[Column4]]),Table15[[#This Row],[Column4]],Table15[[#This Row],[Column4]]="",I268*(1+Table15[[#This Row],[Ávöxtun]]))</f>
        <v>140.24292264000005</v>
      </c>
      <c r="L269" s="33">
        <v>140.24292264000005</v>
      </c>
      <c r="M269" s="33">
        <v>140.24292264000005</v>
      </c>
    </row>
    <row r="270" spans="1:13">
      <c r="A270" t="s">
        <v>78</v>
      </c>
      <c r="B270">
        <v>2003</v>
      </c>
      <c r="C270" s="16">
        <v>0.08</v>
      </c>
      <c r="D270" s="1">
        <v>452728.27</v>
      </c>
      <c r="E270" s="29">
        <f>Table15[[#This Row],[Ávöxtun]]*Table15[[#This Row],[Eignir]]/SUMIFS(Table15[Eignir],Table15[Year],Table15[[#This Row],[Year]])</f>
        <v>4.7662418398876748E-5</v>
      </c>
      <c r="F270" s="23">
        <f>IF(B270=1997, 100, IF(COUNTIF(A$1:A269,A270)=0, "NEW", F269*(1+Table15[[#This Row],[Ávöxtun]])))</f>
        <v>151.46235645120007</v>
      </c>
      <c r="G270" s="18" cm="1">
        <f t="array" ref="G270">IFERROR(_xlfn.IFS(ISNUMBER(Table15[[#This Row],[Column3]]),Table15[[#This Row],[Column3]],Table15[[#This Row],[Column3]]="NEW",Table15[[#This Row],[Column3]]),"")</f>
        <v>151.46235645120007</v>
      </c>
      <c r="H270" s="15" cm="1">
        <f t="array" ref="H270">_xlfn.IFS(Table15[[#This Row],[Column4]]="NEW",AVERAGEIFS(Table15[Column4],Table15[Year],Table15[[#This Row],[Year]]),ISNUMBER(Table15[[#This Row],[Column4]]),Table15[[#This Row],[Column4]],Table15[[#This Row],[Column4]]="",H269*(1+Table15[[#This Row],[Ávöxtun]]))</f>
        <v>151.46235645120007</v>
      </c>
      <c r="I270" s="30" cm="1">
        <f t="array" ref="I270">_xlfn.IFS(Table15[[#This Row],[Column4]]="NEW",_xlfn.XLOOKUP(Table15[[#This Row],[Year]]-1,$N$2:$N$27,$P$2:$P$27)*(1+Table15[[#This Row],[Ávöxtun]]),ISNUMBER(Table15[[#This Row],[Column4]]),Table15[[#This Row],[Column4]],Table15[[#This Row],[Column4]]="",I269*(1+Table15[[#This Row],[Ávöxtun]]))</f>
        <v>151.46235645120007</v>
      </c>
      <c r="L270" s="33">
        <v>151.46235645120007</v>
      </c>
      <c r="M270" s="33">
        <v>151.46235645120007</v>
      </c>
    </row>
    <row r="271" spans="1:13">
      <c r="A271" t="s">
        <v>78</v>
      </c>
      <c r="B271">
        <v>2004</v>
      </c>
      <c r="C271" s="16">
        <v>0.06</v>
      </c>
      <c r="D271" s="1">
        <v>458796</v>
      </c>
      <c r="E271" s="29">
        <f>Table15[[#This Row],[Ávöxtun]]*Table15[[#This Row],[Eignir]]/SUMIFS(Table15[Eignir],Table15[Year],Table15[[#This Row],[Year]])</f>
        <v>3.0327924365142829E-5</v>
      </c>
      <c r="F271" s="23">
        <f>IF(B271=1997, 100, IF(COUNTIF(A$1:A270,A271)=0, "NEW", F270*(1+Table15[[#This Row],[Ávöxtun]])))</f>
        <v>160.55009783827208</v>
      </c>
      <c r="G271" s="18" cm="1">
        <f t="array" ref="G271">IFERROR(_xlfn.IFS(ISNUMBER(Table15[[#This Row],[Column3]]),Table15[[#This Row],[Column3]],Table15[[#This Row],[Column3]]="NEW",Table15[[#This Row],[Column3]]),"")</f>
        <v>160.55009783827208</v>
      </c>
      <c r="H271" s="15" cm="1">
        <f t="array" ref="H271">_xlfn.IFS(Table15[[#This Row],[Column4]]="NEW",AVERAGEIFS(Table15[Column4],Table15[Year],Table15[[#This Row],[Year]]),ISNUMBER(Table15[[#This Row],[Column4]]),Table15[[#This Row],[Column4]],Table15[[#This Row],[Column4]]="",H270*(1+Table15[[#This Row],[Ávöxtun]]))</f>
        <v>160.55009783827208</v>
      </c>
      <c r="I271" s="30" cm="1">
        <f t="array" ref="I271">_xlfn.IFS(Table15[[#This Row],[Column4]]="NEW",_xlfn.XLOOKUP(Table15[[#This Row],[Year]]-1,$N$2:$N$27,$P$2:$P$27)*(1+Table15[[#This Row],[Ávöxtun]]),ISNUMBER(Table15[[#This Row],[Column4]]),Table15[[#This Row],[Column4]],Table15[[#This Row],[Column4]]="",I270*(1+Table15[[#This Row],[Ávöxtun]]))</f>
        <v>160.55009783827208</v>
      </c>
      <c r="L271" s="33">
        <v>160.55009783827208</v>
      </c>
      <c r="M271" s="33">
        <v>160.55009783827208</v>
      </c>
    </row>
    <row r="272" spans="1:13">
      <c r="A272" t="s">
        <v>78</v>
      </c>
      <c r="B272">
        <v>2005</v>
      </c>
      <c r="C272" s="16">
        <v>0.05</v>
      </c>
      <c r="D272" s="1">
        <v>457851</v>
      </c>
      <c r="E272" s="29">
        <f>Table15[[#This Row],[Ávöxtun]]*Table15[[#This Row],[Eignir]]/SUMIFS(Table15[Eignir],Table15[Year],Table15[[#This Row],[Year]])</f>
        <v>2.0415392404062501E-5</v>
      </c>
      <c r="F272" s="23">
        <f>IF(B272=1997, 100, IF(COUNTIF(A$1:A271,A272)=0, "NEW", F271*(1+Table15[[#This Row],[Ávöxtun]])))</f>
        <v>168.5776027301857</v>
      </c>
      <c r="G272" s="18" cm="1">
        <f t="array" ref="G272">IFERROR(_xlfn.IFS(ISNUMBER(Table15[[#This Row],[Column3]]),Table15[[#This Row],[Column3]],Table15[[#This Row],[Column3]]="NEW",Table15[[#This Row],[Column3]]),"")</f>
        <v>168.5776027301857</v>
      </c>
      <c r="H272" s="15" cm="1">
        <f t="array" ref="H272">_xlfn.IFS(Table15[[#This Row],[Column4]]="NEW",AVERAGEIFS(Table15[Column4],Table15[Year],Table15[[#This Row],[Year]]),ISNUMBER(Table15[[#This Row],[Column4]]),Table15[[#This Row],[Column4]],Table15[[#This Row],[Column4]]="",H271*(1+Table15[[#This Row],[Ávöxtun]]))</f>
        <v>168.5776027301857</v>
      </c>
      <c r="I272" s="30" cm="1">
        <f t="array" ref="I272">_xlfn.IFS(Table15[[#This Row],[Column4]]="NEW",_xlfn.XLOOKUP(Table15[[#This Row],[Year]]-1,$N$2:$N$27,$P$2:$P$27)*(1+Table15[[#This Row],[Ávöxtun]]),ISNUMBER(Table15[[#This Row],[Column4]]),Table15[[#This Row],[Column4]],Table15[[#This Row],[Column4]]="",I271*(1+Table15[[#This Row],[Ávöxtun]]))</f>
        <v>168.5776027301857</v>
      </c>
      <c r="L272" s="33">
        <v>168.5776027301857</v>
      </c>
      <c r="M272" s="33">
        <v>168.5776027301857</v>
      </c>
    </row>
    <row r="273" spans="1:13">
      <c r="A273" t="s">
        <v>78</v>
      </c>
      <c r="B273">
        <v>2006</v>
      </c>
      <c r="C273" s="16">
        <v>5.1100000000000007E-2</v>
      </c>
      <c r="D273" s="1">
        <v>470205</v>
      </c>
      <c r="E273" s="29">
        <f>Table15[[#This Row],[Ávöxtun]]*Table15[[#This Row],[Eignir]]/SUMIFS(Table15[Eignir],Table15[Year],Table15[[#This Row],[Year]])</f>
        <v>1.7504117360165294E-5</v>
      </c>
      <c r="F273" s="23">
        <f>IF(B273=1997, 100, IF(COUNTIF(A$1:A272,A273)=0, "NEW", F272*(1+Table15[[#This Row],[Ávöxtun]])))</f>
        <v>177.19191822969819</v>
      </c>
      <c r="G273" s="18" cm="1">
        <f t="array" ref="G273">IFERROR(_xlfn.IFS(ISNUMBER(Table15[[#This Row],[Column3]]),Table15[[#This Row],[Column3]],Table15[[#This Row],[Column3]]="NEW",Table15[[#This Row],[Column3]]),"")</f>
        <v>177.19191822969819</v>
      </c>
      <c r="H273" s="15" cm="1">
        <f t="array" ref="H273">_xlfn.IFS(Table15[[#This Row],[Column4]]="NEW",AVERAGEIFS(Table15[Column4],Table15[Year],Table15[[#This Row],[Year]]),ISNUMBER(Table15[[#This Row],[Column4]]),Table15[[#This Row],[Column4]],Table15[[#This Row],[Column4]]="",H272*(1+Table15[[#This Row],[Ávöxtun]]))</f>
        <v>177.19191822969819</v>
      </c>
      <c r="I273" s="30" cm="1">
        <f t="array" ref="I273">_xlfn.IFS(Table15[[#This Row],[Column4]]="NEW",_xlfn.XLOOKUP(Table15[[#This Row],[Year]]-1,$N$2:$N$27,$P$2:$P$27)*(1+Table15[[#This Row],[Ávöxtun]]),ISNUMBER(Table15[[#This Row],[Column4]]),Table15[[#This Row],[Column4]],Table15[[#This Row],[Column4]]="",I272*(1+Table15[[#This Row],[Ávöxtun]]))</f>
        <v>177.19191822969819</v>
      </c>
      <c r="L273" s="33">
        <v>177.19191822969819</v>
      </c>
      <c r="M273" s="33">
        <v>177.19191822969819</v>
      </c>
    </row>
    <row r="274" spans="1:13">
      <c r="A274" t="s">
        <v>78</v>
      </c>
      <c r="B274">
        <v>2007</v>
      </c>
      <c r="C274" s="16">
        <v>3.9700000000000006E-2</v>
      </c>
      <c r="D274" s="1">
        <v>472544</v>
      </c>
      <c r="E274" s="29">
        <f>Table15[[#This Row],[Ávöxtun]]*Table15[[#This Row],[Eignir]]/SUMIFS(Table15[Eignir],Table15[Year],Table15[[#This Row],[Year]])</f>
        <v>1.2131337113883266E-5</v>
      </c>
      <c r="F274" s="23">
        <f>IF(B274=1997, 100, IF(COUNTIF(A$1:A273,A274)=0, "NEW", F273*(1+Table15[[#This Row],[Ávöxtun]])))</f>
        <v>184.22643738341722</v>
      </c>
      <c r="G274" s="18" cm="1">
        <f t="array" ref="G274">IFERROR(_xlfn.IFS(ISNUMBER(Table15[[#This Row],[Column3]]),Table15[[#This Row],[Column3]],Table15[[#This Row],[Column3]]="NEW",Table15[[#This Row],[Column3]]),"")</f>
        <v>184.22643738341722</v>
      </c>
      <c r="H274" s="15" cm="1">
        <f t="array" ref="H274">_xlfn.IFS(Table15[[#This Row],[Column4]]="NEW",AVERAGEIFS(Table15[Column4],Table15[Year],Table15[[#This Row],[Year]]),ISNUMBER(Table15[[#This Row],[Column4]]),Table15[[#This Row],[Column4]],Table15[[#This Row],[Column4]]="",H273*(1+Table15[[#This Row],[Ávöxtun]]))</f>
        <v>184.22643738341722</v>
      </c>
      <c r="I274" s="30" cm="1">
        <f t="array" ref="I274">_xlfn.IFS(Table15[[#This Row],[Column4]]="NEW",_xlfn.XLOOKUP(Table15[[#This Row],[Year]]-1,$N$2:$N$27,$P$2:$P$27)*(1+Table15[[#This Row],[Ávöxtun]]),ISNUMBER(Table15[[#This Row],[Column4]]),Table15[[#This Row],[Column4]],Table15[[#This Row],[Column4]]="",I273*(1+Table15[[#This Row],[Ávöxtun]]))</f>
        <v>184.22643738341722</v>
      </c>
      <c r="L274" s="33">
        <v>184.22643738341722</v>
      </c>
      <c r="M274" s="33">
        <v>184.22643738341722</v>
      </c>
    </row>
    <row r="275" spans="1:13">
      <c r="A275" t="s">
        <v>78</v>
      </c>
      <c r="B275">
        <v>2008</v>
      </c>
      <c r="C275" s="16">
        <v>-0.21199999999999999</v>
      </c>
      <c r="D275" s="1">
        <v>390067</v>
      </c>
      <c r="E275" s="29">
        <f>Table15[[#This Row],[Ávöxtun]]*Table15[[#This Row],[Eignir]]/SUMIFS(Table15[Eignir],Table15[Year],Table15[[#This Row],[Year]])</f>
        <v>-5.52282210007264E-5</v>
      </c>
      <c r="F275" s="23">
        <f>IF(B275=1997, 100, IF(COUNTIF(A$1:A274,A275)=0, "NEW", F274*(1+Table15[[#This Row],[Ávöxtun]])))</f>
        <v>145.17043265813277</v>
      </c>
      <c r="G275" s="18" cm="1">
        <f t="array" ref="G275">IFERROR(_xlfn.IFS(ISNUMBER(Table15[[#This Row],[Column3]]),Table15[[#This Row],[Column3]],Table15[[#This Row],[Column3]]="NEW",Table15[[#This Row],[Column3]]),"")</f>
        <v>145.17043265813277</v>
      </c>
      <c r="H275" s="15" cm="1">
        <f t="array" ref="H275">_xlfn.IFS(Table15[[#This Row],[Column4]]="NEW",AVERAGEIFS(Table15[Column4],Table15[Year],Table15[[#This Row],[Year]]),ISNUMBER(Table15[[#This Row],[Column4]]),Table15[[#This Row],[Column4]],Table15[[#This Row],[Column4]]="",H274*(1+Table15[[#This Row],[Ávöxtun]]))</f>
        <v>145.17043265813277</v>
      </c>
      <c r="I275" s="30" cm="1">
        <f t="array" ref="I275">_xlfn.IFS(Table15[[#This Row],[Column4]]="NEW",_xlfn.XLOOKUP(Table15[[#This Row],[Year]]-1,$N$2:$N$27,$P$2:$P$27)*(1+Table15[[#This Row],[Ávöxtun]]),ISNUMBER(Table15[[#This Row],[Column4]]),Table15[[#This Row],[Column4]],Table15[[#This Row],[Column4]]="",I274*(1+Table15[[#This Row],[Ávöxtun]]))</f>
        <v>145.17043265813277</v>
      </c>
      <c r="L275" s="33">
        <v>145.17043265813277</v>
      </c>
      <c r="M275" s="33">
        <v>145.17043265813277</v>
      </c>
    </row>
    <row r="276" spans="1:13">
      <c r="A276" t="s">
        <v>78</v>
      </c>
      <c r="B276">
        <v>2009</v>
      </c>
      <c r="C276" s="16">
        <v>-0.12810000000000002</v>
      </c>
      <c r="D276" s="1">
        <v>327142</v>
      </c>
      <c r="E276" s="29">
        <f>Table15[[#This Row],[Ávöxtun]]*Table15[[#This Row],[Eignir]]/SUMIFS(Table15[Eignir],Table15[Year],Table15[[#This Row],[Year]])</f>
        <v>-2.5120144025749369E-5</v>
      </c>
      <c r="F276" s="23">
        <f>IF(B276=1997, 100, IF(COUNTIF(A$1:A275,A276)=0, "NEW", F275*(1+Table15[[#This Row],[Ávöxtun]])))</f>
        <v>126.57410023462596</v>
      </c>
      <c r="G276" s="18" cm="1">
        <f t="array" ref="G276">IFERROR(_xlfn.IFS(ISNUMBER(Table15[[#This Row],[Column3]]),Table15[[#This Row],[Column3]],Table15[[#This Row],[Column3]]="NEW",Table15[[#This Row],[Column3]]),"")</f>
        <v>126.57410023462596</v>
      </c>
      <c r="H276" s="15" cm="1">
        <f t="array" ref="H276">_xlfn.IFS(Table15[[#This Row],[Column4]]="NEW",AVERAGEIFS(Table15[Column4],Table15[Year],Table15[[#This Row],[Year]]),ISNUMBER(Table15[[#This Row],[Column4]]),Table15[[#This Row],[Column4]],Table15[[#This Row],[Column4]]="",H275*(1+Table15[[#This Row],[Ávöxtun]]))</f>
        <v>126.57410023462596</v>
      </c>
      <c r="I276" s="30" cm="1">
        <f t="array" ref="I276">_xlfn.IFS(Table15[[#This Row],[Column4]]="NEW",_xlfn.XLOOKUP(Table15[[#This Row],[Year]]-1,$N$2:$N$27,$P$2:$P$27)*(1+Table15[[#This Row],[Ávöxtun]]),ISNUMBER(Table15[[#This Row],[Column4]]),Table15[[#This Row],[Column4]],Table15[[#This Row],[Column4]]="",I275*(1+Table15[[#This Row],[Ávöxtun]]))</f>
        <v>126.57410023462596</v>
      </c>
      <c r="L276" s="33">
        <v>126.57410023462596</v>
      </c>
      <c r="M276" s="33">
        <v>126.57410023462596</v>
      </c>
    </row>
    <row r="277" spans="1:13">
      <c r="A277" t="s">
        <v>79</v>
      </c>
      <c r="B277">
        <v>1999</v>
      </c>
      <c r="C277" s="16">
        <v>0.1</v>
      </c>
      <c r="D277" s="1">
        <v>5470253</v>
      </c>
      <c r="E277" s="29">
        <f>Table15[[#This Row],[Ávöxtun]]*Table15[[#This Row],[Eignir]]/SUMIFS(Table15[Eignir],Table15[Year],Table15[[#This Row],[Year]])</f>
        <v>1.0505238536619931E-3</v>
      </c>
      <c r="F277" s="23" t="str">
        <f>IF(B277=1997, 100, IF(COUNTIF(A$1:A276,A277)=0, "NEW", F276*(1+Table15[[#This Row],[Ávöxtun]])))</f>
        <v>NEW</v>
      </c>
      <c r="G277" s="18" t="str" cm="1">
        <f t="array" ref="G277">IFERROR(_xlfn.IFS(ISNUMBER(Table15[[#This Row],[Column3]]),Table15[[#This Row],[Column3]],Table15[[#This Row],[Column3]]="NEW",Table15[[#This Row],[Column3]]),"")</f>
        <v>NEW</v>
      </c>
      <c r="H277" s="15" cm="1">
        <f t="array" ref="H277">_xlfn.IFS(Table15[[#This Row],[Column4]]="NEW",AVERAGEIFS(Table15[Column4],Table15[Year],Table15[[#This Row],[Year]]),ISNUMBER(Table15[[#This Row],[Column4]]),Table15[[#This Row],[Column4]],Table15[[#This Row],[Column4]]="",H276*(1+Table15[[#This Row],[Ávöxtun]]))</f>
        <v>117.05306122448981</v>
      </c>
      <c r="I277" s="30" cm="1">
        <f t="array" ref="I277">_xlfn.IFS(Table15[[#This Row],[Column4]]="NEW",_xlfn.XLOOKUP(Table15[[#This Row],[Year]]-1,$N$2:$N$27,$P$2:$P$27)*(1+Table15[[#This Row],[Ávöxtun]]),ISNUMBER(Table15[[#This Row],[Column4]]),Table15[[#This Row],[Column4]],Table15[[#This Row],[Column4]]="",I276*(1+Table15[[#This Row],[Ávöxtun]]))</f>
        <v>117.82305222241067</v>
      </c>
      <c r="L277" s="33">
        <v>117.05306122448981</v>
      </c>
      <c r="M277" s="33">
        <v>129.26988390123572</v>
      </c>
    </row>
    <row r="278" spans="1:13">
      <c r="A278" t="s">
        <v>79</v>
      </c>
      <c r="B278">
        <v>2000</v>
      </c>
      <c r="C278" s="16">
        <v>-7.0000000000000007E-2</v>
      </c>
      <c r="D278" s="1">
        <v>6470029</v>
      </c>
      <c r="E278" s="29">
        <f>Table15[[#This Row],[Ávöxtun]]*Table15[[#This Row],[Eignir]]/SUMIFS(Table15[Eignir],Table15[Year],Table15[[#This Row],[Year]])</f>
        <v>-6.3709183448227441E-4</v>
      </c>
      <c r="F278" s="23" t="e">
        <f>IF(B278=1997, 100, IF(COUNTIF(A$1:A277,A278)=0, "NEW", F277*(1+Table15[[#This Row],[Ávöxtun]])))</f>
        <v>#VALUE!</v>
      </c>
      <c r="G278" s="18" t="str" cm="1">
        <f t="array" ref="G278">IFERROR(_xlfn.IFS(ISNUMBER(Table15[[#This Row],[Column3]]),Table15[[#This Row],[Column3]],Table15[[#This Row],[Column3]]="NEW",Table15[[#This Row],[Column3]]),"")</f>
        <v/>
      </c>
      <c r="H278" s="15" cm="1">
        <f t="array" ref="H278">_xlfn.IFS(Table15[[#This Row],[Column4]]="NEW",AVERAGEIFS(Table15[Column4],Table15[Year],Table15[[#This Row],[Year]]),ISNUMBER(Table15[[#This Row],[Column4]]),Table15[[#This Row],[Column4]],Table15[[#This Row],[Column4]]="",H277*(1+Table15[[#This Row],[Ávöxtun]]))</f>
        <v>108.85934693877552</v>
      </c>
      <c r="I278" s="30" cm="1">
        <f t="array" ref="I278">_xlfn.IFS(Table15[[#This Row],[Column4]]="NEW",_xlfn.XLOOKUP(Table15[[#This Row],[Year]]-1,$N$2:$N$27,$P$2:$P$27)*(1+Table15[[#This Row],[Ávöxtun]]),ISNUMBER(Table15[[#This Row],[Column4]]),Table15[[#This Row],[Column4]],Table15[[#This Row],[Column4]]="",I277*(1+Table15[[#This Row],[Ávöxtun]]))</f>
        <v>109.57543856684191</v>
      </c>
      <c r="L278" s="33">
        <v>108.85934693877552</v>
      </c>
      <c r="M278" s="33">
        <v>120.22099202814921</v>
      </c>
    </row>
    <row r="279" spans="1:13">
      <c r="A279" t="s">
        <v>79</v>
      </c>
      <c r="B279">
        <v>2001</v>
      </c>
      <c r="C279" s="16">
        <v>-0.08</v>
      </c>
      <c r="D279" s="1">
        <v>8373891</v>
      </c>
      <c r="E279" s="29">
        <f>Table15[[#This Row],[Ávöxtun]]*Table15[[#This Row],[Eignir]]/SUMIFS(Table15[Eignir],Table15[Year],Table15[[#This Row],[Year]])</f>
        <v>-5.7854925565499948E-4</v>
      </c>
      <c r="F279" s="23" t="e">
        <f>IF(B279=1997, 100, IF(COUNTIF(A$1:A278,A279)=0, "NEW", F278*(1+Table15[[#This Row],[Ávöxtun]])))</f>
        <v>#VALUE!</v>
      </c>
      <c r="G279" s="18" t="str" cm="1">
        <f t="array" ref="G279">IFERROR(_xlfn.IFS(ISNUMBER(Table15[[#This Row],[Column3]]),Table15[[#This Row],[Column3]],Table15[[#This Row],[Column3]]="NEW",Table15[[#This Row],[Column3]]),"")</f>
        <v/>
      </c>
      <c r="H279" s="15" cm="1">
        <f t="array" ref="H279">_xlfn.IFS(Table15[[#This Row],[Column4]]="NEW",AVERAGEIFS(Table15[Column4],Table15[Year],Table15[[#This Row],[Year]]),ISNUMBER(Table15[[#This Row],[Column4]]),Table15[[#This Row],[Column4]],Table15[[#This Row],[Column4]]="",H278*(1+Table15[[#This Row],[Ávöxtun]]))</f>
        <v>100.15059918367348</v>
      </c>
      <c r="I279" s="30" cm="1">
        <f t="array" ref="I279">_xlfn.IFS(Table15[[#This Row],[Column4]]="NEW",_xlfn.XLOOKUP(Table15[[#This Row],[Year]]-1,$N$2:$N$27,$P$2:$P$27)*(1+Table15[[#This Row],[Ávöxtun]]),ISNUMBER(Table15[[#This Row],[Column4]]),Table15[[#This Row],[Column4]],Table15[[#This Row],[Column4]]="",I278*(1+Table15[[#This Row],[Ávöxtun]]))</f>
        <v>100.80940348149456</v>
      </c>
      <c r="L279" s="33">
        <v>100.15059918367348</v>
      </c>
      <c r="M279" s="33">
        <v>110.60331266589728</v>
      </c>
    </row>
    <row r="280" spans="1:13">
      <c r="A280" t="s">
        <v>80</v>
      </c>
      <c r="B280">
        <v>1997</v>
      </c>
      <c r="C280" s="16">
        <v>0.13</v>
      </c>
      <c r="D280" s="1">
        <v>2027792.29</v>
      </c>
      <c r="E280" s="29">
        <f>Table15[[#This Row],[Ávöxtun]]*Table15[[#This Row],[Eignir]]/SUMIFS(Table15[Eignir],Table15[Year],Table15[[#This Row],[Year]])</f>
        <v>7.7756133643550594E-4</v>
      </c>
      <c r="F280" s="23">
        <f>IF(B280=1997, 100, IF(COUNTIF(A$1:A279,A280)=0, "NEW", F279*(1+Table15[[#This Row],[Ávöxtun]])))</f>
        <v>100</v>
      </c>
      <c r="G280" s="18" cm="1">
        <f t="array" ref="G280">IFERROR(_xlfn.IFS(ISNUMBER(Table15[[#This Row],[Column3]]),Table15[[#This Row],[Column3]],Table15[[#This Row],[Column3]]="NEW",Table15[[#This Row],[Column3]]),"")</f>
        <v>100</v>
      </c>
      <c r="H280" s="15" cm="1">
        <f t="array" ref="H280">_xlfn.IFS(Table15[[#This Row],[Column4]]="NEW",AVERAGEIFS(Table15[Column4],Table15[Year],Table15[[#This Row],[Year]]),ISNUMBER(Table15[[#This Row],[Column4]]),Table15[[#This Row],[Column4]],Table15[[#This Row],[Column4]]="",H279*(1+Table15[[#This Row],[Ávöxtun]]))</f>
        <v>100</v>
      </c>
      <c r="I280" s="30" cm="1">
        <f t="array" ref="I280">_xlfn.IFS(Table15[[#This Row],[Column4]]="NEW",_xlfn.XLOOKUP(Table15[[#This Row],[Year]]-1,$N$2:$N$27,$P$2:$P$27)*(1+Table15[[#This Row],[Ávöxtun]]),ISNUMBER(Table15[[#This Row],[Column4]]),Table15[[#This Row],[Column4]],Table15[[#This Row],[Column4]]="",I279*(1+Table15[[#This Row],[Ávöxtun]]))</f>
        <v>100</v>
      </c>
      <c r="L280" s="33">
        <v>100</v>
      </c>
      <c r="M280" s="33">
        <v>100</v>
      </c>
    </row>
    <row r="281" spans="1:13">
      <c r="A281" t="s">
        <v>80</v>
      </c>
      <c r="B281">
        <v>1998</v>
      </c>
      <c r="C281" s="16">
        <v>0.02</v>
      </c>
      <c r="D281" s="1">
        <v>2161732.56</v>
      </c>
      <c r="E281" s="29">
        <f>Table15[[#This Row],[Ávöxtun]]*Table15[[#This Row],[Eignir]]/SUMIFS(Table15[Eignir],Table15[Year],Table15[[#This Row],[Year]])</f>
        <v>1.1039529420264361E-4</v>
      </c>
      <c r="F281" s="23">
        <f>IF(B281=1997, 100, IF(COUNTIF(A$1:A280,A281)=0, "NEW", F280*(1+Table15[[#This Row],[Ávöxtun]])))</f>
        <v>102</v>
      </c>
      <c r="G281" s="18" cm="1">
        <f t="array" ref="G281">IFERROR(_xlfn.IFS(ISNUMBER(Table15[[#This Row],[Column3]]),Table15[[#This Row],[Column3]],Table15[[#This Row],[Column3]]="NEW",Table15[[#This Row],[Column3]]),"")</f>
        <v>102</v>
      </c>
      <c r="H281" s="15" cm="1">
        <f t="array" ref="H281">_xlfn.IFS(Table15[[#This Row],[Column4]]="NEW",AVERAGEIFS(Table15[Column4],Table15[Year],Table15[[#This Row],[Year]]),ISNUMBER(Table15[[#This Row],[Column4]]),Table15[[#This Row],[Column4]],Table15[[#This Row],[Column4]]="",H280*(1+Table15[[#This Row],[Ávöxtun]]))</f>
        <v>102</v>
      </c>
      <c r="I281" s="30" cm="1">
        <f t="array" ref="I281">_xlfn.IFS(Table15[[#This Row],[Column4]]="NEW",_xlfn.XLOOKUP(Table15[[#This Row],[Year]]-1,$N$2:$N$27,$P$2:$P$27)*(1+Table15[[#This Row],[Ávöxtun]]),ISNUMBER(Table15[[#This Row],[Column4]]),Table15[[#This Row],[Column4]],Table15[[#This Row],[Column4]]="",I280*(1+Table15[[#This Row],[Ávöxtun]]))</f>
        <v>102</v>
      </c>
      <c r="L281" s="33">
        <v>102</v>
      </c>
      <c r="M281" s="33">
        <v>102</v>
      </c>
    </row>
    <row r="282" spans="1:13">
      <c r="A282" t="s">
        <v>80</v>
      </c>
      <c r="B282">
        <v>1999</v>
      </c>
      <c r="C282" s="16">
        <v>0.22</v>
      </c>
      <c r="D282" s="1">
        <v>2890350.92</v>
      </c>
      <c r="E282" s="29">
        <f>Table15[[#This Row],[Ávöxtun]]*Table15[[#This Row],[Eignir]]/SUMIFS(Table15[Eignir],Table15[Year],Table15[[#This Row],[Year]])</f>
        <v>1.2211577218111393E-3</v>
      </c>
      <c r="F282" s="23">
        <f>IF(B282=1997, 100, IF(COUNTIF(A$1:A281,A282)=0, "NEW", F281*(1+Table15[[#This Row],[Ávöxtun]])))</f>
        <v>124.44</v>
      </c>
      <c r="G282" s="18" cm="1">
        <f t="array" ref="G282">IFERROR(_xlfn.IFS(ISNUMBER(Table15[[#This Row],[Column3]]),Table15[[#This Row],[Column3]],Table15[[#This Row],[Column3]]="NEW",Table15[[#This Row],[Column3]]),"")</f>
        <v>124.44</v>
      </c>
      <c r="H282" s="15" cm="1">
        <f t="array" ref="H282">_xlfn.IFS(Table15[[#This Row],[Column4]]="NEW",AVERAGEIFS(Table15[Column4],Table15[Year],Table15[[#This Row],[Year]]),ISNUMBER(Table15[[#This Row],[Column4]]),Table15[[#This Row],[Column4]],Table15[[#This Row],[Column4]]="",H281*(1+Table15[[#This Row],[Ávöxtun]]))</f>
        <v>124.44</v>
      </c>
      <c r="I282" s="30" cm="1">
        <f t="array" ref="I282">_xlfn.IFS(Table15[[#This Row],[Column4]]="NEW",_xlfn.XLOOKUP(Table15[[#This Row],[Year]]-1,$N$2:$N$27,$P$2:$P$27)*(1+Table15[[#This Row],[Ávöxtun]]),ISNUMBER(Table15[[#This Row],[Column4]]),Table15[[#This Row],[Column4]],Table15[[#This Row],[Column4]]="",I281*(1+Table15[[#This Row],[Ávöxtun]]))</f>
        <v>124.44</v>
      </c>
      <c r="L282" s="33">
        <v>124.44</v>
      </c>
      <c r="M282" s="33">
        <v>124.44</v>
      </c>
    </row>
    <row r="283" spans="1:13">
      <c r="A283" t="s">
        <v>80</v>
      </c>
      <c r="B283">
        <v>2000</v>
      </c>
      <c r="C283" s="16">
        <v>0.04</v>
      </c>
      <c r="D283" s="1">
        <v>3403773.29</v>
      </c>
      <c r="E283" s="29">
        <f>Table15[[#This Row],[Ávöxtun]]*Table15[[#This Row],[Eignir]]/SUMIFS(Table15[Eignir],Table15[Year],Table15[[#This Row],[Year]])</f>
        <v>1.9152187677214577E-4</v>
      </c>
      <c r="F283" s="23">
        <f>IF(B283=1997, 100, IF(COUNTIF(A$1:A282,A283)=0, "NEW", F282*(1+Table15[[#This Row],[Ávöxtun]])))</f>
        <v>129.41759999999999</v>
      </c>
      <c r="G283" s="18" cm="1">
        <f t="array" ref="G283">IFERROR(_xlfn.IFS(ISNUMBER(Table15[[#This Row],[Column3]]),Table15[[#This Row],[Column3]],Table15[[#This Row],[Column3]]="NEW",Table15[[#This Row],[Column3]]),"")</f>
        <v>129.41759999999999</v>
      </c>
      <c r="H283" s="15" cm="1">
        <f t="array" ref="H283">_xlfn.IFS(Table15[[#This Row],[Column4]]="NEW",AVERAGEIFS(Table15[Column4],Table15[Year],Table15[[#This Row],[Year]]),ISNUMBER(Table15[[#This Row],[Column4]]),Table15[[#This Row],[Column4]],Table15[[#This Row],[Column4]]="",H282*(1+Table15[[#This Row],[Ávöxtun]]))</f>
        <v>129.41759999999999</v>
      </c>
      <c r="I283" s="30" cm="1">
        <f t="array" ref="I283">_xlfn.IFS(Table15[[#This Row],[Column4]]="NEW",_xlfn.XLOOKUP(Table15[[#This Row],[Year]]-1,$N$2:$N$27,$P$2:$P$27)*(1+Table15[[#This Row],[Ávöxtun]]),ISNUMBER(Table15[[#This Row],[Column4]]),Table15[[#This Row],[Column4]],Table15[[#This Row],[Column4]]="",I282*(1+Table15[[#This Row],[Ávöxtun]]))</f>
        <v>129.41759999999999</v>
      </c>
      <c r="L283" s="33">
        <v>129.41759999999999</v>
      </c>
      <c r="M283" s="33">
        <v>129.41759999999999</v>
      </c>
    </row>
    <row r="284" spans="1:13">
      <c r="A284" t="s">
        <v>80</v>
      </c>
      <c r="B284">
        <v>2001</v>
      </c>
      <c r="C284" s="16">
        <v>-0.23</v>
      </c>
      <c r="D284" s="1">
        <v>3087068</v>
      </c>
      <c r="E284" s="29">
        <f>Table15[[#This Row],[Ávöxtun]]*Table15[[#This Row],[Eignir]]/SUMIFS(Table15[Eignir],Table15[Year],Table15[[#This Row],[Year]])</f>
        <v>-6.1319284774241244E-4</v>
      </c>
      <c r="F284" s="23">
        <f>IF(B284=1997, 100, IF(COUNTIF(A$1:A283,A284)=0, "NEW", F283*(1+Table15[[#This Row],[Ávöxtun]])))</f>
        <v>99.651551999999995</v>
      </c>
      <c r="G284" s="18" cm="1">
        <f t="array" ref="G284">IFERROR(_xlfn.IFS(ISNUMBER(Table15[[#This Row],[Column3]]),Table15[[#This Row],[Column3]],Table15[[#This Row],[Column3]]="NEW",Table15[[#This Row],[Column3]]),"")</f>
        <v>99.651551999999995</v>
      </c>
      <c r="H284" s="15" cm="1">
        <f t="array" ref="H284">_xlfn.IFS(Table15[[#This Row],[Column4]]="NEW",AVERAGEIFS(Table15[Column4],Table15[Year],Table15[[#This Row],[Year]]),ISNUMBER(Table15[[#This Row],[Column4]]),Table15[[#This Row],[Column4]],Table15[[#This Row],[Column4]]="",H283*(1+Table15[[#This Row],[Ávöxtun]]))</f>
        <v>99.651551999999995</v>
      </c>
      <c r="I284" s="30" cm="1">
        <f t="array" ref="I284">_xlfn.IFS(Table15[[#This Row],[Column4]]="NEW",_xlfn.XLOOKUP(Table15[[#This Row],[Year]]-1,$N$2:$N$27,$P$2:$P$27)*(1+Table15[[#This Row],[Ávöxtun]]),ISNUMBER(Table15[[#This Row],[Column4]]),Table15[[#This Row],[Column4]],Table15[[#This Row],[Column4]]="",I283*(1+Table15[[#This Row],[Ávöxtun]]))</f>
        <v>99.651551999999995</v>
      </c>
      <c r="L284" s="33">
        <v>99.651551999999995</v>
      </c>
      <c r="M284" s="33">
        <v>99.651551999999995</v>
      </c>
    </row>
    <row r="285" spans="1:13">
      <c r="A285" t="s">
        <v>81</v>
      </c>
      <c r="B285">
        <v>1997</v>
      </c>
      <c r="C285" s="16">
        <v>0.06</v>
      </c>
      <c r="D285" s="1">
        <v>607931.47</v>
      </c>
      <c r="E285" s="29">
        <f>Table15[[#This Row],[Ávöxtun]]*Table15[[#This Row],[Eignir]]/SUMIFS(Table15[Eignir],Table15[Year],Table15[[#This Row],[Year]])</f>
        <v>1.0759044745108217E-4</v>
      </c>
      <c r="F285" s="23">
        <f>IF(B285=1997, 100, IF(COUNTIF(A$1:A284,A285)=0, "NEW", F284*(1+Table15[[#This Row],[Ávöxtun]])))</f>
        <v>100</v>
      </c>
      <c r="G285" s="18" cm="1">
        <f t="array" ref="G285">IFERROR(_xlfn.IFS(ISNUMBER(Table15[[#This Row],[Column3]]),Table15[[#This Row],[Column3]],Table15[[#This Row],[Column3]]="NEW",Table15[[#This Row],[Column3]]),"")</f>
        <v>100</v>
      </c>
      <c r="H285" s="15" cm="1">
        <f t="array" ref="H285">_xlfn.IFS(Table15[[#This Row],[Column4]]="NEW",AVERAGEIFS(Table15[Column4],Table15[Year],Table15[[#This Row],[Year]]),ISNUMBER(Table15[[#This Row],[Column4]]),Table15[[#This Row],[Column4]],Table15[[#This Row],[Column4]]="",H284*(1+Table15[[#This Row],[Ávöxtun]]))</f>
        <v>100</v>
      </c>
      <c r="I285" s="30" cm="1">
        <f t="array" ref="I285">_xlfn.IFS(Table15[[#This Row],[Column4]]="NEW",_xlfn.XLOOKUP(Table15[[#This Row],[Year]]-1,$N$2:$N$27,$P$2:$P$27)*(1+Table15[[#This Row],[Ávöxtun]]),ISNUMBER(Table15[[#This Row],[Column4]]),Table15[[#This Row],[Column4]],Table15[[#This Row],[Column4]]="",I284*(1+Table15[[#This Row],[Ávöxtun]]))</f>
        <v>100</v>
      </c>
      <c r="L285" s="33">
        <v>100</v>
      </c>
      <c r="M285" s="33">
        <v>100</v>
      </c>
    </row>
    <row r="286" spans="1:13">
      <c r="A286" t="s">
        <v>81</v>
      </c>
      <c r="B286">
        <v>1998</v>
      </c>
      <c r="C286" s="16">
        <v>0.06</v>
      </c>
      <c r="D286" s="1">
        <v>653462.76</v>
      </c>
      <c r="E286" s="29">
        <f>Table15[[#This Row],[Ávöxtun]]*Table15[[#This Row],[Eignir]]/SUMIFS(Table15[Eignir],Table15[Year],Table15[[#This Row],[Year]])</f>
        <v>1.0011305048854631E-4</v>
      </c>
      <c r="F286" s="23">
        <f>IF(B286=1997, 100, IF(COUNTIF(A$1:A285,A286)=0, "NEW", F285*(1+Table15[[#This Row],[Ávöxtun]])))</f>
        <v>106</v>
      </c>
      <c r="G286" s="18" cm="1">
        <f t="array" ref="G286">IFERROR(_xlfn.IFS(ISNUMBER(Table15[[#This Row],[Column3]]),Table15[[#This Row],[Column3]],Table15[[#This Row],[Column3]]="NEW",Table15[[#This Row],[Column3]]),"")</f>
        <v>106</v>
      </c>
      <c r="H286" s="15" cm="1">
        <f t="array" ref="H286">_xlfn.IFS(Table15[[#This Row],[Column4]]="NEW",AVERAGEIFS(Table15[Column4],Table15[Year],Table15[[#This Row],[Year]]),ISNUMBER(Table15[[#This Row],[Column4]]),Table15[[#This Row],[Column4]],Table15[[#This Row],[Column4]]="",H285*(1+Table15[[#This Row],[Ávöxtun]]))</f>
        <v>106</v>
      </c>
      <c r="I286" s="30" cm="1">
        <f t="array" ref="I286">_xlfn.IFS(Table15[[#This Row],[Column4]]="NEW",_xlfn.XLOOKUP(Table15[[#This Row],[Year]]-1,$N$2:$N$27,$P$2:$P$27)*(1+Table15[[#This Row],[Ávöxtun]]),ISNUMBER(Table15[[#This Row],[Column4]]),Table15[[#This Row],[Column4]],Table15[[#This Row],[Column4]]="",I285*(1+Table15[[#This Row],[Ávöxtun]]))</f>
        <v>106</v>
      </c>
      <c r="L286" s="33">
        <v>106</v>
      </c>
      <c r="M286" s="33">
        <v>106</v>
      </c>
    </row>
    <row r="287" spans="1:13">
      <c r="A287" t="s">
        <v>81</v>
      </c>
      <c r="B287">
        <v>1999</v>
      </c>
      <c r="C287" s="16">
        <v>0.05</v>
      </c>
      <c r="D287" s="1">
        <v>715019</v>
      </c>
      <c r="E287" s="29">
        <f>Table15[[#This Row],[Ávöxtun]]*Table15[[#This Row],[Eignir]]/SUMIFS(Table15[Eignir],Table15[Year],Table15[[#This Row],[Year]])</f>
        <v>6.8657200619564096E-5</v>
      </c>
      <c r="F287" s="23">
        <f>IF(B287=1997, 100, IF(COUNTIF(A$1:A286,A287)=0, "NEW", F286*(1+Table15[[#This Row],[Ávöxtun]])))</f>
        <v>111.30000000000001</v>
      </c>
      <c r="G287" s="18" cm="1">
        <f t="array" ref="G287">IFERROR(_xlfn.IFS(ISNUMBER(Table15[[#This Row],[Column3]]),Table15[[#This Row],[Column3]],Table15[[#This Row],[Column3]]="NEW",Table15[[#This Row],[Column3]]),"")</f>
        <v>111.30000000000001</v>
      </c>
      <c r="H287" s="15" cm="1">
        <f t="array" ref="H287">_xlfn.IFS(Table15[[#This Row],[Column4]]="NEW",AVERAGEIFS(Table15[Column4],Table15[Year],Table15[[#This Row],[Year]]),ISNUMBER(Table15[[#This Row],[Column4]]),Table15[[#This Row],[Column4]],Table15[[#This Row],[Column4]]="",H286*(1+Table15[[#This Row],[Ávöxtun]]))</f>
        <v>111.30000000000001</v>
      </c>
      <c r="I287" s="30" cm="1">
        <f t="array" ref="I287">_xlfn.IFS(Table15[[#This Row],[Column4]]="NEW",_xlfn.XLOOKUP(Table15[[#This Row],[Year]]-1,$N$2:$N$27,$P$2:$P$27)*(1+Table15[[#This Row],[Ávöxtun]]),ISNUMBER(Table15[[#This Row],[Column4]]),Table15[[#This Row],[Column4]],Table15[[#This Row],[Column4]]="",I286*(1+Table15[[#This Row],[Ávöxtun]]))</f>
        <v>111.30000000000001</v>
      </c>
      <c r="L287" s="33">
        <v>111.30000000000001</v>
      </c>
      <c r="M287" s="33">
        <v>111.30000000000001</v>
      </c>
    </row>
    <row r="288" spans="1:13">
      <c r="A288" t="s">
        <v>81</v>
      </c>
      <c r="B288">
        <v>2000</v>
      </c>
      <c r="C288" s="16">
        <v>0.06</v>
      </c>
      <c r="D288" s="1">
        <v>767206.91</v>
      </c>
      <c r="E288" s="29">
        <f>Table15[[#This Row],[Ávöxtun]]*Table15[[#This Row],[Eignir]]/SUMIFS(Table15[Eignir],Table15[Year],Table15[[#This Row],[Year]])</f>
        <v>6.4753243572705186E-5</v>
      </c>
      <c r="F288" s="23">
        <f>IF(B288=1997, 100, IF(COUNTIF(A$1:A287,A288)=0, "NEW", F287*(1+Table15[[#This Row],[Ávöxtun]])))</f>
        <v>117.97800000000002</v>
      </c>
      <c r="G288" s="18" cm="1">
        <f t="array" ref="G288">IFERROR(_xlfn.IFS(ISNUMBER(Table15[[#This Row],[Column3]]),Table15[[#This Row],[Column3]],Table15[[#This Row],[Column3]]="NEW",Table15[[#This Row],[Column3]]),"")</f>
        <v>117.97800000000002</v>
      </c>
      <c r="H288" s="15" cm="1">
        <f t="array" ref="H288">_xlfn.IFS(Table15[[#This Row],[Column4]]="NEW",AVERAGEIFS(Table15[Column4],Table15[Year],Table15[[#This Row],[Year]]),ISNUMBER(Table15[[#This Row],[Column4]]),Table15[[#This Row],[Column4]],Table15[[#This Row],[Column4]]="",H287*(1+Table15[[#This Row],[Ávöxtun]]))</f>
        <v>117.97800000000002</v>
      </c>
      <c r="I288" s="30" cm="1">
        <f t="array" ref="I288">_xlfn.IFS(Table15[[#This Row],[Column4]]="NEW",_xlfn.XLOOKUP(Table15[[#This Row],[Year]]-1,$N$2:$N$27,$P$2:$P$27)*(1+Table15[[#This Row],[Ávöxtun]]),ISNUMBER(Table15[[#This Row],[Column4]]),Table15[[#This Row],[Column4]],Table15[[#This Row],[Column4]]="",I287*(1+Table15[[#This Row],[Ávöxtun]]))</f>
        <v>117.97800000000002</v>
      </c>
      <c r="L288" s="33">
        <v>117.97800000000002</v>
      </c>
      <c r="M288" s="33">
        <v>117.97800000000002</v>
      </c>
    </row>
    <row r="289" spans="1:13">
      <c r="A289" t="s">
        <v>81</v>
      </c>
      <c r="B289">
        <v>2001</v>
      </c>
      <c r="C289" s="16">
        <v>0.04</v>
      </c>
      <c r="D289" s="1">
        <v>856495</v>
      </c>
      <c r="E289" s="29">
        <f>Table15[[#This Row],[Ávöxtun]]*Table15[[#This Row],[Eignir]]/SUMIFS(Table15[Eignir],Table15[Year],Table15[[#This Row],[Year]])</f>
        <v>2.9587472820116047E-5</v>
      </c>
      <c r="F289" s="23">
        <f>IF(B289=1997, 100, IF(COUNTIF(A$1:A288,A289)=0, "NEW", F288*(1+Table15[[#This Row],[Ávöxtun]])))</f>
        <v>122.69712000000003</v>
      </c>
      <c r="G289" s="18" cm="1">
        <f t="array" ref="G289">IFERROR(_xlfn.IFS(ISNUMBER(Table15[[#This Row],[Column3]]),Table15[[#This Row],[Column3]],Table15[[#This Row],[Column3]]="NEW",Table15[[#This Row],[Column3]]),"")</f>
        <v>122.69712000000003</v>
      </c>
      <c r="H289" s="15" cm="1">
        <f t="array" ref="H289">_xlfn.IFS(Table15[[#This Row],[Column4]]="NEW",AVERAGEIFS(Table15[Column4],Table15[Year],Table15[[#This Row],[Year]]),ISNUMBER(Table15[[#This Row],[Column4]]),Table15[[#This Row],[Column4]],Table15[[#This Row],[Column4]]="",H288*(1+Table15[[#This Row],[Ávöxtun]]))</f>
        <v>122.69712000000003</v>
      </c>
      <c r="I289" s="30" cm="1">
        <f t="array" ref="I289">_xlfn.IFS(Table15[[#This Row],[Column4]]="NEW",_xlfn.XLOOKUP(Table15[[#This Row],[Year]]-1,$N$2:$N$27,$P$2:$P$27)*(1+Table15[[#This Row],[Ávöxtun]]),ISNUMBER(Table15[[#This Row],[Column4]]),Table15[[#This Row],[Column4]],Table15[[#This Row],[Column4]]="",I288*(1+Table15[[#This Row],[Ávöxtun]]))</f>
        <v>122.69712000000003</v>
      </c>
      <c r="L289" s="33">
        <v>122.69712000000003</v>
      </c>
      <c r="M289" s="33">
        <v>122.69712000000003</v>
      </c>
    </row>
    <row r="290" spans="1:13">
      <c r="A290" t="s">
        <v>81</v>
      </c>
      <c r="B290">
        <v>2002</v>
      </c>
      <c r="C290" s="16">
        <v>-0.04</v>
      </c>
      <c r="D290" s="1">
        <v>795606</v>
      </c>
      <c r="E290" s="29">
        <f>Table15[[#This Row],[Ávöxtun]]*Table15[[#This Row],[Eignir]]/SUMIFS(Table15[Eignir],Table15[Year],Table15[[#This Row],[Year]])</f>
        <v>-5.0103960893329461E-5</v>
      </c>
      <c r="F290" s="23">
        <f>IF(B290=1997, 100, IF(COUNTIF(A$1:A289,A290)=0, "NEW", F289*(1+Table15[[#This Row],[Ávöxtun]])))</f>
        <v>117.78923520000002</v>
      </c>
      <c r="G290" s="18" cm="1">
        <f t="array" ref="G290">IFERROR(_xlfn.IFS(ISNUMBER(Table15[[#This Row],[Column3]]),Table15[[#This Row],[Column3]],Table15[[#This Row],[Column3]]="NEW",Table15[[#This Row],[Column3]]),"")</f>
        <v>117.78923520000002</v>
      </c>
      <c r="H290" s="15" cm="1">
        <f t="array" ref="H290">_xlfn.IFS(Table15[[#This Row],[Column4]]="NEW",AVERAGEIFS(Table15[Column4],Table15[Year],Table15[[#This Row],[Year]]),ISNUMBER(Table15[[#This Row],[Column4]]),Table15[[#This Row],[Column4]],Table15[[#This Row],[Column4]]="",H289*(1+Table15[[#This Row],[Ávöxtun]]))</f>
        <v>117.78923520000002</v>
      </c>
      <c r="I290" s="30" cm="1">
        <f t="array" ref="I290">_xlfn.IFS(Table15[[#This Row],[Column4]]="NEW",_xlfn.XLOOKUP(Table15[[#This Row],[Year]]-1,$N$2:$N$27,$P$2:$P$27)*(1+Table15[[#This Row],[Ávöxtun]]),ISNUMBER(Table15[[#This Row],[Column4]]),Table15[[#This Row],[Column4]],Table15[[#This Row],[Column4]]="",I289*(1+Table15[[#This Row],[Ávöxtun]]))</f>
        <v>117.78923520000002</v>
      </c>
      <c r="L290" s="33">
        <v>117.78923520000002</v>
      </c>
      <c r="M290" s="33">
        <v>117.78923520000002</v>
      </c>
    </row>
    <row r="291" spans="1:13">
      <c r="A291" t="s">
        <v>81</v>
      </c>
      <c r="B291">
        <v>2003</v>
      </c>
      <c r="C291" s="16">
        <v>0.13</v>
      </c>
      <c r="D291" s="1">
        <v>886250</v>
      </c>
      <c r="E291" s="29">
        <f>Table15[[#This Row],[Ávöxtun]]*Table15[[#This Row],[Eignir]]/SUMIFS(Table15[Eignir],Table15[Year],Table15[[#This Row],[Year]])</f>
        <v>1.516170610402954E-4</v>
      </c>
      <c r="F291" s="23">
        <f>IF(B291=1997, 100, IF(COUNTIF(A$1:A290,A291)=0, "NEW", F290*(1+Table15[[#This Row],[Ávöxtun]])))</f>
        <v>133.101835776</v>
      </c>
      <c r="G291" s="18" cm="1">
        <f t="array" ref="G291">IFERROR(_xlfn.IFS(ISNUMBER(Table15[[#This Row],[Column3]]),Table15[[#This Row],[Column3]],Table15[[#This Row],[Column3]]="NEW",Table15[[#This Row],[Column3]]),"")</f>
        <v>133.101835776</v>
      </c>
      <c r="H291" s="15" cm="1">
        <f t="array" ref="H291">_xlfn.IFS(Table15[[#This Row],[Column4]]="NEW",AVERAGEIFS(Table15[Column4],Table15[Year],Table15[[#This Row],[Year]]),ISNUMBER(Table15[[#This Row],[Column4]]),Table15[[#This Row],[Column4]],Table15[[#This Row],[Column4]]="",H290*(1+Table15[[#This Row],[Ávöxtun]]))</f>
        <v>133.101835776</v>
      </c>
      <c r="I291" s="30" cm="1">
        <f t="array" ref="I291">_xlfn.IFS(Table15[[#This Row],[Column4]]="NEW",_xlfn.XLOOKUP(Table15[[#This Row],[Year]]-1,$N$2:$N$27,$P$2:$P$27)*(1+Table15[[#This Row],[Ávöxtun]]),ISNUMBER(Table15[[#This Row],[Column4]]),Table15[[#This Row],[Column4]],Table15[[#This Row],[Column4]]="",I290*(1+Table15[[#This Row],[Ávöxtun]]))</f>
        <v>133.101835776</v>
      </c>
      <c r="L291" s="33">
        <v>133.101835776</v>
      </c>
      <c r="M291" s="33">
        <v>133.101835776</v>
      </c>
    </row>
    <row r="292" spans="1:13">
      <c r="A292" t="s">
        <v>81</v>
      </c>
      <c r="B292">
        <v>2004</v>
      </c>
      <c r="C292" s="16">
        <v>0.09</v>
      </c>
      <c r="D292" s="1">
        <v>948503</v>
      </c>
      <c r="E292" s="29">
        <f>Table15[[#This Row],[Ávöxtun]]*Table15[[#This Row],[Eignir]]/SUMIFS(Table15[Eignir],Table15[Year],Table15[[#This Row],[Year]])</f>
        <v>9.4048751223128806E-5</v>
      </c>
      <c r="F292" s="23">
        <f>IF(B292=1997, 100, IF(COUNTIF(A$1:A291,A292)=0, "NEW", F291*(1+Table15[[#This Row],[Ávöxtun]])))</f>
        <v>145.08100099584001</v>
      </c>
      <c r="G292" s="18" cm="1">
        <f t="array" ref="G292">IFERROR(_xlfn.IFS(ISNUMBER(Table15[[#This Row],[Column3]]),Table15[[#This Row],[Column3]],Table15[[#This Row],[Column3]]="NEW",Table15[[#This Row],[Column3]]),"")</f>
        <v>145.08100099584001</v>
      </c>
      <c r="H292" s="15" cm="1">
        <f t="array" ref="H292">_xlfn.IFS(Table15[[#This Row],[Column4]]="NEW",AVERAGEIFS(Table15[Column4],Table15[Year],Table15[[#This Row],[Year]]),ISNUMBER(Table15[[#This Row],[Column4]]),Table15[[#This Row],[Column4]],Table15[[#This Row],[Column4]]="",H291*(1+Table15[[#This Row],[Ávöxtun]]))</f>
        <v>145.08100099584001</v>
      </c>
      <c r="I292" s="30" cm="1">
        <f t="array" ref="I292">_xlfn.IFS(Table15[[#This Row],[Column4]]="NEW",_xlfn.XLOOKUP(Table15[[#This Row],[Year]]-1,$N$2:$N$27,$P$2:$P$27)*(1+Table15[[#This Row],[Ávöxtun]]),ISNUMBER(Table15[[#This Row],[Column4]]),Table15[[#This Row],[Column4]],Table15[[#This Row],[Column4]]="",I291*(1+Table15[[#This Row],[Ávöxtun]]))</f>
        <v>145.08100099584001</v>
      </c>
      <c r="L292" s="33">
        <v>145.08100099584001</v>
      </c>
      <c r="M292" s="33">
        <v>145.08100099584001</v>
      </c>
    </row>
    <row r="293" spans="1:13">
      <c r="A293" t="s">
        <v>81</v>
      </c>
      <c r="B293">
        <v>2005</v>
      </c>
      <c r="C293" s="16">
        <v>0.1</v>
      </c>
      <c r="D293" s="1">
        <v>1044473</v>
      </c>
      <c r="E293" s="29">
        <f>Table15[[#This Row],[Ávöxtun]]*Table15[[#This Row],[Eignir]]/SUMIFS(Table15[Eignir],Table15[Year],Table15[[#This Row],[Year]])</f>
        <v>9.3145264072584183E-5</v>
      </c>
      <c r="F293" s="23">
        <f>IF(B293=1997, 100, IF(COUNTIF(A$1:A292,A293)=0, "NEW", F292*(1+Table15[[#This Row],[Ávöxtun]])))</f>
        <v>159.58910109542404</v>
      </c>
      <c r="G293" s="18" cm="1">
        <f t="array" ref="G293">IFERROR(_xlfn.IFS(ISNUMBER(Table15[[#This Row],[Column3]]),Table15[[#This Row],[Column3]],Table15[[#This Row],[Column3]]="NEW",Table15[[#This Row],[Column3]]),"")</f>
        <v>159.58910109542404</v>
      </c>
      <c r="H293" s="15" cm="1">
        <f t="array" ref="H293">_xlfn.IFS(Table15[[#This Row],[Column4]]="NEW",AVERAGEIFS(Table15[Column4],Table15[Year],Table15[[#This Row],[Year]]),ISNUMBER(Table15[[#This Row],[Column4]]),Table15[[#This Row],[Column4]],Table15[[#This Row],[Column4]]="",H292*(1+Table15[[#This Row],[Ávöxtun]]))</f>
        <v>159.58910109542404</v>
      </c>
      <c r="I293" s="30" cm="1">
        <f t="array" ref="I293">_xlfn.IFS(Table15[[#This Row],[Column4]]="NEW",_xlfn.XLOOKUP(Table15[[#This Row],[Year]]-1,$N$2:$N$27,$P$2:$P$27)*(1+Table15[[#This Row],[Ávöxtun]]),ISNUMBER(Table15[[#This Row],[Column4]]),Table15[[#This Row],[Column4]],Table15[[#This Row],[Column4]]="",I292*(1+Table15[[#This Row],[Ávöxtun]]))</f>
        <v>159.58910109542404</v>
      </c>
      <c r="L293" s="33">
        <v>159.58910109542404</v>
      </c>
      <c r="M293" s="33">
        <v>159.58910109542404</v>
      </c>
    </row>
    <row r="294" spans="1:13">
      <c r="A294" t="s">
        <v>81</v>
      </c>
      <c r="B294">
        <v>2006</v>
      </c>
      <c r="C294" s="16">
        <v>8.0700000000000008E-2</v>
      </c>
      <c r="D294" s="1">
        <v>1210212</v>
      </c>
      <c r="E294" s="29">
        <f>Table15[[#This Row],[Ávöxtun]]*Table15[[#This Row],[Eignir]]/SUMIFS(Table15[Eignir],Table15[Year],Table15[[#This Row],[Year]])</f>
        <v>7.114871536585293E-5</v>
      </c>
      <c r="F294" s="23">
        <f>IF(B294=1997, 100, IF(COUNTIF(A$1:A293,A294)=0, "NEW", F293*(1+Table15[[#This Row],[Ávöxtun]])))</f>
        <v>172.46794155382477</v>
      </c>
      <c r="G294" s="18" cm="1">
        <f t="array" ref="G294">IFERROR(_xlfn.IFS(ISNUMBER(Table15[[#This Row],[Column3]]),Table15[[#This Row],[Column3]],Table15[[#This Row],[Column3]]="NEW",Table15[[#This Row],[Column3]]),"")</f>
        <v>172.46794155382477</v>
      </c>
      <c r="H294" s="15" cm="1">
        <f t="array" ref="H294">_xlfn.IFS(Table15[[#This Row],[Column4]]="NEW",AVERAGEIFS(Table15[Column4],Table15[Year],Table15[[#This Row],[Year]]),ISNUMBER(Table15[[#This Row],[Column4]]),Table15[[#This Row],[Column4]],Table15[[#This Row],[Column4]]="",H293*(1+Table15[[#This Row],[Ávöxtun]]))</f>
        <v>172.46794155382477</v>
      </c>
      <c r="I294" s="30" cm="1">
        <f t="array" ref="I294">_xlfn.IFS(Table15[[#This Row],[Column4]]="NEW",_xlfn.XLOOKUP(Table15[[#This Row],[Year]]-1,$N$2:$N$27,$P$2:$P$27)*(1+Table15[[#This Row],[Ávöxtun]]),ISNUMBER(Table15[[#This Row],[Column4]]),Table15[[#This Row],[Column4]],Table15[[#This Row],[Column4]]="",I293*(1+Table15[[#This Row],[Ávöxtun]]))</f>
        <v>172.46794155382477</v>
      </c>
      <c r="L294" s="33">
        <v>172.46794155382477</v>
      </c>
      <c r="M294" s="33">
        <v>172.46794155382477</v>
      </c>
    </row>
    <row r="295" spans="1:13">
      <c r="A295" t="s">
        <v>81</v>
      </c>
      <c r="B295">
        <v>2007</v>
      </c>
      <c r="C295" s="16">
        <v>1.43E-2</v>
      </c>
      <c r="D295" s="1">
        <v>1166026</v>
      </c>
      <c r="E295" s="29">
        <f>Table15[[#This Row],[Ávöxtun]]*Table15[[#This Row],[Eignir]]/SUMIFS(Table15[Eignir],Table15[Year],Table15[[#This Row],[Year]])</f>
        <v>1.0782517788095021E-5</v>
      </c>
      <c r="F295" s="23">
        <f>IF(B295=1997, 100, IF(COUNTIF(A$1:A294,A295)=0, "NEW", F294*(1+Table15[[#This Row],[Ávöxtun]])))</f>
        <v>174.93423311804446</v>
      </c>
      <c r="G295" s="18" cm="1">
        <f t="array" ref="G295">IFERROR(_xlfn.IFS(ISNUMBER(Table15[[#This Row],[Column3]]),Table15[[#This Row],[Column3]],Table15[[#This Row],[Column3]]="NEW",Table15[[#This Row],[Column3]]),"")</f>
        <v>174.93423311804446</v>
      </c>
      <c r="H295" s="15" cm="1">
        <f t="array" ref="H295">_xlfn.IFS(Table15[[#This Row],[Column4]]="NEW",AVERAGEIFS(Table15[Column4],Table15[Year],Table15[[#This Row],[Year]]),ISNUMBER(Table15[[#This Row],[Column4]]),Table15[[#This Row],[Column4]],Table15[[#This Row],[Column4]]="",H294*(1+Table15[[#This Row],[Ávöxtun]]))</f>
        <v>174.93423311804446</v>
      </c>
      <c r="I295" s="30" cm="1">
        <f t="array" ref="I295">_xlfn.IFS(Table15[[#This Row],[Column4]]="NEW",_xlfn.XLOOKUP(Table15[[#This Row],[Year]]-1,$N$2:$N$27,$P$2:$P$27)*(1+Table15[[#This Row],[Ávöxtun]]),ISNUMBER(Table15[[#This Row],[Column4]]),Table15[[#This Row],[Column4]],Table15[[#This Row],[Column4]]="",I294*(1+Table15[[#This Row],[Ávöxtun]]))</f>
        <v>174.93423311804446</v>
      </c>
      <c r="L295" s="33">
        <v>174.93423311804446</v>
      </c>
      <c r="M295" s="33">
        <v>174.93423311804446</v>
      </c>
    </row>
    <row r="296" spans="1:13">
      <c r="A296" t="s">
        <v>81</v>
      </c>
      <c r="B296">
        <v>2008</v>
      </c>
      <c r="C296" s="16">
        <v>-0.28350000000000003</v>
      </c>
      <c r="D296" s="1">
        <v>894663</v>
      </c>
      <c r="E296" s="29">
        <f>Table15[[#This Row],[Ávöxtun]]*Table15[[#This Row],[Eignir]]/SUMIFS(Table15[Eignir],Table15[Year],Table15[[#This Row],[Year]])</f>
        <v>-1.6939419488754635E-4</v>
      </c>
      <c r="F296" s="23">
        <f>IF(B296=1997, 100, IF(COUNTIF(A$1:A295,A296)=0, "NEW", F295*(1+Table15[[#This Row],[Ávöxtun]])))</f>
        <v>125.34037802907883</v>
      </c>
      <c r="G296" s="18" cm="1">
        <f t="array" ref="G296">IFERROR(_xlfn.IFS(ISNUMBER(Table15[[#This Row],[Column3]]),Table15[[#This Row],[Column3]],Table15[[#This Row],[Column3]]="NEW",Table15[[#This Row],[Column3]]),"")</f>
        <v>125.34037802907883</v>
      </c>
      <c r="H296" s="15" cm="1">
        <f t="array" ref="H296">_xlfn.IFS(Table15[[#This Row],[Column4]]="NEW",AVERAGEIFS(Table15[Column4],Table15[Year],Table15[[#This Row],[Year]]),ISNUMBER(Table15[[#This Row],[Column4]]),Table15[[#This Row],[Column4]],Table15[[#This Row],[Column4]]="",H295*(1+Table15[[#This Row],[Ávöxtun]]))</f>
        <v>125.34037802907883</v>
      </c>
      <c r="I296" s="30" cm="1">
        <f t="array" ref="I296">_xlfn.IFS(Table15[[#This Row],[Column4]]="NEW",_xlfn.XLOOKUP(Table15[[#This Row],[Year]]-1,$N$2:$N$27,$P$2:$P$27)*(1+Table15[[#This Row],[Ávöxtun]]),ISNUMBER(Table15[[#This Row],[Column4]]),Table15[[#This Row],[Column4]],Table15[[#This Row],[Column4]]="",I295*(1+Table15[[#This Row],[Ávöxtun]]))</f>
        <v>125.34037802907883</v>
      </c>
      <c r="L296" s="33">
        <v>125.34037802907883</v>
      </c>
      <c r="M296" s="33">
        <v>125.34037802907883</v>
      </c>
    </row>
    <row r="297" spans="1:13">
      <c r="A297" t="s">
        <v>81</v>
      </c>
      <c r="B297">
        <v>2009</v>
      </c>
      <c r="C297" s="16">
        <v>4.1100000000000005E-2</v>
      </c>
      <c r="D297" s="1">
        <v>926331</v>
      </c>
      <c r="E297" s="29">
        <f>Table15[[#This Row],[Ávöxtun]]*Table15[[#This Row],[Eignir]]/SUMIFS(Table15[Eignir],Table15[Year],Table15[[#This Row],[Year]])</f>
        <v>2.2821527577098182E-5</v>
      </c>
      <c r="F297" s="23">
        <f>IF(B297=1997, 100, IF(COUNTIF(A$1:A296,A297)=0, "NEW", F296*(1+Table15[[#This Row],[Ávöxtun]])))</f>
        <v>130.49186756607398</v>
      </c>
      <c r="G297" s="18" cm="1">
        <f t="array" ref="G297">IFERROR(_xlfn.IFS(ISNUMBER(Table15[[#This Row],[Column3]]),Table15[[#This Row],[Column3]],Table15[[#This Row],[Column3]]="NEW",Table15[[#This Row],[Column3]]),"")</f>
        <v>130.49186756607398</v>
      </c>
      <c r="H297" s="15" cm="1">
        <f t="array" ref="H297">_xlfn.IFS(Table15[[#This Row],[Column4]]="NEW",AVERAGEIFS(Table15[Column4],Table15[Year],Table15[[#This Row],[Year]]),ISNUMBER(Table15[[#This Row],[Column4]]),Table15[[#This Row],[Column4]],Table15[[#This Row],[Column4]]="",H296*(1+Table15[[#This Row],[Ávöxtun]]))</f>
        <v>130.49186756607398</v>
      </c>
      <c r="I297" s="30" cm="1">
        <f t="array" ref="I297">_xlfn.IFS(Table15[[#This Row],[Column4]]="NEW",_xlfn.XLOOKUP(Table15[[#This Row],[Year]]-1,$N$2:$N$27,$P$2:$P$27)*(1+Table15[[#This Row],[Ávöxtun]]),ISNUMBER(Table15[[#This Row],[Column4]]),Table15[[#This Row],[Column4]],Table15[[#This Row],[Column4]]="",I296*(1+Table15[[#This Row],[Ávöxtun]]))</f>
        <v>130.49186756607398</v>
      </c>
      <c r="L297" s="33">
        <v>130.49186756607398</v>
      </c>
      <c r="M297" s="33">
        <v>130.49186756607398</v>
      </c>
    </row>
    <row r="298" spans="1:13">
      <c r="A298" t="s">
        <v>81</v>
      </c>
      <c r="B298">
        <v>2010</v>
      </c>
      <c r="C298" s="16">
        <v>4.9200000000000001E-2</v>
      </c>
      <c r="D298" s="1">
        <v>919510</v>
      </c>
      <c r="E298" s="29">
        <f>Table15[[#This Row],[Ávöxtun]]*Table15[[#This Row],[Eignir]]/SUMIFS(Table15[Eignir],Table15[Year],Table15[[#This Row],[Year]])</f>
        <v>2.5304973780150228E-5</v>
      </c>
      <c r="F298" s="23">
        <f>IF(B298=1997, 100, IF(COUNTIF(A$1:A297,A298)=0, "NEW", F297*(1+Table15[[#This Row],[Ávöxtun]])))</f>
        <v>136.9120674503248</v>
      </c>
      <c r="G298" s="18" cm="1">
        <f t="array" ref="G298">IFERROR(_xlfn.IFS(ISNUMBER(Table15[[#This Row],[Column3]]),Table15[[#This Row],[Column3]],Table15[[#This Row],[Column3]]="NEW",Table15[[#This Row],[Column3]]),"")</f>
        <v>136.9120674503248</v>
      </c>
      <c r="H298" s="15" cm="1">
        <f t="array" ref="H298">_xlfn.IFS(Table15[[#This Row],[Column4]]="NEW",AVERAGEIFS(Table15[Column4],Table15[Year],Table15[[#This Row],[Year]]),ISNUMBER(Table15[[#This Row],[Column4]]),Table15[[#This Row],[Column4]],Table15[[#This Row],[Column4]]="",H297*(1+Table15[[#This Row],[Ávöxtun]]))</f>
        <v>136.9120674503248</v>
      </c>
      <c r="I298" s="30" cm="1">
        <f t="array" ref="I298">_xlfn.IFS(Table15[[#This Row],[Column4]]="NEW",_xlfn.XLOOKUP(Table15[[#This Row],[Year]]-1,$N$2:$N$27,$P$2:$P$27)*(1+Table15[[#This Row],[Ávöxtun]]),ISNUMBER(Table15[[#This Row],[Column4]]),Table15[[#This Row],[Column4]],Table15[[#This Row],[Column4]]="",I297*(1+Table15[[#This Row],[Ávöxtun]]))</f>
        <v>136.9120674503248</v>
      </c>
      <c r="L298" s="33">
        <v>136.9120674503248</v>
      </c>
      <c r="M298" s="33">
        <v>136.9120674503248</v>
      </c>
    </row>
    <row r="299" spans="1:13">
      <c r="A299" t="s">
        <v>81</v>
      </c>
      <c r="B299">
        <v>2011</v>
      </c>
      <c r="C299" s="16">
        <v>2.3E-2</v>
      </c>
      <c r="D299" s="1">
        <v>908140</v>
      </c>
      <c r="E299" s="29">
        <f>Table15[[#This Row],[Ávöxtun]]*Table15[[#This Row],[Eignir]]/SUMIFS(Table15[Eignir],Table15[Year],Table15[[#This Row],[Year]])</f>
        <v>1.0708326041277818E-5</v>
      </c>
      <c r="F299" s="23">
        <f>IF(B299=1997, 100, IF(COUNTIF(A$1:A298,A299)=0, "NEW", F298*(1+Table15[[#This Row],[Ávöxtun]])))</f>
        <v>140.06104500168226</v>
      </c>
      <c r="G299" s="18" cm="1">
        <f t="array" ref="G299">IFERROR(_xlfn.IFS(ISNUMBER(Table15[[#This Row],[Column3]]),Table15[[#This Row],[Column3]],Table15[[#This Row],[Column3]]="NEW",Table15[[#This Row],[Column3]]),"")</f>
        <v>140.06104500168226</v>
      </c>
      <c r="H299" s="15" cm="1">
        <f t="array" ref="H299">_xlfn.IFS(Table15[[#This Row],[Column4]]="NEW",AVERAGEIFS(Table15[Column4],Table15[Year],Table15[[#This Row],[Year]]),ISNUMBER(Table15[[#This Row],[Column4]]),Table15[[#This Row],[Column4]],Table15[[#This Row],[Column4]]="",H298*(1+Table15[[#This Row],[Ávöxtun]]))</f>
        <v>140.06104500168226</v>
      </c>
      <c r="I299" s="30" cm="1">
        <f t="array" ref="I299">_xlfn.IFS(Table15[[#This Row],[Column4]]="NEW",_xlfn.XLOOKUP(Table15[[#This Row],[Year]]-1,$N$2:$N$27,$P$2:$P$27)*(1+Table15[[#This Row],[Ávöxtun]]),ISNUMBER(Table15[[#This Row],[Column4]]),Table15[[#This Row],[Column4]],Table15[[#This Row],[Column4]]="",I298*(1+Table15[[#This Row],[Ávöxtun]]))</f>
        <v>140.06104500168226</v>
      </c>
      <c r="L299" s="33">
        <v>140.06104500168226</v>
      </c>
      <c r="M299" s="33">
        <v>140.06104500168226</v>
      </c>
    </row>
    <row r="300" spans="1:13">
      <c r="A300" t="s">
        <v>81</v>
      </c>
      <c r="B300">
        <v>2012</v>
      </c>
      <c r="C300" s="16">
        <v>3.1000000000000003E-2</v>
      </c>
      <c r="D300" s="1">
        <v>1028772</v>
      </c>
      <c r="E300" s="29">
        <f>Table15[[#This Row],[Ávöxtun]]*Table15[[#This Row],[Eignir]]/SUMIFS(Table15[Eignir],Table15[Year],Table15[[#This Row],[Year]])</f>
        <v>1.4477623656162461E-5</v>
      </c>
      <c r="F300" s="23">
        <f>IF(B300=1997, 100, IF(COUNTIF(A$1:A299,A300)=0, "NEW", F299*(1+Table15[[#This Row],[Ávöxtun]])))</f>
        <v>144.40293739673439</v>
      </c>
      <c r="G300" s="18" cm="1">
        <f t="array" ref="G300">IFERROR(_xlfn.IFS(ISNUMBER(Table15[[#This Row],[Column3]]),Table15[[#This Row],[Column3]],Table15[[#This Row],[Column3]]="NEW",Table15[[#This Row],[Column3]]),"")</f>
        <v>144.40293739673439</v>
      </c>
      <c r="H300" s="15" cm="1">
        <f t="array" ref="H300">_xlfn.IFS(Table15[[#This Row],[Column4]]="NEW",AVERAGEIFS(Table15[Column4],Table15[Year],Table15[[#This Row],[Year]]),ISNUMBER(Table15[[#This Row],[Column4]]),Table15[[#This Row],[Column4]],Table15[[#This Row],[Column4]]="",H299*(1+Table15[[#This Row],[Ávöxtun]]))</f>
        <v>144.40293739673439</v>
      </c>
      <c r="I300" s="30" cm="1">
        <f t="array" ref="I300">_xlfn.IFS(Table15[[#This Row],[Column4]]="NEW",_xlfn.XLOOKUP(Table15[[#This Row],[Year]]-1,$N$2:$N$27,$P$2:$P$27)*(1+Table15[[#This Row],[Ávöxtun]]),ISNUMBER(Table15[[#This Row],[Column4]]),Table15[[#This Row],[Column4]],Table15[[#This Row],[Column4]]="",I299*(1+Table15[[#This Row],[Ávöxtun]]))</f>
        <v>144.40293739673439</v>
      </c>
      <c r="L300" s="33">
        <v>144.40293739673439</v>
      </c>
      <c r="M300" s="33">
        <v>144.40293739673439</v>
      </c>
    </row>
    <row r="301" spans="1:13">
      <c r="A301" t="s">
        <v>82</v>
      </c>
      <c r="B301">
        <v>1997</v>
      </c>
      <c r="C301" s="16">
        <v>7.0000000000000007E-2</v>
      </c>
      <c r="D301" s="1">
        <v>1522875.97</v>
      </c>
      <c r="E301" s="29">
        <f>Table15[[#This Row],[Ávöxtun]]*Table15[[#This Row],[Eignir]]/SUMIFS(Table15[Eignir],Table15[Year],Table15[[#This Row],[Year]])</f>
        <v>3.1443465965377257E-4</v>
      </c>
      <c r="F301" s="23">
        <f>IF(B301=1997, 100, IF(COUNTIF(A$1:A300,A301)=0, "NEW", F300*(1+Table15[[#This Row],[Ávöxtun]])))</f>
        <v>100</v>
      </c>
      <c r="G301" s="18" cm="1">
        <f t="array" ref="G301">IFERROR(_xlfn.IFS(ISNUMBER(Table15[[#This Row],[Column3]]),Table15[[#This Row],[Column3]],Table15[[#This Row],[Column3]]="NEW",Table15[[#This Row],[Column3]]),"")</f>
        <v>100</v>
      </c>
      <c r="H301" s="15" cm="1">
        <f t="array" ref="H301">_xlfn.IFS(Table15[[#This Row],[Column4]]="NEW",AVERAGEIFS(Table15[Column4],Table15[Year],Table15[[#This Row],[Year]]),ISNUMBER(Table15[[#This Row],[Column4]]),Table15[[#This Row],[Column4]],Table15[[#This Row],[Column4]]="",H300*(1+Table15[[#This Row],[Ávöxtun]]))</f>
        <v>100</v>
      </c>
      <c r="I301" s="30" cm="1">
        <f t="array" ref="I301">_xlfn.IFS(Table15[[#This Row],[Column4]]="NEW",_xlfn.XLOOKUP(Table15[[#This Row],[Year]]-1,$N$2:$N$27,$P$2:$P$27)*(1+Table15[[#This Row],[Ávöxtun]]),ISNUMBER(Table15[[#This Row],[Column4]]),Table15[[#This Row],[Column4]],Table15[[#This Row],[Column4]]="",I300*(1+Table15[[#This Row],[Ávöxtun]]))</f>
        <v>100</v>
      </c>
      <c r="L301" s="33">
        <v>100</v>
      </c>
      <c r="M301" s="33">
        <v>100</v>
      </c>
    </row>
    <row r="302" spans="1:13">
      <c r="A302" t="s">
        <v>82</v>
      </c>
      <c r="B302">
        <v>1998</v>
      </c>
      <c r="C302" s="16">
        <v>7.0000000000000007E-2</v>
      </c>
      <c r="D302" s="1">
        <v>1683730.15</v>
      </c>
      <c r="E302" s="29">
        <f>Table15[[#This Row],[Ávöxtun]]*Table15[[#This Row],[Eignir]]/SUMIFS(Table15[Eignir],Table15[Year],Table15[[#This Row],[Year]])</f>
        <v>3.0094638461424178E-4</v>
      </c>
      <c r="F302" s="23">
        <f>IF(B302=1997, 100, IF(COUNTIF(A$1:A301,A302)=0, "NEW", F301*(1+Table15[[#This Row],[Ávöxtun]])))</f>
        <v>107</v>
      </c>
      <c r="G302" s="18" cm="1">
        <f t="array" ref="G302">IFERROR(_xlfn.IFS(ISNUMBER(Table15[[#This Row],[Column3]]),Table15[[#This Row],[Column3]],Table15[[#This Row],[Column3]]="NEW",Table15[[#This Row],[Column3]]),"")</f>
        <v>107</v>
      </c>
      <c r="H302" s="15" cm="1">
        <f t="array" ref="H302">_xlfn.IFS(Table15[[#This Row],[Column4]]="NEW",AVERAGEIFS(Table15[Column4],Table15[Year],Table15[[#This Row],[Year]]),ISNUMBER(Table15[[#This Row],[Column4]]),Table15[[#This Row],[Column4]],Table15[[#This Row],[Column4]]="",H301*(1+Table15[[#This Row],[Ávöxtun]]))</f>
        <v>107</v>
      </c>
      <c r="I302" s="30" cm="1">
        <f t="array" ref="I302">_xlfn.IFS(Table15[[#This Row],[Column4]]="NEW",_xlfn.XLOOKUP(Table15[[#This Row],[Year]]-1,$N$2:$N$27,$P$2:$P$27)*(1+Table15[[#This Row],[Ávöxtun]]),ISNUMBER(Table15[[#This Row],[Column4]]),Table15[[#This Row],[Column4]],Table15[[#This Row],[Column4]]="",I301*(1+Table15[[#This Row],[Ávöxtun]]))</f>
        <v>107</v>
      </c>
      <c r="L302" s="33">
        <v>107</v>
      </c>
      <c r="M302" s="33">
        <v>107</v>
      </c>
    </row>
    <row r="303" spans="1:13">
      <c r="A303" t="s">
        <v>82</v>
      </c>
      <c r="B303">
        <v>1999</v>
      </c>
      <c r="C303" s="16">
        <v>0.08</v>
      </c>
      <c r="D303" s="1">
        <v>1969065.52</v>
      </c>
      <c r="E303" s="29">
        <f>Table15[[#This Row],[Ávöxtun]]*Table15[[#This Row],[Eignir]]/SUMIFS(Table15[Eignir],Table15[Year],Table15[[#This Row],[Year]])</f>
        <v>3.025162160775169E-4</v>
      </c>
      <c r="F303" s="23">
        <f>IF(B303=1997, 100, IF(COUNTIF(A$1:A302,A303)=0, "NEW", F302*(1+Table15[[#This Row],[Ávöxtun]])))</f>
        <v>115.56</v>
      </c>
      <c r="G303" s="18" cm="1">
        <f t="array" ref="G303">IFERROR(_xlfn.IFS(ISNUMBER(Table15[[#This Row],[Column3]]),Table15[[#This Row],[Column3]],Table15[[#This Row],[Column3]]="NEW",Table15[[#This Row],[Column3]]),"")</f>
        <v>115.56</v>
      </c>
      <c r="H303" s="15" cm="1">
        <f t="array" ref="H303">_xlfn.IFS(Table15[[#This Row],[Column4]]="NEW",AVERAGEIFS(Table15[Column4],Table15[Year],Table15[[#This Row],[Year]]),ISNUMBER(Table15[[#This Row],[Column4]]),Table15[[#This Row],[Column4]],Table15[[#This Row],[Column4]]="",H302*(1+Table15[[#This Row],[Ávöxtun]]))</f>
        <v>115.56</v>
      </c>
      <c r="I303" s="30" cm="1">
        <f t="array" ref="I303">_xlfn.IFS(Table15[[#This Row],[Column4]]="NEW",_xlfn.XLOOKUP(Table15[[#This Row],[Year]]-1,$N$2:$N$27,$P$2:$P$27)*(1+Table15[[#This Row],[Ávöxtun]]),ISNUMBER(Table15[[#This Row],[Column4]]),Table15[[#This Row],[Column4]],Table15[[#This Row],[Column4]]="",I302*(1+Table15[[#This Row],[Ávöxtun]]))</f>
        <v>115.56</v>
      </c>
      <c r="L303" s="33">
        <v>115.56</v>
      </c>
      <c r="M303" s="33">
        <v>115.56</v>
      </c>
    </row>
    <row r="304" spans="1:13">
      <c r="A304" t="s">
        <v>82</v>
      </c>
      <c r="B304">
        <v>2000</v>
      </c>
      <c r="C304" s="16">
        <v>-0.06</v>
      </c>
      <c r="D304" s="1">
        <v>1977470.53</v>
      </c>
      <c r="E304" s="29">
        <f>Table15[[#This Row],[Ávöxtun]]*Table15[[#This Row],[Eignir]]/SUMIFS(Table15[Eignir],Table15[Year],Table15[[#This Row],[Year]])</f>
        <v>-1.6690103962558993E-4</v>
      </c>
      <c r="F304" s="23">
        <f>IF(B304=1997, 100, IF(COUNTIF(A$1:A303,A304)=0, "NEW", F303*(1+Table15[[#This Row],[Ávöxtun]])))</f>
        <v>108.62639999999999</v>
      </c>
      <c r="G304" s="18" cm="1">
        <f t="array" ref="G304">IFERROR(_xlfn.IFS(ISNUMBER(Table15[[#This Row],[Column3]]),Table15[[#This Row],[Column3]],Table15[[#This Row],[Column3]]="NEW",Table15[[#This Row],[Column3]]),"")</f>
        <v>108.62639999999999</v>
      </c>
      <c r="H304" s="15" cm="1">
        <f t="array" ref="H304">_xlfn.IFS(Table15[[#This Row],[Column4]]="NEW",AVERAGEIFS(Table15[Column4],Table15[Year],Table15[[#This Row],[Year]]),ISNUMBER(Table15[[#This Row],[Column4]]),Table15[[#This Row],[Column4]],Table15[[#This Row],[Column4]]="",H303*(1+Table15[[#This Row],[Ávöxtun]]))</f>
        <v>108.62639999999999</v>
      </c>
      <c r="I304" s="30" cm="1">
        <f t="array" ref="I304">_xlfn.IFS(Table15[[#This Row],[Column4]]="NEW",_xlfn.XLOOKUP(Table15[[#This Row],[Year]]-1,$N$2:$N$27,$P$2:$P$27)*(1+Table15[[#This Row],[Ávöxtun]]),ISNUMBER(Table15[[#This Row],[Column4]]),Table15[[#This Row],[Column4]],Table15[[#This Row],[Column4]]="",I303*(1+Table15[[#This Row],[Ávöxtun]]))</f>
        <v>108.62639999999999</v>
      </c>
      <c r="L304" s="33">
        <v>108.62639999999999</v>
      </c>
      <c r="M304" s="33">
        <v>108.62639999999999</v>
      </c>
    </row>
    <row r="305" spans="1:13">
      <c r="A305" t="s">
        <v>82</v>
      </c>
      <c r="B305">
        <v>2001</v>
      </c>
      <c r="C305" s="16">
        <v>-0.04</v>
      </c>
      <c r="D305" s="1">
        <v>2090302</v>
      </c>
      <c r="E305" s="29">
        <f>Table15[[#This Row],[Ávöxtun]]*Table15[[#This Row],[Eignir]]/SUMIFS(Table15[Eignir],Table15[Year],Table15[[#This Row],[Year]])</f>
        <v>-7.2209123942152859E-5</v>
      </c>
      <c r="F305" s="23">
        <f>IF(B305=1997, 100, IF(COUNTIF(A$1:A304,A305)=0, "NEW", F304*(1+Table15[[#This Row],[Ávöxtun]])))</f>
        <v>104.28134399999999</v>
      </c>
      <c r="G305" s="18" cm="1">
        <f t="array" ref="G305">IFERROR(_xlfn.IFS(ISNUMBER(Table15[[#This Row],[Column3]]),Table15[[#This Row],[Column3]],Table15[[#This Row],[Column3]]="NEW",Table15[[#This Row],[Column3]]),"")</f>
        <v>104.28134399999999</v>
      </c>
      <c r="H305" s="15" cm="1">
        <f t="array" ref="H305">_xlfn.IFS(Table15[[#This Row],[Column4]]="NEW",AVERAGEIFS(Table15[Column4],Table15[Year],Table15[[#This Row],[Year]]),ISNUMBER(Table15[[#This Row],[Column4]]),Table15[[#This Row],[Column4]],Table15[[#This Row],[Column4]]="",H304*(1+Table15[[#This Row],[Ávöxtun]]))</f>
        <v>104.28134399999999</v>
      </c>
      <c r="I305" s="30" cm="1">
        <f t="array" ref="I305">_xlfn.IFS(Table15[[#This Row],[Column4]]="NEW",_xlfn.XLOOKUP(Table15[[#This Row],[Year]]-1,$N$2:$N$27,$P$2:$P$27)*(1+Table15[[#This Row],[Ávöxtun]]),ISNUMBER(Table15[[#This Row],[Column4]]),Table15[[#This Row],[Column4]],Table15[[#This Row],[Column4]]="",I304*(1+Table15[[#This Row],[Ávöxtun]]))</f>
        <v>104.28134399999999</v>
      </c>
      <c r="L305" s="33">
        <v>104.28134399999999</v>
      </c>
      <c r="M305" s="33">
        <v>104.28134399999999</v>
      </c>
    </row>
    <row r="306" spans="1:13">
      <c r="A306" t="s">
        <v>82</v>
      </c>
      <c r="B306">
        <v>2002</v>
      </c>
      <c r="C306" s="16">
        <v>-0.08</v>
      </c>
      <c r="D306" s="1">
        <v>2003247</v>
      </c>
      <c r="E306" s="29">
        <f>Table15[[#This Row],[Ávöxtun]]*Table15[[#This Row],[Eignir]]/SUMIFS(Table15[Eignir],Table15[Year],Table15[[#This Row],[Year]])</f>
        <v>-2.5231234894578365E-4</v>
      </c>
      <c r="F306" s="23">
        <f>IF(B306=1997, 100, IF(COUNTIF(A$1:A305,A306)=0, "NEW", F305*(1+Table15[[#This Row],[Ávöxtun]])))</f>
        <v>95.938836479999992</v>
      </c>
      <c r="G306" s="18" cm="1">
        <f t="array" ref="G306">IFERROR(_xlfn.IFS(ISNUMBER(Table15[[#This Row],[Column3]]),Table15[[#This Row],[Column3]],Table15[[#This Row],[Column3]]="NEW",Table15[[#This Row],[Column3]]),"")</f>
        <v>95.938836479999992</v>
      </c>
      <c r="H306" s="15" cm="1">
        <f t="array" ref="H306">_xlfn.IFS(Table15[[#This Row],[Column4]]="NEW",AVERAGEIFS(Table15[Column4],Table15[Year],Table15[[#This Row],[Year]]),ISNUMBER(Table15[[#This Row],[Column4]]),Table15[[#This Row],[Column4]],Table15[[#This Row],[Column4]]="",H305*(1+Table15[[#This Row],[Ávöxtun]]))</f>
        <v>95.938836479999992</v>
      </c>
      <c r="I306" s="30" cm="1">
        <f t="array" ref="I306">_xlfn.IFS(Table15[[#This Row],[Column4]]="NEW",_xlfn.XLOOKUP(Table15[[#This Row],[Year]]-1,$N$2:$N$27,$P$2:$P$27)*(1+Table15[[#This Row],[Ávöxtun]]),ISNUMBER(Table15[[#This Row],[Column4]]),Table15[[#This Row],[Column4]],Table15[[#This Row],[Column4]]="",I305*(1+Table15[[#This Row],[Ávöxtun]]))</f>
        <v>95.938836479999992</v>
      </c>
      <c r="L306" s="33">
        <v>95.938836479999992</v>
      </c>
      <c r="M306" s="33">
        <v>95.938836479999992</v>
      </c>
    </row>
    <row r="307" spans="1:13">
      <c r="A307" t="s">
        <v>82</v>
      </c>
      <c r="B307">
        <v>2003</v>
      </c>
      <c r="C307" s="16">
        <v>0.09</v>
      </c>
      <c r="D307" s="1">
        <v>2279171</v>
      </c>
      <c r="E307" s="29">
        <f>Table15[[#This Row],[Ávöxtun]]*Table15[[#This Row],[Eignir]]/SUMIFS(Table15[Eignir],Table15[Year],Table15[[#This Row],[Year]])</f>
        <v>2.6994040383243481E-4</v>
      </c>
      <c r="F307" s="23">
        <f>IF(B307=1997, 100, IF(COUNTIF(A$1:A306,A307)=0, "NEW", F306*(1+Table15[[#This Row],[Ávöxtun]])))</f>
        <v>104.5733317632</v>
      </c>
      <c r="G307" s="18" cm="1">
        <f t="array" ref="G307">IFERROR(_xlfn.IFS(ISNUMBER(Table15[[#This Row],[Column3]]),Table15[[#This Row],[Column3]],Table15[[#This Row],[Column3]]="NEW",Table15[[#This Row],[Column3]]),"")</f>
        <v>104.5733317632</v>
      </c>
      <c r="H307" s="15" cm="1">
        <f t="array" ref="H307">_xlfn.IFS(Table15[[#This Row],[Column4]]="NEW",AVERAGEIFS(Table15[Column4],Table15[Year],Table15[[#This Row],[Year]]),ISNUMBER(Table15[[#This Row],[Column4]]),Table15[[#This Row],[Column4]],Table15[[#This Row],[Column4]]="",H306*(1+Table15[[#This Row],[Ávöxtun]]))</f>
        <v>104.5733317632</v>
      </c>
      <c r="I307" s="30" cm="1">
        <f t="array" ref="I307">_xlfn.IFS(Table15[[#This Row],[Column4]]="NEW",_xlfn.XLOOKUP(Table15[[#This Row],[Year]]-1,$N$2:$N$27,$P$2:$P$27)*(1+Table15[[#This Row],[Ávöxtun]]),ISNUMBER(Table15[[#This Row],[Column4]]),Table15[[#This Row],[Column4]],Table15[[#This Row],[Column4]]="",I306*(1+Table15[[#This Row],[Ávöxtun]]))</f>
        <v>104.5733317632</v>
      </c>
      <c r="L307" s="33">
        <v>104.5733317632</v>
      </c>
      <c r="M307" s="33">
        <v>104.5733317632</v>
      </c>
    </row>
    <row r="308" spans="1:13">
      <c r="A308" t="s">
        <v>82</v>
      </c>
      <c r="B308">
        <v>2004</v>
      </c>
      <c r="C308" s="16">
        <v>0.06</v>
      </c>
      <c r="D308" s="1">
        <v>2542380</v>
      </c>
      <c r="E308" s="29">
        <f>Table15[[#This Row],[Ávöxtun]]*Table15[[#This Row],[Eignir]]/SUMIFS(Table15[Eignir],Table15[Year],Table15[[#This Row],[Year]])</f>
        <v>1.6805967869696297E-4</v>
      </c>
      <c r="F308" s="23">
        <f>IF(B308=1997, 100, IF(COUNTIF(A$1:A307,A308)=0, "NEW", F307*(1+Table15[[#This Row],[Ávöxtun]])))</f>
        <v>110.84773166899201</v>
      </c>
      <c r="G308" s="18" cm="1">
        <f t="array" ref="G308">IFERROR(_xlfn.IFS(ISNUMBER(Table15[[#This Row],[Column3]]),Table15[[#This Row],[Column3]],Table15[[#This Row],[Column3]]="NEW",Table15[[#This Row],[Column3]]),"")</f>
        <v>110.84773166899201</v>
      </c>
      <c r="H308" s="15" cm="1">
        <f t="array" ref="H308">_xlfn.IFS(Table15[[#This Row],[Column4]]="NEW",AVERAGEIFS(Table15[Column4],Table15[Year],Table15[[#This Row],[Year]]),ISNUMBER(Table15[[#This Row],[Column4]]),Table15[[#This Row],[Column4]],Table15[[#This Row],[Column4]]="",H307*(1+Table15[[#This Row],[Ávöxtun]]))</f>
        <v>110.84773166899201</v>
      </c>
      <c r="I308" s="30" cm="1">
        <f t="array" ref="I308">_xlfn.IFS(Table15[[#This Row],[Column4]]="NEW",_xlfn.XLOOKUP(Table15[[#This Row],[Year]]-1,$N$2:$N$27,$P$2:$P$27)*(1+Table15[[#This Row],[Ávöxtun]]),ISNUMBER(Table15[[#This Row],[Column4]]),Table15[[#This Row],[Column4]],Table15[[#This Row],[Column4]]="",I307*(1+Table15[[#This Row],[Ávöxtun]]))</f>
        <v>110.84773166899201</v>
      </c>
      <c r="L308" s="33">
        <v>110.84773166899201</v>
      </c>
      <c r="M308" s="33">
        <v>110.84773166899201</v>
      </c>
    </row>
    <row r="309" spans="1:13">
      <c r="A309" t="s">
        <v>82</v>
      </c>
      <c r="B309">
        <v>2005</v>
      </c>
      <c r="C309" s="16">
        <v>0.08</v>
      </c>
      <c r="D309" s="1">
        <v>2910238</v>
      </c>
      <c r="E309" s="29">
        <f>Table15[[#This Row],[Ávöxtun]]*Table15[[#This Row],[Eignir]]/SUMIFS(Table15[Eignir],Table15[Year],Table15[[#This Row],[Year]])</f>
        <v>2.0762615177152054E-4</v>
      </c>
      <c r="F309" s="23">
        <f>IF(B309=1997, 100, IF(COUNTIF(A$1:A308,A309)=0, "NEW", F308*(1+Table15[[#This Row],[Ávöxtun]])))</f>
        <v>119.71555020251138</v>
      </c>
      <c r="G309" s="18" cm="1">
        <f t="array" ref="G309">IFERROR(_xlfn.IFS(ISNUMBER(Table15[[#This Row],[Column3]]),Table15[[#This Row],[Column3]],Table15[[#This Row],[Column3]]="NEW",Table15[[#This Row],[Column3]]),"")</f>
        <v>119.71555020251138</v>
      </c>
      <c r="H309" s="15" cm="1">
        <f t="array" ref="H309">_xlfn.IFS(Table15[[#This Row],[Column4]]="NEW",AVERAGEIFS(Table15[Column4],Table15[Year],Table15[[#This Row],[Year]]),ISNUMBER(Table15[[#This Row],[Column4]]),Table15[[#This Row],[Column4]],Table15[[#This Row],[Column4]]="",H308*(1+Table15[[#This Row],[Ávöxtun]]))</f>
        <v>119.71555020251138</v>
      </c>
      <c r="I309" s="30" cm="1">
        <f t="array" ref="I309">_xlfn.IFS(Table15[[#This Row],[Column4]]="NEW",_xlfn.XLOOKUP(Table15[[#This Row],[Year]]-1,$N$2:$N$27,$P$2:$P$27)*(1+Table15[[#This Row],[Ávöxtun]]),ISNUMBER(Table15[[#This Row],[Column4]]),Table15[[#This Row],[Column4]],Table15[[#This Row],[Column4]]="",I308*(1+Table15[[#This Row],[Ávöxtun]]))</f>
        <v>119.71555020251138</v>
      </c>
      <c r="L309" s="33">
        <v>119.71555020251138</v>
      </c>
      <c r="M309" s="33">
        <v>119.71555020251138</v>
      </c>
    </row>
    <row r="310" spans="1:13">
      <c r="A310" t="s">
        <v>83</v>
      </c>
      <c r="B310">
        <v>1997</v>
      </c>
      <c r="C310" s="16">
        <v>0.08</v>
      </c>
      <c r="D310" s="1">
        <v>2151349.7400000002</v>
      </c>
      <c r="E310" s="29">
        <f>Table15[[#This Row],[Ávöxtun]]*Table15[[#This Row],[Eignir]]/SUMIFS(Table15[Eignir],Table15[Year],Table15[[#This Row],[Year]])</f>
        <v>5.0765520473411115E-4</v>
      </c>
      <c r="F310" s="23">
        <f>IF(B310=1997, 100, IF(COUNTIF(A$1:A309,A310)=0, "NEW", F309*(1+Table15[[#This Row],[Ávöxtun]])))</f>
        <v>100</v>
      </c>
      <c r="G310" s="18" cm="1">
        <f t="array" ref="G310">IFERROR(_xlfn.IFS(ISNUMBER(Table15[[#This Row],[Column3]]),Table15[[#This Row],[Column3]],Table15[[#This Row],[Column3]]="NEW",Table15[[#This Row],[Column3]]),"")</f>
        <v>100</v>
      </c>
      <c r="H310" s="15" cm="1">
        <f t="array" ref="H310">_xlfn.IFS(Table15[[#This Row],[Column4]]="NEW",AVERAGEIFS(Table15[Column4],Table15[Year],Table15[[#This Row],[Year]]),ISNUMBER(Table15[[#This Row],[Column4]]),Table15[[#This Row],[Column4]],Table15[[#This Row],[Column4]]="",H309*(1+Table15[[#This Row],[Ávöxtun]]))</f>
        <v>100</v>
      </c>
      <c r="I310" s="30" cm="1">
        <f t="array" ref="I310">_xlfn.IFS(Table15[[#This Row],[Column4]]="NEW",_xlfn.XLOOKUP(Table15[[#This Row],[Year]]-1,$N$2:$N$27,$P$2:$P$27)*(1+Table15[[#This Row],[Ávöxtun]]),ISNUMBER(Table15[[#This Row],[Column4]]),Table15[[#This Row],[Column4]],Table15[[#This Row],[Column4]]="",I309*(1+Table15[[#This Row],[Ávöxtun]]))</f>
        <v>100</v>
      </c>
      <c r="L310" s="33">
        <v>100</v>
      </c>
      <c r="M310" s="33">
        <v>100</v>
      </c>
    </row>
    <row r="311" spans="1:13">
      <c r="A311" t="s">
        <v>83</v>
      </c>
      <c r="B311">
        <v>1998</v>
      </c>
      <c r="C311" s="16">
        <v>0.11</v>
      </c>
      <c r="D311" s="1">
        <v>2336810.54</v>
      </c>
      <c r="E311" s="29">
        <f>Table15[[#This Row],[Ávöxtun]]*Table15[[#This Row],[Eignir]]/SUMIFS(Table15[Eignir],Table15[Year],Table15[[#This Row],[Year]])</f>
        <v>6.563489420843352E-4</v>
      </c>
      <c r="F311" s="23">
        <f>IF(B311=1997, 100, IF(COUNTIF(A$1:A310,A311)=0, "NEW", F310*(1+Table15[[#This Row],[Ávöxtun]])))</f>
        <v>111.00000000000001</v>
      </c>
      <c r="G311" s="18" cm="1">
        <f t="array" ref="G311">IFERROR(_xlfn.IFS(ISNUMBER(Table15[[#This Row],[Column3]]),Table15[[#This Row],[Column3]],Table15[[#This Row],[Column3]]="NEW",Table15[[#This Row],[Column3]]),"")</f>
        <v>111.00000000000001</v>
      </c>
      <c r="H311" s="15" cm="1">
        <f t="array" ref="H311">_xlfn.IFS(Table15[[#This Row],[Column4]]="NEW",AVERAGEIFS(Table15[Column4],Table15[Year],Table15[[#This Row],[Year]]),ISNUMBER(Table15[[#This Row],[Column4]]),Table15[[#This Row],[Column4]],Table15[[#This Row],[Column4]]="",H310*(1+Table15[[#This Row],[Ávöxtun]]))</f>
        <v>111.00000000000001</v>
      </c>
      <c r="I311" s="30" cm="1">
        <f t="array" ref="I311">_xlfn.IFS(Table15[[#This Row],[Column4]]="NEW",_xlfn.XLOOKUP(Table15[[#This Row],[Year]]-1,$N$2:$N$27,$P$2:$P$27)*(1+Table15[[#This Row],[Ávöxtun]]),ISNUMBER(Table15[[#This Row],[Column4]]),Table15[[#This Row],[Column4]],Table15[[#This Row],[Column4]]="",I310*(1+Table15[[#This Row],[Ávöxtun]]))</f>
        <v>111.00000000000001</v>
      </c>
      <c r="L311" s="33">
        <v>111.00000000000001</v>
      </c>
      <c r="M311" s="33">
        <v>111.00000000000001</v>
      </c>
    </row>
    <row r="312" spans="1:13">
      <c r="A312" t="s">
        <v>83</v>
      </c>
      <c r="B312">
        <v>1999</v>
      </c>
      <c r="C312" s="16">
        <v>0.16</v>
      </c>
      <c r="D312" s="1">
        <v>2736516.12</v>
      </c>
      <c r="E312" s="29">
        <f>Table15[[#This Row],[Ávöxtun]]*Table15[[#This Row],[Eignir]]/SUMIFS(Table15[Eignir],Table15[Year],Table15[[#This Row],[Year]])</f>
        <v>8.4084606982253005E-4</v>
      </c>
      <c r="F312" s="23">
        <f>IF(B312=1997, 100, IF(COUNTIF(A$1:A311,A312)=0, "NEW", F311*(1+Table15[[#This Row],[Ávöxtun]])))</f>
        <v>128.76000000000002</v>
      </c>
      <c r="G312" s="18" cm="1">
        <f t="array" ref="G312">IFERROR(_xlfn.IFS(ISNUMBER(Table15[[#This Row],[Column3]]),Table15[[#This Row],[Column3]],Table15[[#This Row],[Column3]]="NEW",Table15[[#This Row],[Column3]]),"")</f>
        <v>128.76000000000002</v>
      </c>
      <c r="H312" s="15" cm="1">
        <f t="array" ref="H312">_xlfn.IFS(Table15[[#This Row],[Column4]]="NEW",AVERAGEIFS(Table15[Column4],Table15[Year],Table15[[#This Row],[Year]]),ISNUMBER(Table15[[#This Row],[Column4]]),Table15[[#This Row],[Column4]],Table15[[#This Row],[Column4]]="",H311*(1+Table15[[#This Row],[Ávöxtun]]))</f>
        <v>128.76000000000002</v>
      </c>
      <c r="I312" s="30" cm="1">
        <f t="array" ref="I312">_xlfn.IFS(Table15[[#This Row],[Column4]]="NEW",_xlfn.XLOOKUP(Table15[[#This Row],[Year]]-1,$N$2:$N$27,$P$2:$P$27)*(1+Table15[[#This Row],[Ávöxtun]]),ISNUMBER(Table15[[#This Row],[Column4]]),Table15[[#This Row],[Column4]],Table15[[#This Row],[Column4]]="",I311*(1+Table15[[#This Row],[Ávöxtun]]))</f>
        <v>128.76000000000002</v>
      </c>
      <c r="L312" s="33">
        <v>128.76000000000002</v>
      </c>
      <c r="M312" s="33">
        <v>128.76000000000002</v>
      </c>
    </row>
    <row r="313" spans="1:13">
      <c r="A313" t="s">
        <v>83</v>
      </c>
      <c r="B313">
        <v>2000</v>
      </c>
      <c r="C313" s="16">
        <v>-0.16</v>
      </c>
      <c r="D313" s="1">
        <v>5047478.04</v>
      </c>
      <c r="E313" s="29">
        <f>Table15[[#This Row],[Ávöxtun]]*Table15[[#This Row],[Eignir]]/SUMIFS(Table15[Eignir],Table15[Year],Table15[[#This Row],[Year]])</f>
        <v>-1.136036257205593E-3</v>
      </c>
      <c r="F313" s="23">
        <f>IF(B313=1997, 100, IF(COUNTIF(A$1:A312,A313)=0, "NEW", F312*(1+Table15[[#This Row],[Ávöxtun]])))</f>
        <v>108.15840000000001</v>
      </c>
      <c r="G313" s="18" cm="1">
        <f t="array" ref="G313">IFERROR(_xlfn.IFS(ISNUMBER(Table15[[#This Row],[Column3]]),Table15[[#This Row],[Column3]],Table15[[#This Row],[Column3]]="NEW",Table15[[#This Row],[Column3]]),"")</f>
        <v>108.15840000000001</v>
      </c>
      <c r="H313" s="15" cm="1">
        <f t="array" ref="H313">_xlfn.IFS(Table15[[#This Row],[Column4]]="NEW",AVERAGEIFS(Table15[Column4],Table15[Year],Table15[[#This Row],[Year]]),ISNUMBER(Table15[[#This Row],[Column4]]),Table15[[#This Row],[Column4]],Table15[[#This Row],[Column4]]="",H312*(1+Table15[[#This Row],[Ávöxtun]]))</f>
        <v>108.15840000000001</v>
      </c>
      <c r="I313" s="30" cm="1">
        <f t="array" ref="I313">_xlfn.IFS(Table15[[#This Row],[Column4]]="NEW",_xlfn.XLOOKUP(Table15[[#This Row],[Year]]-1,$N$2:$N$27,$P$2:$P$27)*(1+Table15[[#This Row],[Ávöxtun]]),ISNUMBER(Table15[[#This Row],[Column4]]),Table15[[#This Row],[Column4]],Table15[[#This Row],[Column4]]="",I312*(1+Table15[[#This Row],[Ávöxtun]]))</f>
        <v>108.15840000000001</v>
      </c>
      <c r="L313" s="33">
        <v>108.15840000000001</v>
      </c>
      <c r="M313" s="33">
        <v>108.15840000000001</v>
      </c>
    </row>
    <row r="314" spans="1:13">
      <c r="A314" t="s">
        <v>83</v>
      </c>
      <c r="B314">
        <v>2001</v>
      </c>
      <c r="C314" s="16">
        <v>-0.03</v>
      </c>
      <c r="D314" s="1">
        <v>5126129</v>
      </c>
      <c r="E314" s="29">
        <f>Table15[[#This Row],[Ávöxtun]]*Table15[[#This Row],[Eignir]]/SUMIFS(Table15[Eignir],Table15[Year],Table15[[#This Row],[Year]])</f>
        <v>-1.3281093508418787E-4</v>
      </c>
      <c r="F314" s="23">
        <f>IF(B314=1997, 100, IF(COUNTIF(A$1:A313,A314)=0, "NEW", F313*(1+Table15[[#This Row],[Ávöxtun]])))</f>
        <v>104.91364800000001</v>
      </c>
      <c r="G314" s="18" cm="1">
        <f t="array" ref="G314">IFERROR(_xlfn.IFS(ISNUMBER(Table15[[#This Row],[Column3]]),Table15[[#This Row],[Column3]],Table15[[#This Row],[Column3]]="NEW",Table15[[#This Row],[Column3]]),"")</f>
        <v>104.91364800000001</v>
      </c>
      <c r="H314" s="15" cm="1">
        <f t="array" ref="H314">_xlfn.IFS(Table15[[#This Row],[Column4]]="NEW",AVERAGEIFS(Table15[Column4],Table15[Year],Table15[[#This Row],[Year]]),ISNUMBER(Table15[[#This Row],[Column4]]),Table15[[#This Row],[Column4]],Table15[[#This Row],[Column4]]="",H313*(1+Table15[[#This Row],[Ávöxtun]]))</f>
        <v>104.91364800000001</v>
      </c>
      <c r="I314" s="30" cm="1">
        <f t="array" ref="I314">_xlfn.IFS(Table15[[#This Row],[Column4]]="NEW",_xlfn.XLOOKUP(Table15[[#This Row],[Year]]-1,$N$2:$N$27,$P$2:$P$27)*(1+Table15[[#This Row],[Ávöxtun]]),ISNUMBER(Table15[[#This Row],[Column4]]),Table15[[#This Row],[Column4]],Table15[[#This Row],[Column4]]="",I313*(1+Table15[[#This Row],[Ávöxtun]]))</f>
        <v>104.91364800000001</v>
      </c>
      <c r="L314" s="33">
        <v>104.91364800000001</v>
      </c>
      <c r="M314" s="33">
        <v>104.91364800000001</v>
      </c>
    </row>
    <row r="315" spans="1:13">
      <c r="A315" t="s">
        <v>83</v>
      </c>
      <c r="B315">
        <v>2002</v>
      </c>
      <c r="C315" s="16">
        <v>0.08</v>
      </c>
      <c r="D315" s="1">
        <v>2646654</v>
      </c>
      <c r="E315" s="29">
        <f>Table15[[#This Row],[Ávöxtun]]*Table15[[#This Row],[Eignir]]/SUMIFS(Table15[Eignir],Table15[Year],Table15[[#This Row],[Year]])</f>
        <v>3.3335054917678852E-4</v>
      </c>
      <c r="F315" s="23">
        <f>IF(B315=1997, 100, IF(COUNTIF(A$1:A314,A315)=0, "NEW", F314*(1+Table15[[#This Row],[Ávöxtun]])))</f>
        <v>113.30673984000002</v>
      </c>
      <c r="G315" s="18" cm="1">
        <f t="array" ref="G315">IFERROR(_xlfn.IFS(ISNUMBER(Table15[[#This Row],[Column3]]),Table15[[#This Row],[Column3]],Table15[[#This Row],[Column3]]="NEW",Table15[[#This Row],[Column3]]),"")</f>
        <v>113.30673984000002</v>
      </c>
      <c r="H315" s="15" cm="1">
        <f t="array" ref="H315">_xlfn.IFS(Table15[[#This Row],[Column4]]="NEW",AVERAGEIFS(Table15[Column4],Table15[Year],Table15[[#This Row],[Year]]),ISNUMBER(Table15[[#This Row],[Column4]]),Table15[[#This Row],[Column4]],Table15[[#This Row],[Column4]]="",H314*(1+Table15[[#This Row],[Ávöxtun]]))</f>
        <v>113.30673984000002</v>
      </c>
      <c r="I315" s="30" cm="1">
        <f t="array" ref="I315">_xlfn.IFS(Table15[[#This Row],[Column4]]="NEW",_xlfn.XLOOKUP(Table15[[#This Row],[Year]]-1,$N$2:$N$27,$P$2:$P$27)*(1+Table15[[#This Row],[Ávöxtun]]),ISNUMBER(Table15[[#This Row],[Column4]]),Table15[[#This Row],[Column4]],Table15[[#This Row],[Column4]]="",I314*(1+Table15[[#This Row],[Ávöxtun]]))</f>
        <v>113.30673984000002</v>
      </c>
      <c r="L315" s="33">
        <v>113.30673984000002</v>
      </c>
      <c r="M315" s="33">
        <v>113.30673984000002</v>
      </c>
    </row>
    <row r="316" spans="1:13">
      <c r="A316" t="s">
        <v>83</v>
      </c>
      <c r="B316">
        <v>2003</v>
      </c>
      <c r="C316" s="16">
        <v>0.1</v>
      </c>
      <c r="D316" s="1">
        <v>2730488</v>
      </c>
      <c r="E316" s="29">
        <f>Table15[[#This Row],[Ávöxtun]]*Table15[[#This Row],[Eignir]]/SUMIFS(Table15[Eignir],Table15[Year],Table15[[#This Row],[Year]])</f>
        <v>3.5932608507392347E-4</v>
      </c>
      <c r="F316" s="23">
        <f>IF(B316=1997, 100, IF(COUNTIF(A$1:A315,A316)=0, "NEW", F315*(1+Table15[[#This Row],[Ávöxtun]])))</f>
        <v>124.63741382400003</v>
      </c>
      <c r="G316" s="18" cm="1">
        <f t="array" ref="G316">IFERROR(_xlfn.IFS(ISNUMBER(Table15[[#This Row],[Column3]]),Table15[[#This Row],[Column3]],Table15[[#This Row],[Column3]]="NEW",Table15[[#This Row],[Column3]]),"")</f>
        <v>124.63741382400003</v>
      </c>
      <c r="H316" s="15" cm="1">
        <f t="array" ref="H316">_xlfn.IFS(Table15[[#This Row],[Column4]]="NEW",AVERAGEIFS(Table15[Column4],Table15[Year],Table15[[#This Row],[Year]]),ISNUMBER(Table15[[#This Row],[Column4]]),Table15[[#This Row],[Column4]],Table15[[#This Row],[Column4]]="",H315*(1+Table15[[#This Row],[Ávöxtun]]))</f>
        <v>124.63741382400003</v>
      </c>
      <c r="I316" s="30" cm="1">
        <f t="array" ref="I316">_xlfn.IFS(Table15[[#This Row],[Column4]]="NEW",_xlfn.XLOOKUP(Table15[[#This Row],[Year]]-1,$N$2:$N$27,$P$2:$P$27)*(1+Table15[[#This Row],[Ávöxtun]]),ISNUMBER(Table15[[#This Row],[Column4]]),Table15[[#This Row],[Column4]],Table15[[#This Row],[Column4]]="",I315*(1+Table15[[#This Row],[Ávöxtun]]))</f>
        <v>124.63741382400003</v>
      </c>
      <c r="L316" s="33">
        <v>124.63741382400003</v>
      </c>
      <c r="M316" s="33">
        <v>124.63741382400003</v>
      </c>
    </row>
    <row r="317" spans="1:13">
      <c r="A317" t="s">
        <v>83</v>
      </c>
      <c r="B317">
        <v>2004</v>
      </c>
      <c r="C317" s="16">
        <v>0.25</v>
      </c>
      <c r="D317" s="1">
        <v>3121926</v>
      </c>
      <c r="E317" s="29">
        <f>Table15[[#This Row],[Ávöxtun]]*Table15[[#This Row],[Eignir]]/SUMIFS(Table15[Eignir],Table15[Year],Table15[[#This Row],[Year]])</f>
        <v>8.5987322980123418E-4</v>
      </c>
      <c r="F317" s="23">
        <f>IF(B317=1997, 100, IF(COUNTIF(A$1:A316,A317)=0, "NEW", F316*(1+Table15[[#This Row],[Ávöxtun]])))</f>
        <v>155.79676728000004</v>
      </c>
      <c r="G317" s="18" cm="1">
        <f t="array" ref="G317">IFERROR(_xlfn.IFS(ISNUMBER(Table15[[#This Row],[Column3]]),Table15[[#This Row],[Column3]],Table15[[#This Row],[Column3]]="NEW",Table15[[#This Row],[Column3]]),"")</f>
        <v>155.79676728000004</v>
      </c>
      <c r="H317" s="15" cm="1">
        <f t="array" ref="H317">_xlfn.IFS(Table15[[#This Row],[Column4]]="NEW",AVERAGEIFS(Table15[Column4],Table15[Year],Table15[[#This Row],[Year]]),ISNUMBER(Table15[[#This Row],[Column4]]),Table15[[#This Row],[Column4]],Table15[[#This Row],[Column4]]="",H316*(1+Table15[[#This Row],[Ávöxtun]]))</f>
        <v>155.79676728000004</v>
      </c>
      <c r="I317" s="30" cm="1">
        <f t="array" ref="I317">_xlfn.IFS(Table15[[#This Row],[Column4]]="NEW",_xlfn.XLOOKUP(Table15[[#This Row],[Year]]-1,$N$2:$N$27,$P$2:$P$27)*(1+Table15[[#This Row],[Ávöxtun]]),ISNUMBER(Table15[[#This Row],[Column4]]),Table15[[#This Row],[Column4]],Table15[[#This Row],[Column4]]="",I316*(1+Table15[[#This Row],[Ávöxtun]]))</f>
        <v>155.79676728000004</v>
      </c>
      <c r="L317" s="33">
        <v>155.79676728000004</v>
      </c>
      <c r="M317" s="33">
        <v>155.79676728000004</v>
      </c>
    </row>
    <row r="318" spans="1:13">
      <c r="A318" t="s">
        <v>83</v>
      </c>
      <c r="B318">
        <v>2005</v>
      </c>
      <c r="C318" s="16">
        <v>0.18</v>
      </c>
      <c r="D318" s="1">
        <v>3529049</v>
      </c>
      <c r="E318" s="29">
        <f>Table15[[#This Row],[Ávöxtun]]*Table15[[#This Row],[Eignir]]/SUMIFS(Table15[Eignir],Table15[Year],Table15[[#This Row],[Year]])</f>
        <v>5.6649196470771423E-4</v>
      </c>
      <c r="F318" s="23">
        <f>IF(B318=1997, 100, IF(COUNTIF(A$1:A317,A318)=0, "NEW", F317*(1+Table15[[#This Row],[Ávöxtun]])))</f>
        <v>183.84018539040002</v>
      </c>
      <c r="G318" s="18" cm="1">
        <f t="array" ref="G318">IFERROR(_xlfn.IFS(ISNUMBER(Table15[[#This Row],[Column3]]),Table15[[#This Row],[Column3]],Table15[[#This Row],[Column3]]="NEW",Table15[[#This Row],[Column3]]),"")</f>
        <v>183.84018539040002</v>
      </c>
      <c r="H318" s="15" cm="1">
        <f t="array" ref="H318">_xlfn.IFS(Table15[[#This Row],[Column4]]="NEW",AVERAGEIFS(Table15[Column4],Table15[Year],Table15[[#This Row],[Year]]),ISNUMBER(Table15[[#This Row],[Column4]]),Table15[[#This Row],[Column4]],Table15[[#This Row],[Column4]]="",H317*(1+Table15[[#This Row],[Ávöxtun]]))</f>
        <v>183.84018539040002</v>
      </c>
      <c r="I318" s="30" cm="1">
        <f t="array" ref="I318">_xlfn.IFS(Table15[[#This Row],[Column4]]="NEW",_xlfn.XLOOKUP(Table15[[#This Row],[Year]]-1,$N$2:$N$27,$P$2:$P$27)*(1+Table15[[#This Row],[Ávöxtun]]),ISNUMBER(Table15[[#This Row],[Column4]]),Table15[[#This Row],[Column4]],Table15[[#This Row],[Column4]]="",I317*(1+Table15[[#This Row],[Ávöxtun]]))</f>
        <v>183.84018539040002</v>
      </c>
      <c r="L318" s="33">
        <v>183.84018539040002</v>
      </c>
      <c r="M318" s="33">
        <v>183.84018539040002</v>
      </c>
    </row>
    <row r="319" spans="1:13">
      <c r="A319" t="s">
        <v>83</v>
      </c>
      <c r="B319">
        <v>2006</v>
      </c>
      <c r="C319" s="16">
        <v>8.2699999999999996E-2</v>
      </c>
      <c r="D319" s="1">
        <v>3828542</v>
      </c>
      <c r="E319" s="29">
        <f>Table15[[#This Row],[Ávöxtun]]*Table15[[#This Row],[Eignir]]/SUMIFS(Table15[Eignir],Table15[Year],Table15[[#This Row],[Year]])</f>
        <v>2.306593154082635E-4</v>
      </c>
      <c r="F319" s="23">
        <f>IF(B319=1997, 100, IF(COUNTIF(A$1:A318,A319)=0, "NEW", F318*(1+Table15[[#This Row],[Ávöxtun]])))</f>
        <v>199.04376872218612</v>
      </c>
      <c r="G319" s="18" cm="1">
        <f t="array" ref="G319">IFERROR(_xlfn.IFS(ISNUMBER(Table15[[#This Row],[Column3]]),Table15[[#This Row],[Column3]],Table15[[#This Row],[Column3]]="NEW",Table15[[#This Row],[Column3]]),"")</f>
        <v>199.04376872218612</v>
      </c>
      <c r="H319" s="15" cm="1">
        <f t="array" ref="H319">_xlfn.IFS(Table15[[#This Row],[Column4]]="NEW",AVERAGEIFS(Table15[Column4],Table15[Year],Table15[[#This Row],[Year]]),ISNUMBER(Table15[[#This Row],[Column4]]),Table15[[#This Row],[Column4]],Table15[[#This Row],[Column4]]="",H318*(1+Table15[[#This Row],[Ávöxtun]]))</f>
        <v>199.04376872218612</v>
      </c>
      <c r="I319" s="30" cm="1">
        <f t="array" ref="I319">_xlfn.IFS(Table15[[#This Row],[Column4]]="NEW",_xlfn.XLOOKUP(Table15[[#This Row],[Year]]-1,$N$2:$N$27,$P$2:$P$27)*(1+Table15[[#This Row],[Ávöxtun]]),ISNUMBER(Table15[[#This Row],[Column4]]),Table15[[#This Row],[Column4]],Table15[[#This Row],[Column4]]="",I318*(1+Table15[[#This Row],[Ávöxtun]]))</f>
        <v>199.04376872218612</v>
      </c>
      <c r="L319" s="33">
        <v>199.04376872218612</v>
      </c>
      <c r="M319" s="33">
        <v>199.04376872218612</v>
      </c>
    </row>
    <row r="320" spans="1:13">
      <c r="A320" t="s">
        <v>83</v>
      </c>
      <c r="B320">
        <v>2007</v>
      </c>
      <c r="C320" s="16">
        <v>4.6600000000000003E-2</v>
      </c>
      <c r="D320" s="1">
        <v>173802</v>
      </c>
      <c r="E320" s="29">
        <f>Table15[[#This Row],[Ávöxtun]]*Table15[[#This Row],[Eignir]]/SUMIFS(Table15[Eignir],Table15[Year],Table15[[#This Row],[Year]])</f>
        <v>5.2374102981152252E-6</v>
      </c>
      <c r="F320" s="23">
        <f>IF(B320=1997, 100, IF(COUNTIF(A$1:A319,A320)=0, "NEW", F319*(1+Table15[[#This Row],[Ávöxtun]])))</f>
        <v>208.31920834463997</v>
      </c>
      <c r="G320" s="18" cm="1">
        <f t="array" ref="G320">IFERROR(_xlfn.IFS(ISNUMBER(Table15[[#This Row],[Column3]]),Table15[[#This Row],[Column3]],Table15[[#This Row],[Column3]]="NEW",Table15[[#This Row],[Column3]]),"")</f>
        <v>208.31920834463997</v>
      </c>
      <c r="H320" s="15" cm="1">
        <f t="array" ref="H320">_xlfn.IFS(Table15[[#This Row],[Column4]]="NEW",AVERAGEIFS(Table15[Column4],Table15[Year],Table15[[#This Row],[Year]]),ISNUMBER(Table15[[#This Row],[Column4]]),Table15[[#This Row],[Column4]],Table15[[#This Row],[Column4]]="",H319*(1+Table15[[#This Row],[Ávöxtun]]))</f>
        <v>208.31920834463997</v>
      </c>
      <c r="I320" s="30" cm="1">
        <f t="array" ref="I320">_xlfn.IFS(Table15[[#This Row],[Column4]]="NEW",_xlfn.XLOOKUP(Table15[[#This Row],[Year]]-1,$N$2:$N$27,$P$2:$P$27)*(1+Table15[[#This Row],[Ávöxtun]]),ISNUMBER(Table15[[#This Row],[Column4]]),Table15[[#This Row],[Column4]],Table15[[#This Row],[Column4]]="",I319*(1+Table15[[#This Row],[Ávöxtun]]))</f>
        <v>208.31920834463997</v>
      </c>
      <c r="L320" s="33">
        <v>208.31920834463997</v>
      </c>
      <c r="M320" s="33">
        <v>208.31920834463997</v>
      </c>
    </row>
    <row r="321" spans="1:13">
      <c r="A321" t="s">
        <v>83</v>
      </c>
      <c r="B321">
        <v>2008</v>
      </c>
      <c r="C321" s="16">
        <v>-0.255</v>
      </c>
      <c r="D321" s="1">
        <v>117107</v>
      </c>
      <c r="E321" s="29">
        <f>Table15[[#This Row],[Ávöxtun]]*Table15[[#This Row],[Eignir]]/SUMIFS(Table15[Eignir],Table15[Year],Table15[[#This Row],[Year]])</f>
        <v>-1.9943850908422518E-5</v>
      </c>
      <c r="F321" s="23">
        <f>IF(B321=1997, 100, IF(COUNTIF(A$1:A320,A321)=0, "NEW", F320*(1+Table15[[#This Row],[Ávöxtun]])))</f>
        <v>155.19781021675678</v>
      </c>
      <c r="G321" s="18" cm="1">
        <f t="array" ref="G321">IFERROR(_xlfn.IFS(ISNUMBER(Table15[[#This Row],[Column3]]),Table15[[#This Row],[Column3]],Table15[[#This Row],[Column3]]="NEW",Table15[[#This Row],[Column3]]),"")</f>
        <v>155.19781021675678</v>
      </c>
      <c r="H321" s="15" cm="1">
        <f t="array" ref="H321">_xlfn.IFS(Table15[[#This Row],[Column4]]="NEW",AVERAGEIFS(Table15[Column4],Table15[Year],Table15[[#This Row],[Year]]),ISNUMBER(Table15[[#This Row],[Column4]]),Table15[[#This Row],[Column4]],Table15[[#This Row],[Column4]]="",H320*(1+Table15[[#This Row],[Ávöxtun]]))</f>
        <v>155.19781021675678</v>
      </c>
      <c r="I321" s="30" cm="1">
        <f t="array" ref="I321">_xlfn.IFS(Table15[[#This Row],[Column4]]="NEW",_xlfn.XLOOKUP(Table15[[#This Row],[Year]]-1,$N$2:$N$27,$P$2:$P$27)*(1+Table15[[#This Row],[Ávöxtun]]),ISNUMBER(Table15[[#This Row],[Column4]]),Table15[[#This Row],[Column4]],Table15[[#This Row],[Column4]]="",I320*(1+Table15[[#This Row],[Ávöxtun]]))</f>
        <v>155.19781021675678</v>
      </c>
      <c r="L321" s="33">
        <v>155.19781021675678</v>
      </c>
      <c r="M321" s="33">
        <v>155.19781021675678</v>
      </c>
    </row>
    <row r="322" spans="1:13">
      <c r="A322" t="s">
        <v>83</v>
      </c>
      <c r="B322">
        <v>2009</v>
      </c>
      <c r="C322" s="16">
        <v>-5.0000000000000001E-3</v>
      </c>
      <c r="D322" s="1">
        <v>88352</v>
      </c>
      <c r="E322" s="29">
        <f>Table15[[#This Row],[Ávöxtun]]*Table15[[#This Row],[Eignir]]/SUMIFS(Table15[Eignir],Table15[Year],Table15[[#This Row],[Year]])</f>
        <v>-2.6480310927044258E-7</v>
      </c>
      <c r="F322" s="23">
        <f>IF(B322=1997, 100, IF(COUNTIF(A$1:A321,A322)=0, "NEW", F321*(1+Table15[[#This Row],[Ávöxtun]])))</f>
        <v>154.42182116567298</v>
      </c>
      <c r="G322" s="18" cm="1">
        <f t="array" ref="G322">IFERROR(_xlfn.IFS(ISNUMBER(Table15[[#This Row],[Column3]]),Table15[[#This Row],[Column3]],Table15[[#This Row],[Column3]]="NEW",Table15[[#This Row],[Column3]]),"")</f>
        <v>154.42182116567298</v>
      </c>
      <c r="H322" s="15" cm="1">
        <f t="array" ref="H322">_xlfn.IFS(Table15[[#This Row],[Column4]]="NEW",AVERAGEIFS(Table15[Column4],Table15[Year],Table15[[#This Row],[Year]]),ISNUMBER(Table15[[#This Row],[Column4]]),Table15[[#This Row],[Column4]],Table15[[#This Row],[Column4]]="",H321*(1+Table15[[#This Row],[Ávöxtun]]))</f>
        <v>154.42182116567298</v>
      </c>
      <c r="I322" s="30" cm="1">
        <f t="array" ref="I322">_xlfn.IFS(Table15[[#This Row],[Column4]]="NEW",_xlfn.XLOOKUP(Table15[[#This Row],[Year]]-1,$N$2:$N$27,$P$2:$P$27)*(1+Table15[[#This Row],[Ávöxtun]]),ISNUMBER(Table15[[#This Row],[Column4]]),Table15[[#This Row],[Column4]],Table15[[#This Row],[Column4]]="",I321*(1+Table15[[#This Row],[Ávöxtun]]))</f>
        <v>154.42182116567298</v>
      </c>
      <c r="L322" s="33">
        <v>154.42182116567298</v>
      </c>
      <c r="M322" s="33">
        <v>154.42182116567298</v>
      </c>
    </row>
    <row r="323" spans="1:13">
      <c r="A323" t="s">
        <v>85</v>
      </c>
      <c r="B323">
        <v>1997</v>
      </c>
      <c r="C323" s="16">
        <v>0.05</v>
      </c>
      <c r="D323" s="1">
        <v>149601.20000000001</v>
      </c>
      <c r="E323" s="29">
        <f>Table15[[#This Row],[Ávöxtun]]*Table15[[#This Row],[Eignir]]/SUMIFS(Table15[Eignir],Table15[Year],Table15[[#This Row],[Year]])</f>
        <v>2.2063424417474281E-5</v>
      </c>
      <c r="F323" s="23">
        <f>IF(B323=1997, 100, IF(COUNTIF(A$1:A322,A323)=0, "NEW", F322*(1+Table15[[#This Row],[Ávöxtun]])))</f>
        <v>100</v>
      </c>
      <c r="G323" s="18" cm="1">
        <f t="array" ref="G323">IFERROR(_xlfn.IFS(ISNUMBER(Table15[[#This Row],[Column3]]),Table15[[#This Row],[Column3]],Table15[[#This Row],[Column3]]="NEW",Table15[[#This Row],[Column3]]),"")</f>
        <v>100</v>
      </c>
      <c r="H323" s="15" cm="1">
        <f t="array" ref="H323">_xlfn.IFS(Table15[[#This Row],[Column4]]="NEW",AVERAGEIFS(Table15[Column4],Table15[Year],Table15[[#This Row],[Year]]),ISNUMBER(Table15[[#This Row],[Column4]]),Table15[[#This Row],[Column4]],Table15[[#This Row],[Column4]]="",H322*(1+Table15[[#This Row],[Ávöxtun]]))</f>
        <v>100</v>
      </c>
      <c r="I323" s="30" cm="1">
        <f t="array" ref="I323">_xlfn.IFS(Table15[[#This Row],[Column4]]="NEW",_xlfn.XLOOKUP(Table15[[#This Row],[Year]]-1,$N$2:$N$27,$P$2:$P$27)*(1+Table15[[#This Row],[Ávöxtun]]),ISNUMBER(Table15[[#This Row],[Column4]]),Table15[[#This Row],[Column4]],Table15[[#This Row],[Column4]]="",I322*(1+Table15[[#This Row],[Ávöxtun]]))</f>
        <v>100</v>
      </c>
      <c r="L323" s="33">
        <v>100</v>
      </c>
      <c r="M323" s="33">
        <v>100</v>
      </c>
    </row>
    <row r="324" spans="1:13">
      <c r="A324" t="s">
        <v>85</v>
      </c>
      <c r="B324">
        <v>1998</v>
      </c>
      <c r="C324" s="16">
        <v>0.03</v>
      </c>
      <c r="D324" s="1">
        <v>153041.68</v>
      </c>
      <c r="E324" s="29">
        <f>Table15[[#This Row],[Ávöxtun]]*Table15[[#This Row],[Eignir]]/SUMIFS(Table15[Eignir],Table15[Year],Table15[[#This Row],[Year]])</f>
        <v>1.1723291956753549E-5</v>
      </c>
      <c r="F324" s="23">
        <f>IF(B324=1997, 100, IF(COUNTIF(A$1:A323,A324)=0, "NEW", F323*(1+Table15[[#This Row],[Ávöxtun]])))</f>
        <v>103</v>
      </c>
      <c r="G324" s="18" cm="1">
        <f t="array" ref="G324">IFERROR(_xlfn.IFS(ISNUMBER(Table15[[#This Row],[Column3]]),Table15[[#This Row],[Column3]],Table15[[#This Row],[Column3]]="NEW",Table15[[#This Row],[Column3]]),"")</f>
        <v>103</v>
      </c>
      <c r="H324" s="15" cm="1">
        <f t="array" ref="H324">_xlfn.IFS(Table15[[#This Row],[Column4]]="NEW",AVERAGEIFS(Table15[Column4],Table15[Year],Table15[[#This Row],[Year]]),ISNUMBER(Table15[[#This Row],[Column4]]),Table15[[#This Row],[Column4]],Table15[[#This Row],[Column4]]="",H323*(1+Table15[[#This Row],[Ávöxtun]]))</f>
        <v>103</v>
      </c>
      <c r="I324" s="30" cm="1">
        <f t="array" ref="I324">_xlfn.IFS(Table15[[#This Row],[Column4]]="NEW",_xlfn.XLOOKUP(Table15[[#This Row],[Year]]-1,$N$2:$N$27,$P$2:$P$27)*(1+Table15[[#This Row],[Ávöxtun]]),ISNUMBER(Table15[[#This Row],[Column4]]),Table15[[#This Row],[Column4]],Table15[[#This Row],[Column4]]="",I323*(1+Table15[[#This Row],[Ávöxtun]]))</f>
        <v>103</v>
      </c>
      <c r="L324" s="33">
        <v>103</v>
      </c>
      <c r="M324" s="33">
        <v>103</v>
      </c>
    </row>
    <row r="325" spans="1:13">
      <c r="A325" t="s">
        <v>85</v>
      </c>
      <c r="B325">
        <v>1999</v>
      </c>
      <c r="C325" s="16">
        <v>0.04</v>
      </c>
      <c r="D325" s="1">
        <v>169348.75</v>
      </c>
      <c r="E325" s="29">
        <f>Table15[[#This Row],[Ávöxtun]]*Table15[[#This Row],[Eignir]]/SUMIFS(Table15[Eignir],Table15[Year],Table15[[#This Row],[Year]])</f>
        <v>1.3008897501657889E-5</v>
      </c>
      <c r="F325" s="23">
        <f>IF(B325=1997, 100, IF(COUNTIF(A$1:A324,A325)=0, "NEW", F324*(1+Table15[[#This Row],[Ávöxtun]])))</f>
        <v>107.12</v>
      </c>
      <c r="G325" s="18" cm="1">
        <f t="array" ref="G325">IFERROR(_xlfn.IFS(ISNUMBER(Table15[[#This Row],[Column3]]),Table15[[#This Row],[Column3]],Table15[[#This Row],[Column3]]="NEW",Table15[[#This Row],[Column3]]),"")</f>
        <v>107.12</v>
      </c>
      <c r="H325" s="15" cm="1">
        <f t="array" ref="H325">_xlfn.IFS(Table15[[#This Row],[Column4]]="NEW",AVERAGEIFS(Table15[Column4],Table15[Year],Table15[[#This Row],[Year]]),ISNUMBER(Table15[[#This Row],[Column4]]),Table15[[#This Row],[Column4]],Table15[[#This Row],[Column4]]="",H324*(1+Table15[[#This Row],[Ávöxtun]]))</f>
        <v>107.12</v>
      </c>
      <c r="I325" s="30" cm="1">
        <f t="array" ref="I325">_xlfn.IFS(Table15[[#This Row],[Column4]]="NEW",_xlfn.XLOOKUP(Table15[[#This Row],[Year]]-1,$N$2:$N$27,$P$2:$P$27)*(1+Table15[[#This Row],[Ávöxtun]]),ISNUMBER(Table15[[#This Row],[Column4]]),Table15[[#This Row],[Column4]],Table15[[#This Row],[Column4]]="",I324*(1+Table15[[#This Row],[Ávöxtun]]))</f>
        <v>107.12</v>
      </c>
      <c r="L325" s="33">
        <v>107.12</v>
      </c>
      <c r="M325" s="33">
        <v>107.12</v>
      </c>
    </row>
    <row r="326" spans="1:13">
      <c r="A326" t="s">
        <v>85</v>
      </c>
      <c r="B326">
        <v>2000</v>
      </c>
      <c r="C326" s="16">
        <v>0</v>
      </c>
      <c r="D326" s="1">
        <v>166908.42000000001</v>
      </c>
      <c r="E326" s="29">
        <f>Table15[[#This Row],[Ávöxtun]]*Table15[[#This Row],[Eignir]]/SUMIFS(Table15[Eignir],Table15[Year],Table15[[#This Row],[Year]])</f>
        <v>0</v>
      </c>
      <c r="F326" s="23">
        <f>IF(B326=1997, 100, IF(COUNTIF(A$1:A325,A326)=0, "NEW", F325*(1+Table15[[#This Row],[Ávöxtun]])))</f>
        <v>107.12</v>
      </c>
      <c r="G326" s="18" cm="1">
        <f t="array" ref="G326">IFERROR(_xlfn.IFS(ISNUMBER(Table15[[#This Row],[Column3]]),Table15[[#This Row],[Column3]],Table15[[#This Row],[Column3]]="NEW",Table15[[#This Row],[Column3]]),"")</f>
        <v>107.12</v>
      </c>
      <c r="H326" s="15" cm="1">
        <f t="array" ref="H326">_xlfn.IFS(Table15[[#This Row],[Column4]]="NEW",AVERAGEIFS(Table15[Column4],Table15[Year],Table15[[#This Row],[Year]]),ISNUMBER(Table15[[#This Row],[Column4]]),Table15[[#This Row],[Column4]],Table15[[#This Row],[Column4]]="",H325*(1+Table15[[#This Row],[Ávöxtun]]))</f>
        <v>107.12</v>
      </c>
      <c r="I326" s="30" cm="1">
        <f t="array" ref="I326">_xlfn.IFS(Table15[[#This Row],[Column4]]="NEW",_xlfn.XLOOKUP(Table15[[#This Row],[Year]]-1,$N$2:$N$27,$P$2:$P$27)*(1+Table15[[#This Row],[Ávöxtun]]),ISNUMBER(Table15[[#This Row],[Column4]]),Table15[[#This Row],[Column4]],Table15[[#This Row],[Column4]]="",I325*(1+Table15[[#This Row],[Ávöxtun]]))</f>
        <v>107.12</v>
      </c>
      <c r="L326" s="33">
        <v>107.12</v>
      </c>
      <c r="M326" s="33">
        <v>107.12</v>
      </c>
    </row>
    <row r="327" spans="1:13">
      <c r="A327" t="s">
        <v>85</v>
      </c>
      <c r="B327">
        <v>2001</v>
      </c>
      <c r="C327" s="16">
        <v>0.03</v>
      </c>
      <c r="D327" s="1">
        <v>185420.39</v>
      </c>
      <c r="E327" s="29">
        <f>Table15[[#This Row],[Ávöxtun]]*Table15[[#This Row],[Eignir]]/SUMIFS(Table15[Eignir],Table15[Year],Table15[[#This Row],[Year]])</f>
        <v>4.8039866690000965E-6</v>
      </c>
      <c r="F327" s="23">
        <f>IF(B327=1997, 100, IF(COUNTIF(A$1:A326,A327)=0, "NEW", F326*(1+Table15[[#This Row],[Ávöxtun]])))</f>
        <v>110.3336</v>
      </c>
      <c r="G327" s="18" cm="1">
        <f t="array" ref="G327">IFERROR(_xlfn.IFS(ISNUMBER(Table15[[#This Row],[Column3]]),Table15[[#This Row],[Column3]],Table15[[#This Row],[Column3]]="NEW",Table15[[#This Row],[Column3]]),"")</f>
        <v>110.3336</v>
      </c>
      <c r="H327" s="15" cm="1">
        <f t="array" ref="H327">_xlfn.IFS(Table15[[#This Row],[Column4]]="NEW",AVERAGEIFS(Table15[Column4],Table15[Year],Table15[[#This Row],[Year]]),ISNUMBER(Table15[[#This Row],[Column4]]),Table15[[#This Row],[Column4]],Table15[[#This Row],[Column4]]="",H326*(1+Table15[[#This Row],[Ávöxtun]]))</f>
        <v>110.3336</v>
      </c>
      <c r="I327" s="30" cm="1">
        <f t="array" ref="I327">_xlfn.IFS(Table15[[#This Row],[Column4]]="NEW",_xlfn.XLOOKUP(Table15[[#This Row],[Year]]-1,$N$2:$N$27,$P$2:$P$27)*(1+Table15[[#This Row],[Ávöxtun]]),ISNUMBER(Table15[[#This Row],[Column4]]),Table15[[#This Row],[Column4]],Table15[[#This Row],[Column4]]="",I326*(1+Table15[[#This Row],[Ávöxtun]]))</f>
        <v>110.3336</v>
      </c>
      <c r="L327" s="33">
        <v>110.3336</v>
      </c>
      <c r="M327" s="33">
        <v>110.3336</v>
      </c>
    </row>
    <row r="328" spans="1:13">
      <c r="A328" t="s">
        <v>85</v>
      </c>
      <c r="B328">
        <v>2002</v>
      </c>
      <c r="C328" s="16">
        <v>0.04</v>
      </c>
      <c r="D328" s="1">
        <v>189216</v>
      </c>
      <c r="E328" s="29">
        <f>Table15[[#This Row],[Ávöxtun]]*Table15[[#This Row],[Eignir]]/SUMIFS(Table15[Eignir],Table15[Year],Table15[[#This Row],[Year]])</f>
        <v>1.1916037667378361E-5</v>
      </c>
      <c r="F328" s="23">
        <f>IF(B328=1997, 100, IF(COUNTIF(A$1:A327,A328)=0, "NEW", F327*(1+Table15[[#This Row],[Ávöxtun]])))</f>
        <v>114.74694400000001</v>
      </c>
      <c r="G328" s="18" cm="1">
        <f t="array" ref="G328">IFERROR(_xlfn.IFS(ISNUMBER(Table15[[#This Row],[Column3]]),Table15[[#This Row],[Column3]],Table15[[#This Row],[Column3]]="NEW",Table15[[#This Row],[Column3]]),"")</f>
        <v>114.74694400000001</v>
      </c>
      <c r="H328" s="15" cm="1">
        <f t="array" ref="H328">_xlfn.IFS(Table15[[#This Row],[Column4]]="NEW",AVERAGEIFS(Table15[Column4],Table15[Year],Table15[[#This Row],[Year]]),ISNUMBER(Table15[[#This Row],[Column4]]),Table15[[#This Row],[Column4]],Table15[[#This Row],[Column4]]="",H327*(1+Table15[[#This Row],[Ávöxtun]]))</f>
        <v>114.74694400000001</v>
      </c>
      <c r="I328" s="30" cm="1">
        <f t="array" ref="I328">_xlfn.IFS(Table15[[#This Row],[Column4]]="NEW",_xlfn.XLOOKUP(Table15[[#This Row],[Year]]-1,$N$2:$N$27,$P$2:$P$27)*(1+Table15[[#This Row],[Ávöxtun]]),ISNUMBER(Table15[[#This Row],[Column4]]),Table15[[#This Row],[Column4]],Table15[[#This Row],[Column4]]="",I327*(1+Table15[[#This Row],[Ávöxtun]]))</f>
        <v>114.74694400000001</v>
      </c>
      <c r="L328" s="33">
        <v>114.74694400000001</v>
      </c>
      <c r="M328" s="33">
        <v>114.74694400000001</v>
      </c>
    </row>
    <row r="329" spans="1:13">
      <c r="A329" t="s">
        <v>85</v>
      </c>
      <c r="B329">
        <v>2003</v>
      </c>
      <c r="C329" s="16">
        <v>0.05</v>
      </c>
      <c r="D329" s="1">
        <v>199867</v>
      </c>
      <c r="E329" s="29">
        <f>Table15[[#This Row],[Ávöxtun]]*Table15[[#This Row],[Eignir]]/SUMIFS(Table15[Eignir],Table15[Year],Table15[[#This Row],[Year]])</f>
        <v>1.3151024037730594E-5</v>
      </c>
      <c r="F329" s="23">
        <f>IF(B329=1997, 100, IF(COUNTIF(A$1:A328,A329)=0, "NEW", F328*(1+Table15[[#This Row],[Ávöxtun]])))</f>
        <v>120.48429120000002</v>
      </c>
      <c r="G329" s="18" cm="1">
        <f t="array" ref="G329">IFERROR(_xlfn.IFS(ISNUMBER(Table15[[#This Row],[Column3]]),Table15[[#This Row],[Column3]],Table15[[#This Row],[Column3]]="NEW",Table15[[#This Row],[Column3]]),"")</f>
        <v>120.48429120000002</v>
      </c>
      <c r="H329" s="15" cm="1">
        <f t="array" ref="H329">_xlfn.IFS(Table15[[#This Row],[Column4]]="NEW",AVERAGEIFS(Table15[Column4],Table15[Year],Table15[[#This Row],[Year]]),ISNUMBER(Table15[[#This Row],[Column4]]),Table15[[#This Row],[Column4]],Table15[[#This Row],[Column4]]="",H328*(1+Table15[[#This Row],[Ávöxtun]]))</f>
        <v>120.48429120000002</v>
      </c>
      <c r="I329" s="30" cm="1">
        <f t="array" ref="I329">_xlfn.IFS(Table15[[#This Row],[Column4]]="NEW",_xlfn.XLOOKUP(Table15[[#This Row],[Year]]-1,$N$2:$N$27,$P$2:$P$27)*(1+Table15[[#This Row],[Ávöxtun]]),ISNUMBER(Table15[[#This Row],[Column4]]),Table15[[#This Row],[Column4]],Table15[[#This Row],[Column4]]="",I328*(1+Table15[[#This Row],[Ávöxtun]]))</f>
        <v>120.48429120000002</v>
      </c>
      <c r="L329" s="33">
        <v>120.48429120000002</v>
      </c>
      <c r="M329" s="33">
        <v>120.48429120000002</v>
      </c>
    </row>
    <row r="330" spans="1:13">
      <c r="A330" t="s">
        <v>85</v>
      </c>
      <c r="B330">
        <v>2004</v>
      </c>
      <c r="C330" s="16">
        <v>0.06</v>
      </c>
      <c r="D330" s="1">
        <v>213266</v>
      </c>
      <c r="E330" s="29">
        <f>Table15[[#This Row],[Ávöxtun]]*Table15[[#This Row],[Eignir]]/SUMIFS(Table15[Eignir],Table15[Year],Table15[[#This Row],[Year]])</f>
        <v>1.4097583931979681E-5</v>
      </c>
      <c r="F330" s="23">
        <f>IF(B330=1997, 100, IF(COUNTIF(A$1:A329,A330)=0, "NEW", F329*(1+Table15[[#This Row],[Ávöxtun]])))</f>
        <v>127.71334867200002</v>
      </c>
      <c r="G330" s="18" cm="1">
        <f t="array" ref="G330">IFERROR(_xlfn.IFS(ISNUMBER(Table15[[#This Row],[Column3]]),Table15[[#This Row],[Column3]],Table15[[#This Row],[Column3]]="NEW",Table15[[#This Row],[Column3]]),"")</f>
        <v>127.71334867200002</v>
      </c>
      <c r="H330" s="15" cm="1">
        <f t="array" ref="H330">_xlfn.IFS(Table15[[#This Row],[Column4]]="NEW",AVERAGEIFS(Table15[Column4],Table15[Year],Table15[[#This Row],[Year]]),ISNUMBER(Table15[[#This Row],[Column4]]),Table15[[#This Row],[Column4]],Table15[[#This Row],[Column4]]="",H329*(1+Table15[[#This Row],[Ávöxtun]]))</f>
        <v>127.71334867200002</v>
      </c>
      <c r="I330" s="30" cm="1">
        <f t="array" ref="I330">_xlfn.IFS(Table15[[#This Row],[Column4]]="NEW",_xlfn.XLOOKUP(Table15[[#This Row],[Year]]-1,$N$2:$N$27,$P$2:$P$27)*(1+Table15[[#This Row],[Ávöxtun]]),ISNUMBER(Table15[[#This Row],[Column4]]),Table15[[#This Row],[Column4]],Table15[[#This Row],[Column4]]="",I329*(1+Table15[[#This Row],[Ávöxtun]]))</f>
        <v>127.71334867200002</v>
      </c>
      <c r="L330" s="33">
        <v>127.71334867200002</v>
      </c>
      <c r="M330" s="33">
        <v>127.71334867200002</v>
      </c>
    </row>
    <row r="331" spans="1:13">
      <c r="A331" t="s">
        <v>85</v>
      </c>
      <c r="B331">
        <v>2005</v>
      </c>
      <c r="C331" s="16">
        <v>0</v>
      </c>
      <c r="D331" s="1">
        <v>217428</v>
      </c>
      <c r="E331" s="29">
        <f>Table15[[#This Row],[Ávöxtun]]*Table15[[#This Row],[Eignir]]/SUMIFS(Table15[Eignir],Table15[Year],Table15[[#This Row],[Year]])</f>
        <v>0</v>
      </c>
      <c r="F331" s="23">
        <f>IF(B331=1997, 100, IF(COUNTIF(A$1:A330,A331)=0, "NEW", F330*(1+Table15[[#This Row],[Ávöxtun]])))</f>
        <v>127.71334867200002</v>
      </c>
      <c r="G331" s="18" cm="1">
        <f t="array" ref="G331">IFERROR(_xlfn.IFS(ISNUMBER(Table15[[#This Row],[Column3]]),Table15[[#This Row],[Column3]],Table15[[#This Row],[Column3]]="NEW",Table15[[#This Row],[Column3]]),"")</f>
        <v>127.71334867200002</v>
      </c>
      <c r="H331" s="15" cm="1">
        <f t="array" ref="H331">_xlfn.IFS(Table15[[#This Row],[Column4]]="NEW",AVERAGEIFS(Table15[Column4],Table15[Year],Table15[[#This Row],[Year]]),ISNUMBER(Table15[[#This Row],[Column4]]),Table15[[#This Row],[Column4]],Table15[[#This Row],[Column4]]="",H330*(1+Table15[[#This Row],[Ávöxtun]]))</f>
        <v>127.71334867200002</v>
      </c>
      <c r="I331" s="30" cm="1">
        <f t="array" ref="I331">_xlfn.IFS(Table15[[#This Row],[Column4]]="NEW",_xlfn.XLOOKUP(Table15[[#This Row],[Year]]-1,$N$2:$N$27,$P$2:$P$27)*(1+Table15[[#This Row],[Ávöxtun]]),ISNUMBER(Table15[[#This Row],[Column4]]),Table15[[#This Row],[Column4]],Table15[[#This Row],[Column4]]="",I330*(1+Table15[[#This Row],[Ávöxtun]]))</f>
        <v>127.71334867200002</v>
      </c>
      <c r="L331" s="33">
        <v>127.71334867200002</v>
      </c>
      <c r="M331" s="33">
        <v>127.71334867200002</v>
      </c>
    </row>
    <row r="332" spans="1:13">
      <c r="A332" t="s">
        <v>85</v>
      </c>
      <c r="B332">
        <v>2006</v>
      </c>
      <c r="C332" s="16">
        <v>1.6000000000000001E-3</v>
      </c>
      <c r="D332" s="1">
        <v>448770</v>
      </c>
      <c r="E332" s="29">
        <f>Table15[[#This Row],[Ávöxtun]]*Table15[[#This Row],[Eignir]]/SUMIFS(Table15[Eignir],Table15[Year],Table15[[#This Row],[Year]])</f>
        <v>5.2308934396184086E-7</v>
      </c>
      <c r="F332" s="23">
        <f>IF(B332=1997, 100, IF(COUNTIF(A$1:A331,A332)=0, "NEW", F331*(1+Table15[[#This Row],[Ávöxtun]])))</f>
        <v>127.91769002987523</v>
      </c>
      <c r="G332" s="18" cm="1">
        <f t="array" ref="G332">IFERROR(_xlfn.IFS(ISNUMBER(Table15[[#This Row],[Column3]]),Table15[[#This Row],[Column3]],Table15[[#This Row],[Column3]]="NEW",Table15[[#This Row],[Column3]]),"")</f>
        <v>127.91769002987523</v>
      </c>
      <c r="H332" s="15" cm="1">
        <f t="array" ref="H332">_xlfn.IFS(Table15[[#This Row],[Column4]]="NEW",AVERAGEIFS(Table15[Column4],Table15[Year],Table15[[#This Row],[Year]]),ISNUMBER(Table15[[#This Row],[Column4]]),Table15[[#This Row],[Column4]],Table15[[#This Row],[Column4]]="",H331*(1+Table15[[#This Row],[Ávöxtun]]))</f>
        <v>127.91769002987523</v>
      </c>
      <c r="I332" s="30" cm="1">
        <f t="array" ref="I332">_xlfn.IFS(Table15[[#This Row],[Column4]]="NEW",_xlfn.XLOOKUP(Table15[[#This Row],[Year]]-1,$N$2:$N$27,$P$2:$P$27)*(1+Table15[[#This Row],[Ávöxtun]]),ISNUMBER(Table15[[#This Row],[Column4]]),Table15[[#This Row],[Column4]],Table15[[#This Row],[Column4]]="",I331*(1+Table15[[#This Row],[Ávöxtun]]))</f>
        <v>127.91769002987523</v>
      </c>
      <c r="L332" s="33">
        <v>127.91769002987523</v>
      </c>
      <c r="M332" s="33">
        <v>127.91769002987523</v>
      </c>
    </row>
    <row r="333" spans="1:13">
      <c r="A333" t="s">
        <v>85</v>
      </c>
      <c r="B333">
        <v>2007</v>
      </c>
      <c r="C333" s="16">
        <v>5.8999999999999999E-3</v>
      </c>
      <c r="D333" s="1">
        <v>455624</v>
      </c>
      <c r="E333" s="29">
        <f>Table15[[#This Row],[Ávöxtun]]*Table15[[#This Row],[Eignir]]/SUMIFS(Table15[Eignir],Table15[Year],Table15[[#This Row],[Year]])</f>
        <v>1.7383391671441058E-6</v>
      </c>
      <c r="F333" s="23">
        <f>IF(B333=1997, 100, IF(COUNTIF(A$1:A332,A333)=0, "NEW", F332*(1+Table15[[#This Row],[Ávöxtun]])))</f>
        <v>128.67240440105149</v>
      </c>
      <c r="G333" s="18" cm="1">
        <f t="array" ref="G333">IFERROR(_xlfn.IFS(ISNUMBER(Table15[[#This Row],[Column3]]),Table15[[#This Row],[Column3]],Table15[[#This Row],[Column3]]="NEW",Table15[[#This Row],[Column3]]),"")</f>
        <v>128.67240440105149</v>
      </c>
      <c r="H333" s="15" cm="1">
        <f t="array" ref="H333">_xlfn.IFS(Table15[[#This Row],[Column4]]="NEW",AVERAGEIFS(Table15[Column4],Table15[Year],Table15[[#This Row],[Year]]),ISNUMBER(Table15[[#This Row],[Column4]]),Table15[[#This Row],[Column4]],Table15[[#This Row],[Column4]]="",H332*(1+Table15[[#This Row],[Ávöxtun]]))</f>
        <v>128.67240440105149</v>
      </c>
      <c r="I333" s="30" cm="1">
        <f t="array" ref="I333">_xlfn.IFS(Table15[[#This Row],[Column4]]="NEW",_xlfn.XLOOKUP(Table15[[#This Row],[Year]]-1,$N$2:$N$27,$P$2:$P$27)*(1+Table15[[#This Row],[Ávöxtun]]),ISNUMBER(Table15[[#This Row],[Column4]]),Table15[[#This Row],[Column4]],Table15[[#This Row],[Column4]]="",I332*(1+Table15[[#This Row],[Ávöxtun]]))</f>
        <v>128.67240440105149</v>
      </c>
      <c r="L333" s="33">
        <v>128.67240440105149</v>
      </c>
      <c r="M333" s="33">
        <v>128.67240440105149</v>
      </c>
    </row>
    <row r="334" spans="1:13">
      <c r="A334" t="s">
        <v>85</v>
      </c>
      <c r="B334">
        <v>2008</v>
      </c>
      <c r="C334" s="16">
        <v>1.89E-2</v>
      </c>
      <c r="D334" s="1">
        <v>508998</v>
      </c>
      <c r="E334" s="29">
        <f>Table15[[#This Row],[Ávöxtun]]*Table15[[#This Row],[Eignir]]/SUMIFS(Table15[Eignir],Table15[Year],Table15[[#This Row],[Year]])</f>
        <v>6.4248628745774527E-6</v>
      </c>
      <c r="F334" s="23">
        <f>IF(B334=1997, 100, IF(COUNTIF(A$1:A333,A334)=0, "NEW", F333*(1+Table15[[#This Row],[Ávöxtun]])))</f>
        <v>131.10431284423134</v>
      </c>
      <c r="G334" s="18" cm="1">
        <f t="array" ref="G334">IFERROR(_xlfn.IFS(ISNUMBER(Table15[[#This Row],[Column3]]),Table15[[#This Row],[Column3]],Table15[[#This Row],[Column3]]="NEW",Table15[[#This Row],[Column3]]),"")</f>
        <v>131.10431284423134</v>
      </c>
      <c r="H334" s="15" cm="1">
        <f t="array" ref="H334">_xlfn.IFS(Table15[[#This Row],[Column4]]="NEW",AVERAGEIFS(Table15[Column4],Table15[Year],Table15[[#This Row],[Year]]),ISNUMBER(Table15[[#This Row],[Column4]]),Table15[[#This Row],[Column4]],Table15[[#This Row],[Column4]]="",H333*(1+Table15[[#This Row],[Ávöxtun]]))</f>
        <v>131.10431284423134</v>
      </c>
      <c r="I334" s="30" cm="1">
        <f t="array" ref="I334">_xlfn.IFS(Table15[[#This Row],[Column4]]="NEW",_xlfn.XLOOKUP(Table15[[#This Row],[Year]]-1,$N$2:$N$27,$P$2:$P$27)*(1+Table15[[#This Row],[Ávöxtun]]),ISNUMBER(Table15[[#This Row],[Column4]]),Table15[[#This Row],[Column4]],Table15[[#This Row],[Column4]]="",I333*(1+Table15[[#This Row],[Ávöxtun]]))</f>
        <v>131.10431284423134</v>
      </c>
      <c r="L334" s="33">
        <v>131.10431284423134</v>
      </c>
      <c r="M334" s="33">
        <v>131.10431284423134</v>
      </c>
    </row>
    <row r="335" spans="1:13">
      <c r="A335" t="s">
        <v>85</v>
      </c>
      <c r="B335">
        <v>2009</v>
      </c>
      <c r="C335" s="16">
        <v>-1.3600000000000001E-2</v>
      </c>
      <c r="D335" s="1">
        <v>514108</v>
      </c>
      <c r="E335" s="29">
        <f>Table15[[#This Row],[Ávöxtun]]*Table15[[#This Row],[Eignir]]/SUMIFS(Table15[Eignir],Table15[Year],Table15[[#This Row],[Year]])</f>
        <v>-4.1911187021255843E-6</v>
      </c>
      <c r="F335" s="23">
        <f>IF(B335=1997, 100, IF(COUNTIF(A$1:A334,A335)=0, "NEW", F334*(1+Table15[[#This Row],[Ávöxtun]])))</f>
        <v>129.3212941895498</v>
      </c>
      <c r="G335" s="18" cm="1">
        <f t="array" ref="G335">IFERROR(_xlfn.IFS(ISNUMBER(Table15[[#This Row],[Column3]]),Table15[[#This Row],[Column3]],Table15[[#This Row],[Column3]]="NEW",Table15[[#This Row],[Column3]]),"")</f>
        <v>129.3212941895498</v>
      </c>
      <c r="H335" s="15" cm="1">
        <f t="array" ref="H335">_xlfn.IFS(Table15[[#This Row],[Column4]]="NEW",AVERAGEIFS(Table15[Column4],Table15[Year],Table15[[#This Row],[Year]]),ISNUMBER(Table15[[#This Row],[Column4]]),Table15[[#This Row],[Column4]],Table15[[#This Row],[Column4]]="",H334*(1+Table15[[#This Row],[Ávöxtun]]))</f>
        <v>129.3212941895498</v>
      </c>
      <c r="I335" s="30" cm="1">
        <f t="array" ref="I335">_xlfn.IFS(Table15[[#This Row],[Column4]]="NEW",_xlfn.XLOOKUP(Table15[[#This Row],[Year]]-1,$N$2:$N$27,$P$2:$P$27)*(1+Table15[[#This Row],[Ávöxtun]]),ISNUMBER(Table15[[#This Row],[Column4]]),Table15[[#This Row],[Column4]],Table15[[#This Row],[Column4]]="",I334*(1+Table15[[#This Row],[Ávöxtun]]))</f>
        <v>129.3212941895498</v>
      </c>
      <c r="L335" s="33">
        <v>129.3212941895498</v>
      </c>
      <c r="M335" s="33">
        <v>129.3212941895498</v>
      </c>
    </row>
    <row r="336" spans="1:13">
      <c r="A336" t="s">
        <v>85</v>
      </c>
      <c r="B336">
        <v>2010</v>
      </c>
      <c r="C336" s="16">
        <v>2.3E-2</v>
      </c>
      <c r="D336" s="1">
        <v>507316</v>
      </c>
      <c r="E336" s="29">
        <f>Table15[[#This Row],[Ávöxtun]]*Table15[[#This Row],[Eignir]]/SUMIFS(Table15[Eignir],Table15[Year],Table15[[#This Row],[Year]])</f>
        <v>6.5266560715875699E-6</v>
      </c>
      <c r="F336" s="23">
        <f>IF(B336=1997, 100, IF(COUNTIF(A$1:A335,A336)=0, "NEW", F335*(1+Table15[[#This Row],[Ávöxtun]])))</f>
        <v>132.29568395590942</v>
      </c>
      <c r="G336" s="18" cm="1">
        <f t="array" ref="G336">IFERROR(_xlfn.IFS(ISNUMBER(Table15[[#This Row],[Column3]]),Table15[[#This Row],[Column3]],Table15[[#This Row],[Column3]]="NEW",Table15[[#This Row],[Column3]]),"")</f>
        <v>132.29568395590942</v>
      </c>
      <c r="H336" s="15" cm="1">
        <f t="array" ref="H336">_xlfn.IFS(Table15[[#This Row],[Column4]]="NEW",AVERAGEIFS(Table15[Column4],Table15[Year],Table15[[#This Row],[Year]]),ISNUMBER(Table15[[#This Row],[Column4]]),Table15[[#This Row],[Column4]],Table15[[#This Row],[Column4]]="",H335*(1+Table15[[#This Row],[Ávöxtun]]))</f>
        <v>132.29568395590942</v>
      </c>
      <c r="I336" s="30" cm="1">
        <f t="array" ref="I336">_xlfn.IFS(Table15[[#This Row],[Column4]]="NEW",_xlfn.XLOOKUP(Table15[[#This Row],[Year]]-1,$N$2:$N$27,$P$2:$P$27)*(1+Table15[[#This Row],[Ávöxtun]]),ISNUMBER(Table15[[#This Row],[Column4]]),Table15[[#This Row],[Column4]],Table15[[#This Row],[Column4]]="",I335*(1+Table15[[#This Row],[Ávöxtun]]))</f>
        <v>132.29568395590942</v>
      </c>
      <c r="L336" s="33">
        <v>132.29568395590942</v>
      </c>
      <c r="M336" s="33">
        <v>132.29568395590942</v>
      </c>
    </row>
    <row r="337" spans="1:13">
      <c r="A337" t="s">
        <v>85</v>
      </c>
      <c r="B337">
        <v>2011</v>
      </c>
      <c r="C337" s="16">
        <v>1.7000000000000001E-2</v>
      </c>
      <c r="D337" s="1">
        <v>508719</v>
      </c>
      <c r="E337" s="29">
        <f>Table15[[#This Row],[Ávöxtun]]*Table15[[#This Row],[Eignir]]/SUMIFS(Table15[Eignir],Table15[Year],Table15[[#This Row],[Year]])</f>
        <v>4.4337155237354602E-6</v>
      </c>
      <c r="F337" s="23">
        <f>IF(B337=1997, 100, IF(COUNTIF(A$1:A336,A337)=0, "NEW", F336*(1+Table15[[#This Row],[Ávöxtun]])))</f>
        <v>134.54471058315988</v>
      </c>
      <c r="G337" s="18" cm="1">
        <f t="array" ref="G337">IFERROR(_xlfn.IFS(ISNUMBER(Table15[[#This Row],[Column3]]),Table15[[#This Row],[Column3]],Table15[[#This Row],[Column3]]="NEW",Table15[[#This Row],[Column3]]),"")</f>
        <v>134.54471058315988</v>
      </c>
      <c r="H337" s="15" cm="1">
        <f t="array" ref="H337">_xlfn.IFS(Table15[[#This Row],[Column4]]="NEW",AVERAGEIFS(Table15[Column4],Table15[Year],Table15[[#This Row],[Year]]),ISNUMBER(Table15[[#This Row],[Column4]]),Table15[[#This Row],[Column4]],Table15[[#This Row],[Column4]]="",H336*(1+Table15[[#This Row],[Ávöxtun]]))</f>
        <v>134.54471058315988</v>
      </c>
      <c r="I337" s="30" cm="1">
        <f t="array" ref="I337">_xlfn.IFS(Table15[[#This Row],[Column4]]="NEW",_xlfn.XLOOKUP(Table15[[#This Row],[Year]]-1,$N$2:$N$27,$P$2:$P$27)*(1+Table15[[#This Row],[Ávöxtun]]),ISNUMBER(Table15[[#This Row],[Column4]]),Table15[[#This Row],[Column4]],Table15[[#This Row],[Column4]]="",I336*(1+Table15[[#This Row],[Ávöxtun]]))</f>
        <v>134.54471058315988</v>
      </c>
      <c r="L337" s="33">
        <v>134.54471058315988</v>
      </c>
      <c r="M337" s="33">
        <v>134.54471058315988</v>
      </c>
    </row>
    <row r="338" spans="1:13">
      <c r="A338" t="s">
        <v>85</v>
      </c>
      <c r="B338">
        <v>2012</v>
      </c>
      <c r="C338" s="16">
        <v>8.0000000000000002E-3</v>
      </c>
      <c r="D338" s="1">
        <v>497416</v>
      </c>
      <c r="E338" s="29">
        <f>Table15[[#This Row],[Ávöxtun]]*Table15[[#This Row],[Eignir]]/SUMIFS(Table15[Eignir],Table15[Year],Table15[[#This Row],[Year]])</f>
        <v>1.806451023049643E-6</v>
      </c>
      <c r="F338" s="23">
        <f>IF(B338=1997, 100, IF(COUNTIF(A$1:A337,A338)=0, "NEW", F337*(1+Table15[[#This Row],[Ávöxtun]])))</f>
        <v>135.62106826782517</v>
      </c>
      <c r="G338" s="18" cm="1">
        <f t="array" ref="G338">IFERROR(_xlfn.IFS(ISNUMBER(Table15[[#This Row],[Column3]]),Table15[[#This Row],[Column3]],Table15[[#This Row],[Column3]]="NEW",Table15[[#This Row],[Column3]]),"")</f>
        <v>135.62106826782517</v>
      </c>
      <c r="H338" s="15" cm="1">
        <f t="array" ref="H338">_xlfn.IFS(Table15[[#This Row],[Column4]]="NEW",AVERAGEIFS(Table15[Column4],Table15[Year],Table15[[#This Row],[Year]]),ISNUMBER(Table15[[#This Row],[Column4]]),Table15[[#This Row],[Column4]],Table15[[#This Row],[Column4]]="",H337*(1+Table15[[#This Row],[Ávöxtun]]))</f>
        <v>135.62106826782517</v>
      </c>
      <c r="I338" s="30" cm="1">
        <f t="array" ref="I338">_xlfn.IFS(Table15[[#This Row],[Column4]]="NEW",_xlfn.XLOOKUP(Table15[[#This Row],[Year]]-1,$N$2:$N$27,$P$2:$P$27)*(1+Table15[[#This Row],[Ávöxtun]]),ISNUMBER(Table15[[#This Row],[Column4]]),Table15[[#This Row],[Column4]],Table15[[#This Row],[Column4]]="",I337*(1+Table15[[#This Row],[Ávöxtun]]))</f>
        <v>135.62106826782517</v>
      </c>
      <c r="L338" s="33">
        <v>135.62106826782517</v>
      </c>
      <c r="M338" s="33">
        <v>135.62106826782517</v>
      </c>
    </row>
    <row r="339" spans="1:13">
      <c r="A339" t="s">
        <v>86</v>
      </c>
      <c r="B339">
        <v>1997</v>
      </c>
      <c r="C339" s="16">
        <v>0.06</v>
      </c>
      <c r="D339" s="1">
        <v>232491.07</v>
      </c>
      <c r="E339" s="29">
        <f>Table15[[#This Row],[Ávöxtun]]*Table15[[#This Row],[Eignir]]/SUMIFS(Table15[Eignir],Table15[Year],Table15[[#This Row],[Year]])</f>
        <v>4.1145786135534111E-5</v>
      </c>
      <c r="F339" s="23">
        <f>IF(B339=1997, 100, IF(COUNTIF(A$1:A338,A339)=0, "NEW", F338*(1+Table15[[#This Row],[Ávöxtun]])))</f>
        <v>100</v>
      </c>
      <c r="G339" s="18" cm="1">
        <f t="array" ref="G339">IFERROR(_xlfn.IFS(ISNUMBER(Table15[[#This Row],[Column3]]),Table15[[#This Row],[Column3]],Table15[[#This Row],[Column3]]="NEW",Table15[[#This Row],[Column3]]),"")</f>
        <v>100</v>
      </c>
      <c r="H339" s="15" cm="1">
        <f t="array" ref="H339">_xlfn.IFS(Table15[[#This Row],[Column4]]="NEW",AVERAGEIFS(Table15[Column4],Table15[Year],Table15[[#This Row],[Year]]),ISNUMBER(Table15[[#This Row],[Column4]]),Table15[[#This Row],[Column4]],Table15[[#This Row],[Column4]]="",H338*(1+Table15[[#This Row],[Ávöxtun]]))</f>
        <v>100</v>
      </c>
      <c r="I339" s="30" cm="1">
        <f t="array" ref="I339">_xlfn.IFS(Table15[[#This Row],[Column4]]="NEW",_xlfn.XLOOKUP(Table15[[#This Row],[Year]]-1,$N$2:$N$27,$P$2:$P$27)*(1+Table15[[#This Row],[Ávöxtun]]),ISNUMBER(Table15[[#This Row],[Column4]]),Table15[[#This Row],[Column4]],Table15[[#This Row],[Column4]]="",I338*(1+Table15[[#This Row],[Ávöxtun]]))</f>
        <v>100</v>
      </c>
      <c r="L339" s="33">
        <v>100</v>
      </c>
      <c r="M339" s="33">
        <v>100</v>
      </c>
    </row>
    <row r="340" spans="1:13">
      <c r="A340" t="s">
        <v>86</v>
      </c>
      <c r="B340">
        <v>1998</v>
      </c>
      <c r="C340" s="16">
        <v>0.05</v>
      </c>
      <c r="D340" s="1">
        <v>247946.48</v>
      </c>
      <c r="E340" s="29">
        <f>Table15[[#This Row],[Ávöxtun]]*Table15[[#This Row],[Eignir]]/SUMIFS(Table15[Eignir],Table15[Year],Table15[[#This Row],[Year]])</f>
        <v>3.1655308700755626E-5</v>
      </c>
      <c r="F340" s="23">
        <f>IF(B340=1997, 100, IF(COUNTIF(A$1:A339,A340)=0, "NEW", F339*(1+Table15[[#This Row],[Ávöxtun]])))</f>
        <v>105</v>
      </c>
      <c r="G340" s="18" cm="1">
        <f t="array" ref="G340">IFERROR(_xlfn.IFS(ISNUMBER(Table15[[#This Row],[Column3]]),Table15[[#This Row],[Column3]],Table15[[#This Row],[Column3]]="NEW",Table15[[#This Row],[Column3]]),"")</f>
        <v>105</v>
      </c>
      <c r="H340" s="15" cm="1">
        <f t="array" ref="H340">_xlfn.IFS(Table15[[#This Row],[Column4]]="NEW",AVERAGEIFS(Table15[Column4],Table15[Year],Table15[[#This Row],[Year]]),ISNUMBER(Table15[[#This Row],[Column4]]),Table15[[#This Row],[Column4]],Table15[[#This Row],[Column4]]="",H339*(1+Table15[[#This Row],[Ávöxtun]]))</f>
        <v>105</v>
      </c>
      <c r="I340" s="30" cm="1">
        <f t="array" ref="I340">_xlfn.IFS(Table15[[#This Row],[Column4]]="NEW",_xlfn.XLOOKUP(Table15[[#This Row],[Year]]-1,$N$2:$N$27,$P$2:$P$27)*(1+Table15[[#This Row],[Ávöxtun]]),ISNUMBER(Table15[[#This Row],[Column4]]),Table15[[#This Row],[Column4]],Table15[[#This Row],[Column4]]="",I339*(1+Table15[[#This Row],[Ávöxtun]]))</f>
        <v>105</v>
      </c>
      <c r="L340" s="33">
        <v>105</v>
      </c>
      <c r="M340" s="33">
        <v>105</v>
      </c>
    </row>
    <row r="341" spans="1:13">
      <c r="A341" t="s">
        <v>86</v>
      </c>
      <c r="B341">
        <v>1999</v>
      </c>
      <c r="C341" s="16">
        <v>0.05</v>
      </c>
      <c r="D341" s="1">
        <v>272051.14</v>
      </c>
      <c r="E341" s="29">
        <f>Table15[[#This Row],[Ávöxtun]]*Table15[[#This Row],[Eignir]]/SUMIFS(Table15[Eignir],Table15[Year],Table15[[#This Row],[Year]])</f>
        <v>2.6122759951499355E-5</v>
      </c>
      <c r="F341" s="23">
        <f>IF(B341=1997, 100, IF(COUNTIF(A$1:A340,A341)=0, "NEW", F340*(1+Table15[[#This Row],[Ávöxtun]])))</f>
        <v>110.25</v>
      </c>
      <c r="G341" s="18" cm="1">
        <f t="array" ref="G341">IFERROR(_xlfn.IFS(ISNUMBER(Table15[[#This Row],[Column3]]),Table15[[#This Row],[Column3]],Table15[[#This Row],[Column3]]="NEW",Table15[[#This Row],[Column3]]),"")</f>
        <v>110.25</v>
      </c>
      <c r="H341" s="15" cm="1">
        <f t="array" ref="H341">_xlfn.IFS(Table15[[#This Row],[Column4]]="NEW",AVERAGEIFS(Table15[Column4],Table15[Year],Table15[[#This Row],[Year]]),ISNUMBER(Table15[[#This Row],[Column4]]),Table15[[#This Row],[Column4]],Table15[[#This Row],[Column4]]="",H340*(1+Table15[[#This Row],[Ávöxtun]]))</f>
        <v>110.25</v>
      </c>
      <c r="I341" s="30" cm="1">
        <f t="array" ref="I341">_xlfn.IFS(Table15[[#This Row],[Column4]]="NEW",_xlfn.XLOOKUP(Table15[[#This Row],[Year]]-1,$N$2:$N$27,$P$2:$P$27)*(1+Table15[[#This Row],[Ávöxtun]]),ISNUMBER(Table15[[#This Row],[Column4]]),Table15[[#This Row],[Column4]],Table15[[#This Row],[Column4]]="",I340*(1+Table15[[#This Row],[Ávöxtun]]))</f>
        <v>110.25</v>
      </c>
      <c r="L341" s="33">
        <v>110.25</v>
      </c>
      <c r="M341" s="33">
        <v>110.25</v>
      </c>
    </row>
    <row r="342" spans="1:13">
      <c r="A342" t="s">
        <v>86</v>
      </c>
      <c r="B342">
        <v>2000</v>
      </c>
      <c r="C342" s="16">
        <v>0.03</v>
      </c>
      <c r="D342" s="1">
        <v>289658.03999999998</v>
      </c>
      <c r="E342" s="29">
        <f>Table15[[#This Row],[Ávöxtun]]*Table15[[#This Row],[Eignir]]/SUMIFS(Table15[Eignir],Table15[Year],Table15[[#This Row],[Year]])</f>
        <v>1.2223754356508843E-5</v>
      </c>
      <c r="F342" s="23">
        <f>IF(B342=1997, 100, IF(COUNTIF(A$1:A341,A342)=0, "NEW", F341*(1+Table15[[#This Row],[Ávöxtun]])))</f>
        <v>113.5575</v>
      </c>
      <c r="G342" s="18" cm="1">
        <f t="array" ref="G342">IFERROR(_xlfn.IFS(ISNUMBER(Table15[[#This Row],[Column3]]),Table15[[#This Row],[Column3]],Table15[[#This Row],[Column3]]="NEW",Table15[[#This Row],[Column3]]),"")</f>
        <v>113.5575</v>
      </c>
      <c r="H342" s="15" cm="1">
        <f t="array" ref="H342">_xlfn.IFS(Table15[[#This Row],[Column4]]="NEW",AVERAGEIFS(Table15[Column4],Table15[Year],Table15[[#This Row],[Year]]),ISNUMBER(Table15[[#This Row],[Column4]]),Table15[[#This Row],[Column4]],Table15[[#This Row],[Column4]]="",H341*(1+Table15[[#This Row],[Ávöxtun]]))</f>
        <v>113.5575</v>
      </c>
      <c r="I342" s="30" cm="1">
        <f t="array" ref="I342">_xlfn.IFS(Table15[[#This Row],[Column4]]="NEW",_xlfn.XLOOKUP(Table15[[#This Row],[Year]]-1,$N$2:$N$27,$P$2:$P$27)*(1+Table15[[#This Row],[Ávöxtun]]),ISNUMBER(Table15[[#This Row],[Column4]]),Table15[[#This Row],[Column4]],Table15[[#This Row],[Column4]]="",I341*(1+Table15[[#This Row],[Ávöxtun]]))</f>
        <v>113.5575</v>
      </c>
      <c r="L342" s="33">
        <v>113.5575</v>
      </c>
      <c r="M342" s="33">
        <v>113.5575</v>
      </c>
    </row>
    <row r="343" spans="1:13">
      <c r="A343" t="s">
        <v>86</v>
      </c>
      <c r="B343">
        <v>2001</v>
      </c>
      <c r="C343" s="16">
        <v>0.04</v>
      </c>
      <c r="D343" s="1">
        <v>328894.77</v>
      </c>
      <c r="E343" s="29">
        <f>Table15[[#This Row],[Ávöxtun]]*Table15[[#This Row],[Eignir]]/SUMIFS(Table15[Eignir],Table15[Year],Table15[[#This Row],[Year]])</f>
        <v>1.1361613398856174E-5</v>
      </c>
      <c r="F343" s="23">
        <f>IF(B343=1997, 100, IF(COUNTIF(A$1:A342,A343)=0, "NEW", F342*(1+Table15[[#This Row],[Ávöxtun]])))</f>
        <v>118.0998</v>
      </c>
      <c r="G343" s="18" cm="1">
        <f t="array" ref="G343">IFERROR(_xlfn.IFS(ISNUMBER(Table15[[#This Row],[Column3]]),Table15[[#This Row],[Column3]],Table15[[#This Row],[Column3]]="NEW",Table15[[#This Row],[Column3]]),"")</f>
        <v>118.0998</v>
      </c>
      <c r="H343" s="15" cm="1">
        <f t="array" ref="H343">_xlfn.IFS(Table15[[#This Row],[Column4]]="NEW",AVERAGEIFS(Table15[Column4],Table15[Year],Table15[[#This Row],[Year]]),ISNUMBER(Table15[[#This Row],[Column4]]),Table15[[#This Row],[Column4]],Table15[[#This Row],[Column4]]="",H342*(1+Table15[[#This Row],[Ávöxtun]]))</f>
        <v>118.0998</v>
      </c>
      <c r="I343" s="30" cm="1">
        <f t="array" ref="I343">_xlfn.IFS(Table15[[#This Row],[Column4]]="NEW",_xlfn.XLOOKUP(Table15[[#This Row],[Year]]-1,$N$2:$N$27,$P$2:$P$27)*(1+Table15[[#This Row],[Ávöxtun]]),ISNUMBER(Table15[[#This Row],[Column4]]),Table15[[#This Row],[Column4]],Table15[[#This Row],[Column4]]="",I342*(1+Table15[[#This Row],[Ávöxtun]]))</f>
        <v>118.0998</v>
      </c>
      <c r="L343" s="33">
        <v>118.0998</v>
      </c>
      <c r="M343" s="33">
        <v>118.0998</v>
      </c>
    </row>
    <row r="344" spans="1:13">
      <c r="A344" t="s">
        <v>86</v>
      </c>
      <c r="B344">
        <v>2002</v>
      </c>
      <c r="C344" s="16">
        <v>0.05</v>
      </c>
      <c r="D344" s="1">
        <v>344470</v>
      </c>
      <c r="E344" s="29">
        <f>Table15[[#This Row],[Ávöxtun]]*Table15[[#This Row],[Eignir]]/SUMIFS(Table15[Eignir],Table15[Year],Table15[[#This Row],[Year]])</f>
        <v>2.7116612068230378E-5</v>
      </c>
      <c r="F344" s="23">
        <f>IF(B344=1997, 100, IF(COUNTIF(A$1:A343,A344)=0, "NEW", F343*(1+Table15[[#This Row],[Ávöxtun]])))</f>
        <v>124.00479000000001</v>
      </c>
      <c r="G344" s="18" cm="1">
        <f t="array" ref="G344">IFERROR(_xlfn.IFS(ISNUMBER(Table15[[#This Row],[Column3]]),Table15[[#This Row],[Column3]],Table15[[#This Row],[Column3]]="NEW",Table15[[#This Row],[Column3]]),"")</f>
        <v>124.00479000000001</v>
      </c>
      <c r="H344" s="15" cm="1">
        <f t="array" ref="H344">_xlfn.IFS(Table15[[#This Row],[Column4]]="NEW",AVERAGEIFS(Table15[Column4],Table15[Year],Table15[[#This Row],[Year]]),ISNUMBER(Table15[[#This Row],[Column4]]),Table15[[#This Row],[Column4]],Table15[[#This Row],[Column4]]="",H343*(1+Table15[[#This Row],[Ávöxtun]]))</f>
        <v>124.00479000000001</v>
      </c>
      <c r="I344" s="30" cm="1">
        <f t="array" ref="I344">_xlfn.IFS(Table15[[#This Row],[Column4]]="NEW",_xlfn.XLOOKUP(Table15[[#This Row],[Year]]-1,$N$2:$N$27,$P$2:$P$27)*(1+Table15[[#This Row],[Ávöxtun]]),ISNUMBER(Table15[[#This Row],[Column4]]),Table15[[#This Row],[Column4]],Table15[[#This Row],[Column4]]="",I343*(1+Table15[[#This Row],[Ávöxtun]]))</f>
        <v>124.00479000000001</v>
      </c>
      <c r="L344" s="33">
        <v>124.00479000000001</v>
      </c>
      <c r="M344" s="33">
        <v>124.00479000000001</v>
      </c>
    </row>
    <row r="345" spans="1:13">
      <c r="A345" t="s">
        <v>86</v>
      </c>
      <c r="B345">
        <v>2003</v>
      </c>
      <c r="C345" s="16">
        <v>0.05</v>
      </c>
      <c r="D345" s="1">
        <v>368809</v>
      </c>
      <c r="E345" s="29">
        <f>Table15[[#This Row],[Ávöxtun]]*Table15[[#This Row],[Eignir]]/SUMIFS(Table15[Eignir],Table15[Year],Table15[[#This Row],[Year]])</f>
        <v>2.4267217821508216E-5</v>
      </c>
      <c r="F345" s="23">
        <f>IF(B345=1997, 100, IF(COUNTIF(A$1:A344,A345)=0, "NEW", F344*(1+Table15[[#This Row],[Ávöxtun]])))</f>
        <v>130.20502950000002</v>
      </c>
      <c r="G345" s="18" cm="1">
        <f t="array" ref="G345">IFERROR(_xlfn.IFS(ISNUMBER(Table15[[#This Row],[Column3]]),Table15[[#This Row],[Column3]],Table15[[#This Row],[Column3]]="NEW",Table15[[#This Row],[Column3]]),"")</f>
        <v>130.20502950000002</v>
      </c>
      <c r="H345" s="15" cm="1">
        <f t="array" ref="H345">_xlfn.IFS(Table15[[#This Row],[Column4]]="NEW",AVERAGEIFS(Table15[Column4],Table15[Year],Table15[[#This Row],[Year]]),ISNUMBER(Table15[[#This Row],[Column4]]),Table15[[#This Row],[Column4]],Table15[[#This Row],[Column4]]="",H344*(1+Table15[[#This Row],[Ávöxtun]]))</f>
        <v>130.20502950000002</v>
      </c>
      <c r="I345" s="30" cm="1">
        <f t="array" ref="I345">_xlfn.IFS(Table15[[#This Row],[Column4]]="NEW",_xlfn.XLOOKUP(Table15[[#This Row],[Year]]-1,$N$2:$N$27,$P$2:$P$27)*(1+Table15[[#This Row],[Ávöxtun]]),ISNUMBER(Table15[[#This Row],[Column4]]),Table15[[#This Row],[Column4]],Table15[[#This Row],[Column4]]="",I344*(1+Table15[[#This Row],[Ávöxtun]]))</f>
        <v>130.20502950000002</v>
      </c>
      <c r="L345" s="33">
        <v>130.20502950000002</v>
      </c>
      <c r="M345" s="33">
        <v>130.20502950000002</v>
      </c>
    </row>
    <row r="346" spans="1:13">
      <c r="A346" t="s">
        <v>86</v>
      </c>
      <c r="B346">
        <v>2004</v>
      </c>
      <c r="C346" s="16">
        <v>7.0000000000000007E-2</v>
      </c>
      <c r="D346" s="1">
        <v>402573.25</v>
      </c>
      <c r="E346" s="29">
        <f>Table15[[#This Row],[Ávöxtun]]*Table15[[#This Row],[Eignir]]/SUMIFS(Table15[Eignir],Table15[Year],Table15[[#This Row],[Year]])</f>
        <v>3.1046651649828445E-5</v>
      </c>
      <c r="F346" s="23">
        <f>IF(B346=1997, 100, IF(COUNTIF(A$1:A345,A346)=0, "NEW", F345*(1+Table15[[#This Row],[Ávöxtun]])))</f>
        <v>139.31938156500004</v>
      </c>
      <c r="G346" s="18" cm="1">
        <f t="array" ref="G346">IFERROR(_xlfn.IFS(ISNUMBER(Table15[[#This Row],[Column3]]),Table15[[#This Row],[Column3]],Table15[[#This Row],[Column3]]="NEW",Table15[[#This Row],[Column3]]),"")</f>
        <v>139.31938156500004</v>
      </c>
      <c r="H346" s="15" cm="1">
        <f t="array" ref="H346">_xlfn.IFS(Table15[[#This Row],[Column4]]="NEW",AVERAGEIFS(Table15[Column4],Table15[Year],Table15[[#This Row],[Year]]),ISNUMBER(Table15[[#This Row],[Column4]]),Table15[[#This Row],[Column4]],Table15[[#This Row],[Column4]]="",H345*(1+Table15[[#This Row],[Ávöxtun]]))</f>
        <v>139.31938156500004</v>
      </c>
      <c r="I346" s="30" cm="1">
        <f t="array" ref="I346">_xlfn.IFS(Table15[[#This Row],[Column4]]="NEW",_xlfn.XLOOKUP(Table15[[#This Row],[Year]]-1,$N$2:$N$27,$P$2:$P$27)*(1+Table15[[#This Row],[Ávöxtun]]),ISNUMBER(Table15[[#This Row],[Column4]]),Table15[[#This Row],[Column4]],Table15[[#This Row],[Column4]]="",I345*(1+Table15[[#This Row],[Ávöxtun]]))</f>
        <v>139.31938156500004</v>
      </c>
      <c r="L346" s="33">
        <v>139.31938156500004</v>
      </c>
      <c r="M346" s="33">
        <v>139.31938156500004</v>
      </c>
    </row>
    <row r="347" spans="1:13">
      <c r="A347" t="s">
        <v>86</v>
      </c>
      <c r="B347">
        <v>2005</v>
      </c>
      <c r="C347" s="16">
        <v>0.03</v>
      </c>
      <c r="D347" s="1">
        <v>423335</v>
      </c>
      <c r="E347" s="29">
        <f>Table15[[#This Row],[Ávöxtun]]*Table15[[#This Row],[Eignir]]/SUMIFS(Table15[Eignir],Table15[Year],Table15[[#This Row],[Year]])</f>
        <v>1.1325802686953349E-5</v>
      </c>
      <c r="F347" s="23">
        <f>IF(B347=1997, 100, IF(COUNTIF(A$1:A346,A347)=0, "NEW", F346*(1+Table15[[#This Row],[Ávöxtun]])))</f>
        <v>143.49896301195005</v>
      </c>
      <c r="G347" s="18" cm="1">
        <f t="array" ref="G347">IFERROR(_xlfn.IFS(ISNUMBER(Table15[[#This Row],[Column3]]),Table15[[#This Row],[Column3]],Table15[[#This Row],[Column3]]="NEW",Table15[[#This Row],[Column3]]),"")</f>
        <v>143.49896301195005</v>
      </c>
      <c r="H347" s="15" cm="1">
        <f t="array" ref="H347">_xlfn.IFS(Table15[[#This Row],[Column4]]="NEW",AVERAGEIFS(Table15[Column4],Table15[Year],Table15[[#This Row],[Year]]),ISNUMBER(Table15[[#This Row],[Column4]]),Table15[[#This Row],[Column4]],Table15[[#This Row],[Column4]]="",H346*(1+Table15[[#This Row],[Ávöxtun]]))</f>
        <v>143.49896301195005</v>
      </c>
      <c r="I347" s="30" cm="1">
        <f t="array" ref="I347">_xlfn.IFS(Table15[[#This Row],[Column4]]="NEW",_xlfn.XLOOKUP(Table15[[#This Row],[Year]]-1,$N$2:$N$27,$P$2:$P$27)*(1+Table15[[#This Row],[Ávöxtun]]),ISNUMBER(Table15[[#This Row],[Column4]]),Table15[[#This Row],[Column4]],Table15[[#This Row],[Column4]]="",I346*(1+Table15[[#This Row],[Ávöxtun]]))</f>
        <v>143.49896301195005</v>
      </c>
      <c r="L347" s="33">
        <v>143.49896301195005</v>
      </c>
      <c r="M347" s="33">
        <v>143.49896301195005</v>
      </c>
    </row>
    <row r="348" spans="1:13">
      <c r="A348" t="s">
        <v>86</v>
      </c>
      <c r="B348">
        <v>2006</v>
      </c>
      <c r="C348" s="16">
        <v>0.03</v>
      </c>
      <c r="D348" s="1">
        <v>455414</v>
      </c>
      <c r="E348" s="29">
        <f>Table15[[#This Row],[Ávöxtun]]*Table15[[#This Row],[Eignir]]/SUMIFS(Table15[Eignir],Table15[Year],Table15[[#This Row],[Year]])</f>
        <v>9.953130660933124E-6</v>
      </c>
      <c r="F348" s="23">
        <f>IF(B348=1997, 100, IF(COUNTIF(A$1:A347,A348)=0, "NEW", F347*(1+Table15[[#This Row],[Ávöxtun]])))</f>
        <v>147.80393190230856</v>
      </c>
      <c r="G348" s="18" cm="1">
        <f t="array" ref="G348">IFERROR(_xlfn.IFS(ISNUMBER(Table15[[#This Row],[Column3]]),Table15[[#This Row],[Column3]],Table15[[#This Row],[Column3]]="NEW",Table15[[#This Row],[Column3]]),"")</f>
        <v>147.80393190230856</v>
      </c>
      <c r="H348" s="15" cm="1">
        <f t="array" ref="H348">_xlfn.IFS(Table15[[#This Row],[Column4]]="NEW",AVERAGEIFS(Table15[Column4],Table15[Year],Table15[[#This Row],[Year]]),ISNUMBER(Table15[[#This Row],[Column4]]),Table15[[#This Row],[Column4]],Table15[[#This Row],[Column4]]="",H347*(1+Table15[[#This Row],[Ávöxtun]]))</f>
        <v>147.80393190230856</v>
      </c>
      <c r="I348" s="30" cm="1">
        <f t="array" ref="I348">_xlfn.IFS(Table15[[#This Row],[Column4]]="NEW",_xlfn.XLOOKUP(Table15[[#This Row],[Year]]-1,$N$2:$N$27,$P$2:$P$27)*(1+Table15[[#This Row],[Ávöxtun]]),ISNUMBER(Table15[[#This Row],[Column4]]),Table15[[#This Row],[Column4]],Table15[[#This Row],[Column4]]="",I347*(1+Table15[[#This Row],[Ávöxtun]]))</f>
        <v>147.80393190230856</v>
      </c>
      <c r="L348" s="33">
        <v>147.80393190230856</v>
      </c>
      <c r="M348" s="33">
        <v>147.80393190230856</v>
      </c>
    </row>
    <row r="349" spans="1:13">
      <c r="A349" t="s">
        <v>86</v>
      </c>
      <c r="B349">
        <v>2007</v>
      </c>
      <c r="C349" s="16">
        <v>2.5099999999999997E-2</v>
      </c>
      <c r="D349" s="1">
        <v>486080</v>
      </c>
      <c r="E349" s="29">
        <f>Table15[[#This Row],[Ávöxtun]]*Table15[[#This Row],[Eignir]]/SUMIFS(Table15[Eignir],Table15[Year],Table15[[#This Row],[Year]])</f>
        <v>7.8896435975053596E-6</v>
      </c>
      <c r="F349" s="23">
        <f>IF(B349=1997, 100, IF(COUNTIF(A$1:A348,A349)=0, "NEW", F348*(1+Table15[[#This Row],[Ávöxtun]])))</f>
        <v>151.51381059305649</v>
      </c>
      <c r="G349" s="18" cm="1">
        <f t="array" ref="G349">IFERROR(_xlfn.IFS(ISNUMBER(Table15[[#This Row],[Column3]]),Table15[[#This Row],[Column3]],Table15[[#This Row],[Column3]]="NEW",Table15[[#This Row],[Column3]]),"")</f>
        <v>151.51381059305649</v>
      </c>
      <c r="H349" s="15" cm="1">
        <f t="array" ref="H349">_xlfn.IFS(Table15[[#This Row],[Column4]]="NEW",AVERAGEIFS(Table15[Column4],Table15[Year],Table15[[#This Row],[Year]]),ISNUMBER(Table15[[#This Row],[Column4]]),Table15[[#This Row],[Column4]],Table15[[#This Row],[Column4]]="",H348*(1+Table15[[#This Row],[Ávöxtun]]))</f>
        <v>151.51381059305649</v>
      </c>
      <c r="I349" s="30" cm="1">
        <f t="array" ref="I349">_xlfn.IFS(Table15[[#This Row],[Column4]]="NEW",_xlfn.XLOOKUP(Table15[[#This Row],[Year]]-1,$N$2:$N$27,$P$2:$P$27)*(1+Table15[[#This Row],[Ávöxtun]]),ISNUMBER(Table15[[#This Row],[Column4]]),Table15[[#This Row],[Column4]],Table15[[#This Row],[Column4]]="",I348*(1+Table15[[#This Row],[Ávöxtun]]))</f>
        <v>151.51381059305649</v>
      </c>
      <c r="L349" s="33">
        <v>151.51381059305649</v>
      </c>
      <c r="M349" s="33">
        <v>151.51381059305649</v>
      </c>
    </row>
    <row r="350" spans="1:13">
      <c r="A350" t="s">
        <v>86</v>
      </c>
      <c r="B350">
        <v>2008</v>
      </c>
      <c r="C350" s="16">
        <v>-4.9000000000000002E-2</v>
      </c>
      <c r="D350" s="1">
        <v>531631</v>
      </c>
      <c r="E350" s="29">
        <f>Table15[[#This Row],[Ávöxtun]]*Table15[[#This Row],[Eignir]]/SUMIFS(Table15[Eignir],Table15[Year],Table15[[#This Row],[Year]])</f>
        <v>-1.7397720928337637E-5</v>
      </c>
      <c r="F350" s="23">
        <f>IF(B350=1997, 100, IF(COUNTIF(A$1:A349,A350)=0, "NEW", F349*(1+Table15[[#This Row],[Ávöxtun]])))</f>
        <v>144.08963387399672</v>
      </c>
      <c r="G350" s="18" cm="1">
        <f t="array" ref="G350">IFERROR(_xlfn.IFS(ISNUMBER(Table15[[#This Row],[Column3]]),Table15[[#This Row],[Column3]],Table15[[#This Row],[Column3]]="NEW",Table15[[#This Row],[Column3]]),"")</f>
        <v>144.08963387399672</v>
      </c>
      <c r="H350" s="15" cm="1">
        <f t="array" ref="H350">_xlfn.IFS(Table15[[#This Row],[Column4]]="NEW",AVERAGEIFS(Table15[Column4],Table15[Year],Table15[[#This Row],[Year]]),ISNUMBER(Table15[[#This Row],[Column4]]),Table15[[#This Row],[Column4]],Table15[[#This Row],[Column4]]="",H349*(1+Table15[[#This Row],[Ávöxtun]]))</f>
        <v>144.08963387399672</v>
      </c>
      <c r="I350" s="30" cm="1">
        <f t="array" ref="I350">_xlfn.IFS(Table15[[#This Row],[Column4]]="NEW",_xlfn.XLOOKUP(Table15[[#This Row],[Year]]-1,$N$2:$N$27,$P$2:$P$27)*(1+Table15[[#This Row],[Ávöxtun]]),ISNUMBER(Table15[[#This Row],[Column4]]),Table15[[#This Row],[Column4]],Table15[[#This Row],[Column4]]="",I349*(1+Table15[[#This Row],[Ávöxtun]]))</f>
        <v>144.08963387399672</v>
      </c>
      <c r="L350" s="33">
        <v>144.08963387399672</v>
      </c>
      <c r="M350" s="33">
        <v>144.08963387399672</v>
      </c>
    </row>
    <row r="351" spans="1:13">
      <c r="A351" t="s">
        <v>86</v>
      </c>
      <c r="B351">
        <v>2009</v>
      </c>
      <c r="C351" s="16">
        <v>9.4000000000000004E-3</v>
      </c>
      <c r="D351" s="1">
        <v>571368</v>
      </c>
      <c r="E351" s="29">
        <f>Table15[[#This Row],[Ávöxtun]]*Table15[[#This Row],[Eignir]]/SUMIFS(Table15[Eignir],Table15[Year],Table15[[#This Row],[Year]])</f>
        <v>3.219440908216592E-6</v>
      </c>
      <c r="F351" s="23">
        <f>IF(B351=1997, 100, IF(COUNTIF(A$1:A350,A351)=0, "NEW", F350*(1+Table15[[#This Row],[Ávöxtun]])))</f>
        <v>145.44407643241229</v>
      </c>
      <c r="G351" s="18" cm="1">
        <f t="array" ref="G351">IFERROR(_xlfn.IFS(ISNUMBER(Table15[[#This Row],[Column3]]),Table15[[#This Row],[Column3]],Table15[[#This Row],[Column3]]="NEW",Table15[[#This Row],[Column3]]),"")</f>
        <v>145.44407643241229</v>
      </c>
      <c r="H351" s="15" cm="1">
        <f t="array" ref="H351">_xlfn.IFS(Table15[[#This Row],[Column4]]="NEW",AVERAGEIFS(Table15[Column4],Table15[Year],Table15[[#This Row],[Year]]),ISNUMBER(Table15[[#This Row],[Column4]]),Table15[[#This Row],[Column4]],Table15[[#This Row],[Column4]]="",H350*(1+Table15[[#This Row],[Ávöxtun]]))</f>
        <v>145.44407643241229</v>
      </c>
      <c r="I351" s="30" cm="1">
        <f t="array" ref="I351">_xlfn.IFS(Table15[[#This Row],[Column4]]="NEW",_xlfn.XLOOKUP(Table15[[#This Row],[Year]]-1,$N$2:$N$27,$P$2:$P$27)*(1+Table15[[#This Row],[Ávöxtun]]),ISNUMBER(Table15[[#This Row],[Column4]]),Table15[[#This Row],[Column4]],Table15[[#This Row],[Column4]]="",I350*(1+Table15[[#This Row],[Ávöxtun]]))</f>
        <v>145.44407643241229</v>
      </c>
      <c r="L351" s="33">
        <v>145.44407643241229</v>
      </c>
      <c r="M351" s="33">
        <v>145.44407643241229</v>
      </c>
    </row>
    <row r="352" spans="1:13">
      <c r="A352" t="s">
        <v>86</v>
      </c>
      <c r="B352">
        <v>2010</v>
      </c>
      <c r="C352" s="16">
        <v>3.2400000000000005E-2</v>
      </c>
      <c r="D352" s="1">
        <v>589872</v>
      </c>
      <c r="E352" s="29">
        <f>Table15[[#This Row],[Ávöxtun]]*Table15[[#This Row],[Eignir]]/SUMIFS(Table15[Eignir],Table15[Year],Table15[[#This Row],[Year]])</f>
        <v>1.0690231842155831E-5</v>
      </c>
      <c r="F352" s="23">
        <f>IF(B352=1997, 100, IF(COUNTIF(A$1:A351,A352)=0, "NEW", F351*(1+Table15[[#This Row],[Ávöxtun]])))</f>
        <v>150.15646450882244</v>
      </c>
      <c r="G352" s="18" cm="1">
        <f t="array" ref="G352">IFERROR(_xlfn.IFS(ISNUMBER(Table15[[#This Row],[Column3]]),Table15[[#This Row],[Column3]],Table15[[#This Row],[Column3]]="NEW",Table15[[#This Row],[Column3]]),"")</f>
        <v>150.15646450882244</v>
      </c>
      <c r="H352" s="15" cm="1">
        <f t="array" ref="H352">_xlfn.IFS(Table15[[#This Row],[Column4]]="NEW",AVERAGEIFS(Table15[Column4],Table15[Year],Table15[[#This Row],[Year]]),ISNUMBER(Table15[[#This Row],[Column4]]),Table15[[#This Row],[Column4]],Table15[[#This Row],[Column4]]="",H351*(1+Table15[[#This Row],[Ávöxtun]]))</f>
        <v>150.15646450882244</v>
      </c>
      <c r="I352" s="30" cm="1">
        <f t="array" ref="I352">_xlfn.IFS(Table15[[#This Row],[Column4]]="NEW",_xlfn.XLOOKUP(Table15[[#This Row],[Year]]-1,$N$2:$N$27,$P$2:$P$27)*(1+Table15[[#This Row],[Ávöxtun]]),ISNUMBER(Table15[[#This Row],[Column4]]),Table15[[#This Row],[Column4]],Table15[[#This Row],[Column4]]="",I351*(1+Table15[[#This Row],[Ávöxtun]]))</f>
        <v>150.15646450882244</v>
      </c>
      <c r="L352" s="33">
        <v>150.15646450882244</v>
      </c>
      <c r="M352" s="33">
        <v>150.15646450882244</v>
      </c>
    </row>
    <row r="353" spans="1:13">
      <c r="A353" t="s">
        <v>86</v>
      </c>
      <c r="B353">
        <v>2011</v>
      </c>
      <c r="C353" s="16">
        <v>1.1000000000000001E-2</v>
      </c>
      <c r="D353" s="1">
        <v>609599</v>
      </c>
      <c r="E353" s="29">
        <f>Table15[[#This Row],[Ávöxtun]]*Table15[[#This Row],[Eignir]]/SUMIFS(Table15[Eignir],Table15[Year],Table15[[#This Row],[Year]])</f>
        <v>3.4377783788750291E-6</v>
      </c>
      <c r="F353" s="23">
        <f>IF(B353=1997, 100, IF(COUNTIF(A$1:A352,A353)=0, "NEW", F352*(1+Table15[[#This Row],[Ávöxtun]])))</f>
        <v>151.80818561841946</v>
      </c>
      <c r="G353" s="18" cm="1">
        <f t="array" ref="G353">IFERROR(_xlfn.IFS(ISNUMBER(Table15[[#This Row],[Column3]]),Table15[[#This Row],[Column3]],Table15[[#This Row],[Column3]]="NEW",Table15[[#This Row],[Column3]]),"")</f>
        <v>151.80818561841946</v>
      </c>
      <c r="H353" s="15" cm="1">
        <f t="array" ref="H353">_xlfn.IFS(Table15[[#This Row],[Column4]]="NEW",AVERAGEIFS(Table15[Column4],Table15[Year],Table15[[#This Row],[Year]]),ISNUMBER(Table15[[#This Row],[Column4]]),Table15[[#This Row],[Column4]],Table15[[#This Row],[Column4]]="",H352*(1+Table15[[#This Row],[Ávöxtun]]))</f>
        <v>151.80818561841946</v>
      </c>
      <c r="I353" s="30" cm="1">
        <f t="array" ref="I353">_xlfn.IFS(Table15[[#This Row],[Column4]]="NEW",_xlfn.XLOOKUP(Table15[[#This Row],[Year]]-1,$N$2:$N$27,$P$2:$P$27)*(1+Table15[[#This Row],[Ávöxtun]]),ISNUMBER(Table15[[#This Row],[Column4]]),Table15[[#This Row],[Column4]],Table15[[#This Row],[Column4]]="",I352*(1+Table15[[#This Row],[Ávöxtun]]))</f>
        <v>151.80818561841946</v>
      </c>
      <c r="L353" s="33">
        <v>151.80818561841946</v>
      </c>
      <c r="M353" s="33">
        <v>151.80818561841946</v>
      </c>
    </row>
    <row r="354" spans="1:13">
      <c r="A354" t="s">
        <v>86</v>
      </c>
      <c r="B354">
        <v>2012</v>
      </c>
      <c r="C354" s="16">
        <v>6.0000000000000001E-3</v>
      </c>
      <c r="D354" s="1">
        <v>614504</v>
      </c>
      <c r="E354" s="29">
        <f>Table15[[#This Row],[Ávöxtun]]*Table15[[#This Row],[Eignir]]/SUMIFS(Table15[Eignir],Table15[Year],Table15[[#This Row],[Year]])</f>
        <v>1.6737570456138792E-6</v>
      </c>
      <c r="F354" s="23">
        <f>IF(B354=1997, 100, IF(COUNTIF(A$1:A353,A354)=0, "NEW", F353*(1+Table15[[#This Row],[Ávöxtun]])))</f>
        <v>152.71903473212998</v>
      </c>
      <c r="G354" s="18" cm="1">
        <f t="array" ref="G354">IFERROR(_xlfn.IFS(ISNUMBER(Table15[[#This Row],[Column3]]),Table15[[#This Row],[Column3]],Table15[[#This Row],[Column3]]="NEW",Table15[[#This Row],[Column3]]),"")</f>
        <v>152.71903473212998</v>
      </c>
      <c r="H354" s="15" cm="1">
        <f t="array" ref="H354">_xlfn.IFS(Table15[[#This Row],[Column4]]="NEW",AVERAGEIFS(Table15[Column4],Table15[Year],Table15[[#This Row],[Year]]),ISNUMBER(Table15[[#This Row],[Column4]]),Table15[[#This Row],[Column4]],Table15[[#This Row],[Column4]]="",H353*(1+Table15[[#This Row],[Ávöxtun]]))</f>
        <v>152.71903473212998</v>
      </c>
      <c r="I354" s="30" cm="1">
        <f t="array" ref="I354">_xlfn.IFS(Table15[[#This Row],[Column4]]="NEW",_xlfn.XLOOKUP(Table15[[#This Row],[Year]]-1,$N$2:$N$27,$P$2:$P$27)*(1+Table15[[#This Row],[Ávöxtun]]),ISNUMBER(Table15[[#This Row],[Column4]]),Table15[[#This Row],[Column4]],Table15[[#This Row],[Column4]]="",I353*(1+Table15[[#This Row],[Ávöxtun]]))</f>
        <v>152.71903473212998</v>
      </c>
      <c r="L354" s="33">
        <v>152.71903473212998</v>
      </c>
      <c r="M354" s="33">
        <v>152.71903473212998</v>
      </c>
    </row>
    <row r="355" spans="1:13">
      <c r="A355" t="s">
        <v>87</v>
      </c>
      <c r="B355">
        <v>1997</v>
      </c>
      <c r="C355" s="16">
        <v>0.08</v>
      </c>
      <c r="D355" s="1">
        <v>11443.39</v>
      </c>
      <c r="E355" s="29">
        <f>Table15[[#This Row],[Ávöxtun]]*Table15[[#This Row],[Eignir]]/SUMIFS(Table15[Eignir],Table15[Year],Table15[[#This Row],[Year]])</f>
        <v>2.700303156334906E-6</v>
      </c>
      <c r="F355" s="23">
        <f>IF(B355=1997, 100, IF(COUNTIF(A$1:A354,A355)=0, "NEW", F354*(1+Table15[[#This Row],[Ávöxtun]])))</f>
        <v>100</v>
      </c>
      <c r="G355" s="18" cm="1">
        <f t="array" ref="G355">IFERROR(_xlfn.IFS(ISNUMBER(Table15[[#This Row],[Column3]]),Table15[[#This Row],[Column3]],Table15[[#This Row],[Column3]]="NEW",Table15[[#This Row],[Column3]]),"")</f>
        <v>100</v>
      </c>
      <c r="H355" s="15" cm="1">
        <f t="array" ref="H355">_xlfn.IFS(Table15[[#This Row],[Column4]]="NEW",AVERAGEIFS(Table15[Column4],Table15[Year],Table15[[#This Row],[Year]]),ISNUMBER(Table15[[#This Row],[Column4]]),Table15[[#This Row],[Column4]],Table15[[#This Row],[Column4]]="",H354*(1+Table15[[#This Row],[Ávöxtun]]))</f>
        <v>100</v>
      </c>
      <c r="I355" s="30" cm="1">
        <f t="array" ref="I355">_xlfn.IFS(Table15[[#This Row],[Column4]]="NEW",_xlfn.XLOOKUP(Table15[[#This Row],[Year]]-1,$N$2:$N$27,$P$2:$P$27)*(1+Table15[[#This Row],[Ávöxtun]]),ISNUMBER(Table15[[#This Row],[Column4]]),Table15[[#This Row],[Column4]],Table15[[#This Row],[Column4]]="",I354*(1+Table15[[#This Row],[Ávöxtun]]))</f>
        <v>100</v>
      </c>
      <c r="L355" s="33">
        <v>100</v>
      </c>
      <c r="M355" s="33">
        <v>100</v>
      </c>
    </row>
    <row r="356" spans="1:13">
      <c r="A356" t="s">
        <v>87</v>
      </c>
      <c r="B356">
        <v>1998</v>
      </c>
      <c r="C356" s="16">
        <v>0.08</v>
      </c>
      <c r="D356" s="1">
        <v>10939.39</v>
      </c>
      <c r="E356" s="29">
        <f>Table15[[#This Row],[Ávöxtun]]*Table15[[#This Row],[Eignir]]/SUMIFS(Table15[Eignir],Table15[Year],Table15[[#This Row],[Year]])</f>
        <v>2.2346097751286263E-6</v>
      </c>
      <c r="F356" s="23">
        <f>IF(B356=1997, 100, IF(COUNTIF(A$1:A355,A356)=0, "NEW", F355*(1+Table15[[#This Row],[Ávöxtun]])))</f>
        <v>108</v>
      </c>
      <c r="G356" s="18" cm="1">
        <f t="array" ref="G356">IFERROR(_xlfn.IFS(ISNUMBER(Table15[[#This Row],[Column3]]),Table15[[#This Row],[Column3]],Table15[[#This Row],[Column3]]="NEW",Table15[[#This Row],[Column3]]),"")</f>
        <v>108</v>
      </c>
      <c r="H356" s="15" cm="1">
        <f t="array" ref="H356">_xlfn.IFS(Table15[[#This Row],[Column4]]="NEW",AVERAGEIFS(Table15[Column4],Table15[Year],Table15[[#This Row],[Year]]),ISNUMBER(Table15[[#This Row],[Column4]]),Table15[[#This Row],[Column4]],Table15[[#This Row],[Column4]]="",H355*(1+Table15[[#This Row],[Ávöxtun]]))</f>
        <v>108</v>
      </c>
      <c r="I356" s="30" cm="1">
        <f t="array" ref="I356">_xlfn.IFS(Table15[[#This Row],[Column4]]="NEW",_xlfn.XLOOKUP(Table15[[#This Row],[Year]]-1,$N$2:$N$27,$P$2:$P$27)*(1+Table15[[#This Row],[Ávöxtun]]),ISNUMBER(Table15[[#This Row],[Column4]]),Table15[[#This Row],[Column4]],Table15[[#This Row],[Column4]]="",I355*(1+Table15[[#This Row],[Ávöxtun]]))</f>
        <v>108</v>
      </c>
      <c r="L356" s="33">
        <v>108</v>
      </c>
      <c r="M356" s="33">
        <v>108</v>
      </c>
    </row>
    <row r="357" spans="1:13">
      <c r="A357" t="s">
        <v>87</v>
      </c>
      <c r="B357">
        <v>1999</v>
      </c>
      <c r="C357" s="16">
        <v>0.01</v>
      </c>
      <c r="D357" s="1">
        <v>10403.25</v>
      </c>
      <c r="E357" s="29">
        <f>Table15[[#This Row],[Ávöxtun]]*Table15[[#This Row],[Eignir]]/SUMIFS(Table15[Eignir],Table15[Year],Table15[[#This Row],[Year]])</f>
        <v>1.9978714477390953E-7</v>
      </c>
      <c r="F357" s="23">
        <f>IF(B357=1997, 100, IF(COUNTIF(A$1:A356,A357)=0, "NEW", F356*(1+Table15[[#This Row],[Ávöxtun]])))</f>
        <v>109.08</v>
      </c>
      <c r="G357" s="18" cm="1">
        <f t="array" ref="G357">IFERROR(_xlfn.IFS(ISNUMBER(Table15[[#This Row],[Column3]]),Table15[[#This Row],[Column3]],Table15[[#This Row],[Column3]]="NEW",Table15[[#This Row],[Column3]]),"")</f>
        <v>109.08</v>
      </c>
      <c r="H357" s="15" cm="1">
        <f t="array" ref="H357">_xlfn.IFS(Table15[[#This Row],[Column4]]="NEW",AVERAGEIFS(Table15[Column4],Table15[Year],Table15[[#This Row],[Year]]),ISNUMBER(Table15[[#This Row],[Column4]]),Table15[[#This Row],[Column4]],Table15[[#This Row],[Column4]]="",H356*(1+Table15[[#This Row],[Ávöxtun]]))</f>
        <v>109.08</v>
      </c>
      <c r="I357" s="30" cm="1">
        <f t="array" ref="I357">_xlfn.IFS(Table15[[#This Row],[Column4]]="NEW",_xlfn.XLOOKUP(Table15[[#This Row],[Year]]-1,$N$2:$N$27,$P$2:$P$27)*(1+Table15[[#This Row],[Ávöxtun]]),ISNUMBER(Table15[[#This Row],[Column4]]),Table15[[#This Row],[Column4]],Table15[[#This Row],[Column4]]="",I356*(1+Table15[[#This Row],[Ávöxtun]]))</f>
        <v>109.08</v>
      </c>
      <c r="L357" s="33">
        <v>109.08</v>
      </c>
      <c r="M357" s="33">
        <v>109.08</v>
      </c>
    </row>
    <row r="358" spans="1:13">
      <c r="A358" t="s">
        <v>87</v>
      </c>
      <c r="B358">
        <v>2000</v>
      </c>
      <c r="C358" s="16">
        <v>-0.03</v>
      </c>
      <c r="D358" s="1">
        <v>9011.09</v>
      </c>
      <c r="E358" s="29">
        <f>Table15[[#This Row],[Ávöxtun]]*Table15[[#This Row],[Eignir]]/SUMIFS(Table15[Eignir],Table15[Year],Table15[[#This Row],[Year]])</f>
        <v>-3.8027375537165579E-7</v>
      </c>
      <c r="F358" s="23">
        <f>IF(B358=1997, 100, IF(COUNTIF(A$1:A357,A358)=0, "NEW", F357*(1+Table15[[#This Row],[Ávöxtun]])))</f>
        <v>105.80759999999999</v>
      </c>
      <c r="G358" s="18" cm="1">
        <f t="array" ref="G358">IFERROR(_xlfn.IFS(ISNUMBER(Table15[[#This Row],[Column3]]),Table15[[#This Row],[Column3]],Table15[[#This Row],[Column3]]="NEW",Table15[[#This Row],[Column3]]),"")</f>
        <v>105.80759999999999</v>
      </c>
      <c r="H358" s="15" cm="1">
        <f t="array" ref="H358">_xlfn.IFS(Table15[[#This Row],[Column4]]="NEW",AVERAGEIFS(Table15[Column4],Table15[Year],Table15[[#This Row],[Year]]),ISNUMBER(Table15[[#This Row],[Column4]]),Table15[[#This Row],[Column4]],Table15[[#This Row],[Column4]]="",H357*(1+Table15[[#This Row],[Ávöxtun]]))</f>
        <v>105.80759999999999</v>
      </c>
      <c r="I358" s="30" cm="1">
        <f t="array" ref="I358">_xlfn.IFS(Table15[[#This Row],[Column4]]="NEW",_xlfn.XLOOKUP(Table15[[#This Row],[Year]]-1,$N$2:$N$27,$P$2:$P$27)*(1+Table15[[#This Row],[Ávöxtun]]),ISNUMBER(Table15[[#This Row],[Column4]]),Table15[[#This Row],[Column4]],Table15[[#This Row],[Column4]]="",I357*(1+Table15[[#This Row],[Ávöxtun]]))</f>
        <v>105.80759999999999</v>
      </c>
      <c r="L358" s="33">
        <v>105.80759999999999</v>
      </c>
      <c r="M358" s="33">
        <v>105.80759999999999</v>
      </c>
    </row>
    <row r="359" spans="1:13">
      <c r="A359" t="s">
        <v>87</v>
      </c>
      <c r="B359">
        <v>2001</v>
      </c>
      <c r="C359" s="16">
        <v>0.06</v>
      </c>
      <c r="D359" s="1">
        <v>9419</v>
      </c>
      <c r="E359" s="29">
        <f>Table15[[#This Row],[Ávöxtun]]*Table15[[#This Row],[Eignir]]/SUMIFS(Table15[Eignir],Table15[Year],Table15[[#This Row],[Year]])</f>
        <v>4.8806660837367359E-7</v>
      </c>
      <c r="F359" s="23">
        <f>IF(B359=1997, 100, IF(COUNTIF(A$1:A358,A359)=0, "NEW", F358*(1+Table15[[#This Row],[Ávöxtun]])))</f>
        <v>112.15605599999999</v>
      </c>
      <c r="G359" s="18" cm="1">
        <f t="array" ref="G359">IFERROR(_xlfn.IFS(ISNUMBER(Table15[[#This Row],[Column3]]),Table15[[#This Row],[Column3]],Table15[[#This Row],[Column3]]="NEW",Table15[[#This Row],[Column3]]),"")</f>
        <v>112.15605599999999</v>
      </c>
      <c r="H359" s="15" cm="1">
        <f t="array" ref="H359">_xlfn.IFS(Table15[[#This Row],[Column4]]="NEW",AVERAGEIFS(Table15[Column4],Table15[Year],Table15[[#This Row],[Year]]),ISNUMBER(Table15[[#This Row],[Column4]]),Table15[[#This Row],[Column4]],Table15[[#This Row],[Column4]]="",H358*(1+Table15[[#This Row],[Ávöxtun]]))</f>
        <v>112.15605599999999</v>
      </c>
      <c r="I359" s="30" cm="1">
        <f t="array" ref="I359">_xlfn.IFS(Table15[[#This Row],[Column4]]="NEW",_xlfn.XLOOKUP(Table15[[#This Row],[Year]]-1,$N$2:$N$27,$P$2:$P$27)*(1+Table15[[#This Row],[Ávöxtun]]),ISNUMBER(Table15[[#This Row],[Column4]]),Table15[[#This Row],[Column4]],Table15[[#This Row],[Column4]]="",I358*(1+Table15[[#This Row],[Ávöxtun]]))</f>
        <v>112.15605599999999</v>
      </c>
      <c r="L359" s="33">
        <v>112.15605599999999</v>
      </c>
      <c r="M359" s="33">
        <v>112.15605599999999</v>
      </c>
    </row>
    <row r="360" spans="1:13">
      <c r="A360" t="s">
        <v>87</v>
      </c>
      <c r="B360">
        <v>2002</v>
      </c>
      <c r="C360" s="16">
        <v>0.08</v>
      </c>
      <c r="D360" s="1">
        <v>9201.65</v>
      </c>
      <c r="E360" s="29">
        <f>Table15[[#This Row],[Ávöxtun]]*Table15[[#This Row],[Eignir]]/SUMIFS(Table15[Eignir],Table15[Year],Table15[[#This Row],[Year]])</f>
        <v>1.1589633857816684E-6</v>
      </c>
      <c r="F360" s="23">
        <f>IF(B360=1997, 100, IF(COUNTIF(A$1:A359,A360)=0, "NEW", F359*(1+Table15[[#This Row],[Ávöxtun]])))</f>
        <v>121.12854048</v>
      </c>
      <c r="G360" s="18" cm="1">
        <f t="array" ref="G360">IFERROR(_xlfn.IFS(ISNUMBER(Table15[[#This Row],[Column3]]),Table15[[#This Row],[Column3]],Table15[[#This Row],[Column3]]="NEW",Table15[[#This Row],[Column3]]),"")</f>
        <v>121.12854048</v>
      </c>
      <c r="H360" s="15" cm="1">
        <f t="array" ref="H360">_xlfn.IFS(Table15[[#This Row],[Column4]]="NEW",AVERAGEIFS(Table15[Column4],Table15[Year],Table15[[#This Row],[Year]]),ISNUMBER(Table15[[#This Row],[Column4]]),Table15[[#This Row],[Column4]],Table15[[#This Row],[Column4]]="",H359*(1+Table15[[#This Row],[Ávöxtun]]))</f>
        <v>121.12854048</v>
      </c>
      <c r="I360" s="30" cm="1">
        <f t="array" ref="I360">_xlfn.IFS(Table15[[#This Row],[Column4]]="NEW",_xlfn.XLOOKUP(Table15[[#This Row],[Year]]-1,$N$2:$N$27,$P$2:$P$27)*(1+Table15[[#This Row],[Ávöxtun]]),ISNUMBER(Table15[[#This Row],[Column4]]),Table15[[#This Row],[Column4]],Table15[[#This Row],[Column4]]="",I359*(1+Table15[[#This Row],[Ávöxtun]]))</f>
        <v>121.12854048</v>
      </c>
      <c r="L360" s="33">
        <v>121.12854048</v>
      </c>
      <c r="M360" s="33">
        <v>121.12854048</v>
      </c>
    </row>
    <row r="361" spans="1:13">
      <c r="A361" t="s">
        <v>87</v>
      </c>
      <c r="B361">
        <v>2003</v>
      </c>
      <c r="C361" s="16">
        <v>0.02</v>
      </c>
      <c r="D361" s="1">
        <v>8378</v>
      </c>
      <c r="E361" s="29">
        <f>Table15[[#This Row],[Ávöxtun]]*Table15[[#This Row],[Eignir]]/SUMIFS(Table15[Eignir],Table15[Year],Table15[[#This Row],[Year]])</f>
        <v>2.2050519473070974E-7</v>
      </c>
      <c r="F361" s="23">
        <f>IF(B361=1997, 100, IF(COUNTIF(A$1:A360,A361)=0, "NEW", F360*(1+Table15[[#This Row],[Ávöxtun]])))</f>
        <v>123.5511112896</v>
      </c>
      <c r="G361" s="18" cm="1">
        <f t="array" ref="G361">IFERROR(_xlfn.IFS(ISNUMBER(Table15[[#This Row],[Column3]]),Table15[[#This Row],[Column3]],Table15[[#This Row],[Column3]]="NEW",Table15[[#This Row],[Column3]]),"")</f>
        <v>123.5511112896</v>
      </c>
      <c r="H361" s="15" cm="1">
        <f t="array" ref="H361">_xlfn.IFS(Table15[[#This Row],[Column4]]="NEW",AVERAGEIFS(Table15[Column4],Table15[Year],Table15[[#This Row],[Year]]),ISNUMBER(Table15[[#This Row],[Column4]]),Table15[[#This Row],[Column4]],Table15[[#This Row],[Column4]]="",H360*(1+Table15[[#This Row],[Ávöxtun]]))</f>
        <v>123.5511112896</v>
      </c>
      <c r="I361" s="30" cm="1">
        <f t="array" ref="I361">_xlfn.IFS(Table15[[#This Row],[Column4]]="NEW",_xlfn.XLOOKUP(Table15[[#This Row],[Year]]-1,$N$2:$N$27,$P$2:$P$27)*(1+Table15[[#This Row],[Ávöxtun]]),ISNUMBER(Table15[[#This Row],[Column4]]),Table15[[#This Row],[Column4]],Table15[[#This Row],[Column4]]="",I360*(1+Table15[[#This Row],[Ávöxtun]]))</f>
        <v>123.5511112896</v>
      </c>
      <c r="L361" s="33">
        <v>123.5511112896</v>
      </c>
      <c r="M361" s="33">
        <v>123.5511112896</v>
      </c>
    </row>
    <row r="362" spans="1:13">
      <c r="A362" t="s">
        <v>87</v>
      </c>
      <c r="B362">
        <v>2004</v>
      </c>
      <c r="C362" s="16">
        <v>0.01</v>
      </c>
      <c r="D362" s="1">
        <v>8689</v>
      </c>
      <c r="E362" s="29">
        <f>Table15[[#This Row],[Ávöxtun]]*Table15[[#This Row],[Eignir]]/SUMIFS(Table15[Eignir],Table15[Year],Table15[[#This Row],[Year]])</f>
        <v>9.5728579008508517E-8</v>
      </c>
      <c r="F362" s="23">
        <f>IF(B362=1997, 100, IF(COUNTIF(A$1:A361,A362)=0, "NEW", F361*(1+Table15[[#This Row],[Ávöxtun]])))</f>
        <v>124.78662240249601</v>
      </c>
      <c r="G362" s="18" cm="1">
        <f t="array" ref="G362">IFERROR(_xlfn.IFS(ISNUMBER(Table15[[#This Row],[Column3]]),Table15[[#This Row],[Column3]],Table15[[#This Row],[Column3]]="NEW",Table15[[#This Row],[Column3]]),"")</f>
        <v>124.78662240249601</v>
      </c>
      <c r="H362" s="15" cm="1">
        <f t="array" ref="H362">_xlfn.IFS(Table15[[#This Row],[Column4]]="NEW",AVERAGEIFS(Table15[Column4],Table15[Year],Table15[[#This Row],[Year]]),ISNUMBER(Table15[[#This Row],[Column4]]),Table15[[#This Row],[Column4]],Table15[[#This Row],[Column4]]="",H361*(1+Table15[[#This Row],[Ávöxtun]]))</f>
        <v>124.78662240249601</v>
      </c>
      <c r="I362" s="30" cm="1">
        <f t="array" ref="I362">_xlfn.IFS(Table15[[#This Row],[Column4]]="NEW",_xlfn.XLOOKUP(Table15[[#This Row],[Year]]-1,$N$2:$N$27,$P$2:$P$27)*(1+Table15[[#This Row],[Ávöxtun]]),ISNUMBER(Table15[[#This Row],[Column4]]),Table15[[#This Row],[Column4]],Table15[[#This Row],[Column4]]="",I361*(1+Table15[[#This Row],[Ávöxtun]]))</f>
        <v>124.78662240249601</v>
      </c>
      <c r="L362" s="33">
        <v>124.78662240249601</v>
      </c>
      <c r="M362" s="33">
        <v>124.78662240249601</v>
      </c>
    </row>
    <row r="363" spans="1:13">
      <c r="A363" t="s">
        <v>87</v>
      </c>
      <c r="B363">
        <v>2005</v>
      </c>
      <c r="C363" s="16">
        <v>0.02</v>
      </c>
      <c r="D363" s="1">
        <v>7797</v>
      </c>
      <c r="E363" s="29">
        <f>Table15[[#This Row],[Ávöxtun]]*Table15[[#This Row],[Eignir]]/SUMIFS(Table15[Eignir],Table15[Year],Table15[[#This Row],[Year]])</f>
        <v>1.3906604076389504E-7</v>
      </c>
      <c r="F363" s="23">
        <f>IF(B363=1997, 100, IF(COUNTIF(A$1:A362,A363)=0, "NEW", F362*(1+Table15[[#This Row],[Ávöxtun]])))</f>
        <v>127.28235485054593</v>
      </c>
      <c r="G363" s="18" cm="1">
        <f t="array" ref="G363">IFERROR(_xlfn.IFS(ISNUMBER(Table15[[#This Row],[Column3]]),Table15[[#This Row],[Column3]],Table15[[#This Row],[Column3]]="NEW",Table15[[#This Row],[Column3]]),"")</f>
        <v>127.28235485054593</v>
      </c>
      <c r="H363" s="15" cm="1">
        <f t="array" ref="H363">_xlfn.IFS(Table15[[#This Row],[Column4]]="NEW",AVERAGEIFS(Table15[Column4],Table15[Year],Table15[[#This Row],[Year]]),ISNUMBER(Table15[[#This Row],[Column4]]),Table15[[#This Row],[Column4]],Table15[[#This Row],[Column4]]="",H362*(1+Table15[[#This Row],[Ávöxtun]]))</f>
        <v>127.28235485054593</v>
      </c>
      <c r="I363" s="30" cm="1">
        <f t="array" ref="I363">_xlfn.IFS(Table15[[#This Row],[Column4]]="NEW",_xlfn.XLOOKUP(Table15[[#This Row],[Year]]-1,$N$2:$N$27,$P$2:$P$27)*(1+Table15[[#This Row],[Ávöxtun]]),ISNUMBER(Table15[[#This Row],[Column4]]),Table15[[#This Row],[Column4]],Table15[[#This Row],[Column4]]="",I362*(1+Table15[[#This Row],[Ávöxtun]]))</f>
        <v>127.28235485054593</v>
      </c>
      <c r="L363" s="33">
        <v>127.28235485054593</v>
      </c>
      <c r="M363" s="33">
        <v>127.28235485054593</v>
      </c>
    </row>
    <row r="364" spans="1:13">
      <c r="A364" t="s">
        <v>88</v>
      </c>
      <c r="B364">
        <v>1997</v>
      </c>
      <c r="C364" s="16">
        <v>0.08</v>
      </c>
      <c r="D364" s="1">
        <v>98072.45</v>
      </c>
      <c r="E364" s="29">
        <f>Table15[[#This Row],[Ávöxtun]]*Table15[[#This Row],[Eignir]]/SUMIFS(Table15[Eignir],Table15[Year],Table15[[#This Row],[Year]])</f>
        <v>2.314221103051607E-5</v>
      </c>
      <c r="F364" s="23">
        <f>IF(B364=1997, 100, IF(COUNTIF(A$1:A363,A364)=0, "NEW", F363*(1+Table15[[#This Row],[Ávöxtun]])))</f>
        <v>100</v>
      </c>
      <c r="G364" s="18" cm="1">
        <f t="array" ref="G364">IFERROR(_xlfn.IFS(ISNUMBER(Table15[[#This Row],[Column3]]),Table15[[#This Row],[Column3]],Table15[[#This Row],[Column3]]="NEW",Table15[[#This Row],[Column3]]),"")</f>
        <v>100</v>
      </c>
      <c r="H364" s="15" cm="1">
        <f t="array" ref="H364">_xlfn.IFS(Table15[[#This Row],[Column4]]="NEW",AVERAGEIFS(Table15[Column4],Table15[Year],Table15[[#This Row],[Year]]),ISNUMBER(Table15[[#This Row],[Column4]]),Table15[[#This Row],[Column4]],Table15[[#This Row],[Column4]]="",H363*(1+Table15[[#This Row],[Ávöxtun]]))</f>
        <v>100</v>
      </c>
      <c r="I364" s="30" cm="1">
        <f t="array" ref="I364">_xlfn.IFS(Table15[[#This Row],[Column4]]="NEW",_xlfn.XLOOKUP(Table15[[#This Row],[Year]]-1,$N$2:$N$27,$P$2:$P$27)*(1+Table15[[#This Row],[Ávöxtun]]),ISNUMBER(Table15[[#This Row],[Column4]]),Table15[[#This Row],[Column4]],Table15[[#This Row],[Column4]]="",I363*(1+Table15[[#This Row],[Ávöxtun]]))</f>
        <v>100</v>
      </c>
      <c r="L364" s="33">
        <v>100</v>
      </c>
      <c r="M364" s="33">
        <v>100</v>
      </c>
    </row>
    <row r="365" spans="1:13">
      <c r="A365" t="s">
        <v>88</v>
      </c>
      <c r="B365">
        <v>1998</v>
      </c>
      <c r="C365" s="16">
        <v>0.04</v>
      </c>
      <c r="D365" s="1">
        <v>104214.2</v>
      </c>
      <c r="E365" s="29">
        <f>Table15[[#This Row],[Ávöxtun]]*Table15[[#This Row],[Eignir]]/SUMIFS(Table15[Eignir],Table15[Year],Table15[[#This Row],[Year]])</f>
        <v>1.0644015343963864E-5</v>
      </c>
      <c r="F365" s="23">
        <f>IF(B365=1997, 100, IF(COUNTIF(A$1:A364,A365)=0, "NEW", F364*(1+Table15[[#This Row],[Ávöxtun]])))</f>
        <v>104</v>
      </c>
      <c r="G365" s="18" cm="1">
        <f t="array" ref="G365">IFERROR(_xlfn.IFS(ISNUMBER(Table15[[#This Row],[Column3]]),Table15[[#This Row],[Column3]],Table15[[#This Row],[Column3]]="NEW",Table15[[#This Row],[Column3]]),"")</f>
        <v>104</v>
      </c>
      <c r="H365" s="15" cm="1">
        <f t="array" ref="H365">_xlfn.IFS(Table15[[#This Row],[Column4]]="NEW",AVERAGEIFS(Table15[Column4],Table15[Year],Table15[[#This Row],[Year]]),ISNUMBER(Table15[[#This Row],[Column4]]),Table15[[#This Row],[Column4]],Table15[[#This Row],[Column4]]="",H364*(1+Table15[[#This Row],[Ávöxtun]]))</f>
        <v>104</v>
      </c>
      <c r="I365" s="30" cm="1">
        <f t="array" ref="I365">_xlfn.IFS(Table15[[#This Row],[Column4]]="NEW",_xlfn.XLOOKUP(Table15[[#This Row],[Year]]-1,$N$2:$N$27,$P$2:$P$27)*(1+Table15[[#This Row],[Ávöxtun]]),ISNUMBER(Table15[[#This Row],[Column4]]),Table15[[#This Row],[Column4]],Table15[[#This Row],[Column4]]="",I364*(1+Table15[[#This Row],[Ávöxtun]]))</f>
        <v>104</v>
      </c>
      <c r="L365" s="33">
        <v>104</v>
      </c>
      <c r="M365" s="33">
        <v>104</v>
      </c>
    </row>
    <row r="366" spans="1:13">
      <c r="A366" t="s">
        <v>88</v>
      </c>
      <c r="B366">
        <v>1999</v>
      </c>
      <c r="C366" s="16">
        <v>0.03</v>
      </c>
      <c r="D366" s="1">
        <v>88750.399999999994</v>
      </c>
      <c r="E366" s="29">
        <f>Table15[[#This Row],[Ávöxtun]]*Table15[[#This Row],[Eignir]]/SUMIFS(Table15[Eignir],Table15[Year],Table15[[#This Row],[Year]])</f>
        <v>5.1131681965373448E-6</v>
      </c>
      <c r="F366" s="23">
        <f>IF(B366=1997, 100, IF(COUNTIF(A$1:A365,A366)=0, "NEW", F365*(1+Table15[[#This Row],[Ávöxtun]])))</f>
        <v>107.12</v>
      </c>
      <c r="G366" s="18" cm="1">
        <f t="array" ref="G366">IFERROR(_xlfn.IFS(ISNUMBER(Table15[[#This Row],[Column3]]),Table15[[#This Row],[Column3]],Table15[[#This Row],[Column3]]="NEW",Table15[[#This Row],[Column3]]),"")</f>
        <v>107.12</v>
      </c>
      <c r="H366" s="15" cm="1">
        <f t="array" ref="H366">_xlfn.IFS(Table15[[#This Row],[Column4]]="NEW",AVERAGEIFS(Table15[Column4],Table15[Year],Table15[[#This Row],[Year]]),ISNUMBER(Table15[[#This Row],[Column4]]),Table15[[#This Row],[Column4]],Table15[[#This Row],[Column4]]="",H365*(1+Table15[[#This Row],[Ávöxtun]]))</f>
        <v>107.12</v>
      </c>
      <c r="I366" s="30" cm="1">
        <f t="array" ref="I366">_xlfn.IFS(Table15[[#This Row],[Column4]]="NEW",_xlfn.XLOOKUP(Table15[[#This Row],[Year]]-1,$N$2:$N$27,$P$2:$P$27)*(1+Table15[[#This Row],[Ávöxtun]]),ISNUMBER(Table15[[#This Row],[Column4]]),Table15[[#This Row],[Column4]],Table15[[#This Row],[Column4]]="",I365*(1+Table15[[#This Row],[Ávöxtun]]))</f>
        <v>107.12</v>
      </c>
      <c r="L366" s="33">
        <v>107.12</v>
      </c>
      <c r="M366" s="33">
        <v>107.12</v>
      </c>
    </row>
    <row r="367" spans="1:13">
      <c r="A367" t="s">
        <v>88</v>
      </c>
      <c r="B367">
        <v>2000</v>
      </c>
      <c r="C367" s="16">
        <v>0.03</v>
      </c>
      <c r="D367" s="1">
        <v>76119.490000000005</v>
      </c>
      <c r="E367" s="29">
        <f>Table15[[#This Row],[Ávöxtun]]*Table15[[#This Row],[Eignir]]/SUMIFS(Table15[Eignir],Table15[Year],Table15[[#This Row],[Year]])</f>
        <v>3.2122911123155135E-6</v>
      </c>
      <c r="F367" s="23">
        <f>IF(B367=1997, 100, IF(COUNTIF(A$1:A366,A367)=0, "NEW", F366*(1+Table15[[#This Row],[Ávöxtun]])))</f>
        <v>110.3336</v>
      </c>
      <c r="G367" s="18" cm="1">
        <f t="array" ref="G367">IFERROR(_xlfn.IFS(ISNUMBER(Table15[[#This Row],[Column3]]),Table15[[#This Row],[Column3]],Table15[[#This Row],[Column3]]="NEW",Table15[[#This Row],[Column3]]),"")</f>
        <v>110.3336</v>
      </c>
      <c r="H367" s="15" cm="1">
        <f t="array" ref="H367">_xlfn.IFS(Table15[[#This Row],[Column4]]="NEW",AVERAGEIFS(Table15[Column4],Table15[Year],Table15[[#This Row],[Year]]),ISNUMBER(Table15[[#This Row],[Column4]]),Table15[[#This Row],[Column4]],Table15[[#This Row],[Column4]]="",H366*(1+Table15[[#This Row],[Ávöxtun]]))</f>
        <v>110.3336</v>
      </c>
      <c r="I367" s="30" cm="1">
        <f t="array" ref="I367">_xlfn.IFS(Table15[[#This Row],[Column4]]="NEW",_xlfn.XLOOKUP(Table15[[#This Row],[Year]]-1,$N$2:$N$27,$P$2:$P$27)*(1+Table15[[#This Row],[Ávöxtun]]),ISNUMBER(Table15[[#This Row],[Column4]]),Table15[[#This Row],[Column4]],Table15[[#This Row],[Column4]]="",I366*(1+Table15[[#This Row],[Ávöxtun]]))</f>
        <v>110.3336</v>
      </c>
      <c r="L367" s="33">
        <v>110.3336</v>
      </c>
      <c r="M367" s="33">
        <v>110.3336</v>
      </c>
    </row>
    <row r="368" spans="1:13">
      <c r="A368" t="s">
        <v>88</v>
      </c>
      <c r="B368">
        <v>2001</v>
      </c>
      <c r="C368" s="16">
        <v>-0.02</v>
      </c>
      <c r="D368" s="1">
        <v>61714.720000000001</v>
      </c>
      <c r="E368" s="29">
        <f>Table15[[#This Row],[Ávöxtun]]*Table15[[#This Row],[Eignir]]/SUMIFS(Table15[Eignir],Table15[Year],Table15[[#This Row],[Year]])</f>
        <v>-1.0659622067852539E-6</v>
      </c>
      <c r="F368" s="23">
        <f>IF(B368=1997, 100, IF(COUNTIF(A$1:A367,A368)=0, "NEW", F367*(1+Table15[[#This Row],[Ávöxtun]])))</f>
        <v>108.12692800000001</v>
      </c>
      <c r="G368" s="18" cm="1">
        <f t="array" ref="G368">IFERROR(_xlfn.IFS(ISNUMBER(Table15[[#This Row],[Column3]]),Table15[[#This Row],[Column3]],Table15[[#This Row],[Column3]]="NEW",Table15[[#This Row],[Column3]]),"")</f>
        <v>108.12692800000001</v>
      </c>
      <c r="H368" s="15" cm="1">
        <f t="array" ref="H368">_xlfn.IFS(Table15[[#This Row],[Column4]]="NEW",AVERAGEIFS(Table15[Column4],Table15[Year],Table15[[#This Row],[Year]]),ISNUMBER(Table15[[#This Row],[Column4]]),Table15[[#This Row],[Column4]],Table15[[#This Row],[Column4]]="",H367*(1+Table15[[#This Row],[Ávöxtun]]))</f>
        <v>108.12692800000001</v>
      </c>
      <c r="I368" s="30" cm="1">
        <f t="array" ref="I368">_xlfn.IFS(Table15[[#This Row],[Column4]]="NEW",_xlfn.XLOOKUP(Table15[[#This Row],[Year]]-1,$N$2:$N$27,$P$2:$P$27)*(1+Table15[[#This Row],[Ávöxtun]]),ISNUMBER(Table15[[#This Row],[Column4]]),Table15[[#This Row],[Column4]],Table15[[#This Row],[Column4]]="",I367*(1+Table15[[#This Row],[Ávöxtun]]))</f>
        <v>108.12692800000001</v>
      </c>
      <c r="L368" s="33">
        <v>108.12692800000001</v>
      </c>
      <c r="M368" s="33">
        <v>108.12692800000001</v>
      </c>
    </row>
    <row r="369" spans="1:13">
      <c r="A369" t="s">
        <v>88</v>
      </c>
      <c r="B369">
        <v>2002</v>
      </c>
      <c r="C369" s="16">
        <v>0.02</v>
      </c>
      <c r="D369" s="1">
        <v>59523.68</v>
      </c>
      <c r="E369" s="29">
        <f>Table15[[#This Row],[Ávöxtun]]*Table15[[#This Row],[Eignir]]/SUMIFS(Table15[Eignir],Table15[Year],Table15[[#This Row],[Year]])</f>
        <v>1.874277051044774E-6</v>
      </c>
      <c r="F369" s="23">
        <f>IF(B369=1997, 100, IF(COUNTIF(A$1:A368,A369)=0, "NEW", F368*(1+Table15[[#This Row],[Ávöxtun]])))</f>
        <v>110.28946656000001</v>
      </c>
      <c r="G369" s="18" cm="1">
        <f t="array" ref="G369">IFERROR(_xlfn.IFS(ISNUMBER(Table15[[#This Row],[Column3]]),Table15[[#This Row],[Column3]],Table15[[#This Row],[Column3]]="NEW",Table15[[#This Row],[Column3]]),"")</f>
        <v>110.28946656000001</v>
      </c>
      <c r="H369" s="15" cm="1">
        <f t="array" ref="H369">_xlfn.IFS(Table15[[#This Row],[Column4]]="NEW",AVERAGEIFS(Table15[Column4],Table15[Year],Table15[[#This Row],[Year]]),ISNUMBER(Table15[[#This Row],[Column4]]),Table15[[#This Row],[Column4]],Table15[[#This Row],[Column4]]="",H368*(1+Table15[[#This Row],[Ávöxtun]]))</f>
        <v>110.28946656000001</v>
      </c>
      <c r="I369" s="30" cm="1">
        <f t="array" ref="I369">_xlfn.IFS(Table15[[#This Row],[Column4]]="NEW",_xlfn.XLOOKUP(Table15[[#This Row],[Year]]-1,$N$2:$N$27,$P$2:$P$27)*(1+Table15[[#This Row],[Ávöxtun]]),ISNUMBER(Table15[[#This Row],[Column4]]),Table15[[#This Row],[Column4]],Table15[[#This Row],[Column4]]="",I368*(1+Table15[[#This Row],[Ávöxtun]]))</f>
        <v>110.28946656000001</v>
      </c>
      <c r="L369" s="33">
        <v>110.28946656000001</v>
      </c>
      <c r="M369" s="33">
        <v>110.28946656000001</v>
      </c>
    </row>
    <row r="370" spans="1:13">
      <c r="A370" t="s">
        <v>88</v>
      </c>
      <c r="B370">
        <v>2003</v>
      </c>
      <c r="C370" s="16">
        <v>-0.04</v>
      </c>
      <c r="D370" s="1">
        <v>59200</v>
      </c>
      <c r="E370" s="29">
        <f>Table15[[#This Row],[Ávöxtun]]*Table15[[#This Row],[Eignir]]/SUMIFS(Table15[Eignir],Table15[Year],Table15[[#This Row],[Year]])</f>
        <v>-3.1162347882688033E-6</v>
      </c>
      <c r="F370" s="23">
        <f>IF(B370=1997, 100, IF(COUNTIF(A$1:A369,A370)=0, "NEW", F369*(1+Table15[[#This Row],[Ávöxtun]])))</f>
        <v>105.8778878976</v>
      </c>
      <c r="G370" s="18" cm="1">
        <f t="array" ref="G370">IFERROR(_xlfn.IFS(ISNUMBER(Table15[[#This Row],[Column3]]),Table15[[#This Row],[Column3]],Table15[[#This Row],[Column3]]="NEW",Table15[[#This Row],[Column3]]),"")</f>
        <v>105.8778878976</v>
      </c>
      <c r="H370" s="15" cm="1">
        <f t="array" ref="H370">_xlfn.IFS(Table15[[#This Row],[Column4]]="NEW",AVERAGEIFS(Table15[Column4],Table15[Year],Table15[[#This Row],[Year]]),ISNUMBER(Table15[[#This Row],[Column4]]),Table15[[#This Row],[Column4]],Table15[[#This Row],[Column4]]="",H369*(1+Table15[[#This Row],[Ávöxtun]]))</f>
        <v>105.8778878976</v>
      </c>
      <c r="I370" s="30" cm="1">
        <f t="array" ref="I370">_xlfn.IFS(Table15[[#This Row],[Column4]]="NEW",_xlfn.XLOOKUP(Table15[[#This Row],[Year]]-1,$N$2:$N$27,$P$2:$P$27)*(1+Table15[[#This Row],[Ávöxtun]]),ISNUMBER(Table15[[#This Row],[Column4]]),Table15[[#This Row],[Column4]],Table15[[#This Row],[Column4]]="",I369*(1+Table15[[#This Row],[Ávöxtun]]))</f>
        <v>105.8778878976</v>
      </c>
      <c r="L370" s="33">
        <v>105.8778878976</v>
      </c>
      <c r="M370" s="33">
        <v>105.8778878976</v>
      </c>
    </row>
    <row r="371" spans="1:13">
      <c r="A371" t="s">
        <v>88</v>
      </c>
      <c r="B371">
        <v>2004</v>
      </c>
      <c r="C371" s="16">
        <v>2.15</v>
      </c>
      <c r="D371" s="1">
        <v>57736</v>
      </c>
      <c r="E371" s="29">
        <f>Table15[[#This Row],[Ávöxtun]]*Table15[[#This Row],[Eignir]]/SUMIFS(Table15[Eignir],Table15[Year],Table15[[#This Row],[Year]])</f>
        <v>1.3675933088866133E-4</v>
      </c>
      <c r="F371" s="23">
        <f>IF(B371=1997, 100, IF(COUNTIF(A$1:A370,A371)=0, "NEW", F370*(1+Table15[[#This Row],[Ávöxtun]])))</f>
        <v>333.51534687743998</v>
      </c>
      <c r="G371" s="18" cm="1">
        <f t="array" ref="G371">IFERROR(_xlfn.IFS(ISNUMBER(Table15[[#This Row],[Column3]]),Table15[[#This Row],[Column3]],Table15[[#This Row],[Column3]]="NEW",Table15[[#This Row],[Column3]]),"")</f>
        <v>333.51534687743998</v>
      </c>
      <c r="H371" s="15" cm="1">
        <f t="array" ref="H371">_xlfn.IFS(Table15[[#This Row],[Column4]]="NEW",AVERAGEIFS(Table15[Column4],Table15[Year],Table15[[#This Row],[Year]]),ISNUMBER(Table15[[#This Row],[Column4]]),Table15[[#This Row],[Column4]],Table15[[#This Row],[Column4]]="",H370*(1+Table15[[#This Row],[Ávöxtun]]))</f>
        <v>333.51534687743998</v>
      </c>
      <c r="I371" s="30" cm="1">
        <f t="array" ref="I371">_xlfn.IFS(Table15[[#This Row],[Column4]]="NEW",_xlfn.XLOOKUP(Table15[[#This Row],[Year]]-1,$N$2:$N$27,$P$2:$P$27)*(1+Table15[[#This Row],[Ávöxtun]]),ISNUMBER(Table15[[#This Row],[Column4]]),Table15[[#This Row],[Column4]],Table15[[#This Row],[Column4]]="",I370*(1+Table15[[#This Row],[Ávöxtun]]))</f>
        <v>333.51534687743998</v>
      </c>
      <c r="L371" s="33">
        <v>333.51534687743998</v>
      </c>
      <c r="M371" s="33">
        <v>333.51534687743998</v>
      </c>
    </row>
    <row r="372" spans="1:13">
      <c r="A372" t="s">
        <v>88</v>
      </c>
      <c r="B372">
        <v>2005</v>
      </c>
      <c r="C372" s="16">
        <v>0</v>
      </c>
      <c r="D372" s="1">
        <v>55886</v>
      </c>
      <c r="E372" s="29">
        <f>Table15[[#This Row],[Ávöxtun]]*Table15[[#This Row],[Eignir]]/SUMIFS(Table15[Eignir],Table15[Year],Table15[[#This Row],[Year]])</f>
        <v>0</v>
      </c>
      <c r="F372" s="23">
        <f>IF(B372=1997, 100, IF(COUNTIF(A$1:A371,A372)=0, "NEW", F371*(1+Table15[[#This Row],[Ávöxtun]])))</f>
        <v>333.51534687743998</v>
      </c>
      <c r="G372" s="18" cm="1">
        <f t="array" ref="G372">IFERROR(_xlfn.IFS(ISNUMBER(Table15[[#This Row],[Column3]]),Table15[[#This Row],[Column3]],Table15[[#This Row],[Column3]]="NEW",Table15[[#This Row],[Column3]]),"")</f>
        <v>333.51534687743998</v>
      </c>
      <c r="H372" s="15" cm="1">
        <f t="array" ref="H372">_xlfn.IFS(Table15[[#This Row],[Column4]]="NEW",AVERAGEIFS(Table15[Column4],Table15[Year],Table15[[#This Row],[Year]]),ISNUMBER(Table15[[#This Row],[Column4]]),Table15[[#This Row],[Column4]],Table15[[#This Row],[Column4]]="",H371*(1+Table15[[#This Row],[Ávöxtun]]))</f>
        <v>333.51534687743998</v>
      </c>
      <c r="I372" s="30" cm="1">
        <f t="array" ref="I372">_xlfn.IFS(Table15[[#This Row],[Column4]]="NEW",_xlfn.XLOOKUP(Table15[[#This Row],[Year]]-1,$N$2:$N$27,$P$2:$P$27)*(1+Table15[[#This Row],[Ávöxtun]]),ISNUMBER(Table15[[#This Row],[Column4]]),Table15[[#This Row],[Column4]],Table15[[#This Row],[Column4]]="",I371*(1+Table15[[#This Row],[Ávöxtun]]))</f>
        <v>333.51534687743998</v>
      </c>
      <c r="L372" s="33">
        <v>333.51534687743998</v>
      </c>
      <c r="M372" s="33">
        <v>333.51534687743998</v>
      </c>
    </row>
    <row r="373" spans="1:13">
      <c r="A373" t="s">
        <v>88</v>
      </c>
      <c r="B373">
        <v>2006</v>
      </c>
      <c r="C373" s="16">
        <v>-1.4499999999999999E-2</v>
      </c>
      <c r="D373" s="1">
        <v>64524</v>
      </c>
      <c r="E373" s="29">
        <f>Table15[[#This Row],[Ávöxtun]]*Table15[[#This Row],[Eignir]]/SUMIFS(Table15[Eignir],Table15[Year],Table15[[#This Row],[Year]])</f>
        <v>-6.8158709365600748E-7</v>
      </c>
      <c r="F373" s="23">
        <f>IF(B373=1997, 100, IF(COUNTIF(A$1:A372,A373)=0, "NEW", F372*(1+Table15[[#This Row],[Ávöxtun]])))</f>
        <v>328.6793743477171</v>
      </c>
      <c r="G373" s="18" cm="1">
        <f t="array" ref="G373">IFERROR(_xlfn.IFS(ISNUMBER(Table15[[#This Row],[Column3]]),Table15[[#This Row],[Column3]],Table15[[#This Row],[Column3]]="NEW",Table15[[#This Row],[Column3]]),"")</f>
        <v>328.6793743477171</v>
      </c>
      <c r="H373" s="15" cm="1">
        <f t="array" ref="H373">_xlfn.IFS(Table15[[#This Row],[Column4]]="NEW",AVERAGEIFS(Table15[Column4],Table15[Year],Table15[[#This Row],[Year]]),ISNUMBER(Table15[[#This Row],[Column4]]),Table15[[#This Row],[Column4]],Table15[[#This Row],[Column4]]="",H372*(1+Table15[[#This Row],[Ávöxtun]]))</f>
        <v>328.6793743477171</v>
      </c>
      <c r="I373" s="30" cm="1">
        <f t="array" ref="I373">_xlfn.IFS(Table15[[#This Row],[Column4]]="NEW",_xlfn.XLOOKUP(Table15[[#This Row],[Year]]-1,$N$2:$N$27,$P$2:$P$27)*(1+Table15[[#This Row],[Ávöxtun]]),ISNUMBER(Table15[[#This Row],[Column4]]),Table15[[#This Row],[Column4]],Table15[[#This Row],[Column4]]="",I372*(1+Table15[[#This Row],[Ávöxtun]]))</f>
        <v>328.6793743477171</v>
      </c>
      <c r="L373" s="33">
        <v>328.6793743477171</v>
      </c>
      <c r="M373" s="33">
        <v>328.6793743477171</v>
      </c>
    </row>
    <row r="374" spans="1:13">
      <c r="A374" t="s">
        <v>88</v>
      </c>
      <c r="B374">
        <v>2007</v>
      </c>
      <c r="C374" s="16">
        <v>-1.47E-2</v>
      </c>
      <c r="D374" s="1">
        <v>71180</v>
      </c>
      <c r="E374" s="29">
        <f>Table15[[#This Row],[Ávöxtun]]*Table15[[#This Row],[Eignir]]/SUMIFS(Table15[Eignir],Table15[Year],Table15[[#This Row],[Year]])</f>
        <v>-6.7662996956179099E-7</v>
      </c>
      <c r="F374" s="23">
        <f>IF(B374=1997, 100, IF(COUNTIF(A$1:A373,A374)=0, "NEW", F373*(1+Table15[[#This Row],[Ávöxtun]])))</f>
        <v>323.84778754480567</v>
      </c>
      <c r="G374" s="18" cm="1">
        <f t="array" ref="G374">IFERROR(_xlfn.IFS(ISNUMBER(Table15[[#This Row],[Column3]]),Table15[[#This Row],[Column3]],Table15[[#This Row],[Column3]]="NEW",Table15[[#This Row],[Column3]]),"")</f>
        <v>323.84778754480567</v>
      </c>
      <c r="H374" s="15" cm="1">
        <f t="array" ref="H374">_xlfn.IFS(Table15[[#This Row],[Column4]]="NEW",AVERAGEIFS(Table15[Column4],Table15[Year],Table15[[#This Row],[Year]]),ISNUMBER(Table15[[#This Row],[Column4]]),Table15[[#This Row],[Column4]],Table15[[#This Row],[Column4]]="",H373*(1+Table15[[#This Row],[Ávöxtun]]))</f>
        <v>323.84778754480567</v>
      </c>
      <c r="I374" s="30" cm="1">
        <f t="array" ref="I374">_xlfn.IFS(Table15[[#This Row],[Column4]]="NEW",_xlfn.XLOOKUP(Table15[[#This Row],[Year]]-1,$N$2:$N$27,$P$2:$P$27)*(1+Table15[[#This Row],[Ávöxtun]]),ISNUMBER(Table15[[#This Row],[Column4]]),Table15[[#This Row],[Column4]],Table15[[#This Row],[Column4]]="",I373*(1+Table15[[#This Row],[Ávöxtun]]))</f>
        <v>323.84778754480567</v>
      </c>
      <c r="L374" s="33">
        <v>323.84778754480567</v>
      </c>
      <c r="M374" s="33">
        <v>323.84778754480567</v>
      </c>
    </row>
    <row r="375" spans="1:13">
      <c r="A375" t="s">
        <v>88</v>
      </c>
      <c r="B375">
        <v>2008</v>
      </c>
      <c r="C375" s="16">
        <v>-3.9E-2</v>
      </c>
      <c r="D375" s="1">
        <v>80873</v>
      </c>
      <c r="E375" s="29">
        <f>Table15[[#This Row],[Ávöxtun]]*Table15[[#This Row],[Eignir]]/SUMIFS(Table15[Eignir],Table15[Year],Table15[[#This Row],[Year]])</f>
        <v>-2.1064644961414482E-6</v>
      </c>
      <c r="F375" s="23">
        <f>IF(B375=1997, 100, IF(COUNTIF(A$1:A374,A375)=0, "NEW", F374*(1+Table15[[#This Row],[Ávöxtun]])))</f>
        <v>311.21772383055821</v>
      </c>
      <c r="G375" s="18" cm="1">
        <f t="array" ref="G375">IFERROR(_xlfn.IFS(ISNUMBER(Table15[[#This Row],[Column3]]),Table15[[#This Row],[Column3]],Table15[[#This Row],[Column3]]="NEW",Table15[[#This Row],[Column3]]),"")</f>
        <v>311.21772383055821</v>
      </c>
      <c r="H375" s="15" cm="1">
        <f t="array" ref="H375">_xlfn.IFS(Table15[[#This Row],[Column4]]="NEW",AVERAGEIFS(Table15[Column4],Table15[Year],Table15[[#This Row],[Year]]),ISNUMBER(Table15[[#This Row],[Column4]]),Table15[[#This Row],[Column4]],Table15[[#This Row],[Column4]]="",H374*(1+Table15[[#This Row],[Ávöxtun]]))</f>
        <v>311.21772383055821</v>
      </c>
      <c r="I375" s="30" cm="1">
        <f t="array" ref="I375">_xlfn.IFS(Table15[[#This Row],[Column4]]="NEW",_xlfn.XLOOKUP(Table15[[#This Row],[Year]]-1,$N$2:$N$27,$P$2:$P$27)*(1+Table15[[#This Row],[Ávöxtun]]),ISNUMBER(Table15[[#This Row],[Column4]]),Table15[[#This Row],[Column4]],Table15[[#This Row],[Column4]]="",I374*(1+Table15[[#This Row],[Ávöxtun]]))</f>
        <v>311.21772383055821</v>
      </c>
      <c r="L375" s="33">
        <v>311.21772383055821</v>
      </c>
      <c r="M375" s="33">
        <v>311.21772383055821</v>
      </c>
    </row>
    <row r="376" spans="1:13">
      <c r="A376" t="s">
        <v>88</v>
      </c>
      <c r="B376">
        <v>2009</v>
      </c>
      <c r="C376" s="16">
        <v>0</v>
      </c>
      <c r="D376" s="1">
        <v>92757</v>
      </c>
      <c r="E376" s="29">
        <f>Table15[[#This Row],[Ávöxtun]]*Table15[[#This Row],[Eignir]]/SUMIFS(Table15[Eignir],Table15[Year],Table15[[#This Row],[Year]])</f>
        <v>0</v>
      </c>
      <c r="F376" s="23">
        <f>IF(B376=1997, 100, IF(COUNTIF(A$1:A375,A376)=0, "NEW", F375*(1+Table15[[#This Row],[Ávöxtun]])))</f>
        <v>311.21772383055821</v>
      </c>
      <c r="G376" s="18" cm="1">
        <f t="array" ref="G376">IFERROR(_xlfn.IFS(ISNUMBER(Table15[[#This Row],[Column3]]),Table15[[#This Row],[Column3]],Table15[[#This Row],[Column3]]="NEW",Table15[[#This Row],[Column3]]),"")</f>
        <v>311.21772383055821</v>
      </c>
      <c r="H376" s="15" cm="1">
        <f t="array" ref="H376">_xlfn.IFS(Table15[[#This Row],[Column4]]="NEW",AVERAGEIFS(Table15[Column4],Table15[Year],Table15[[#This Row],[Year]]),ISNUMBER(Table15[[#This Row],[Column4]]),Table15[[#This Row],[Column4]],Table15[[#This Row],[Column4]]="",H375*(1+Table15[[#This Row],[Ávöxtun]]))</f>
        <v>311.21772383055821</v>
      </c>
      <c r="I376" s="30" cm="1">
        <f t="array" ref="I376">_xlfn.IFS(Table15[[#This Row],[Column4]]="NEW",_xlfn.XLOOKUP(Table15[[#This Row],[Year]]-1,$N$2:$N$27,$P$2:$P$27)*(1+Table15[[#This Row],[Ávöxtun]]),ISNUMBER(Table15[[#This Row],[Column4]]),Table15[[#This Row],[Column4]],Table15[[#This Row],[Column4]]="",I375*(1+Table15[[#This Row],[Ávöxtun]]))</f>
        <v>311.21772383055821</v>
      </c>
      <c r="L376" s="33">
        <v>311.21772383055821</v>
      </c>
      <c r="M376" s="33">
        <v>311.21772383055821</v>
      </c>
    </row>
    <row r="377" spans="1:13">
      <c r="A377" t="s">
        <v>88</v>
      </c>
      <c r="B377">
        <v>2010</v>
      </c>
      <c r="C377" s="16">
        <v>-1.61E-2</v>
      </c>
      <c r="D377" s="1">
        <v>84873</v>
      </c>
      <c r="E377" s="29">
        <f>Table15[[#This Row],[Ávöxtun]]*Table15[[#This Row],[Eignir]]/SUMIFS(Table15[Eignir],Table15[Year],Table15[[#This Row],[Year]])</f>
        <v>-7.6432798597855441E-7</v>
      </c>
      <c r="F377" s="23">
        <f>IF(B377=1997, 100, IF(COUNTIF(A$1:A376,A377)=0, "NEW", F376*(1+Table15[[#This Row],[Ávöxtun]])))</f>
        <v>306.20711847688625</v>
      </c>
      <c r="G377" s="18" cm="1">
        <f t="array" ref="G377">IFERROR(_xlfn.IFS(ISNUMBER(Table15[[#This Row],[Column3]]),Table15[[#This Row],[Column3]],Table15[[#This Row],[Column3]]="NEW",Table15[[#This Row],[Column3]]),"")</f>
        <v>306.20711847688625</v>
      </c>
      <c r="H377" s="15" cm="1">
        <f t="array" ref="H377">_xlfn.IFS(Table15[[#This Row],[Column4]]="NEW",AVERAGEIFS(Table15[Column4],Table15[Year],Table15[[#This Row],[Year]]),ISNUMBER(Table15[[#This Row],[Column4]]),Table15[[#This Row],[Column4]],Table15[[#This Row],[Column4]]="",H376*(1+Table15[[#This Row],[Ávöxtun]]))</f>
        <v>306.20711847688625</v>
      </c>
      <c r="I377" s="30" cm="1">
        <f t="array" ref="I377">_xlfn.IFS(Table15[[#This Row],[Column4]]="NEW",_xlfn.XLOOKUP(Table15[[#This Row],[Year]]-1,$N$2:$N$27,$P$2:$P$27)*(1+Table15[[#This Row],[Ávöxtun]]),ISNUMBER(Table15[[#This Row],[Column4]]),Table15[[#This Row],[Column4]],Table15[[#This Row],[Column4]]="",I376*(1+Table15[[#This Row],[Ávöxtun]]))</f>
        <v>306.20711847688625</v>
      </c>
      <c r="L377" s="33">
        <v>306.20711847688625</v>
      </c>
      <c r="M377" s="33">
        <v>306.20711847688625</v>
      </c>
    </row>
    <row r="378" spans="1:13">
      <c r="A378" t="s">
        <v>88</v>
      </c>
      <c r="B378">
        <v>2011</v>
      </c>
      <c r="C378" s="16">
        <v>-5.2999999999999999E-2</v>
      </c>
      <c r="D378" s="1">
        <v>94091</v>
      </c>
      <c r="E378" s="29">
        <f>Table15[[#This Row],[Ávöxtun]]*Table15[[#This Row],[Eignir]]/SUMIFS(Table15[Eignir],Table15[Year],Table15[[#This Row],[Year]])</f>
        <v>-2.5566124450330474E-6</v>
      </c>
      <c r="F378" s="23">
        <f>IF(B378=1997, 100, IF(COUNTIF(A$1:A377,A378)=0, "NEW", F377*(1+Table15[[#This Row],[Ávöxtun]])))</f>
        <v>289.97814119761125</v>
      </c>
      <c r="G378" s="18" cm="1">
        <f t="array" ref="G378">IFERROR(_xlfn.IFS(ISNUMBER(Table15[[#This Row],[Column3]]),Table15[[#This Row],[Column3]],Table15[[#This Row],[Column3]]="NEW",Table15[[#This Row],[Column3]]),"")</f>
        <v>289.97814119761125</v>
      </c>
      <c r="H378" s="15" cm="1">
        <f t="array" ref="H378">_xlfn.IFS(Table15[[#This Row],[Column4]]="NEW",AVERAGEIFS(Table15[Column4],Table15[Year],Table15[[#This Row],[Year]]),ISNUMBER(Table15[[#This Row],[Column4]]),Table15[[#This Row],[Column4]],Table15[[#This Row],[Column4]]="",H377*(1+Table15[[#This Row],[Ávöxtun]]))</f>
        <v>289.97814119761125</v>
      </c>
      <c r="I378" s="30" cm="1">
        <f t="array" ref="I378">_xlfn.IFS(Table15[[#This Row],[Column4]]="NEW",_xlfn.XLOOKUP(Table15[[#This Row],[Year]]-1,$N$2:$N$27,$P$2:$P$27)*(1+Table15[[#This Row],[Ávöxtun]]),ISNUMBER(Table15[[#This Row],[Column4]]),Table15[[#This Row],[Column4]],Table15[[#This Row],[Column4]]="",I377*(1+Table15[[#This Row],[Ávöxtun]]))</f>
        <v>289.97814119761125</v>
      </c>
      <c r="L378" s="33">
        <v>289.97814119761125</v>
      </c>
      <c r="M378" s="33">
        <v>289.97814119761125</v>
      </c>
    </row>
    <row r="379" spans="1:13">
      <c r="A379" t="s">
        <v>88</v>
      </c>
      <c r="B379">
        <v>2012</v>
      </c>
      <c r="C379" s="16">
        <v>-0.06</v>
      </c>
      <c r="D379" s="1">
        <v>75554</v>
      </c>
      <c r="E379" s="29">
        <f>Table15[[#This Row],[Ávöxtun]]*Table15[[#This Row],[Eignir]]/SUMIFS(Table15[Eignir],Table15[Year],Table15[[#This Row],[Year]])</f>
        <v>-2.0579042581384503E-6</v>
      </c>
      <c r="F379" s="23">
        <f>IF(B379=1997, 100, IF(COUNTIF(A$1:A378,A379)=0, "NEW", F378*(1+Table15[[#This Row],[Ávöxtun]])))</f>
        <v>272.57945272575455</v>
      </c>
      <c r="G379" s="18" cm="1">
        <f t="array" ref="G379">IFERROR(_xlfn.IFS(ISNUMBER(Table15[[#This Row],[Column3]]),Table15[[#This Row],[Column3]],Table15[[#This Row],[Column3]]="NEW",Table15[[#This Row],[Column3]]),"")</f>
        <v>272.57945272575455</v>
      </c>
      <c r="H379" s="15" cm="1">
        <f t="array" ref="H379">_xlfn.IFS(Table15[[#This Row],[Column4]]="NEW",AVERAGEIFS(Table15[Column4],Table15[Year],Table15[[#This Row],[Year]]),ISNUMBER(Table15[[#This Row],[Column4]]),Table15[[#This Row],[Column4]],Table15[[#This Row],[Column4]]="",H378*(1+Table15[[#This Row],[Ávöxtun]]))</f>
        <v>272.57945272575455</v>
      </c>
      <c r="I379" s="30" cm="1">
        <f t="array" ref="I379">_xlfn.IFS(Table15[[#This Row],[Column4]]="NEW",_xlfn.XLOOKUP(Table15[[#This Row],[Year]]-1,$N$2:$N$27,$P$2:$P$27)*(1+Table15[[#This Row],[Ávöxtun]]),ISNUMBER(Table15[[#This Row],[Column4]]),Table15[[#This Row],[Column4]],Table15[[#This Row],[Column4]]="",I378*(1+Table15[[#This Row],[Ávöxtun]]))</f>
        <v>272.57945272575455</v>
      </c>
      <c r="L379" s="33">
        <v>272.57945272575455</v>
      </c>
      <c r="M379" s="33">
        <v>272.57945272575455</v>
      </c>
    </row>
    <row r="380" spans="1:13">
      <c r="A380" t="s">
        <v>90</v>
      </c>
      <c r="B380">
        <v>1998</v>
      </c>
      <c r="C380" s="16">
        <v>7.0000000000000007E-2</v>
      </c>
      <c r="D380" s="1">
        <v>4085814.79</v>
      </c>
      <c r="E380" s="29">
        <f>Table15[[#This Row],[Ávöxtun]]*Table15[[#This Row],[Eignir]]/SUMIFS(Table15[Eignir],Table15[Year],Table15[[#This Row],[Year]])</f>
        <v>7.3028993942639655E-4</v>
      </c>
      <c r="F380" s="23" t="str">
        <f>IF(B380=1997, 100, IF(COUNTIF(A$1:A379,A380)=0, "NEW", F379*(1+Table15[[#This Row],[Ávöxtun]])))</f>
        <v>NEW</v>
      </c>
      <c r="G380" s="18" t="str" cm="1">
        <f t="array" ref="G380">IFERROR(_xlfn.IFS(ISNUMBER(Table15[[#This Row],[Column3]]),Table15[[#This Row],[Column3]],Table15[[#This Row],[Column3]]="NEW",Table15[[#This Row],[Column3]]),"")</f>
        <v>NEW</v>
      </c>
      <c r="H380" s="15" cm="1">
        <f t="array" ref="H380">_xlfn.IFS(Table15[[#This Row],[Column4]]="NEW",AVERAGEIFS(Table15[Column4],Table15[Year],Table15[[#This Row],[Year]]),ISNUMBER(Table15[[#This Row],[Column4]]),Table15[[#This Row],[Column4]],Table15[[#This Row],[Column4]]="",H379*(1+Table15[[#This Row],[Ávöxtun]]))</f>
        <v>106.70588235294117</v>
      </c>
      <c r="I380" s="30" cm="1">
        <f t="array" ref="I380">_xlfn.IFS(Table15[[#This Row],[Column4]]="NEW",_xlfn.XLOOKUP(Table15[[#This Row],[Year]]-1,$N$2:$N$27,$P$2:$P$27)*(1+Table15[[#This Row],[Ávöxtun]]),ISNUMBER(Table15[[#This Row],[Column4]]),Table15[[#This Row],[Column4]],Table15[[#This Row],[Column4]]="",I379*(1+Table15[[#This Row],[Ávöxtun]]))</f>
        <v>107</v>
      </c>
      <c r="L380" s="33">
        <v>106.70588235294117</v>
      </c>
      <c r="M380" s="33">
        <v>115.36660895196104</v>
      </c>
    </row>
    <row r="381" spans="1:13">
      <c r="A381" t="s">
        <v>90</v>
      </c>
      <c r="B381">
        <v>1999</v>
      </c>
      <c r="C381" s="16">
        <v>0.09</v>
      </c>
      <c r="D381" s="1">
        <v>5096264.6900000004</v>
      </c>
      <c r="E381" s="29">
        <f>Table15[[#This Row],[Ávöxtun]]*Table15[[#This Row],[Eignir]]/SUMIFS(Table15[Eignir],Table15[Year],Table15[[#This Row],[Year]])</f>
        <v>8.8083181148628929E-4</v>
      </c>
      <c r="F381" s="23" t="e">
        <f>IF(B381=1997, 100, IF(COUNTIF(A$1:A380,A381)=0, "NEW", F380*(1+Table15[[#This Row],[Ávöxtun]])))</f>
        <v>#VALUE!</v>
      </c>
      <c r="G381" s="18" t="str" cm="1">
        <f t="array" ref="G381">IFERROR(_xlfn.IFS(ISNUMBER(Table15[[#This Row],[Column3]]),Table15[[#This Row],[Column3]],Table15[[#This Row],[Column3]]="NEW",Table15[[#This Row],[Column3]]),"")</f>
        <v/>
      </c>
      <c r="H381" s="15" cm="1">
        <f t="array" ref="H381">_xlfn.IFS(Table15[[#This Row],[Column4]]="NEW",AVERAGEIFS(Table15[Column4],Table15[Year],Table15[[#This Row],[Year]]),ISNUMBER(Table15[[#This Row],[Column4]]),Table15[[#This Row],[Column4]],Table15[[#This Row],[Column4]]="",H380*(1+Table15[[#This Row],[Ávöxtun]]))</f>
        <v>116.30941176470589</v>
      </c>
      <c r="I381" s="30" cm="1">
        <f t="array" ref="I381">_xlfn.IFS(Table15[[#This Row],[Column4]]="NEW",_xlfn.XLOOKUP(Table15[[#This Row],[Year]]-1,$N$2:$N$27,$P$2:$P$27)*(1+Table15[[#This Row],[Ávöxtun]]),ISNUMBER(Table15[[#This Row],[Column4]]),Table15[[#This Row],[Column4]],Table15[[#This Row],[Column4]]="",I380*(1+Table15[[#This Row],[Ávöxtun]]))</f>
        <v>116.63000000000001</v>
      </c>
      <c r="L381" s="33">
        <v>116.30941176470589</v>
      </c>
      <c r="M381" s="33">
        <v>125.74960375763754</v>
      </c>
    </row>
    <row r="382" spans="1:13">
      <c r="A382" t="s">
        <v>90</v>
      </c>
      <c r="B382">
        <v>2000</v>
      </c>
      <c r="C382" s="16">
        <v>-0.04</v>
      </c>
      <c r="D382" s="1">
        <v>5557907.5999999996</v>
      </c>
      <c r="E382" s="29">
        <f>Table15[[#This Row],[Ávöxtun]]*Table15[[#This Row],[Eignir]]/SUMIFS(Table15[Eignir],Table15[Year],Table15[[#This Row],[Year]])</f>
        <v>-3.1272966904272647E-4</v>
      </c>
      <c r="F382" s="23" t="e">
        <f>IF(B382=1997, 100, IF(COUNTIF(A$1:A381,A382)=0, "NEW", F381*(1+Table15[[#This Row],[Ávöxtun]])))</f>
        <v>#VALUE!</v>
      </c>
      <c r="G382" s="18" t="str" cm="1">
        <f t="array" ref="G382">IFERROR(_xlfn.IFS(ISNUMBER(Table15[[#This Row],[Column3]]),Table15[[#This Row],[Column3]],Table15[[#This Row],[Column3]]="NEW",Table15[[#This Row],[Column3]]),"")</f>
        <v/>
      </c>
      <c r="H382" s="15" cm="1">
        <f t="array" ref="H382">_xlfn.IFS(Table15[[#This Row],[Column4]]="NEW",AVERAGEIFS(Table15[Column4],Table15[Year],Table15[[#This Row],[Year]]),ISNUMBER(Table15[[#This Row],[Column4]]),Table15[[#This Row],[Column4]],Table15[[#This Row],[Column4]]="",H381*(1+Table15[[#This Row],[Ávöxtun]]))</f>
        <v>111.65703529411765</v>
      </c>
      <c r="I382" s="30" cm="1">
        <f t="array" ref="I382">_xlfn.IFS(Table15[[#This Row],[Column4]]="NEW",_xlfn.XLOOKUP(Table15[[#This Row],[Year]]-1,$N$2:$N$27,$P$2:$P$27)*(1+Table15[[#This Row],[Ávöxtun]]),ISNUMBER(Table15[[#This Row],[Column4]]),Table15[[#This Row],[Column4]],Table15[[#This Row],[Column4]]="",I381*(1+Table15[[#This Row],[Ávöxtun]]))</f>
        <v>111.96480000000001</v>
      </c>
      <c r="L382" s="33">
        <v>111.65703529411765</v>
      </c>
      <c r="M382" s="33">
        <v>120.71961960733204</v>
      </c>
    </row>
    <row r="383" spans="1:13">
      <c r="A383" t="s">
        <v>90</v>
      </c>
      <c r="B383">
        <v>2001</v>
      </c>
      <c r="C383" s="16">
        <v>0</v>
      </c>
      <c r="D383" s="1">
        <v>7822797</v>
      </c>
      <c r="E383" s="29">
        <f>Table15[[#This Row],[Ávöxtun]]*Table15[[#This Row],[Eignir]]/SUMIFS(Table15[Eignir],Table15[Year],Table15[[#This Row],[Year]])</f>
        <v>0</v>
      </c>
      <c r="F383" s="23" t="e">
        <f>IF(B383=1997, 100, IF(COUNTIF(A$1:A382,A383)=0, "NEW", F382*(1+Table15[[#This Row],[Ávöxtun]])))</f>
        <v>#VALUE!</v>
      </c>
      <c r="G383" s="18" t="str" cm="1">
        <f t="array" ref="G383">IFERROR(_xlfn.IFS(ISNUMBER(Table15[[#This Row],[Column3]]),Table15[[#This Row],[Column3]],Table15[[#This Row],[Column3]]="NEW",Table15[[#This Row],[Column3]]),"")</f>
        <v/>
      </c>
      <c r="H383" s="15" cm="1">
        <f t="array" ref="H383">_xlfn.IFS(Table15[[#This Row],[Column4]]="NEW",AVERAGEIFS(Table15[Column4],Table15[Year],Table15[[#This Row],[Year]]),ISNUMBER(Table15[[#This Row],[Column4]]),Table15[[#This Row],[Column4]],Table15[[#This Row],[Column4]]="",H382*(1+Table15[[#This Row],[Ávöxtun]]))</f>
        <v>111.65703529411765</v>
      </c>
      <c r="I383" s="30" cm="1">
        <f t="array" ref="I383">_xlfn.IFS(Table15[[#This Row],[Column4]]="NEW",_xlfn.XLOOKUP(Table15[[#This Row],[Year]]-1,$N$2:$N$27,$P$2:$P$27)*(1+Table15[[#This Row],[Ávöxtun]]),ISNUMBER(Table15[[#This Row],[Column4]]),Table15[[#This Row],[Column4]],Table15[[#This Row],[Column4]]="",I382*(1+Table15[[#This Row],[Ávöxtun]]))</f>
        <v>111.96480000000001</v>
      </c>
      <c r="L383" s="33">
        <v>111.65703529411765</v>
      </c>
      <c r="M383" s="33">
        <v>120.71961960733204</v>
      </c>
    </row>
    <row r="384" spans="1:13">
      <c r="A384" t="s">
        <v>90</v>
      </c>
      <c r="B384">
        <v>2002</v>
      </c>
      <c r="C384" s="16">
        <v>-7.0000000000000007E-2</v>
      </c>
      <c r="D384" s="1">
        <v>1440250.8</v>
      </c>
      <c r="E384" s="29">
        <f>Table15[[#This Row],[Ávöxtun]]*Table15[[#This Row],[Eignir]]/SUMIFS(Table15[Eignir],Table15[Year],Table15[[#This Row],[Year]])</f>
        <v>-1.5872677189416161E-4</v>
      </c>
      <c r="F384" s="23" t="e">
        <f>IF(B384=1997, 100, IF(COUNTIF(A$1:A383,A384)=0, "NEW", F383*(1+Table15[[#This Row],[Ávöxtun]])))</f>
        <v>#VALUE!</v>
      </c>
      <c r="G384" s="18" t="str" cm="1">
        <f t="array" ref="G384">IFERROR(_xlfn.IFS(ISNUMBER(Table15[[#This Row],[Column3]]),Table15[[#This Row],[Column3]],Table15[[#This Row],[Column3]]="NEW",Table15[[#This Row],[Column3]]),"")</f>
        <v/>
      </c>
      <c r="H384" s="15" cm="1">
        <f t="array" ref="H384">_xlfn.IFS(Table15[[#This Row],[Column4]]="NEW",AVERAGEIFS(Table15[Column4],Table15[Year],Table15[[#This Row],[Year]]),ISNUMBER(Table15[[#This Row],[Column4]]),Table15[[#This Row],[Column4]],Table15[[#This Row],[Column4]]="",H383*(1+Table15[[#This Row],[Ávöxtun]]))</f>
        <v>103.84104282352941</v>
      </c>
      <c r="I384" s="30" cm="1">
        <f t="array" ref="I384">_xlfn.IFS(Table15[[#This Row],[Column4]]="NEW",_xlfn.XLOOKUP(Table15[[#This Row],[Year]]-1,$N$2:$N$27,$P$2:$P$27)*(1+Table15[[#This Row],[Ávöxtun]]),ISNUMBER(Table15[[#This Row],[Column4]]),Table15[[#This Row],[Column4]],Table15[[#This Row],[Column4]]="",I383*(1+Table15[[#This Row],[Ávöxtun]]))</f>
        <v>104.127264</v>
      </c>
      <c r="L384" s="33">
        <v>103.84104282352941</v>
      </c>
      <c r="M384" s="33">
        <v>112.26924623481878</v>
      </c>
    </row>
    <row r="385" spans="1:13">
      <c r="A385" t="s">
        <v>89</v>
      </c>
      <c r="B385">
        <v>1997</v>
      </c>
      <c r="C385" s="16">
        <v>7.0000000000000007E-2</v>
      </c>
      <c r="D385" s="1">
        <v>2313416.7799999998</v>
      </c>
      <c r="E385" s="29">
        <f>Table15[[#This Row],[Ávöxtun]]*Table15[[#This Row],[Eignir]]/SUMIFS(Table15[Eignir],Table15[Year],Table15[[#This Row],[Year]])</f>
        <v>4.7766097317605345E-4</v>
      </c>
      <c r="F385" s="23">
        <f>IF(B385=1997, 100, IF(COUNTIF(A$1:A384,A385)=0, "NEW", F384*(1+Table15[[#This Row],[Ávöxtun]])))</f>
        <v>100</v>
      </c>
      <c r="G385" s="18" cm="1">
        <f t="array" ref="G385">IFERROR(_xlfn.IFS(ISNUMBER(Table15[[#This Row],[Column3]]),Table15[[#This Row],[Column3]],Table15[[#This Row],[Column3]]="NEW",Table15[[#This Row],[Column3]]),"")</f>
        <v>100</v>
      </c>
      <c r="H385" s="15" cm="1">
        <f t="array" ref="H385">_xlfn.IFS(Table15[[#This Row],[Column4]]="NEW",AVERAGEIFS(Table15[Column4],Table15[Year],Table15[[#This Row],[Year]]),ISNUMBER(Table15[[#This Row],[Column4]]),Table15[[#This Row],[Column4]],Table15[[#This Row],[Column4]]="",H384*(1+Table15[[#This Row],[Ávöxtun]]))</f>
        <v>100</v>
      </c>
      <c r="I385" s="30" cm="1">
        <f t="array" ref="I385">_xlfn.IFS(Table15[[#This Row],[Column4]]="NEW",_xlfn.XLOOKUP(Table15[[#This Row],[Year]]-1,$N$2:$N$27,$P$2:$P$27)*(1+Table15[[#This Row],[Ávöxtun]]),ISNUMBER(Table15[[#This Row],[Column4]]),Table15[[#This Row],[Column4]],Table15[[#This Row],[Column4]]="",I384*(1+Table15[[#This Row],[Ávöxtun]]))</f>
        <v>100</v>
      </c>
      <c r="L385" s="33">
        <v>100</v>
      </c>
      <c r="M385" s="33">
        <v>100</v>
      </c>
    </row>
    <row r="386" spans="1:13">
      <c r="A386" t="s">
        <v>89</v>
      </c>
      <c r="B386">
        <v>1998</v>
      </c>
      <c r="C386" s="16">
        <v>0.06</v>
      </c>
      <c r="D386" s="1">
        <v>2502243.96</v>
      </c>
      <c r="E386" s="29">
        <f>Table15[[#This Row],[Ávöxtun]]*Table15[[#This Row],[Eignir]]/SUMIFS(Table15[Eignir],Table15[Year],Table15[[#This Row],[Year]])</f>
        <v>3.8335356080909655E-4</v>
      </c>
      <c r="F386" s="23">
        <f>IF(B386=1997, 100, IF(COUNTIF(A$1:A385,A386)=0, "NEW", F385*(1+Table15[[#This Row],[Ávöxtun]])))</f>
        <v>106</v>
      </c>
      <c r="G386" s="18" cm="1">
        <f t="array" ref="G386">IFERROR(_xlfn.IFS(ISNUMBER(Table15[[#This Row],[Column3]]),Table15[[#This Row],[Column3]],Table15[[#This Row],[Column3]]="NEW",Table15[[#This Row],[Column3]]),"")</f>
        <v>106</v>
      </c>
      <c r="H386" s="15" cm="1">
        <f t="array" ref="H386">_xlfn.IFS(Table15[[#This Row],[Column4]]="NEW",AVERAGEIFS(Table15[Column4],Table15[Year],Table15[[#This Row],[Year]]),ISNUMBER(Table15[[#This Row],[Column4]]),Table15[[#This Row],[Column4]],Table15[[#This Row],[Column4]]="",H385*(1+Table15[[#This Row],[Ávöxtun]]))</f>
        <v>106</v>
      </c>
      <c r="I386" s="30" cm="1">
        <f t="array" ref="I386">_xlfn.IFS(Table15[[#This Row],[Column4]]="NEW",_xlfn.XLOOKUP(Table15[[#This Row],[Year]]-1,$N$2:$N$27,$P$2:$P$27)*(1+Table15[[#This Row],[Ávöxtun]]),ISNUMBER(Table15[[#This Row],[Column4]]),Table15[[#This Row],[Column4]],Table15[[#This Row],[Column4]]="",I385*(1+Table15[[#This Row],[Ávöxtun]]))</f>
        <v>106</v>
      </c>
      <c r="L386" s="33">
        <v>106</v>
      </c>
      <c r="M386" s="33">
        <v>106</v>
      </c>
    </row>
    <row r="387" spans="1:13">
      <c r="A387" t="s">
        <v>89</v>
      </c>
      <c r="B387">
        <v>1999</v>
      </c>
      <c r="C387" s="16">
        <v>0.08</v>
      </c>
      <c r="D387" s="1">
        <v>2844893.69</v>
      </c>
      <c r="E387" s="29">
        <f>Table15[[#This Row],[Ávöxtun]]*Table15[[#This Row],[Eignir]]/SUMIFS(Table15[Eignir],Table15[Year],Table15[[#This Row],[Year]])</f>
        <v>4.3707355875166831E-4</v>
      </c>
      <c r="F387" s="23">
        <f>IF(B387=1997, 100, IF(COUNTIF(A$1:A386,A387)=0, "NEW", F386*(1+Table15[[#This Row],[Ávöxtun]])))</f>
        <v>114.48</v>
      </c>
      <c r="G387" s="18" cm="1">
        <f t="array" ref="G387">IFERROR(_xlfn.IFS(ISNUMBER(Table15[[#This Row],[Column3]]),Table15[[#This Row],[Column3]],Table15[[#This Row],[Column3]]="NEW",Table15[[#This Row],[Column3]]),"")</f>
        <v>114.48</v>
      </c>
      <c r="H387" s="15" cm="1">
        <f t="array" ref="H387">_xlfn.IFS(Table15[[#This Row],[Column4]]="NEW",AVERAGEIFS(Table15[Column4],Table15[Year],Table15[[#This Row],[Year]]),ISNUMBER(Table15[[#This Row],[Column4]]),Table15[[#This Row],[Column4]],Table15[[#This Row],[Column4]]="",H386*(1+Table15[[#This Row],[Ávöxtun]]))</f>
        <v>114.48</v>
      </c>
      <c r="I387" s="30" cm="1">
        <f t="array" ref="I387">_xlfn.IFS(Table15[[#This Row],[Column4]]="NEW",_xlfn.XLOOKUP(Table15[[#This Row],[Year]]-1,$N$2:$N$27,$P$2:$P$27)*(1+Table15[[#This Row],[Ávöxtun]]),ISNUMBER(Table15[[#This Row],[Column4]]),Table15[[#This Row],[Column4]],Table15[[#This Row],[Column4]]="",I386*(1+Table15[[#This Row],[Ávöxtun]]))</f>
        <v>114.48</v>
      </c>
      <c r="L387" s="33">
        <v>114.48</v>
      </c>
      <c r="M387" s="33">
        <v>114.48</v>
      </c>
    </row>
    <row r="388" spans="1:13">
      <c r="A388" t="s">
        <v>89</v>
      </c>
      <c r="B388">
        <v>2000</v>
      </c>
      <c r="C388" s="16">
        <v>0.04</v>
      </c>
      <c r="D388" s="1">
        <v>3101619.93</v>
      </c>
      <c r="E388" s="29">
        <f>Table15[[#This Row],[Ávöxtun]]*Table15[[#This Row],[Eignir]]/SUMIFS(Table15[Eignir],Table15[Year],Table15[[#This Row],[Year]])</f>
        <v>1.7452045698010968E-4</v>
      </c>
      <c r="F388" s="23">
        <f>IF(B388=1997, 100, IF(COUNTIF(A$1:A387,A388)=0, "NEW", F387*(1+Table15[[#This Row],[Ávöxtun]])))</f>
        <v>119.0592</v>
      </c>
      <c r="G388" s="18" cm="1">
        <f t="array" ref="G388">IFERROR(_xlfn.IFS(ISNUMBER(Table15[[#This Row],[Column3]]),Table15[[#This Row],[Column3]],Table15[[#This Row],[Column3]]="NEW",Table15[[#This Row],[Column3]]),"")</f>
        <v>119.0592</v>
      </c>
      <c r="H388" s="15" cm="1">
        <f t="array" ref="H388">_xlfn.IFS(Table15[[#This Row],[Column4]]="NEW",AVERAGEIFS(Table15[Column4],Table15[Year],Table15[[#This Row],[Year]]),ISNUMBER(Table15[[#This Row],[Column4]]),Table15[[#This Row],[Column4]],Table15[[#This Row],[Column4]]="",H387*(1+Table15[[#This Row],[Ávöxtun]]))</f>
        <v>119.0592</v>
      </c>
      <c r="I388" s="30" cm="1">
        <f t="array" ref="I388">_xlfn.IFS(Table15[[#This Row],[Column4]]="NEW",_xlfn.XLOOKUP(Table15[[#This Row],[Year]]-1,$N$2:$N$27,$P$2:$P$27)*(1+Table15[[#This Row],[Ávöxtun]]),ISNUMBER(Table15[[#This Row],[Column4]]),Table15[[#This Row],[Column4]],Table15[[#This Row],[Column4]]="",I387*(1+Table15[[#This Row],[Ávöxtun]]))</f>
        <v>119.0592</v>
      </c>
      <c r="L388" s="33">
        <v>119.0592</v>
      </c>
      <c r="M388" s="33">
        <v>119.0592</v>
      </c>
    </row>
    <row r="389" spans="1:13">
      <c r="A389" t="s">
        <v>91</v>
      </c>
      <c r="B389">
        <v>1997</v>
      </c>
      <c r="C389" s="16">
        <v>0.08</v>
      </c>
      <c r="D389" s="1">
        <v>2367664.7999999998</v>
      </c>
      <c r="E389" s="29">
        <f>Table15[[#This Row],[Ávöxtun]]*Table15[[#This Row],[Eignir]]/SUMIFS(Table15[Eignir],Table15[Year],Table15[[#This Row],[Year]])</f>
        <v>5.5869919076279441E-4</v>
      </c>
      <c r="F389" s="23">
        <f>IF(B389=1997, 100, IF(COUNTIF(A$1:A388,A389)=0, "NEW", F388*(1+Table15[[#This Row],[Ávöxtun]])))</f>
        <v>100</v>
      </c>
      <c r="G389" s="18" cm="1">
        <f t="array" ref="G389">IFERROR(_xlfn.IFS(ISNUMBER(Table15[[#This Row],[Column3]]),Table15[[#This Row],[Column3]],Table15[[#This Row],[Column3]]="NEW",Table15[[#This Row],[Column3]]),"")</f>
        <v>100</v>
      </c>
      <c r="H389" s="15" cm="1">
        <f t="array" ref="H389">_xlfn.IFS(Table15[[#This Row],[Column4]]="NEW",AVERAGEIFS(Table15[Column4],Table15[Year],Table15[[#This Row],[Year]]),ISNUMBER(Table15[[#This Row],[Column4]]),Table15[[#This Row],[Column4]],Table15[[#This Row],[Column4]]="",H388*(1+Table15[[#This Row],[Ávöxtun]]))</f>
        <v>100</v>
      </c>
      <c r="I389" s="30" cm="1">
        <f t="array" ref="I389">_xlfn.IFS(Table15[[#This Row],[Column4]]="NEW",_xlfn.XLOOKUP(Table15[[#This Row],[Year]]-1,$N$2:$N$27,$P$2:$P$27)*(1+Table15[[#This Row],[Ávöxtun]]),ISNUMBER(Table15[[#This Row],[Column4]]),Table15[[#This Row],[Column4]],Table15[[#This Row],[Column4]]="",I388*(1+Table15[[#This Row],[Ávöxtun]]))</f>
        <v>100</v>
      </c>
      <c r="L389" s="33">
        <v>100</v>
      </c>
      <c r="M389" s="33">
        <v>100</v>
      </c>
    </row>
    <row r="390" spans="1:13">
      <c r="A390" t="s">
        <v>91</v>
      </c>
      <c r="B390">
        <v>1998</v>
      </c>
      <c r="C390" s="16">
        <v>7.0000000000000007E-2</v>
      </c>
      <c r="D390" s="1">
        <v>2626303.38</v>
      </c>
      <c r="E390" s="29">
        <f>Table15[[#This Row],[Ávöxtun]]*Table15[[#This Row],[Eignir]]/SUMIFS(Table15[Eignir],Table15[Year],Table15[[#This Row],[Year]])</f>
        <v>4.6941994066636099E-4</v>
      </c>
      <c r="F390" s="23">
        <f>IF(B390=1997, 100, IF(COUNTIF(A$1:A389,A390)=0, "NEW", F389*(1+Table15[[#This Row],[Ávöxtun]])))</f>
        <v>107</v>
      </c>
      <c r="G390" s="18" cm="1">
        <f t="array" ref="G390">IFERROR(_xlfn.IFS(ISNUMBER(Table15[[#This Row],[Column3]]),Table15[[#This Row],[Column3]],Table15[[#This Row],[Column3]]="NEW",Table15[[#This Row],[Column3]]),"")</f>
        <v>107</v>
      </c>
      <c r="H390" s="15" cm="1">
        <f t="array" ref="H390">_xlfn.IFS(Table15[[#This Row],[Column4]]="NEW",AVERAGEIFS(Table15[Column4],Table15[Year],Table15[[#This Row],[Year]]),ISNUMBER(Table15[[#This Row],[Column4]]),Table15[[#This Row],[Column4]],Table15[[#This Row],[Column4]]="",H389*(1+Table15[[#This Row],[Ávöxtun]]))</f>
        <v>107</v>
      </c>
      <c r="I390" s="30" cm="1">
        <f t="array" ref="I390">_xlfn.IFS(Table15[[#This Row],[Column4]]="NEW",_xlfn.XLOOKUP(Table15[[#This Row],[Year]]-1,$N$2:$N$27,$P$2:$P$27)*(1+Table15[[#This Row],[Ávöxtun]]),ISNUMBER(Table15[[#This Row],[Column4]]),Table15[[#This Row],[Column4]],Table15[[#This Row],[Column4]]="",I389*(1+Table15[[#This Row],[Ávöxtun]]))</f>
        <v>107</v>
      </c>
      <c r="L390" s="33">
        <v>107</v>
      </c>
      <c r="M390" s="33">
        <v>107</v>
      </c>
    </row>
    <row r="391" spans="1:13">
      <c r="A391" t="s">
        <v>91</v>
      </c>
      <c r="B391">
        <v>1999</v>
      </c>
      <c r="C391" s="16">
        <v>7.0000000000000007E-2</v>
      </c>
      <c r="D391" s="1">
        <v>3029999.74</v>
      </c>
      <c r="E391" s="29">
        <f>Table15[[#This Row],[Ávöxtun]]*Table15[[#This Row],[Eignir]]/SUMIFS(Table15[Eignir],Table15[Year],Table15[[#This Row],[Year]])</f>
        <v>4.0732319006483726E-4</v>
      </c>
      <c r="F391" s="23">
        <f>IF(B391=1997, 100, IF(COUNTIF(A$1:A390,A391)=0, "NEW", F390*(1+Table15[[#This Row],[Ávöxtun]])))</f>
        <v>114.49000000000001</v>
      </c>
      <c r="G391" s="18" cm="1">
        <f t="array" ref="G391">IFERROR(_xlfn.IFS(ISNUMBER(Table15[[#This Row],[Column3]]),Table15[[#This Row],[Column3]],Table15[[#This Row],[Column3]]="NEW",Table15[[#This Row],[Column3]]),"")</f>
        <v>114.49000000000001</v>
      </c>
      <c r="H391" s="15" cm="1">
        <f t="array" ref="H391">_xlfn.IFS(Table15[[#This Row],[Column4]]="NEW",AVERAGEIFS(Table15[Column4],Table15[Year],Table15[[#This Row],[Year]]),ISNUMBER(Table15[[#This Row],[Column4]]),Table15[[#This Row],[Column4]],Table15[[#This Row],[Column4]]="",H390*(1+Table15[[#This Row],[Ávöxtun]]))</f>
        <v>114.49000000000001</v>
      </c>
      <c r="I391" s="30" cm="1">
        <f t="array" ref="I391">_xlfn.IFS(Table15[[#This Row],[Column4]]="NEW",_xlfn.XLOOKUP(Table15[[#This Row],[Year]]-1,$N$2:$N$27,$P$2:$P$27)*(1+Table15[[#This Row],[Ávöxtun]]),ISNUMBER(Table15[[#This Row],[Column4]]),Table15[[#This Row],[Column4]],Table15[[#This Row],[Column4]]="",I390*(1+Table15[[#This Row],[Ávöxtun]]))</f>
        <v>114.49000000000001</v>
      </c>
      <c r="L391" s="33">
        <v>114.49000000000001</v>
      </c>
      <c r="M391" s="33">
        <v>114.49000000000001</v>
      </c>
    </row>
    <row r="392" spans="1:13">
      <c r="A392" t="s">
        <v>91</v>
      </c>
      <c r="B392">
        <v>2000</v>
      </c>
      <c r="C392" s="16">
        <v>0.03</v>
      </c>
      <c r="D392" s="1">
        <v>3298266.01</v>
      </c>
      <c r="E392" s="29">
        <f>Table15[[#This Row],[Ávöxtun]]*Table15[[#This Row],[Eignir]]/SUMIFS(Table15[Eignir],Table15[Year],Table15[[#This Row],[Year]])</f>
        <v>1.3918893295232731E-4</v>
      </c>
      <c r="F392" s="23">
        <f>IF(B392=1997, 100, IF(COUNTIF(A$1:A391,A392)=0, "NEW", F391*(1+Table15[[#This Row],[Ávöxtun]])))</f>
        <v>117.92470000000002</v>
      </c>
      <c r="G392" s="18" cm="1">
        <f t="array" ref="G392">IFERROR(_xlfn.IFS(ISNUMBER(Table15[[#This Row],[Column3]]),Table15[[#This Row],[Column3]],Table15[[#This Row],[Column3]]="NEW",Table15[[#This Row],[Column3]]),"")</f>
        <v>117.92470000000002</v>
      </c>
      <c r="H392" s="15" cm="1">
        <f t="array" ref="H392">_xlfn.IFS(Table15[[#This Row],[Column4]]="NEW",AVERAGEIFS(Table15[Column4],Table15[Year],Table15[[#This Row],[Year]]),ISNUMBER(Table15[[#This Row],[Column4]]),Table15[[#This Row],[Column4]],Table15[[#This Row],[Column4]]="",H391*(1+Table15[[#This Row],[Ávöxtun]]))</f>
        <v>117.92470000000002</v>
      </c>
      <c r="I392" s="30" cm="1">
        <f t="array" ref="I392">_xlfn.IFS(Table15[[#This Row],[Column4]]="NEW",_xlfn.XLOOKUP(Table15[[#This Row],[Year]]-1,$N$2:$N$27,$P$2:$P$27)*(1+Table15[[#This Row],[Ávöxtun]]),ISNUMBER(Table15[[#This Row],[Column4]]),Table15[[#This Row],[Column4]],Table15[[#This Row],[Column4]]="",I391*(1+Table15[[#This Row],[Ávöxtun]]))</f>
        <v>117.92470000000002</v>
      </c>
      <c r="L392" s="33">
        <v>117.92470000000002</v>
      </c>
      <c r="M392" s="33">
        <v>117.92470000000002</v>
      </c>
    </row>
    <row r="393" spans="1:13">
      <c r="A393" t="s">
        <v>140</v>
      </c>
      <c r="B393">
        <v>1997</v>
      </c>
      <c r="C393" s="16">
        <v>0</v>
      </c>
      <c r="D393" s="1">
        <v>60538.19</v>
      </c>
      <c r="E393" s="29">
        <f>Table15[[#This Row],[Ávöxtun]]*Table15[[#This Row],[Eignir]]/SUMIFS(Table15[Eignir],Table15[Year],Table15[[#This Row],[Year]])</f>
        <v>0</v>
      </c>
      <c r="F393" s="23">
        <f>IF(B393=1997, 100, IF(COUNTIF(A$1:A392,A393)=0, "NEW", F392*(1+Table15[[#This Row],[Ávöxtun]])))</f>
        <v>100</v>
      </c>
      <c r="G393" s="18" cm="1">
        <f t="array" ref="G393">IFERROR(_xlfn.IFS(ISNUMBER(Table15[[#This Row],[Column3]]),Table15[[#This Row],[Column3]],Table15[[#This Row],[Column3]]="NEW",Table15[[#This Row],[Column3]]),"")</f>
        <v>100</v>
      </c>
      <c r="H393" s="15" cm="1">
        <f t="array" ref="H393">_xlfn.IFS(Table15[[#This Row],[Column4]]="NEW",AVERAGEIFS(Table15[Column4],Table15[Year],Table15[[#This Row],[Year]]),ISNUMBER(Table15[[#This Row],[Column4]]),Table15[[#This Row],[Column4]],Table15[[#This Row],[Column4]]="",H392*(1+Table15[[#This Row],[Ávöxtun]]))</f>
        <v>100</v>
      </c>
      <c r="I393" s="30" cm="1">
        <f t="array" ref="I393">_xlfn.IFS(Table15[[#This Row],[Column4]]="NEW",_xlfn.XLOOKUP(Table15[[#This Row],[Year]]-1,$N$2:$N$27,$P$2:$P$27)*(1+Table15[[#This Row],[Ávöxtun]]),ISNUMBER(Table15[[#This Row],[Column4]]),Table15[[#This Row],[Column4]],Table15[[#This Row],[Column4]]="",I392*(1+Table15[[#This Row],[Ávöxtun]]))</f>
        <v>100</v>
      </c>
      <c r="L393" s="33">
        <v>100</v>
      </c>
      <c r="M393" s="33">
        <v>100</v>
      </c>
    </row>
    <row r="394" spans="1:13">
      <c r="A394" t="s">
        <v>140</v>
      </c>
      <c r="B394">
        <v>1998</v>
      </c>
      <c r="C394" s="16">
        <v>0</v>
      </c>
      <c r="D394" s="1">
        <v>37214.97</v>
      </c>
      <c r="E394" s="29">
        <f>Table15[[#This Row],[Ávöxtun]]*Table15[[#This Row],[Eignir]]/SUMIFS(Table15[Eignir],Table15[Year],Table15[[#This Row],[Year]])</f>
        <v>0</v>
      </c>
      <c r="F394" s="23">
        <f>IF(B394=1997, 100, IF(COUNTIF(A$1:A393,A394)=0, "NEW", F393*(1+Table15[[#This Row],[Ávöxtun]])))</f>
        <v>100</v>
      </c>
      <c r="G394" s="18" cm="1">
        <f t="array" ref="G394">IFERROR(_xlfn.IFS(ISNUMBER(Table15[[#This Row],[Column3]]),Table15[[#This Row],[Column3]],Table15[[#This Row],[Column3]]="NEW",Table15[[#This Row],[Column3]]),"")</f>
        <v>100</v>
      </c>
      <c r="H394" s="15" cm="1">
        <f t="array" ref="H394">_xlfn.IFS(Table15[[#This Row],[Column4]]="NEW",AVERAGEIFS(Table15[Column4],Table15[Year],Table15[[#This Row],[Year]]),ISNUMBER(Table15[[#This Row],[Column4]]),Table15[[#This Row],[Column4]],Table15[[#This Row],[Column4]]="",H393*(1+Table15[[#This Row],[Ávöxtun]]))</f>
        <v>100</v>
      </c>
      <c r="I394" s="30" cm="1">
        <f t="array" ref="I394">_xlfn.IFS(Table15[[#This Row],[Column4]]="NEW",_xlfn.XLOOKUP(Table15[[#This Row],[Year]]-1,$N$2:$N$27,$P$2:$P$27)*(1+Table15[[#This Row],[Ávöxtun]]),ISNUMBER(Table15[[#This Row],[Column4]]),Table15[[#This Row],[Column4]],Table15[[#This Row],[Column4]]="",I393*(1+Table15[[#This Row],[Ávöxtun]]))</f>
        <v>100</v>
      </c>
      <c r="L394" s="33">
        <v>100</v>
      </c>
      <c r="M394" s="33">
        <v>100</v>
      </c>
    </row>
    <row r="395" spans="1:13">
      <c r="A395" t="s">
        <v>92</v>
      </c>
      <c r="B395">
        <v>1997</v>
      </c>
      <c r="C395" s="16">
        <v>7.0000000000000007E-2</v>
      </c>
      <c r="D395" s="1">
        <v>308830.8</v>
      </c>
      <c r="E395" s="29">
        <f>Table15[[#This Row],[Ávöxtun]]*Table15[[#This Row],[Eignir]]/SUMIFS(Table15[Eignir],Table15[Year],Table15[[#This Row],[Year]])</f>
        <v>6.3765604948512193E-5</v>
      </c>
      <c r="F395" s="23">
        <f>IF(B395=1997, 100, IF(COUNTIF(A$1:A394,A395)=0, "NEW", F394*(1+Table15[[#This Row],[Ávöxtun]])))</f>
        <v>100</v>
      </c>
      <c r="G395" s="18" cm="1">
        <f t="array" ref="G395">IFERROR(_xlfn.IFS(ISNUMBER(Table15[[#This Row],[Column3]]),Table15[[#This Row],[Column3]],Table15[[#This Row],[Column3]]="NEW",Table15[[#This Row],[Column3]]),"")</f>
        <v>100</v>
      </c>
      <c r="H395" s="15" cm="1">
        <f t="array" ref="H395">_xlfn.IFS(Table15[[#This Row],[Column4]]="NEW",AVERAGEIFS(Table15[Column4],Table15[Year],Table15[[#This Row],[Year]]),ISNUMBER(Table15[[#This Row],[Column4]]),Table15[[#This Row],[Column4]],Table15[[#This Row],[Column4]]="",H394*(1+Table15[[#This Row],[Ávöxtun]]))</f>
        <v>100</v>
      </c>
      <c r="I395" s="30" cm="1">
        <f t="array" ref="I395">_xlfn.IFS(Table15[[#This Row],[Column4]]="NEW",_xlfn.XLOOKUP(Table15[[#This Row],[Year]]-1,$N$2:$N$27,$P$2:$P$27)*(1+Table15[[#This Row],[Ávöxtun]]),ISNUMBER(Table15[[#This Row],[Column4]]),Table15[[#This Row],[Column4]],Table15[[#This Row],[Column4]]="",I394*(1+Table15[[#This Row],[Ávöxtun]]))</f>
        <v>100</v>
      </c>
      <c r="L395" s="33">
        <v>100</v>
      </c>
      <c r="M395" s="33">
        <v>100</v>
      </c>
    </row>
    <row r="396" spans="1:13">
      <c r="A396" t="s">
        <v>93</v>
      </c>
      <c r="B396">
        <v>1997</v>
      </c>
      <c r="C396" s="16">
        <v>0.13</v>
      </c>
      <c r="D396" s="1">
        <v>10546818.51</v>
      </c>
      <c r="E396" s="29">
        <f>Table15[[#This Row],[Ávöxtun]]*Table15[[#This Row],[Eignir]]/SUMIFS(Table15[Eignir],Table15[Year],Table15[[#This Row],[Year]])</f>
        <v>4.0442003533696889E-3</v>
      </c>
      <c r="F396" s="23">
        <f>IF(B396=1997, 100, IF(COUNTIF(A$1:A395,A396)=0, "NEW", F395*(1+Table15[[#This Row],[Ávöxtun]])))</f>
        <v>100</v>
      </c>
      <c r="G396" s="18" cm="1">
        <f t="array" ref="G396">IFERROR(_xlfn.IFS(ISNUMBER(Table15[[#This Row],[Column3]]),Table15[[#This Row],[Column3]],Table15[[#This Row],[Column3]]="NEW",Table15[[#This Row],[Column3]]),"")</f>
        <v>100</v>
      </c>
      <c r="H396" s="15" cm="1">
        <f t="array" ref="H396">_xlfn.IFS(Table15[[#This Row],[Column4]]="NEW",AVERAGEIFS(Table15[Column4],Table15[Year],Table15[[#This Row],[Year]]),ISNUMBER(Table15[[#This Row],[Column4]]),Table15[[#This Row],[Column4]],Table15[[#This Row],[Column4]]="",H395*(1+Table15[[#This Row],[Ávöxtun]]))</f>
        <v>100</v>
      </c>
      <c r="I396" s="30" cm="1">
        <f t="array" ref="I396">_xlfn.IFS(Table15[[#This Row],[Column4]]="NEW",_xlfn.XLOOKUP(Table15[[#This Row],[Year]]-1,$N$2:$N$27,$P$2:$P$27)*(1+Table15[[#This Row],[Ávöxtun]]),ISNUMBER(Table15[[#This Row],[Column4]]),Table15[[#This Row],[Column4]],Table15[[#This Row],[Column4]]="",I395*(1+Table15[[#This Row],[Ávöxtun]]))</f>
        <v>100</v>
      </c>
      <c r="L396" s="33">
        <v>100</v>
      </c>
      <c r="M396" s="33">
        <v>100</v>
      </c>
    </row>
    <row r="397" spans="1:13">
      <c r="A397" t="s">
        <v>93</v>
      </c>
      <c r="B397">
        <v>1998</v>
      </c>
      <c r="C397" s="16">
        <v>0.02</v>
      </c>
      <c r="D397" s="1">
        <v>11330066.619999999</v>
      </c>
      <c r="E397" s="29">
        <f>Table15[[#This Row],[Ávöxtun]]*Table15[[#This Row],[Eignir]]/SUMIFS(Table15[Eignir],Table15[Year],Table15[[#This Row],[Year]])</f>
        <v>5.7860350581500784E-4</v>
      </c>
      <c r="F397" s="23">
        <f>IF(B397=1997, 100, IF(COUNTIF(A$1:A396,A397)=0, "NEW", F396*(1+Table15[[#This Row],[Ávöxtun]])))</f>
        <v>102</v>
      </c>
      <c r="G397" s="18" cm="1">
        <f t="array" ref="G397">IFERROR(_xlfn.IFS(ISNUMBER(Table15[[#This Row],[Column3]]),Table15[[#This Row],[Column3]],Table15[[#This Row],[Column3]]="NEW",Table15[[#This Row],[Column3]]),"")</f>
        <v>102</v>
      </c>
      <c r="H397" s="15" cm="1">
        <f t="array" ref="H397">_xlfn.IFS(Table15[[#This Row],[Column4]]="NEW",AVERAGEIFS(Table15[Column4],Table15[Year],Table15[[#This Row],[Year]]),ISNUMBER(Table15[[#This Row],[Column4]]),Table15[[#This Row],[Column4]],Table15[[#This Row],[Column4]]="",H396*(1+Table15[[#This Row],[Ávöxtun]]))</f>
        <v>102</v>
      </c>
      <c r="I397" s="30" cm="1">
        <f t="array" ref="I397">_xlfn.IFS(Table15[[#This Row],[Column4]]="NEW",_xlfn.XLOOKUP(Table15[[#This Row],[Year]]-1,$N$2:$N$27,$P$2:$P$27)*(1+Table15[[#This Row],[Ávöxtun]]),ISNUMBER(Table15[[#This Row],[Column4]]),Table15[[#This Row],[Column4]],Table15[[#This Row],[Column4]]="",I396*(1+Table15[[#This Row],[Ávöxtun]]))</f>
        <v>102</v>
      </c>
      <c r="L397" s="33">
        <v>102</v>
      </c>
      <c r="M397" s="33">
        <v>102</v>
      </c>
    </row>
    <row r="398" spans="1:13">
      <c r="A398" t="s">
        <v>93</v>
      </c>
      <c r="B398">
        <v>1999</v>
      </c>
      <c r="C398" s="16">
        <v>0.08</v>
      </c>
      <c r="D398" s="1">
        <v>13471156.970000001</v>
      </c>
      <c r="E398" s="29">
        <f>Table15[[#This Row],[Ávöxtun]]*Table15[[#This Row],[Eignir]]/SUMIFS(Table15[Eignir],Table15[Year],Table15[[#This Row],[Year]])</f>
        <v>2.0696332302597366E-3</v>
      </c>
      <c r="F398" s="23">
        <f>IF(B398=1997, 100, IF(COUNTIF(A$1:A397,A398)=0, "NEW", F397*(1+Table15[[#This Row],[Ávöxtun]])))</f>
        <v>110.16000000000001</v>
      </c>
      <c r="G398" s="18" cm="1">
        <f t="array" ref="G398">IFERROR(_xlfn.IFS(ISNUMBER(Table15[[#This Row],[Column3]]),Table15[[#This Row],[Column3]],Table15[[#This Row],[Column3]]="NEW",Table15[[#This Row],[Column3]]),"")</f>
        <v>110.16000000000001</v>
      </c>
      <c r="H398" s="15" cm="1">
        <f t="array" ref="H398">_xlfn.IFS(Table15[[#This Row],[Column4]]="NEW",AVERAGEIFS(Table15[Column4],Table15[Year],Table15[[#This Row],[Year]]),ISNUMBER(Table15[[#This Row],[Column4]]),Table15[[#This Row],[Column4]],Table15[[#This Row],[Column4]]="",H397*(1+Table15[[#This Row],[Ávöxtun]]))</f>
        <v>110.16000000000001</v>
      </c>
      <c r="I398" s="30" cm="1">
        <f t="array" ref="I398">_xlfn.IFS(Table15[[#This Row],[Column4]]="NEW",_xlfn.XLOOKUP(Table15[[#This Row],[Year]]-1,$N$2:$N$27,$P$2:$P$27)*(1+Table15[[#This Row],[Ávöxtun]]),ISNUMBER(Table15[[#This Row],[Column4]]),Table15[[#This Row],[Column4]],Table15[[#This Row],[Column4]]="",I397*(1+Table15[[#This Row],[Ávöxtun]]))</f>
        <v>110.16000000000001</v>
      </c>
      <c r="L398" s="33">
        <v>110.16000000000001</v>
      </c>
      <c r="M398" s="33">
        <v>110.16000000000001</v>
      </c>
    </row>
    <row r="399" spans="1:13">
      <c r="A399" t="s">
        <v>93</v>
      </c>
      <c r="B399">
        <v>2000</v>
      </c>
      <c r="C399" s="16">
        <v>-0.04</v>
      </c>
      <c r="D399" s="1">
        <v>13856038.65</v>
      </c>
      <c r="E399" s="29">
        <f>Table15[[#This Row],[Ávöxtun]]*Table15[[#This Row],[Eignir]]/SUMIFS(Table15[Eignir],Table15[Year],Table15[[#This Row],[Year]])</f>
        <v>-7.7964491191932132E-4</v>
      </c>
      <c r="F399" s="23">
        <f>IF(B399=1997, 100, IF(COUNTIF(A$1:A398,A399)=0, "NEW", F398*(1+Table15[[#This Row],[Ávöxtun]])))</f>
        <v>105.75360000000001</v>
      </c>
      <c r="G399" s="18" cm="1">
        <f t="array" ref="G399">IFERROR(_xlfn.IFS(ISNUMBER(Table15[[#This Row],[Column3]]),Table15[[#This Row],[Column3]],Table15[[#This Row],[Column3]]="NEW",Table15[[#This Row],[Column3]]),"")</f>
        <v>105.75360000000001</v>
      </c>
      <c r="H399" s="15" cm="1">
        <f t="array" ref="H399">_xlfn.IFS(Table15[[#This Row],[Column4]]="NEW",AVERAGEIFS(Table15[Column4],Table15[Year],Table15[[#This Row],[Year]]),ISNUMBER(Table15[[#This Row],[Column4]]),Table15[[#This Row],[Column4]],Table15[[#This Row],[Column4]]="",H398*(1+Table15[[#This Row],[Ávöxtun]]))</f>
        <v>105.75360000000001</v>
      </c>
      <c r="I399" s="30" cm="1">
        <f t="array" ref="I399">_xlfn.IFS(Table15[[#This Row],[Column4]]="NEW",_xlfn.XLOOKUP(Table15[[#This Row],[Year]]-1,$N$2:$N$27,$P$2:$P$27)*(1+Table15[[#This Row],[Ávöxtun]]),ISNUMBER(Table15[[#This Row],[Column4]]),Table15[[#This Row],[Column4]],Table15[[#This Row],[Column4]]="",I398*(1+Table15[[#This Row],[Ávöxtun]]))</f>
        <v>105.75360000000001</v>
      </c>
      <c r="L399" s="33">
        <v>105.75360000000001</v>
      </c>
      <c r="M399" s="33">
        <v>105.75360000000001</v>
      </c>
    </row>
    <row r="400" spans="1:13">
      <c r="A400" t="s">
        <v>93</v>
      </c>
      <c r="B400">
        <v>2001</v>
      </c>
      <c r="C400" s="16">
        <v>-0.1</v>
      </c>
      <c r="D400" s="1">
        <v>14039988.74</v>
      </c>
      <c r="E400" s="29">
        <f>Table15[[#This Row],[Ávöxtun]]*Table15[[#This Row],[Eignir]]/SUMIFS(Table15[Eignir],Table15[Year],Table15[[#This Row],[Year]])</f>
        <v>-1.2125225052086858E-3</v>
      </c>
      <c r="F400" s="23">
        <f>IF(B400=1997, 100, IF(COUNTIF(A$1:A399,A400)=0, "NEW", F399*(1+Table15[[#This Row],[Ávöxtun]])))</f>
        <v>95.178240000000002</v>
      </c>
      <c r="G400" s="18" cm="1">
        <f t="array" ref="G400">IFERROR(_xlfn.IFS(ISNUMBER(Table15[[#This Row],[Column3]]),Table15[[#This Row],[Column3]],Table15[[#This Row],[Column3]]="NEW",Table15[[#This Row],[Column3]]),"")</f>
        <v>95.178240000000002</v>
      </c>
      <c r="H400" s="15" cm="1">
        <f t="array" ref="H400">_xlfn.IFS(Table15[[#This Row],[Column4]]="NEW",AVERAGEIFS(Table15[Column4],Table15[Year],Table15[[#This Row],[Year]]),ISNUMBER(Table15[[#This Row],[Column4]]),Table15[[#This Row],[Column4]],Table15[[#This Row],[Column4]]="",H399*(1+Table15[[#This Row],[Ávöxtun]]))</f>
        <v>95.178240000000002</v>
      </c>
      <c r="I400" s="30" cm="1">
        <f t="array" ref="I400">_xlfn.IFS(Table15[[#This Row],[Column4]]="NEW",_xlfn.XLOOKUP(Table15[[#This Row],[Year]]-1,$N$2:$N$27,$P$2:$P$27)*(1+Table15[[#This Row],[Ávöxtun]]),ISNUMBER(Table15[[#This Row],[Column4]]),Table15[[#This Row],[Column4]],Table15[[#This Row],[Column4]]="",I399*(1+Table15[[#This Row],[Ávöxtun]]))</f>
        <v>95.178240000000002</v>
      </c>
      <c r="L400" s="33">
        <v>95.178240000000002</v>
      </c>
      <c r="M400" s="33">
        <v>95.178240000000002</v>
      </c>
    </row>
    <row r="401" spans="1:13">
      <c r="A401" t="s">
        <v>93</v>
      </c>
      <c r="B401">
        <v>2002</v>
      </c>
      <c r="C401" s="16">
        <v>-0.11</v>
      </c>
      <c r="D401" s="1">
        <v>13235732.9</v>
      </c>
      <c r="E401" s="29">
        <f>Table15[[#This Row],[Ávöxtun]]*Table15[[#This Row],[Eignir]]/SUMIFS(Table15[Eignir],Table15[Year],Table15[[#This Row],[Year]])</f>
        <v>-2.2922115594206476E-3</v>
      </c>
      <c r="F401" s="23">
        <f>IF(B401=1997, 100, IF(COUNTIF(A$1:A400,A401)=0, "NEW", F400*(1+Table15[[#This Row],[Ávöxtun]])))</f>
        <v>84.708633599999999</v>
      </c>
      <c r="G401" s="18" cm="1">
        <f t="array" ref="G401">IFERROR(_xlfn.IFS(ISNUMBER(Table15[[#This Row],[Column3]]),Table15[[#This Row],[Column3]],Table15[[#This Row],[Column3]]="NEW",Table15[[#This Row],[Column3]]),"")</f>
        <v>84.708633599999999</v>
      </c>
      <c r="H401" s="15" cm="1">
        <f t="array" ref="H401">_xlfn.IFS(Table15[[#This Row],[Column4]]="NEW",AVERAGEIFS(Table15[Column4],Table15[Year],Table15[[#This Row],[Year]]),ISNUMBER(Table15[[#This Row],[Column4]]),Table15[[#This Row],[Column4]],Table15[[#This Row],[Column4]]="",H400*(1+Table15[[#This Row],[Ávöxtun]]))</f>
        <v>84.708633599999999</v>
      </c>
      <c r="I401" s="30" cm="1">
        <f t="array" ref="I401">_xlfn.IFS(Table15[[#This Row],[Column4]]="NEW",_xlfn.XLOOKUP(Table15[[#This Row],[Year]]-1,$N$2:$N$27,$P$2:$P$27)*(1+Table15[[#This Row],[Ávöxtun]]),ISNUMBER(Table15[[#This Row],[Column4]]),Table15[[#This Row],[Column4]],Table15[[#This Row],[Column4]]="",I400*(1+Table15[[#This Row],[Ávöxtun]]))</f>
        <v>84.708633599999999</v>
      </c>
      <c r="L401" s="33">
        <v>84.708633599999999</v>
      </c>
      <c r="M401" s="33">
        <v>84.708633599999999</v>
      </c>
    </row>
    <row r="402" spans="1:13">
      <c r="A402" t="s">
        <v>93</v>
      </c>
      <c r="B402">
        <v>2003</v>
      </c>
      <c r="C402" s="16">
        <v>0.11</v>
      </c>
      <c r="D402" s="1">
        <v>15647579</v>
      </c>
      <c r="E402" s="29">
        <f>Table15[[#This Row],[Ávöxtun]]*Table15[[#This Row],[Eignir]]/SUMIFS(Table15[Eignir],Table15[Year],Table15[[#This Row],[Year]])</f>
        <v>2.2651048579046791E-3</v>
      </c>
      <c r="F402" s="23">
        <f>IF(B402=1997, 100, IF(COUNTIF(A$1:A401,A402)=0, "NEW", F401*(1+Table15[[#This Row],[Ávöxtun]])))</f>
        <v>94.026583296000013</v>
      </c>
      <c r="G402" s="18" cm="1">
        <f t="array" ref="G402">IFERROR(_xlfn.IFS(ISNUMBER(Table15[[#This Row],[Column3]]),Table15[[#This Row],[Column3]],Table15[[#This Row],[Column3]]="NEW",Table15[[#This Row],[Column3]]),"")</f>
        <v>94.026583296000013</v>
      </c>
      <c r="H402" s="15" cm="1">
        <f t="array" ref="H402">_xlfn.IFS(Table15[[#This Row],[Column4]]="NEW",AVERAGEIFS(Table15[Column4],Table15[Year],Table15[[#This Row],[Year]]),ISNUMBER(Table15[[#This Row],[Column4]]),Table15[[#This Row],[Column4]],Table15[[#This Row],[Column4]]="",H401*(1+Table15[[#This Row],[Ávöxtun]]))</f>
        <v>94.026583296000013</v>
      </c>
      <c r="I402" s="30" cm="1">
        <f t="array" ref="I402">_xlfn.IFS(Table15[[#This Row],[Column4]]="NEW",_xlfn.XLOOKUP(Table15[[#This Row],[Year]]-1,$N$2:$N$27,$P$2:$P$27)*(1+Table15[[#This Row],[Ávöxtun]]),ISNUMBER(Table15[[#This Row],[Column4]]),Table15[[#This Row],[Column4]],Table15[[#This Row],[Column4]]="",I401*(1+Table15[[#This Row],[Ávöxtun]]))</f>
        <v>94.026583296000013</v>
      </c>
      <c r="L402" s="33">
        <v>94.026583296000013</v>
      </c>
      <c r="M402" s="33">
        <v>94.026583296000013</v>
      </c>
    </row>
    <row r="403" spans="1:13">
      <c r="A403" t="s">
        <v>93</v>
      </c>
      <c r="B403">
        <v>2004</v>
      </c>
      <c r="C403" s="16">
        <v>0.09</v>
      </c>
      <c r="D403" s="1">
        <v>18311035</v>
      </c>
      <c r="E403" s="29">
        <f>Table15[[#This Row],[Ávöxtun]]*Table15[[#This Row],[Eignir]]/SUMIFS(Table15[Eignir],Table15[Year],Table15[[#This Row],[Year]])</f>
        <v>1.8156294448757719E-3</v>
      </c>
      <c r="F403" s="23">
        <f>IF(B403=1997, 100, IF(COUNTIF(A$1:A402,A403)=0, "NEW", F402*(1+Table15[[#This Row],[Ávöxtun]])))</f>
        <v>102.48897579264002</v>
      </c>
      <c r="G403" s="18" cm="1">
        <f t="array" ref="G403">IFERROR(_xlfn.IFS(ISNUMBER(Table15[[#This Row],[Column3]]),Table15[[#This Row],[Column3]],Table15[[#This Row],[Column3]]="NEW",Table15[[#This Row],[Column3]]),"")</f>
        <v>102.48897579264002</v>
      </c>
      <c r="H403" s="15" cm="1">
        <f t="array" ref="H403">_xlfn.IFS(Table15[[#This Row],[Column4]]="NEW",AVERAGEIFS(Table15[Column4],Table15[Year],Table15[[#This Row],[Year]]),ISNUMBER(Table15[[#This Row],[Column4]]),Table15[[#This Row],[Column4]],Table15[[#This Row],[Column4]]="",H402*(1+Table15[[#This Row],[Ávöxtun]]))</f>
        <v>102.48897579264002</v>
      </c>
      <c r="I403" s="30" cm="1">
        <f t="array" ref="I403">_xlfn.IFS(Table15[[#This Row],[Column4]]="NEW",_xlfn.XLOOKUP(Table15[[#This Row],[Year]]-1,$N$2:$N$27,$P$2:$P$27)*(1+Table15[[#This Row],[Ávöxtun]]),ISNUMBER(Table15[[#This Row],[Column4]]),Table15[[#This Row],[Column4]],Table15[[#This Row],[Column4]]="",I402*(1+Table15[[#This Row],[Ávöxtun]]))</f>
        <v>102.48897579264002</v>
      </c>
      <c r="L403" s="33">
        <v>102.48897579264002</v>
      </c>
      <c r="M403" s="33">
        <v>102.48897579264002</v>
      </c>
    </row>
    <row r="404" spans="1:13">
      <c r="A404" t="s">
        <v>93</v>
      </c>
      <c r="B404">
        <v>2005</v>
      </c>
      <c r="C404" s="16">
        <v>0.1</v>
      </c>
      <c r="D404" s="1">
        <v>21940590</v>
      </c>
      <c r="E404" s="29">
        <f>Table15[[#This Row],[Ávöxtun]]*Table15[[#This Row],[Eignir]]/SUMIFS(Table15[Eignir],Table15[Year],Table15[[#This Row],[Year]])</f>
        <v>1.9566442114428038E-3</v>
      </c>
      <c r="F404" s="23">
        <f>IF(B404=1997, 100, IF(COUNTIF(A$1:A403,A404)=0, "NEW", F403*(1+Table15[[#This Row],[Ávöxtun]])))</f>
        <v>112.73787337190403</v>
      </c>
      <c r="G404" s="18" cm="1">
        <f t="array" ref="G404">IFERROR(_xlfn.IFS(ISNUMBER(Table15[[#This Row],[Column3]]),Table15[[#This Row],[Column3]],Table15[[#This Row],[Column3]]="NEW",Table15[[#This Row],[Column3]]),"")</f>
        <v>112.73787337190403</v>
      </c>
      <c r="H404" s="15" cm="1">
        <f t="array" ref="H404">_xlfn.IFS(Table15[[#This Row],[Column4]]="NEW",AVERAGEIFS(Table15[Column4],Table15[Year],Table15[[#This Row],[Year]]),ISNUMBER(Table15[[#This Row],[Column4]]),Table15[[#This Row],[Column4]],Table15[[#This Row],[Column4]]="",H403*(1+Table15[[#This Row],[Ávöxtun]]))</f>
        <v>112.73787337190403</v>
      </c>
      <c r="I404" s="30" cm="1">
        <f t="array" ref="I404">_xlfn.IFS(Table15[[#This Row],[Column4]]="NEW",_xlfn.XLOOKUP(Table15[[#This Row],[Year]]-1,$N$2:$N$27,$P$2:$P$27)*(1+Table15[[#This Row],[Ávöxtun]]),ISNUMBER(Table15[[#This Row],[Column4]]),Table15[[#This Row],[Column4]],Table15[[#This Row],[Column4]]="",I403*(1+Table15[[#This Row],[Ávöxtun]]))</f>
        <v>112.73787337190403</v>
      </c>
      <c r="L404" s="33">
        <v>112.73787337190403</v>
      </c>
      <c r="M404" s="33">
        <v>112.73787337190403</v>
      </c>
    </row>
    <row r="405" spans="1:13">
      <c r="A405" t="s">
        <v>93</v>
      </c>
      <c r="B405">
        <v>2006</v>
      </c>
      <c r="C405" s="16">
        <v>8.8300000000000003E-2</v>
      </c>
      <c r="D405" s="1">
        <v>27425648</v>
      </c>
      <c r="E405" s="29">
        <f>Table15[[#This Row],[Ávöxtun]]*Table15[[#This Row],[Eignir]]/SUMIFS(Table15[Eignir],Table15[Year],Table15[[#This Row],[Year]])</f>
        <v>1.7642075431600142E-3</v>
      </c>
      <c r="F405" s="23">
        <f>IF(B405=1997, 100, IF(COUNTIF(A$1:A404,A405)=0, "NEW", F404*(1+Table15[[#This Row],[Ávöxtun]])))</f>
        <v>122.69262759064316</v>
      </c>
      <c r="G405" s="18" cm="1">
        <f t="array" ref="G405">IFERROR(_xlfn.IFS(ISNUMBER(Table15[[#This Row],[Column3]]),Table15[[#This Row],[Column3]],Table15[[#This Row],[Column3]]="NEW",Table15[[#This Row],[Column3]]),"")</f>
        <v>122.69262759064316</v>
      </c>
      <c r="H405" s="15" cm="1">
        <f t="array" ref="H405">_xlfn.IFS(Table15[[#This Row],[Column4]]="NEW",AVERAGEIFS(Table15[Column4],Table15[Year],Table15[[#This Row],[Year]]),ISNUMBER(Table15[[#This Row],[Column4]]),Table15[[#This Row],[Column4]],Table15[[#This Row],[Column4]]="",H404*(1+Table15[[#This Row],[Ávöxtun]]))</f>
        <v>122.69262759064316</v>
      </c>
      <c r="I405" s="30" cm="1">
        <f t="array" ref="I405">_xlfn.IFS(Table15[[#This Row],[Column4]]="NEW",_xlfn.XLOOKUP(Table15[[#This Row],[Year]]-1,$N$2:$N$27,$P$2:$P$27)*(1+Table15[[#This Row],[Ávöxtun]]),ISNUMBER(Table15[[#This Row],[Column4]]),Table15[[#This Row],[Column4]],Table15[[#This Row],[Column4]]="",I404*(1+Table15[[#This Row],[Ávöxtun]]))</f>
        <v>122.69262759064316</v>
      </c>
      <c r="L405" s="33">
        <v>122.69262759064316</v>
      </c>
      <c r="M405" s="33">
        <v>122.69262759064316</v>
      </c>
    </row>
    <row r="406" spans="1:13">
      <c r="A406" t="s">
        <v>108</v>
      </c>
      <c r="B406">
        <v>1997</v>
      </c>
      <c r="C406" s="16">
        <v>0.09</v>
      </c>
      <c r="D406" s="1">
        <v>9098944.8300000001</v>
      </c>
      <c r="E406" s="29">
        <f>Table15[[#This Row],[Ávöxtun]]*Table15[[#This Row],[Eignir]]/SUMIFS(Table15[Eignir],Table15[Year],Table15[[#This Row],[Year]])</f>
        <v>2.4154685040217059E-3</v>
      </c>
      <c r="F406" s="23">
        <f>IF(B406=1997, 100, IF(COUNTIF(A$1:A405,A406)=0, "NEW", F405*(1+Table15[[#This Row],[Ávöxtun]])))</f>
        <v>100</v>
      </c>
      <c r="G406" s="18" cm="1">
        <f t="array" ref="G406">IFERROR(_xlfn.IFS(ISNUMBER(Table15[[#This Row],[Column3]]),Table15[[#This Row],[Column3]],Table15[[#This Row],[Column3]]="NEW",Table15[[#This Row],[Column3]]),"")</f>
        <v>100</v>
      </c>
      <c r="H406" s="15" cm="1">
        <f t="array" ref="H406">_xlfn.IFS(Table15[[#This Row],[Column4]]="NEW",AVERAGEIFS(Table15[Column4],Table15[Year],Table15[[#This Row],[Year]]),ISNUMBER(Table15[[#This Row],[Column4]]),Table15[[#This Row],[Column4]],Table15[[#This Row],[Column4]]="",H405*(1+Table15[[#This Row],[Ávöxtun]]))</f>
        <v>100</v>
      </c>
      <c r="I406" s="30" cm="1">
        <f t="array" ref="I406">_xlfn.IFS(Table15[[#This Row],[Column4]]="NEW",_xlfn.XLOOKUP(Table15[[#This Row],[Year]]-1,$N$2:$N$27,$P$2:$P$27)*(1+Table15[[#This Row],[Ávöxtun]]),ISNUMBER(Table15[[#This Row],[Column4]]),Table15[[#This Row],[Column4]],Table15[[#This Row],[Column4]]="",I405*(1+Table15[[#This Row],[Ávöxtun]]))</f>
        <v>100</v>
      </c>
      <c r="L406" s="33">
        <v>100</v>
      </c>
      <c r="M406" s="33">
        <v>100</v>
      </c>
    </row>
    <row r="407" spans="1:13">
      <c r="A407" t="s">
        <v>108</v>
      </c>
      <c r="B407">
        <v>1998</v>
      </c>
      <c r="C407" s="16">
        <v>0.09</v>
      </c>
      <c r="D407" s="1">
        <v>9915207.7100000009</v>
      </c>
      <c r="E407" s="29">
        <f>Table15[[#This Row],[Ávöxtun]]*Table15[[#This Row],[Eignir]]/SUMIFS(Table15[Eignir],Table15[Year],Table15[[#This Row],[Year]])</f>
        <v>2.2785728984976599E-3</v>
      </c>
      <c r="F407" s="23">
        <f>IF(B407=1997, 100, IF(COUNTIF(A$1:A406,A407)=0, "NEW", F406*(1+Table15[[#This Row],[Ávöxtun]])))</f>
        <v>109.00000000000001</v>
      </c>
      <c r="G407" s="18" cm="1">
        <f t="array" ref="G407">IFERROR(_xlfn.IFS(ISNUMBER(Table15[[#This Row],[Column3]]),Table15[[#This Row],[Column3]],Table15[[#This Row],[Column3]]="NEW",Table15[[#This Row],[Column3]]),"")</f>
        <v>109.00000000000001</v>
      </c>
      <c r="H407" s="15" cm="1">
        <f t="array" ref="H407">_xlfn.IFS(Table15[[#This Row],[Column4]]="NEW",AVERAGEIFS(Table15[Column4],Table15[Year],Table15[[#This Row],[Year]]),ISNUMBER(Table15[[#This Row],[Column4]]),Table15[[#This Row],[Column4]],Table15[[#This Row],[Column4]]="",H406*(1+Table15[[#This Row],[Ávöxtun]]))</f>
        <v>109.00000000000001</v>
      </c>
      <c r="I407" s="30" cm="1">
        <f t="array" ref="I407">_xlfn.IFS(Table15[[#This Row],[Column4]]="NEW",_xlfn.XLOOKUP(Table15[[#This Row],[Year]]-1,$N$2:$N$27,$P$2:$P$27)*(1+Table15[[#This Row],[Ávöxtun]]),ISNUMBER(Table15[[#This Row],[Column4]]),Table15[[#This Row],[Column4]],Table15[[#This Row],[Column4]]="",I406*(1+Table15[[#This Row],[Ávöxtun]]))</f>
        <v>109.00000000000001</v>
      </c>
      <c r="L407" s="33">
        <v>109.00000000000001</v>
      </c>
      <c r="M407" s="33">
        <v>109.00000000000001</v>
      </c>
    </row>
    <row r="408" spans="1:13">
      <c r="A408" t="s">
        <v>108</v>
      </c>
      <c r="B408">
        <v>1999</v>
      </c>
      <c r="C408" s="16">
        <v>0.1</v>
      </c>
      <c r="D408" s="1">
        <v>11396867.08</v>
      </c>
      <c r="E408" s="29">
        <f>Table15[[#This Row],[Ávöxtun]]*Table15[[#This Row],[Eignir]]/SUMIFS(Table15[Eignir],Table15[Year],Table15[[#This Row],[Year]])</f>
        <v>2.1886886629476016E-3</v>
      </c>
      <c r="F408" s="23">
        <f>IF(B408=1997, 100, IF(COUNTIF(A$1:A407,A408)=0, "NEW", F407*(1+Table15[[#This Row],[Ávöxtun]])))</f>
        <v>119.90000000000002</v>
      </c>
      <c r="G408" s="18" cm="1">
        <f t="array" ref="G408">IFERROR(_xlfn.IFS(ISNUMBER(Table15[[#This Row],[Column3]]),Table15[[#This Row],[Column3]],Table15[[#This Row],[Column3]]="NEW",Table15[[#This Row],[Column3]]),"")</f>
        <v>119.90000000000002</v>
      </c>
      <c r="H408" s="15" cm="1">
        <f t="array" ref="H408">_xlfn.IFS(Table15[[#This Row],[Column4]]="NEW",AVERAGEIFS(Table15[Column4],Table15[Year],Table15[[#This Row],[Year]]),ISNUMBER(Table15[[#This Row],[Column4]]),Table15[[#This Row],[Column4]],Table15[[#This Row],[Column4]]="",H407*(1+Table15[[#This Row],[Ávöxtun]]))</f>
        <v>119.90000000000002</v>
      </c>
      <c r="I408" s="30" cm="1">
        <f t="array" ref="I408">_xlfn.IFS(Table15[[#This Row],[Column4]]="NEW",_xlfn.XLOOKUP(Table15[[#This Row],[Year]]-1,$N$2:$N$27,$P$2:$P$27)*(1+Table15[[#This Row],[Ávöxtun]]),ISNUMBER(Table15[[#This Row],[Column4]]),Table15[[#This Row],[Column4]],Table15[[#This Row],[Column4]]="",I407*(1+Table15[[#This Row],[Ávöxtun]]))</f>
        <v>119.90000000000002</v>
      </c>
      <c r="L408" s="33">
        <v>119.90000000000002</v>
      </c>
      <c r="M408" s="33">
        <v>119.90000000000002</v>
      </c>
    </row>
    <row r="409" spans="1:13">
      <c r="A409" t="s">
        <v>108</v>
      </c>
      <c r="B409">
        <v>2000</v>
      </c>
      <c r="C409" s="16">
        <v>-0.02</v>
      </c>
      <c r="D409" s="1">
        <v>11653098.58</v>
      </c>
      <c r="E409" s="29">
        <f>Table15[[#This Row],[Ávöxtun]]*Table15[[#This Row],[Eignir]]/SUMIFS(Table15[Eignir],Table15[Year],Table15[[#This Row],[Year]])</f>
        <v>-3.2784547032103109E-4</v>
      </c>
      <c r="F409" s="23">
        <f>IF(B409=1997, 100, IF(COUNTIF(A$1:A408,A409)=0, "NEW", F408*(1+Table15[[#This Row],[Ávöxtun]])))</f>
        <v>117.50200000000002</v>
      </c>
      <c r="G409" s="18" cm="1">
        <f t="array" ref="G409">IFERROR(_xlfn.IFS(ISNUMBER(Table15[[#This Row],[Column3]]),Table15[[#This Row],[Column3]],Table15[[#This Row],[Column3]]="NEW",Table15[[#This Row],[Column3]]),"")</f>
        <v>117.50200000000002</v>
      </c>
      <c r="H409" s="15" cm="1">
        <f t="array" ref="H409">_xlfn.IFS(Table15[[#This Row],[Column4]]="NEW",AVERAGEIFS(Table15[Column4],Table15[Year],Table15[[#This Row],[Year]]),ISNUMBER(Table15[[#This Row],[Column4]]),Table15[[#This Row],[Column4]],Table15[[#This Row],[Column4]]="",H408*(1+Table15[[#This Row],[Ávöxtun]]))</f>
        <v>117.50200000000002</v>
      </c>
      <c r="I409" s="30" cm="1">
        <f t="array" ref="I409">_xlfn.IFS(Table15[[#This Row],[Column4]]="NEW",_xlfn.XLOOKUP(Table15[[#This Row],[Year]]-1,$N$2:$N$27,$P$2:$P$27)*(1+Table15[[#This Row],[Ávöxtun]]),ISNUMBER(Table15[[#This Row],[Column4]]),Table15[[#This Row],[Column4]],Table15[[#This Row],[Column4]]="",I408*(1+Table15[[#This Row],[Ávöxtun]]))</f>
        <v>117.50200000000002</v>
      </c>
      <c r="L409" s="33">
        <v>117.50200000000002</v>
      </c>
      <c r="M409" s="33">
        <v>117.50200000000002</v>
      </c>
    </row>
    <row r="410" spans="1:13">
      <c r="A410" t="s">
        <v>108</v>
      </c>
      <c r="B410">
        <v>2001</v>
      </c>
      <c r="C410" s="16">
        <v>-0.03</v>
      </c>
      <c r="D410" s="1">
        <v>11969657</v>
      </c>
      <c r="E410" s="29">
        <f>Table15[[#This Row],[Ávöxtun]]*Table15[[#This Row],[Eignir]]/SUMIFS(Table15[Eignir],Table15[Year],Table15[[#This Row],[Year]])</f>
        <v>-3.1011731050993737E-4</v>
      </c>
      <c r="F410" s="23">
        <f>IF(B410=1997, 100, IF(COUNTIF(A$1:A409,A410)=0, "NEW", F409*(1+Table15[[#This Row],[Ávöxtun]])))</f>
        <v>113.97694000000001</v>
      </c>
      <c r="G410" s="18" cm="1">
        <f t="array" ref="G410">IFERROR(_xlfn.IFS(ISNUMBER(Table15[[#This Row],[Column3]]),Table15[[#This Row],[Column3]],Table15[[#This Row],[Column3]]="NEW",Table15[[#This Row],[Column3]]),"")</f>
        <v>113.97694000000001</v>
      </c>
      <c r="H410" s="15" cm="1">
        <f t="array" ref="H410">_xlfn.IFS(Table15[[#This Row],[Column4]]="NEW",AVERAGEIFS(Table15[Column4],Table15[Year],Table15[[#This Row],[Year]]),ISNUMBER(Table15[[#This Row],[Column4]]),Table15[[#This Row],[Column4]],Table15[[#This Row],[Column4]]="",H409*(1+Table15[[#This Row],[Ávöxtun]]))</f>
        <v>113.97694000000001</v>
      </c>
      <c r="I410" s="30" cm="1">
        <f t="array" ref="I410">_xlfn.IFS(Table15[[#This Row],[Column4]]="NEW",_xlfn.XLOOKUP(Table15[[#This Row],[Year]]-1,$N$2:$N$27,$P$2:$P$27)*(1+Table15[[#This Row],[Ávöxtun]]),ISNUMBER(Table15[[#This Row],[Column4]]),Table15[[#This Row],[Column4]],Table15[[#This Row],[Column4]]="",I409*(1+Table15[[#This Row],[Ávöxtun]]))</f>
        <v>113.97694000000001</v>
      </c>
      <c r="L410" s="33">
        <v>113.97694000000001</v>
      </c>
      <c r="M410" s="33">
        <v>113.97694000000001</v>
      </c>
    </row>
    <row r="411" spans="1:13">
      <c r="A411" t="s">
        <v>108</v>
      </c>
      <c r="B411">
        <v>2002</v>
      </c>
      <c r="C411" s="16">
        <v>-0.05</v>
      </c>
      <c r="D411" s="1">
        <v>11409412</v>
      </c>
      <c r="E411" s="29">
        <f>Table15[[#This Row],[Ávöxtun]]*Table15[[#This Row],[Eignir]]/SUMIFS(Table15[Eignir],Table15[Year],Table15[[#This Row],[Year]])</f>
        <v>-8.981467156228772E-4</v>
      </c>
      <c r="F411" s="23">
        <f>IF(B411=1997, 100, IF(COUNTIF(A$1:A410,A411)=0, "NEW", F410*(1+Table15[[#This Row],[Ávöxtun]])))</f>
        <v>108.27809300000001</v>
      </c>
      <c r="G411" s="18" cm="1">
        <f t="array" ref="G411">IFERROR(_xlfn.IFS(ISNUMBER(Table15[[#This Row],[Column3]]),Table15[[#This Row],[Column3]],Table15[[#This Row],[Column3]]="NEW",Table15[[#This Row],[Column3]]),"")</f>
        <v>108.27809300000001</v>
      </c>
      <c r="H411" s="15" cm="1">
        <f t="array" ref="H411">_xlfn.IFS(Table15[[#This Row],[Column4]]="NEW",AVERAGEIFS(Table15[Column4],Table15[Year],Table15[[#This Row],[Year]]),ISNUMBER(Table15[[#This Row],[Column4]]),Table15[[#This Row],[Column4]],Table15[[#This Row],[Column4]]="",H410*(1+Table15[[#This Row],[Ávöxtun]]))</f>
        <v>108.27809300000001</v>
      </c>
      <c r="I411" s="30" cm="1">
        <f t="array" ref="I411">_xlfn.IFS(Table15[[#This Row],[Column4]]="NEW",_xlfn.XLOOKUP(Table15[[#This Row],[Year]]-1,$N$2:$N$27,$P$2:$P$27)*(1+Table15[[#This Row],[Ávöxtun]]),ISNUMBER(Table15[[#This Row],[Column4]]),Table15[[#This Row],[Column4]],Table15[[#This Row],[Column4]]="",I410*(1+Table15[[#This Row],[Ávöxtun]]))</f>
        <v>108.27809300000001</v>
      </c>
      <c r="L411" s="33">
        <v>108.27809300000001</v>
      </c>
      <c r="M411" s="33">
        <v>108.27809300000001</v>
      </c>
    </row>
    <row r="412" spans="1:13">
      <c r="A412" t="s">
        <v>108</v>
      </c>
      <c r="B412">
        <v>2003</v>
      </c>
      <c r="C412" s="16">
        <v>0.11</v>
      </c>
      <c r="D412" s="1">
        <v>12715172.34</v>
      </c>
      <c r="E412" s="29">
        <f>Table15[[#This Row],[Ávöxtun]]*Table15[[#This Row],[Eignir]]/SUMIFS(Table15[Eignir],Table15[Year],Table15[[#This Row],[Year]])</f>
        <v>1.8406169182101084E-3</v>
      </c>
      <c r="F412" s="23">
        <f>IF(B412=1997, 100, IF(COUNTIF(A$1:A411,A412)=0, "NEW", F411*(1+Table15[[#This Row],[Ávöxtun]])))</f>
        <v>120.18868323000002</v>
      </c>
      <c r="G412" s="18" cm="1">
        <f t="array" ref="G412">IFERROR(_xlfn.IFS(ISNUMBER(Table15[[#This Row],[Column3]]),Table15[[#This Row],[Column3]],Table15[[#This Row],[Column3]]="NEW",Table15[[#This Row],[Column3]]),"")</f>
        <v>120.18868323000002</v>
      </c>
      <c r="H412" s="15" cm="1">
        <f t="array" ref="H412">_xlfn.IFS(Table15[[#This Row],[Column4]]="NEW",AVERAGEIFS(Table15[Column4],Table15[Year],Table15[[#This Row],[Year]]),ISNUMBER(Table15[[#This Row],[Column4]]),Table15[[#This Row],[Column4]],Table15[[#This Row],[Column4]]="",H411*(1+Table15[[#This Row],[Ávöxtun]]))</f>
        <v>120.18868323000002</v>
      </c>
      <c r="I412" s="30" cm="1">
        <f t="array" ref="I412">_xlfn.IFS(Table15[[#This Row],[Column4]]="NEW",_xlfn.XLOOKUP(Table15[[#This Row],[Year]]-1,$N$2:$N$27,$P$2:$P$27)*(1+Table15[[#This Row],[Ávöxtun]]),ISNUMBER(Table15[[#This Row],[Column4]]),Table15[[#This Row],[Column4]],Table15[[#This Row],[Column4]]="",I411*(1+Table15[[#This Row],[Ávöxtun]]))</f>
        <v>120.18868323000002</v>
      </c>
      <c r="L412" s="33">
        <v>120.18868323000002</v>
      </c>
      <c r="M412" s="33">
        <v>120.18868323000002</v>
      </c>
    </row>
    <row r="413" spans="1:13">
      <c r="A413" t="s">
        <v>108</v>
      </c>
      <c r="B413">
        <v>2004</v>
      </c>
      <c r="C413" s="16">
        <v>7.0000000000000007E-2</v>
      </c>
      <c r="D413" s="1">
        <v>13908412.609999999</v>
      </c>
      <c r="E413" s="29">
        <f>Table15[[#This Row],[Ávöxtun]]*Table15[[#This Row],[Eignir]]/SUMIFS(Table15[Eignir],Table15[Year],Table15[[#This Row],[Year]])</f>
        <v>1.0726237804045632E-3</v>
      </c>
      <c r="F413" s="23">
        <f>IF(B413=1997, 100, IF(COUNTIF(A$1:A412,A413)=0, "NEW", F412*(1+Table15[[#This Row],[Ávöxtun]])))</f>
        <v>128.60189105610004</v>
      </c>
      <c r="G413" s="18" cm="1">
        <f t="array" ref="G413">IFERROR(_xlfn.IFS(ISNUMBER(Table15[[#This Row],[Column3]]),Table15[[#This Row],[Column3]],Table15[[#This Row],[Column3]]="NEW",Table15[[#This Row],[Column3]]),"")</f>
        <v>128.60189105610004</v>
      </c>
      <c r="H413" s="15" cm="1">
        <f t="array" ref="H413">_xlfn.IFS(Table15[[#This Row],[Column4]]="NEW",AVERAGEIFS(Table15[Column4],Table15[Year],Table15[[#This Row],[Year]]),ISNUMBER(Table15[[#This Row],[Column4]]),Table15[[#This Row],[Column4]],Table15[[#This Row],[Column4]]="",H412*(1+Table15[[#This Row],[Ávöxtun]]))</f>
        <v>128.60189105610004</v>
      </c>
      <c r="I413" s="30" cm="1">
        <f t="array" ref="I413">_xlfn.IFS(Table15[[#This Row],[Column4]]="NEW",_xlfn.XLOOKUP(Table15[[#This Row],[Year]]-1,$N$2:$N$27,$P$2:$P$27)*(1+Table15[[#This Row],[Ávöxtun]]),ISNUMBER(Table15[[#This Row],[Column4]]),Table15[[#This Row],[Column4]],Table15[[#This Row],[Column4]]="",I412*(1+Table15[[#This Row],[Ávöxtun]]))</f>
        <v>128.60189105610004</v>
      </c>
      <c r="L413" s="33">
        <v>128.60189105610004</v>
      </c>
      <c r="M413" s="33">
        <v>128.60189105610004</v>
      </c>
    </row>
    <row r="414" spans="1:13">
      <c r="A414" t="s">
        <v>108</v>
      </c>
      <c r="B414">
        <v>2005</v>
      </c>
      <c r="C414" s="16">
        <v>0.08</v>
      </c>
      <c r="D414" s="1">
        <v>18283265</v>
      </c>
      <c r="E414" s="29">
        <f>Table15[[#This Row],[Ávöxtun]]*Table15[[#This Row],[Eignir]]/SUMIFS(Table15[Eignir],Table15[Year],Table15[[#This Row],[Year]])</f>
        <v>1.3043895220146702E-3</v>
      </c>
      <c r="F414" s="23">
        <f>IF(B414=1997, 100, IF(COUNTIF(A$1:A413,A414)=0, "NEW", F413*(1+Table15[[#This Row],[Ávöxtun]])))</f>
        <v>138.89004234058805</v>
      </c>
      <c r="G414" s="18" cm="1">
        <f t="array" ref="G414">IFERROR(_xlfn.IFS(ISNUMBER(Table15[[#This Row],[Column3]]),Table15[[#This Row],[Column3]],Table15[[#This Row],[Column3]]="NEW",Table15[[#This Row],[Column3]]),"")</f>
        <v>138.89004234058805</v>
      </c>
      <c r="H414" s="15" cm="1">
        <f t="array" ref="H414">_xlfn.IFS(Table15[[#This Row],[Column4]]="NEW",AVERAGEIFS(Table15[Column4],Table15[Year],Table15[[#This Row],[Year]]),ISNUMBER(Table15[[#This Row],[Column4]]),Table15[[#This Row],[Column4]],Table15[[#This Row],[Column4]]="",H413*(1+Table15[[#This Row],[Ávöxtun]]))</f>
        <v>138.89004234058805</v>
      </c>
      <c r="I414" s="30" cm="1">
        <f t="array" ref="I414">_xlfn.IFS(Table15[[#This Row],[Column4]]="NEW",_xlfn.XLOOKUP(Table15[[#This Row],[Year]]-1,$N$2:$N$27,$P$2:$P$27)*(1+Table15[[#This Row],[Ávöxtun]]),ISNUMBER(Table15[[#This Row],[Column4]]),Table15[[#This Row],[Column4]],Table15[[#This Row],[Column4]]="",I413*(1+Table15[[#This Row],[Ávöxtun]]))</f>
        <v>138.89004234058805</v>
      </c>
      <c r="L414" s="33">
        <v>138.89004234058805</v>
      </c>
      <c r="M414" s="33">
        <v>138.89004234058805</v>
      </c>
    </row>
    <row r="415" spans="1:13">
      <c r="A415" t="s">
        <v>108</v>
      </c>
      <c r="B415">
        <v>2006</v>
      </c>
      <c r="C415" s="16">
        <v>8.6400000000000005E-2</v>
      </c>
      <c r="D415" s="1">
        <v>20946933</v>
      </c>
      <c r="E415" s="29">
        <f>Table15[[#This Row],[Ávöxtun]]*Table15[[#This Row],[Eignir]]/SUMIFS(Table15[Eignir],Table15[Year],Table15[[#This Row],[Year]])</f>
        <v>1.3184578777838587E-3</v>
      </c>
      <c r="F415" s="23">
        <f>IF(B415=1997, 100, IF(COUNTIF(A$1:A414,A415)=0, "NEW", F414*(1+Table15[[#This Row],[Ávöxtun]])))</f>
        <v>150.89014199881487</v>
      </c>
      <c r="G415" s="18" cm="1">
        <f t="array" ref="G415">IFERROR(_xlfn.IFS(ISNUMBER(Table15[[#This Row],[Column3]]),Table15[[#This Row],[Column3]],Table15[[#This Row],[Column3]]="NEW",Table15[[#This Row],[Column3]]),"")</f>
        <v>150.89014199881487</v>
      </c>
      <c r="H415" s="15" cm="1">
        <f t="array" ref="H415">_xlfn.IFS(Table15[[#This Row],[Column4]]="NEW",AVERAGEIFS(Table15[Column4],Table15[Year],Table15[[#This Row],[Year]]),ISNUMBER(Table15[[#This Row],[Column4]]),Table15[[#This Row],[Column4]],Table15[[#This Row],[Column4]]="",H414*(1+Table15[[#This Row],[Ávöxtun]]))</f>
        <v>150.89014199881487</v>
      </c>
      <c r="I415" s="30" cm="1">
        <f t="array" ref="I415">_xlfn.IFS(Table15[[#This Row],[Column4]]="NEW",_xlfn.XLOOKUP(Table15[[#This Row],[Year]]-1,$N$2:$N$27,$P$2:$P$27)*(1+Table15[[#This Row],[Ávöxtun]]),ISNUMBER(Table15[[#This Row],[Column4]]),Table15[[#This Row],[Column4]],Table15[[#This Row],[Column4]]="",I414*(1+Table15[[#This Row],[Ávöxtun]]))</f>
        <v>150.89014199881487</v>
      </c>
      <c r="L415" s="33">
        <v>150.89014199881487</v>
      </c>
      <c r="M415" s="33">
        <v>150.89014199881487</v>
      </c>
    </row>
    <row r="416" spans="1:13">
      <c r="A416" t="s">
        <v>108</v>
      </c>
      <c r="B416">
        <v>2007</v>
      </c>
      <c r="C416" s="16">
        <v>-1.0700000000000001E-2</v>
      </c>
      <c r="D416" s="1">
        <v>21622728</v>
      </c>
      <c r="E416" s="29">
        <f>Table15[[#This Row],[Ávöxtun]]*Table15[[#This Row],[Eignir]]/SUMIFS(Table15[Eignir],Table15[Year],Table15[[#This Row],[Year]])</f>
        <v>-1.4961329038077928E-4</v>
      </c>
      <c r="F416" s="23">
        <f>IF(B416=1997, 100, IF(COUNTIF(A$1:A415,A416)=0, "NEW", F415*(1+Table15[[#This Row],[Ávöxtun]])))</f>
        <v>149.27561747942755</v>
      </c>
      <c r="G416" s="18" cm="1">
        <f t="array" ref="G416">IFERROR(_xlfn.IFS(ISNUMBER(Table15[[#This Row],[Column3]]),Table15[[#This Row],[Column3]],Table15[[#This Row],[Column3]]="NEW",Table15[[#This Row],[Column3]]),"")</f>
        <v>149.27561747942755</v>
      </c>
      <c r="H416" s="15" cm="1">
        <f t="array" ref="H416">_xlfn.IFS(Table15[[#This Row],[Column4]]="NEW",AVERAGEIFS(Table15[Column4],Table15[Year],Table15[[#This Row],[Year]]),ISNUMBER(Table15[[#This Row],[Column4]]),Table15[[#This Row],[Column4]],Table15[[#This Row],[Column4]]="",H415*(1+Table15[[#This Row],[Ávöxtun]]))</f>
        <v>149.27561747942755</v>
      </c>
      <c r="I416" s="30" cm="1">
        <f t="array" ref="I416">_xlfn.IFS(Table15[[#This Row],[Column4]]="NEW",_xlfn.XLOOKUP(Table15[[#This Row],[Year]]-1,$N$2:$N$27,$P$2:$P$27)*(1+Table15[[#This Row],[Ávöxtun]]),ISNUMBER(Table15[[#This Row],[Column4]]),Table15[[#This Row],[Column4]],Table15[[#This Row],[Column4]]="",I415*(1+Table15[[#This Row],[Ávöxtun]]))</f>
        <v>149.27561747942755</v>
      </c>
      <c r="L416" s="33">
        <v>149.27561747942755</v>
      </c>
      <c r="M416" s="33">
        <v>149.27561747942755</v>
      </c>
    </row>
    <row r="417" spans="1:13">
      <c r="A417" t="s">
        <v>108</v>
      </c>
      <c r="B417">
        <v>2008</v>
      </c>
      <c r="C417" s="16">
        <v>-0.17929999999999999</v>
      </c>
      <c r="D417" s="1">
        <v>20892652</v>
      </c>
      <c r="E417" s="29">
        <f>Table15[[#This Row],[Ávöxtun]]*Table15[[#This Row],[Eignir]]/SUMIFS(Table15[Eignir],Table15[Year],Table15[[#This Row],[Year]])</f>
        <v>-2.5018417923116502E-3</v>
      </c>
      <c r="F417" s="23">
        <f>IF(B417=1997, 100, IF(COUNTIF(A$1:A416,A417)=0, "NEW", F416*(1+Table15[[#This Row],[Ávöxtun]])))</f>
        <v>122.51049926536619</v>
      </c>
      <c r="G417" s="18" cm="1">
        <f t="array" ref="G417">IFERROR(_xlfn.IFS(ISNUMBER(Table15[[#This Row],[Column3]]),Table15[[#This Row],[Column3]],Table15[[#This Row],[Column3]]="NEW",Table15[[#This Row],[Column3]]),"")</f>
        <v>122.51049926536619</v>
      </c>
      <c r="H417" s="15" cm="1">
        <f t="array" ref="H417">_xlfn.IFS(Table15[[#This Row],[Column4]]="NEW",AVERAGEIFS(Table15[Column4],Table15[Year],Table15[[#This Row],[Year]]),ISNUMBER(Table15[[#This Row],[Column4]]),Table15[[#This Row],[Column4]],Table15[[#This Row],[Column4]]="",H416*(1+Table15[[#This Row],[Ávöxtun]]))</f>
        <v>122.51049926536619</v>
      </c>
      <c r="I417" s="30" cm="1">
        <f t="array" ref="I417">_xlfn.IFS(Table15[[#This Row],[Column4]]="NEW",_xlfn.XLOOKUP(Table15[[#This Row],[Year]]-1,$N$2:$N$27,$P$2:$P$27)*(1+Table15[[#This Row],[Ávöxtun]]),ISNUMBER(Table15[[#This Row],[Column4]]),Table15[[#This Row],[Column4]],Table15[[#This Row],[Column4]]="",I416*(1+Table15[[#This Row],[Ávöxtun]]))</f>
        <v>122.51049926536619</v>
      </c>
      <c r="L417" s="33">
        <v>122.51049926536619</v>
      </c>
      <c r="M417" s="33">
        <v>122.51049926536619</v>
      </c>
    </row>
    <row r="418" spans="1:13">
      <c r="A418" t="s">
        <v>108</v>
      </c>
      <c r="B418">
        <v>2009</v>
      </c>
      <c r="C418" s="16">
        <v>5.6999999999999993E-3</v>
      </c>
      <c r="D418" s="1">
        <v>22181072</v>
      </c>
      <c r="E418" s="29">
        <f>Table15[[#This Row],[Ávöxtun]]*Table15[[#This Row],[Eignir]]/SUMIFS(Table15[Eignir],Table15[Year],Table15[[#This Row],[Year]])</f>
        <v>7.5786888685131868E-5</v>
      </c>
      <c r="F418" s="23">
        <f>IF(B418=1997, 100, IF(COUNTIF(A$1:A417,A418)=0, "NEW", F417*(1+Table15[[#This Row],[Ávöxtun]])))</f>
        <v>123.20880911117878</v>
      </c>
      <c r="G418" s="18" cm="1">
        <f t="array" ref="G418">IFERROR(_xlfn.IFS(ISNUMBER(Table15[[#This Row],[Column3]]),Table15[[#This Row],[Column3]],Table15[[#This Row],[Column3]]="NEW",Table15[[#This Row],[Column3]]),"")</f>
        <v>123.20880911117878</v>
      </c>
      <c r="H418" s="15" cm="1">
        <f t="array" ref="H418">_xlfn.IFS(Table15[[#This Row],[Column4]]="NEW",AVERAGEIFS(Table15[Column4],Table15[Year],Table15[[#This Row],[Year]]),ISNUMBER(Table15[[#This Row],[Column4]]),Table15[[#This Row],[Column4]],Table15[[#This Row],[Column4]]="",H417*(1+Table15[[#This Row],[Ávöxtun]]))</f>
        <v>123.20880911117878</v>
      </c>
      <c r="I418" s="30" cm="1">
        <f t="array" ref="I418">_xlfn.IFS(Table15[[#This Row],[Column4]]="NEW",_xlfn.XLOOKUP(Table15[[#This Row],[Year]]-1,$N$2:$N$27,$P$2:$P$27)*(1+Table15[[#This Row],[Ávöxtun]]),ISNUMBER(Table15[[#This Row],[Column4]]),Table15[[#This Row],[Column4]],Table15[[#This Row],[Column4]]="",I417*(1+Table15[[#This Row],[Ávöxtun]]))</f>
        <v>123.20880911117878</v>
      </c>
      <c r="L418" s="33">
        <v>123.20880911117878</v>
      </c>
      <c r="M418" s="33">
        <v>123.20880911117878</v>
      </c>
    </row>
    <row r="419" spans="1:13">
      <c r="A419" t="s">
        <v>108</v>
      </c>
      <c r="B419">
        <v>2010</v>
      </c>
      <c r="C419" s="16">
        <v>4.1200000000000001E-2</v>
      </c>
      <c r="D419" s="1">
        <v>22721934</v>
      </c>
      <c r="E419" s="29">
        <f>Table15[[#This Row],[Ávöxtun]]*Table15[[#This Row],[Eignir]]/SUMIFS(Table15[Eignir],Table15[Year],Table15[[#This Row],[Year]])</f>
        <v>5.2363279950131899E-4</v>
      </c>
      <c r="F419" s="23">
        <f>IF(B419=1997, 100, IF(COUNTIF(A$1:A418,A419)=0, "NEW", F418*(1+Table15[[#This Row],[Ávöxtun]])))</f>
        <v>128.28501204655933</v>
      </c>
      <c r="G419" s="18" cm="1">
        <f t="array" ref="G419">IFERROR(_xlfn.IFS(ISNUMBER(Table15[[#This Row],[Column3]]),Table15[[#This Row],[Column3]],Table15[[#This Row],[Column3]]="NEW",Table15[[#This Row],[Column3]]),"")</f>
        <v>128.28501204655933</v>
      </c>
      <c r="H419" s="15" cm="1">
        <f t="array" ref="H419">_xlfn.IFS(Table15[[#This Row],[Column4]]="NEW",AVERAGEIFS(Table15[Column4],Table15[Year],Table15[[#This Row],[Year]]),ISNUMBER(Table15[[#This Row],[Column4]]),Table15[[#This Row],[Column4]],Table15[[#This Row],[Column4]]="",H418*(1+Table15[[#This Row],[Ávöxtun]]))</f>
        <v>128.28501204655933</v>
      </c>
      <c r="I419" s="30" cm="1">
        <f t="array" ref="I419">_xlfn.IFS(Table15[[#This Row],[Column4]]="NEW",_xlfn.XLOOKUP(Table15[[#This Row],[Year]]-1,$N$2:$N$27,$P$2:$P$27)*(1+Table15[[#This Row],[Ávöxtun]]),ISNUMBER(Table15[[#This Row],[Column4]]),Table15[[#This Row],[Column4]],Table15[[#This Row],[Column4]]="",I418*(1+Table15[[#This Row],[Ávöxtun]]))</f>
        <v>128.28501204655933</v>
      </c>
      <c r="L419" s="33">
        <v>128.28501204655933</v>
      </c>
      <c r="M419" s="33">
        <v>128.28501204655933</v>
      </c>
    </row>
    <row r="420" spans="1:13">
      <c r="A420" t="s">
        <v>108</v>
      </c>
      <c r="B420">
        <v>2011</v>
      </c>
      <c r="C420" s="16">
        <v>2.8999999999999998E-2</v>
      </c>
      <c r="D420" s="1">
        <v>24009123</v>
      </c>
      <c r="E420" s="29">
        <f>Table15[[#This Row],[Ávöxtun]]*Table15[[#This Row],[Eignir]]/SUMIFS(Table15[Eignir],Table15[Year],Table15[[#This Row],[Year]])</f>
        <v>3.569564544455951E-4</v>
      </c>
      <c r="F420" s="23">
        <f>IF(B420=1997, 100, IF(COUNTIF(A$1:A419,A420)=0, "NEW", F419*(1+Table15[[#This Row],[Ávöxtun]])))</f>
        <v>132.00527739590953</v>
      </c>
      <c r="G420" s="18" cm="1">
        <f t="array" ref="G420">IFERROR(_xlfn.IFS(ISNUMBER(Table15[[#This Row],[Column3]]),Table15[[#This Row],[Column3]],Table15[[#This Row],[Column3]]="NEW",Table15[[#This Row],[Column3]]),"")</f>
        <v>132.00527739590953</v>
      </c>
      <c r="H420" s="15" cm="1">
        <f t="array" ref="H420">_xlfn.IFS(Table15[[#This Row],[Column4]]="NEW",AVERAGEIFS(Table15[Column4],Table15[Year],Table15[[#This Row],[Year]]),ISNUMBER(Table15[[#This Row],[Column4]]),Table15[[#This Row],[Column4]],Table15[[#This Row],[Column4]]="",H419*(1+Table15[[#This Row],[Ávöxtun]]))</f>
        <v>132.00527739590953</v>
      </c>
      <c r="I420" s="30" cm="1">
        <f t="array" ref="I420">_xlfn.IFS(Table15[[#This Row],[Column4]]="NEW",_xlfn.XLOOKUP(Table15[[#This Row],[Year]]-1,$N$2:$N$27,$P$2:$P$27)*(1+Table15[[#This Row],[Ávöxtun]]),ISNUMBER(Table15[[#This Row],[Column4]]),Table15[[#This Row],[Column4]],Table15[[#This Row],[Column4]]="",I419*(1+Table15[[#This Row],[Ávöxtun]]))</f>
        <v>132.00527739590953</v>
      </c>
      <c r="L420" s="33">
        <v>132.00527739590953</v>
      </c>
      <c r="M420" s="33">
        <v>132.00527739590953</v>
      </c>
    </row>
    <row r="421" spans="1:13">
      <c r="A421" t="s">
        <v>108</v>
      </c>
      <c r="B421">
        <v>2012</v>
      </c>
      <c r="C421" s="16">
        <v>5.5E-2</v>
      </c>
      <c r="D421" s="1">
        <v>25655912</v>
      </c>
      <c r="E421" s="29">
        <f>Table15[[#This Row],[Ávöxtun]]*Table15[[#This Row],[Eignir]]/SUMIFS(Table15[Eignir],Table15[Year],Table15[[#This Row],[Year]])</f>
        <v>6.4057000739369528E-4</v>
      </c>
      <c r="F421" s="23">
        <f>IF(B421=1997, 100, IF(COUNTIF(A$1:A420,A421)=0, "NEW", F420*(1+Table15[[#This Row],[Ávöxtun]])))</f>
        <v>139.26556765268455</v>
      </c>
      <c r="G421" s="18" cm="1">
        <f t="array" ref="G421">IFERROR(_xlfn.IFS(ISNUMBER(Table15[[#This Row],[Column3]]),Table15[[#This Row],[Column3]],Table15[[#This Row],[Column3]]="NEW",Table15[[#This Row],[Column3]]),"")</f>
        <v>139.26556765268455</v>
      </c>
      <c r="H421" s="15" cm="1">
        <f t="array" ref="H421">_xlfn.IFS(Table15[[#This Row],[Column4]]="NEW",AVERAGEIFS(Table15[Column4],Table15[Year],Table15[[#This Row],[Year]]),ISNUMBER(Table15[[#This Row],[Column4]]),Table15[[#This Row],[Column4]],Table15[[#This Row],[Column4]]="",H420*(1+Table15[[#This Row],[Ávöxtun]]))</f>
        <v>139.26556765268455</v>
      </c>
      <c r="I421" s="30" cm="1">
        <f t="array" ref="I421">_xlfn.IFS(Table15[[#This Row],[Column4]]="NEW",_xlfn.XLOOKUP(Table15[[#This Row],[Year]]-1,$N$2:$N$27,$P$2:$P$27)*(1+Table15[[#This Row],[Ávöxtun]]),ISNUMBER(Table15[[#This Row],[Column4]]),Table15[[#This Row],[Column4]],Table15[[#This Row],[Column4]]="",I420*(1+Table15[[#This Row],[Ávöxtun]]))</f>
        <v>139.26556765268455</v>
      </c>
      <c r="L421" s="33">
        <v>139.26556765268455</v>
      </c>
      <c r="M421" s="33">
        <v>139.26556765268455</v>
      </c>
    </row>
    <row r="422" spans="1:13">
      <c r="A422" t="s">
        <v>108</v>
      </c>
      <c r="B422">
        <v>2013</v>
      </c>
      <c r="C422" s="16">
        <v>5.5999999999999994E-2</v>
      </c>
      <c r="D422" s="1">
        <v>27423658</v>
      </c>
      <c r="E422" s="29">
        <f>Table15[[#This Row],[Ávöxtun]]*Table15[[#This Row],[Eignir]]/SUMIFS(Table15[Eignir],Table15[Year],Table15[[#This Row],[Year]])</f>
        <v>6.3105595186276401E-4</v>
      </c>
      <c r="F422" s="23">
        <f>IF(B422=1997, 100, IF(COUNTIF(A$1:A421,A422)=0, "NEW", F421*(1+Table15[[#This Row],[Ávöxtun]])))</f>
        <v>147.0644394412349</v>
      </c>
      <c r="G422" s="18" cm="1">
        <f t="array" ref="G422">IFERROR(_xlfn.IFS(ISNUMBER(Table15[[#This Row],[Column3]]),Table15[[#This Row],[Column3]],Table15[[#This Row],[Column3]]="NEW",Table15[[#This Row],[Column3]]),"")</f>
        <v>147.0644394412349</v>
      </c>
      <c r="H422" s="15" cm="1">
        <f t="array" ref="H422">_xlfn.IFS(Table15[[#This Row],[Column4]]="NEW",AVERAGEIFS(Table15[Column4],Table15[Year],Table15[[#This Row],[Year]]),ISNUMBER(Table15[[#This Row],[Column4]]),Table15[[#This Row],[Column4]],Table15[[#This Row],[Column4]]="",H421*(1+Table15[[#This Row],[Ávöxtun]]))</f>
        <v>147.0644394412349</v>
      </c>
      <c r="I422" s="30" cm="1">
        <f t="array" ref="I422">_xlfn.IFS(Table15[[#This Row],[Column4]]="NEW",_xlfn.XLOOKUP(Table15[[#This Row],[Year]]-1,$N$2:$N$27,$P$2:$P$27)*(1+Table15[[#This Row],[Ávöxtun]]),ISNUMBER(Table15[[#This Row],[Column4]]),Table15[[#This Row],[Column4]],Table15[[#This Row],[Column4]]="",I421*(1+Table15[[#This Row],[Ávöxtun]]))</f>
        <v>147.0644394412349</v>
      </c>
      <c r="L422" s="33">
        <v>147.0644394412349</v>
      </c>
      <c r="M422" s="33">
        <v>147.0644394412349</v>
      </c>
    </row>
    <row r="423" spans="1:13">
      <c r="A423" t="s">
        <v>108</v>
      </c>
      <c r="B423">
        <v>2014</v>
      </c>
      <c r="C423" s="16">
        <v>5.4000000000000006E-2</v>
      </c>
      <c r="D423" s="1">
        <v>28477814</v>
      </c>
      <c r="E423" s="29">
        <f>Table15[[#This Row],[Ávöxtun]]*Table15[[#This Row],[Eignir]]/SUMIFS(Table15[Eignir],Table15[Year],Table15[[#This Row],[Year]])</f>
        <v>5.796423864170403E-4</v>
      </c>
      <c r="F423" s="23">
        <f>IF(B423=1997, 100, IF(COUNTIF(A$1:A422,A423)=0, "NEW", F422*(1+Table15[[#This Row],[Ávöxtun]])))</f>
        <v>155.00591917106158</v>
      </c>
      <c r="G423" s="18" cm="1">
        <f t="array" ref="G423">IFERROR(_xlfn.IFS(ISNUMBER(Table15[[#This Row],[Column3]]),Table15[[#This Row],[Column3]],Table15[[#This Row],[Column3]]="NEW",Table15[[#This Row],[Column3]]),"")</f>
        <v>155.00591917106158</v>
      </c>
      <c r="H423" s="15" cm="1">
        <f t="array" ref="H423">_xlfn.IFS(Table15[[#This Row],[Column4]]="NEW",AVERAGEIFS(Table15[Column4],Table15[Year],Table15[[#This Row],[Year]]),ISNUMBER(Table15[[#This Row],[Column4]]),Table15[[#This Row],[Column4]],Table15[[#This Row],[Column4]]="",H422*(1+Table15[[#This Row],[Ávöxtun]]))</f>
        <v>155.00591917106158</v>
      </c>
      <c r="I423" s="30" cm="1">
        <f t="array" ref="I423">_xlfn.IFS(Table15[[#This Row],[Column4]]="NEW",_xlfn.XLOOKUP(Table15[[#This Row],[Year]]-1,$N$2:$N$27,$P$2:$P$27)*(1+Table15[[#This Row],[Ávöxtun]]),ISNUMBER(Table15[[#This Row],[Column4]]),Table15[[#This Row],[Column4]],Table15[[#This Row],[Column4]]="",I422*(1+Table15[[#This Row],[Ávöxtun]]))</f>
        <v>155.00591917106158</v>
      </c>
      <c r="L423" s="33">
        <v>155.00591917106158</v>
      </c>
      <c r="M423" s="33">
        <v>155.00591917106158</v>
      </c>
    </row>
    <row r="424" spans="1:13">
      <c r="A424" t="s">
        <v>108</v>
      </c>
      <c r="B424">
        <v>2015</v>
      </c>
      <c r="C424" s="16">
        <v>8.1000000000000003E-2</v>
      </c>
      <c r="D424" s="1">
        <v>30602975</v>
      </c>
      <c r="E424" s="29">
        <f>Table15[[#This Row],[Ávöxtun]]*Table15[[#This Row],[Eignir]]/SUMIFS(Table15[Eignir],Table15[Year],Table15[[#This Row],[Year]])</f>
        <v>8.3705652663890163E-4</v>
      </c>
      <c r="F424" s="23">
        <f>IF(B424=1997, 100, IF(COUNTIF(A$1:A423,A424)=0, "NEW", F423*(1+Table15[[#This Row],[Ávöxtun]])))</f>
        <v>167.56139862391757</v>
      </c>
      <c r="G424" s="18" cm="1">
        <f t="array" ref="G424">IFERROR(_xlfn.IFS(ISNUMBER(Table15[[#This Row],[Column3]]),Table15[[#This Row],[Column3]],Table15[[#This Row],[Column3]]="NEW",Table15[[#This Row],[Column3]]),"")</f>
        <v>167.56139862391757</v>
      </c>
      <c r="H424" s="15" cm="1">
        <f t="array" ref="H424">_xlfn.IFS(Table15[[#This Row],[Column4]]="NEW",AVERAGEIFS(Table15[Column4],Table15[Year],Table15[[#This Row],[Year]]),ISNUMBER(Table15[[#This Row],[Column4]]),Table15[[#This Row],[Column4]],Table15[[#This Row],[Column4]]="",H423*(1+Table15[[#This Row],[Ávöxtun]]))</f>
        <v>167.56139862391757</v>
      </c>
      <c r="I424" s="30" cm="1">
        <f t="array" ref="I424">_xlfn.IFS(Table15[[#This Row],[Column4]]="NEW",_xlfn.XLOOKUP(Table15[[#This Row],[Year]]-1,$N$2:$N$27,$P$2:$P$27)*(1+Table15[[#This Row],[Ávöxtun]]),ISNUMBER(Table15[[#This Row],[Column4]]),Table15[[#This Row],[Column4]],Table15[[#This Row],[Column4]]="",I423*(1+Table15[[#This Row],[Ávöxtun]]))</f>
        <v>167.56139862391757</v>
      </c>
      <c r="L424" s="33">
        <v>167.56139862391757</v>
      </c>
      <c r="M424" s="33">
        <v>167.56139862391757</v>
      </c>
    </row>
    <row r="425" spans="1:13">
      <c r="A425" t="s">
        <v>108</v>
      </c>
      <c r="B425">
        <v>2016</v>
      </c>
      <c r="C425" s="16">
        <v>-1.3000000000000001E-2</v>
      </c>
      <c r="D425" s="1">
        <v>31546397.280000001</v>
      </c>
      <c r="E425" s="29">
        <f>Table15[[#This Row],[Ávöxtun]]*Table15[[#This Row],[Eignir]]/SUMIFS(Table15[Eignir],Table15[Year],Table15[[#This Row],[Year]])</f>
        <v>-1.2815537037301307E-4</v>
      </c>
      <c r="F425" s="23">
        <f>IF(B425=1997, 100, IF(COUNTIF(A$1:A424,A425)=0, "NEW", F424*(1+Table15[[#This Row],[Ávöxtun]])))</f>
        <v>165.38310044180665</v>
      </c>
      <c r="G425" s="18" cm="1">
        <f t="array" ref="G425">IFERROR(_xlfn.IFS(ISNUMBER(Table15[[#This Row],[Column3]]),Table15[[#This Row],[Column3]],Table15[[#This Row],[Column3]]="NEW",Table15[[#This Row],[Column3]]),"")</f>
        <v>165.38310044180665</v>
      </c>
      <c r="H425" s="15" cm="1">
        <f t="array" ref="H425">_xlfn.IFS(Table15[[#This Row],[Column4]]="NEW",AVERAGEIFS(Table15[Column4],Table15[Year],Table15[[#This Row],[Year]]),ISNUMBER(Table15[[#This Row],[Column4]]),Table15[[#This Row],[Column4]],Table15[[#This Row],[Column4]]="",H424*(1+Table15[[#This Row],[Ávöxtun]]))</f>
        <v>165.38310044180665</v>
      </c>
      <c r="I425" s="30" cm="1">
        <f t="array" ref="I425">_xlfn.IFS(Table15[[#This Row],[Column4]]="NEW",_xlfn.XLOOKUP(Table15[[#This Row],[Year]]-1,$N$2:$N$27,$P$2:$P$27)*(1+Table15[[#This Row],[Ávöxtun]]),ISNUMBER(Table15[[#This Row],[Column4]]),Table15[[#This Row],[Column4]],Table15[[#This Row],[Column4]]="",I424*(1+Table15[[#This Row],[Ávöxtun]]))</f>
        <v>165.38310044180665</v>
      </c>
      <c r="L425" s="33">
        <v>165.38310044180665</v>
      </c>
      <c r="M425" s="33">
        <v>165.38310044180665</v>
      </c>
    </row>
    <row r="426" spans="1:13">
      <c r="A426" t="s">
        <v>108</v>
      </c>
      <c r="B426">
        <v>2017</v>
      </c>
      <c r="C426" s="16">
        <v>5.9000000000000004E-2</v>
      </c>
      <c r="D426" s="1">
        <v>33175562</v>
      </c>
      <c r="E426" s="29">
        <f>Table15[[#This Row],[Ávöxtun]]*Table15[[#This Row],[Eignir]]/SUMIFS(Table15[Eignir],Table15[Year],Table15[[#This Row],[Year]])</f>
        <v>5.4995081542328717E-4</v>
      </c>
      <c r="F426" s="23">
        <f>IF(B426=1997, 100, IF(COUNTIF(A$1:A425,A426)=0, "NEW", F425*(1+Table15[[#This Row],[Ávöxtun]])))</f>
        <v>175.14070336787324</v>
      </c>
      <c r="G426" s="18" cm="1">
        <f t="array" ref="G426">IFERROR(_xlfn.IFS(ISNUMBER(Table15[[#This Row],[Column3]]),Table15[[#This Row],[Column3]],Table15[[#This Row],[Column3]]="NEW",Table15[[#This Row],[Column3]]),"")</f>
        <v>175.14070336787324</v>
      </c>
      <c r="H426" s="15" cm="1">
        <f t="array" ref="H426">_xlfn.IFS(Table15[[#This Row],[Column4]]="NEW",AVERAGEIFS(Table15[Column4],Table15[Year],Table15[[#This Row],[Year]]),ISNUMBER(Table15[[#This Row],[Column4]]),Table15[[#This Row],[Column4]],Table15[[#This Row],[Column4]]="",H425*(1+Table15[[#This Row],[Ávöxtun]]))</f>
        <v>175.14070336787324</v>
      </c>
      <c r="I426" s="30" cm="1">
        <f t="array" ref="I426">_xlfn.IFS(Table15[[#This Row],[Column4]]="NEW",_xlfn.XLOOKUP(Table15[[#This Row],[Year]]-1,$N$2:$N$27,$P$2:$P$27)*(1+Table15[[#This Row],[Ávöxtun]]),ISNUMBER(Table15[[#This Row],[Column4]]),Table15[[#This Row],[Column4]],Table15[[#This Row],[Column4]]="",I425*(1+Table15[[#This Row],[Ávöxtun]]))</f>
        <v>175.14070336787324</v>
      </c>
      <c r="L426" s="33">
        <v>175.14070336787324</v>
      </c>
      <c r="M426" s="33">
        <v>175.14070336787324</v>
      </c>
    </row>
    <row r="427" spans="1:13">
      <c r="A427" t="s">
        <v>108</v>
      </c>
      <c r="B427">
        <v>2018</v>
      </c>
      <c r="C427" s="16">
        <v>1.7000000000000001E-2</v>
      </c>
      <c r="D427" s="1">
        <v>34000227</v>
      </c>
      <c r="E427" s="29">
        <f>Table15[[#This Row],[Ávöxtun]]*Table15[[#This Row],[Eignir]]/SUMIFS(Table15[Eignir],Table15[Year],Table15[[#This Row],[Year]])</f>
        <v>1.5137654771960206E-4</v>
      </c>
      <c r="F427" s="23">
        <f>IF(B427=1997, 100, IF(COUNTIF(A$1:A426,A427)=0, "NEW", F426*(1+Table15[[#This Row],[Ávöxtun]])))</f>
        <v>178.11809532512706</v>
      </c>
      <c r="G427" s="18" cm="1">
        <f t="array" ref="G427">IFERROR(_xlfn.IFS(ISNUMBER(Table15[[#This Row],[Column3]]),Table15[[#This Row],[Column3]],Table15[[#This Row],[Column3]]="NEW",Table15[[#This Row],[Column3]]),"")</f>
        <v>178.11809532512706</v>
      </c>
      <c r="H427" s="15" cm="1">
        <f t="array" ref="H427">_xlfn.IFS(Table15[[#This Row],[Column4]]="NEW",AVERAGEIFS(Table15[Column4],Table15[Year],Table15[[#This Row],[Year]]),ISNUMBER(Table15[[#This Row],[Column4]]),Table15[[#This Row],[Column4]],Table15[[#This Row],[Column4]]="",H426*(1+Table15[[#This Row],[Ávöxtun]]))</f>
        <v>178.11809532512706</v>
      </c>
      <c r="I427" s="30" cm="1">
        <f t="array" ref="I427">_xlfn.IFS(Table15[[#This Row],[Column4]]="NEW",_xlfn.XLOOKUP(Table15[[#This Row],[Year]]-1,$N$2:$N$27,$P$2:$P$27)*(1+Table15[[#This Row],[Ávöxtun]]),ISNUMBER(Table15[[#This Row],[Column4]]),Table15[[#This Row],[Column4]],Table15[[#This Row],[Column4]]="",I426*(1+Table15[[#This Row],[Ávöxtun]]))</f>
        <v>178.11809532512706</v>
      </c>
      <c r="L427" s="33">
        <v>178.11809532512706</v>
      </c>
      <c r="M427" s="33">
        <v>178.11809532512706</v>
      </c>
    </row>
    <row r="428" spans="1:13">
      <c r="A428" t="s">
        <v>108</v>
      </c>
      <c r="B428">
        <v>2019</v>
      </c>
      <c r="C428" s="16">
        <v>9.6000000000000002E-2</v>
      </c>
      <c r="D428" s="1">
        <v>37262560.93</v>
      </c>
      <c r="E428" s="29">
        <f>Table15[[#This Row],[Ávöxtun]]*Table15[[#This Row],[Eignir]]/SUMIFS(Table15[Eignir],Table15[Year],Table15[[#This Row],[Year]])</f>
        <v>8.0806495554212204E-4</v>
      </c>
      <c r="F428" s="23">
        <f>IF(B428=1997, 100, IF(COUNTIF(A$1:A427,A428)=0, "NEW", F427*(1+Table15[[#This Row],[Ávöxtun]])))</f>
        <v>195.21743247633927</v>
      </c>
      <c r="G428" s="18" cm="1">
        <f t="array" ref="G428">IFERROR(_xlfn.IFS(ISNUMBER(Table15[[#This Row],[Column3]]),Table15[[#This Row],[Column3]],Table15[[#This Row],[Column3]]="NEW",Table15[[#This Row],[Column3]]),"")</f>
        <v>195.21743247633927</v>
      </c>
      <c r="H428" s="15" cm="1">
        <f t="array" ref="H428">_xlfn.IFS(Table15[[#This Row],[Column4]]="NEW",AVERAGEIFS(Table15[Column4],Table15[Year],Table15[[#This Row],[Year]]),ISNUMBER(Table15[[#This Row],[Column4]]),Table15[[#This Row],[Column4]],Table15[[#This Row],[Column4]]="",H427*(1+Table15[[#This Row],[Ávöxtun]]))</f>
        <v>195.21743247633927</v>
      </c>
      <c r="I428" s="30" cm="1">
        <f t="array" ref="I428">_xlfn.IFS(Table15[[#This Row],[Column4]]="NEW",_xlfn.XLOOKUP(Table15[[#This Row],[Year]]-1,$N$2:$N$27,$P$2:$P$27)*(1+Table15[[#This Row],[Ávöxtun]]),ISNUMBER(Table15[[#This Row],[Column4]]),Table15[[#This Row],[Column4]],Table15[[#This Row],[Column4]]="",I427*(1+Table15[[#This Row],[Ávöxtun]]))</f>
        <v>195.21743247633927</v>
      </c>
      <c r="L428" s="33">
        <v>195.21743247633927</v>
      </c>
      <c r="M428" s="33">
        <v>195.21743247633927</v>
      </c>
    </row>
    <row r="429" spans="1:13">
      <c r="A429" t="s">
        <v>108</v>
      </c>
      <c r="B429">
        <v>2020</v>
      </c>
      <c r="C429" s="16">
        <v>8.3000000000000004E-2</v>
      </c>
      <c r="D429" s="1">
        <v>40402301.890000001</v>
      </c>
      <c r="E429" s="29">
        <f>Table15[[#This Row],[Ávöxtun]]*Table15[[#This Row],[Eignir]]/SUMIFS(Table15[Eignir],Table15[Year],Table15[[#This Row],[Year]])</f>
        <v>6.5284082242094506E-4</v>
      </c>
      <c r="F429" s="23">
        <f>IF(B429=1997, 100, IF(COUNTIF(A$1:A428,A429)=0, "NEW", F428*(1+Table15[[#This Row],[Ávöxtun]])))</f>
        <v>211.42047937187542</v>
      </c>
      <c r="G429" s="18" cm="1">
        <f t="array" ref="G429">IFERROR(_xlfn.IFS(ISNUMBER(Table15[[#This Row],[Column3]]),Table15[[#This Row],[Column3]],Table15[[#This Row],[Column3]]="NEW",Table15[[#This Row],[Column3]]),"")</f>
        <v>211.42047937187542</v>
      </c>
      <c r="H429" s="15" cm="1">
        <f t="array" ref="H429">_xlfn.IFS(Table15[[#This Row],[Column4]]="NEW",AVERAGEIFS(Table15[Column4],Table15[Year],Table15[[#This Row],[Year]]),ISNUMBER(Table15[[#This Row],[Column4]]),Table15[[#This Row],[Column4]],Table15[[#This Row],[Column4]]="",H428*(1+Table15[[#This Row],[Ávöxtun]]))</f>
        <v>211.42047937187542</v>
      </c>
      <c r="I429" s="30" cm="1">
        <f t="array" ref="I429">_xlfn.IFS(Table15[[#This Row],[Column4]]="NEW",_xlfn.XLOOKUP(Table15[[#This Row],[Year]]-1,$N$2:$N$27,$P$2:$P$27)*(1+Table15[[#This Row],[Ávöxtun]]),ISNUMBER(Table15[[#This Row],[Column4]]),Table15[[#This Row],[Column4]],Table15[[#This Row],[Column4]]="",I428*(1+Table15[[#This Row],[Ávöxtun]]))</f>
        <v>211.42047937187542</v>
      </c>
      <c r="L429" s="33">
        <v>211.42047937187542</v>
      </c>
      <c r="M429" s="33">
        <v>211.42047937187542</v>
      </c>
    </row>
    <row r="430" spans="1:13">
      <c r="A430" t="s">
        <v>108</v>
      </c>
      <c r="B430">
        <v>2021</v>
      </c>
      <c r="C430" s="16">
        <v>7.9699999999999993E-2</v>
      </c>
      <c r="D430" s="1">
        <v>45136265.799999997</v>
      </c>
      <c r="E430" s="29">
        <f>Table15[[#This Row],[Ávöxtun]]*Table15[[#This Row],[Eignir]]/SUMIFS(Table15[Eignir],Table15[Year],Table15[[#This Row],[Year]])</f>
        <v>5.9563895179818628E-4</v>
      </c>
      <c r="F430" s="23">
        <f>IF(B430=1997, 100, IF(COUNTIF(A$1:A429,A430)=0, "NEW", F429*(1+Table15[[#This Row],[Ávöxtun]])))</f>
        <v>228.27069157781386</v>
      </c>
      <c r="G430" s="18" cm="1">
        <f t="array" ref="G430">IFERROR(_xlfn.IFS(ISNUMBER(Table15[[#This Row],[Column3]]),Table15[[#This Row],[Column3]],Table15[[#This Row],[Column3]]="NEW",Table15[[#This Row],[Column3]]),"")</f>
        <v>228.27069157781386</v>
      </c>
      <c r="H430" s="15" cm="1">
        <f t="array" ref="H430">_xlfn.IFS(Table15[[#This Row],[Column4]]="NEW",AVERAGEIFS(Table15[Column4],Table15[Year],Table15[[#This Row],[Year]]),ISNUMBER(Table15[[#This Row],[Column4]]),Table15[[#This Row],[Column4]],Table15[[#This Row],[Column4]]="",H429*(1+Table15[[#This Row],[Ávöxtun]]))</f>
        <v>228.27069157781386</v>
      </c>
      <c r="I430" s="30" cm="1">
        <f t="array" ref="I430">_xlfn.IFS(Table15[[#This Row],[Column4]]="NEW",_xlfn.XLOOKUP(Table15[[#This Row],[Year]]-1,$N$2:$N$27,$P$2:$P$27)*(1+Table15[[#This Row],[Ávöxtun]]),ISNUMBER(Table15[[#This Row],[Column4]]),Table15[[#This Row],[Column4]],Table15[[#This Row],[Column4]]="",I429*(1+Table15[[#This Row],[Ávöxtun]]))</f>
        <v>228.27069157781386</v>
      </c>
      <c r="L430" s="33">
        <v>228.27069157781386</v>
      </c>
      <c r="M430" s="33">
        <v>228.27069157781386</v>
      </c>
    </row>
    <row r="431" spans="1:13">
      <c r="A431" t="s">
        <v>106</v>
      </c>
      <c r="B431">
        <v>1998</v>
      </c>
      <c r="C431" s="16">
        <v>0</v>
      </c>
      <c r="D431" s="1">
        <v>14246555.289999999</v>
      </c>
      <c r="E431" s="29">
        <f>Table15[[#This Row],[Ávöxtun]]*Table15[[#This Row],[Eignir]]/SUMIFS(Table15[Eignir],Table15[Year],Table15[[#This Row],[Year]])</f>
        <v>0</v>
      </c>
      <c r="F431" s="23" t="str">
        <f>IF(B431=1997, 100, IF(COUNTIF(A$1:A430,A431)=0, "NEW", F430*(1+Table15[[#This Row],[Ávöxtun]])))</f>
        <v>NEW</v>
      </c>
      <c r="G431" s="18" t="str" cm="1">
        <f t="array" ref="G431">IFERROR(_xlfn.IFS(ISNUMBER(Table15[[#This Row],[Column3]]),Table15[[#This Row],[Column3]],Table15[[#This Row],[Column3]]="NEW",Table15[[#This Row],[Column3]]),"")</f>
        <v>NEW</v>
      </c>
      <c r="H431" s="15" cm="1">
        <f t="array" ref="H431">_xlfn.IFS(Table15[[#This Row],[Column4]]="NEW",AVERAGEIFS(Table15[Column4],Table15[Year],Table15[[#This Row],[Year]]),ISNUMBER(Table15[[#This Row],[Column4]]),Table15[[#This Row],[Column4]],Table15[[#This Row],[Column4]]="",H430*(1+Table15[[#This Row],[Ávöxtun]]))</f>
        <v>106.70588235294117</v>
      </c>
      <c r="I431" s="30" cm="1">
        <f t="array" ref="I431">_xlfn.IFS(Table15[[#This Row],[Column4]]="NEW",_xlfn.XLOOKUP(Table15[[#This Row],[Year]]-1,$N$2:$N$27,$P$2:$P$27)*(1+Table15[[#This Row],[Ávöxtun]]),ISNUMBER(Table15[[#This Row],[Column4]]),Table15[[#This Row],[Column4]],Table15[[#This Row],[Column4]]="",I430*(1+Table15[[#This Row],[Ávöxtun]]))</f>
        <v>100</v>
      </c>
      <c r="L431" s="33">
        <v>106.70588235294117</v>
      </c>
      <c r="M431" s="33">
        <v>115.36660895196104</v>
      </c>
    </row>
    <row r="432" spans="1:13">
      <c r="A432" t="s">
        <v>106</v>
      </c>
      <c r="B432">
        <v>1999</v>
      </c>
      <c r="C432" s="16">
        <v>7.0000000000000007E-2</v>
      </c>
      <c r="D432" s="1">
        <v>17183477.609999999</v>
      </c>
      <c r="E432" s="29">
        <f>Table15[[#This Row],[Ávöxtun]]*Table15[[#This Row],[Eignir]]/SUMIFS(Table15[Eignir],Table15[Year],Table15[[#This Row],[Year]])</f>
        <v>2.3099767383190947E-3</v>
      </c>
      <c r="F432" s="23" t="e">
        <f>IF(B432=1997, 100, IF(COUNTIF(A$1:A431,A432)=0, "NEW", F431*(1+Table15[[#This Row],[Ávöxtun]])))</f>
        <v>#VALUE!</v>
      </c>
      <c r="G432" s="18" t="str" cm="1">
        <f t="array" ref="G432">IFERROR(_xlfn.IFS(ISNUMBER(Table15[[#This Row],[Column3]]),Table15[[#This Row],[Column3]],Table15[[#This Row],[Column3]]="NEW",Table15[[#This Row],[Column3]]),"")</f>
        <v/>
      </c>
      <c r="H432" s="15" cm="1">
        <f t="array" ref="H432">_xlfn.IFS(Table15[[#This Row],[Column4]]="NEW",AVERAGEIFS(Table15[Column4],Table15[Year],Table15[[#This Row],[Year]]),ISNUMBER(Table15[[#This Row],[Column4]]),Table15[[#This Row],[Column4]],Table15[[#This Row],[Column4]]="",H431*(1+Table15[[#This Row],[Ávöxtun]]))</f>
        <v>114.17529411764706</v>
      </c>
      <c r="I432" s="30" cm="1">
        <f t="array" ref="I432">_xlfn.IFS(Table15[[#This Row],[Column4]]="NEW",_xlfn.XLOOKUP(Table15[[#This Row],[Year]]-1,$N$2:$N$27,$P$2:$P$27)*(1+Table15[[#This Row],[Ávöxtun]]),ISNUMBER(Table15[[#This Row],[Column4]]),Table15[[#This Row],[Column4]],Table15[[#This Row],[Column4]]="",I431*(1+Table15[[#This Row],[Ávöxtun]]))</f>
        <v>107</v>
      </c>
      <c r="L432" s="33">
        <v>114.17529411764706</v>
      </c>
      <c r="M432" s="33">
        <v>123.44227157859832</v>
      </c>
    </row>
    <row r="433" spans="1:13">
      <c r="A433" t="s">
        <v>106</v>
      </c>
      <c r="B433">
        <v>2000</v>
      </c>
      <c r="C433" s="16">
        <v>-0.08</v>
      </c>
      <c r="D433" s="1">
        <v>35197278.909999996</v>
      </c>
      <c r="E433" s="29">
        <f>Table15[[#This Row],[Ávöxtun]]*Table15[[#This Row],[Eignir]]/SUMIFS(Table15[Eignir],Table15[Year],Table15[[#This Row],[Year]])</f>
        <v>-3.9609270887226832E-3</v>
      </c>
      <c r="F433" s="23" t="e">
        <f>IF(B433=1997, 100, IF(COUNTIF(A$1:A432,A433)=0, "NEW", F432*(1+Table15[[#This Row],[Ávöxtun]])))</f>
        <v>#VALUE!</v>
      </c>
      <c r="G433" s="18" t="str" cm="1">
        <f t="array" ref="G433">IFERROR(_xlfn.IFS(ISNUMBER(Table15[[#This Row],[Column3]]),Table15[[#This Row],[Column3]],Table15[[#This Row],[Column3]]="NEW",Table15[[#This Row],[Column3]]),"")</f>
        <v/>
      </c>
      <c r="H433" s="15" cm="1">
        <f t="array" ref="H433">_xlfn.IFS(Table15[[#This Row],[Column4]]="NEW",AVERAGEIFS(Table15[Column4],Table15[Year],Table15[[#This Row],[Year]]),ISNUMBER(Table15[[#This Row],[Column4]]),Table15[[#This Row],[Column4]],Table15[[#This Row],[Column4]]="",H432*(1+Table15[[#This Row],[Ávöxtun]]))</f>
        <v>105.04127058823529</v>
      </c>
      <c r="I433" s="30" cm="1">
        <f t="array" ref="I433">_xlfn.IFS(Table15[[#This Row],[Column4]]="NEW",_xlfn.XLOOKUP(Table15[[#This Row],[Year]]-1,$N$2:$N$27,$P$2:$P$27)*(1+Table15[[#This Row],[Ávöxtun]]),ISNUMBER(Table15[[#This Row],[Column4]]),Table15[[#This Row],[Column4]],Table15[[#This Row],[Column4]]="",I432*(1+Table15[[#This Row],[Ávöxtun]]))</f>
        <v>98.44</v>
      </c>
      <c r="L433" s="33">
        <v>105.04127058823529</v>
      </c>
      <c r="M433" s="33">
        <v>113.56688985231047</v>
      </c>
    </row>
    <row r="434" spans="1:13">
      <c r="A434" t="s">
        <v>106</v>
      </c>
      <c r="B434">
        <v>2001</v>
      </c>
      <c r="C434" s="16">
        <v>0</v>
      </c>
      <c r="D434" s="1">
        <v>38596234</v>
      </c>
      <c r="E434" s="29">
        <f>Table15[[#This Row],[Ávöxtun]]*Table15[[#This Row],[Eignir]]/SUMIFS(Table15[Eignir],Table15[Year],Table15[[#This Row],[Year]])</f>
        <v>0</v>
      </c>
      <c r="F434" s="23" t="e">
        <f>IF(B434=1997, 100, IF(COUNTIF(A$1:A433,A434)=0, "NEW", F433*(1+Table15[[#This Row],[Ávöxtun]])))</f>
        <v>#VALUE!</v>
      </c>
      <c r="G434" s="18" t="str" cm="1">
        <f t="array" ref="G434">IFERROR(_xlfn.IFS(ISNUMBER(Table15[[#This Row],[Column3]]),Table15[[#This Row],[Column3]],Table15[[#This Row],[Column3]]="NEW",Table15[[#This Row],[Column3]]),"")</f>
        <v/>
      </c>
      <c r="H434" s="15" cm="1">
        <f t="array" ref="H434">_xlfn.IFS(Table15[[#This Row],[Column4]]="NEW",AVERAGEIFS(Table15[Column4],Table15[Year],Table15[[#This Row],[Year]]),ISNUMBER(Table15[[#This Row],[Column4]]),Table15[[#This Row],[Column4]],Table15[[#This Row],[Column4]]="",H433*(1+Table15[[#This Row],[Ávöxtun]]))</f>
        <v>105.04127058823529</v>
      </c>
      <c r="I434" s="30" cm="1">
        <f t="array" ref="I434">_xlfn.IFS(Table15[[#This Row],[Column4]]="NEW",_xlfn.XLOOKUP(Table15[[#This Row],[Year]]-1,$N$2:$N$27,$P$2:$P$27)*(1+Table15[[#This Row],[Ávöxtun]]),ISNUMBER(Table15[[#This Row],[Column4]]),Table15[[#This Row],[Column4]],Table15[[#This Row],[Column4]]="",I433*(1+Table15[[#This Row],[Ávöxtun]]))</f>
        <v>98.44</v>
      </c>
      <c r="L434" s="33">
        <v>105.04127058823529</v>
      </c>
      <c r="M434" s="33">
        <v>113.56688985231047</v>
      </c>
    </row>
    <row r="435" spans="1:13">
      <c r="A435" t="s">
        <v>106</v>
      </c>
      <c r="B435">
        <v>2002</v>
      </c>
      <c r="C435" s="16">
        <v>0</v>
      </c>
      <c r="D435" s="1">
        <v>19789062</v>
      </c>
      <c r="E435" s="29">
        <f>Table15[[#This Row],[Ávöxtun]]*Table15[[#This Row],[Eignir]]/SUMIFS(Table15[Eignir],Table15[Year],Table15[[#This Row],[Year]])</f>
        <v>0</v>
      </c>
      <c r="F435" s="23" t="e">
        <f>IF(B435=1997, 100, IF(COUNTIF(A$1:A434,A435)=0, "NEW", F434*(1+Table15[[#This Row],[Ávöxtun]])))</f>
        <v>#VALUE!</v>
      </c>
      <c r="G435" s="18" t="str" cm="1">
        <f t="array" ref="G435">IFERROR(_xlfn.IFS(ISNUMBER(Table15[[#This Row],[Column3]]),Table15[[#This Row],[Column3]],Table15[[#This Row],[Column3]]="NEW",Table15[[#This Row],[Column3]]),"")</f>
        <v/>
      </c>
      <c r="H435" s="15" cm="1">
        <f t="array" ref="H435">_xlfn.IFS(Table15[[#This Row],[Column4]]="NEW",AVERAGEIFS(Table15[Column4],Table15[Year],Table15[[#This Row],[Year]]),ISNUMBER(Table15[[#This Row],[Column4]]),Table15[[#This Row],[Column4]],Table15[[#This Row],[Column4]]="",H434*(1+Table15[[#This Row],[Ávöxtun]]))</f>
        <v>105.04127058823529</v>
      </c>
      <c r="I435" s="30" cm="1">
        <f t="array" ref="I435">_xlfn.IFS(Table15[[#This Row],[Column4]]="NEW",_xlfn.XLOOKUP(Table15[[#This Row],[Year]]-1,$N$2:$N$27,$P$2:$P$27)*(1+Table15[[#This Row],[Ávöxtun]]),ISNUMBER(Table15[[#This Row],[Column4]]),Table15[[#This Row],[Column4]],Table15[[#This Row],[Column4]]="",I434*(1+Table15[[#This Row],[Ávöxtun]]))</f>
        <v>98.44</v>
      </c>
      <c r="L435" s="33">
        <v>105.04127058823529</v>
      </c>
      <c r="M435" s="33">
        <v>113.56688985231047</v>
      </c>
    </row>
    <row r="436" spans="1:13">
      <c r="A436" t="s">
        <v>106</v>
      </c>
      <c r="B436">
        <v>2003</v>
      </c>
      <c r="C436" s="16">
        <v>0.18</v>
      </c>
      <c r="D436" s="1">
        <v>22498628</v>
      </c>
      <c r="E436" s="29">
        <f>Table15[[#This Row],[Ávöxtun]]*Table15[[#This Row],[Eignir]]/SUMIFS(Table15[Eignir],Table15[Year],Table15[[#This Row],[Year]])</f>
        <v>5.3293839979498912E-3</v>
      </c>
      <c r="F436" s="23" t="e">
        <f>IF(B436=1997, 100, IF(COUNTIF(A$1:A435,A436)=0, "NEW", F435*(1+Table15[[#This Row],[Ávöxtun]])))</f>
        <v>#VALUE!</v>
      </c>
      <c r="G436" s="18" t="str" cm="1">
        <f t="array" ref="G436">IFERROR(_xlfn.IFS(ISNUMBER(Table15[[#This Row],[Column3]]),Table15[[#This Row],[Column3]],Table15[[#This Row],[Column3]]="NEW",Table15[[#This Row],[Column3]]),"")</f>
        <v/>
      </c>
      <c r="H436" s="15" cm="1">
        <f t="array" ref="H436">_xlfn.IFS(Table15[[#This Row],[Column4]]="NEW",AVERAGEIFS(Table15[Column4],Table15[Year],Table15[[#This Row],[Year]]),ISNUMBER(Table15[[#This Row],[Column4]]),Table15[[#This Row],[Column4]],Table15[[#This Row],[Column4]]="",H435*(1+Table15[[#This Row],[Ávöxtun]]))</f>
        <v>123.94869929411765</v>
      </c>
      <c r="I436" s="30" cm="1">
        <f t="array" ref="I436">_xlfn.IFS(Table15[[#This Row],[Column4]]="NEW",_xlfn.XLOOKUP(Table15[[#This Row],[Year]]-1,$N$2:$N$27,$P$2:$P$27)*(1+Table15[[#This Row],[Ávöxtun]]),ISNUMBER(Table15[[#This Row],[Column4]]),Table15[[#This Row],[Column4]],Table15[[#This Row],[Column4]]="",I435*(1+Table15[[#This Row],[Ávöxtun]]))</f>
        <v>116.15919999999998</v>
      </c>
      <c r="L436" s="33">
        <v>123.94869929411765</v>
      </c>
      <c r="M436" s="33">
        <v>134.00893002572636</v>
      </c>
    </row>
    <row r="437" spans="1:13">
      <c r="A437" t="s">
        <v>106</v>
      </c>
      <c r="B437">
        <v>2004</v>
      </c>
      <c r="C437" s="16">
        <v>0.18</v>
      </c>
      <c r="D437" s="1">
        <v>25571056</v>
      </c>
      <c r="E437" s="29">
        <f>Table15[[#This Row],[Ávöxtun]]*Table15[[#This Row],[Eignir]]/SUMIFS(Table15[Eignir],Table15[Year],Table15[[#This Row],[Year]])</f>
        <v>5.070992678476916E-3</v>
      </c>
      <c r="F437" s="23" t="e">
        <f>IF(B437=1997, 100, IF(COUNTIF(A$1:A436,A437)=0, "NEW", F436*(1+Table15[[#This Row],[Ávöxtun]])))</f>
        <v>#VALUE!</v>
      </c>
      <c r="G437" s="18" t="str" cm="1">
        <f t="array" ref="G437">IFERROR(_xlfn.IFS(ISNUMBER(Table15[[#This Row],[Column3]]),Table15[[#This Row],[Column3]],Table15[[#This Row],[Column3]]="NEW",Table15[[#This Row],[Column3]]),"")</f>
        <v/>
      </c>
      <c r="H437" s="15" cm="1">
        <f t="array" ref="H437">_xlfn.IFS(Table15[[#This Row],[Column4]]="NEW",AVERAGEIFS(Table15[Column4],Table15[Year],Table15[[#This Row],[Year]]),ISNUMBER(Table15[[#This Row],[Column4]]),Table15[[#This Row],[Column4]],Table15[[#This Row],[Column4]]="",H436*(1+Table15[[#This Row],[Ávöxtun]]))</f>
        <v>146.25946516705881</v>
      </c>
      <c r="I437" s="30" cm="1">
        <f t="array" ref="I437">_xlfn.IFS(Table15[[#This Row],[Column4]]="NEW",_xlfn.XLOOKUP(Table15[[#This Row],[Year]]-1,$N$2:$N$27,$P$2:$P$27)*(1+Table15[[#This Row],[Ávöxtun]]),ISNUMBER(Table15[[#This Row],[Column4]]),Table15[[#This Row],[Column4]],Table15[[#This Row],[Column4]]="",I436*(1+Table15[[#This Row],[Ávöxtun]]))</f>
        <v>137.06785599999998</v>
      </c>
      <c r="L437" s="33">
        <v>146.25946516705881</v>
      </c>
      <c r="M437" s="33">
        <v>158.13053743035709</v>
      </c>
    </row>
    <row r="438" spans="1:13">
      <c r="A438" t="s">
        <v>106</v>
      </c>
      <c r="B438">
        <v>2005</v>
      </c>
      <c r="C438" s="16">
        <v>0.16</v>
      </c>
      <c r="D438" s="1">
        <v>28726712</v>
      </c>
      <c r="E438" s="29">
        <f>Table15[[#This Row],[Ávöxtun]]*Table15[[#This Row],[Eignir]]/SUMIFS(Table15[Eignir],Table15[Year],Table15[[#This Row],[Year]])</f>
        <v>4.0989202021338191E-3</v>
      </c>
      <c r="F438" s="23" t="e">
        <f>IF(B438=1997, 100, IF(COUNTIF(A$1:A437,A438)=0, "NEW", F437*(1+Table15[[#This Row],[Ávöxtun]])))</f>
        <v>#VALUE!</v>
      </c>
      <c r="G438" s="18" t="str" cm="1">
        <f t="array" ref="G438">IFERROR(_xlfn.IFS(ISNUMBER(Table15[[#This Row],[Column3]]),Table15[[#This Row],[Column3]],Table15[[#This Row],[Column3]]="NEW",Table15[[#This Row],[Column3]]),"")</f>
        <v/>
      </c>
      <c r="H438" s="15" cm="1">
        <f t="array" ref="H438">_xlfn.IFS(Table15[[#This Row],[Column4]]="NEW",AVERAGEIFS(Table15[Column4],Table15[Year],Table15[[#This Row],[Year]]),ISNUMBER(Table15[[#This Row],[Column4]]),Table15[[#This Row],[Column4]],Table15[[#This Row],[Column4]]="",H437*(1+Table15[[#This Row],[Ávöxtun]]))</f>
        <v>169.6609795937882</v>
      </c>
      <c r="I438" s="30" cm="1">
        <f t="array" ref="I438">_xlfn.IFS(Table15[[#This Row],[Column4]]="NEW",_xlfn.XLOOKUP(Table15[[#This Row],[Year]]-1,$N$2:$N$27,$P$2:$P$27)*(1+Table15[[#This Row],[Ávöxtun]]),ISNUMBER(Table15[[#This Row],[Column4]]),Table15[[#This Row],[Column4]],Table15[[#This Row],[Column4]]="",I437*(1+Table15[[#This Row],[Ávöxtun]]))</f>
        <v>158.99871295999995</v>
      </c>
      <c r="L438" s="33">
        <v>169.6609795937882</v>
      </c>
      <c r="M438" s="33">
        <v>183.43142341921421</v>
      </c>
    </row>
    <row r="439" spans="1:13">
      <c r="A439" t="s">
        <v>106</v>
      </c>
      <c r="B439">
        <v>2006</v>
      </c>
      <c r="C439" s="16">
        <v>0.156</v>
      </c>
      <c r="D439" s="1">
        <v>35121866</v>
      </c>
      <c r="E439" s="29">
        <f>Table15[[#This Row],[Ávöxtun]]*Table15[[#This Row],[Eignir]]/SUMIFS(Table15[Eignir],Table15[Year],Table15[[#This Row],[Year]])</f>
        <v>3.9914827191076252E-3</v>
      </c>
      <c r="F439" s="23" t="e">
        <f>IF(B439=1997, 100, IF(COUNTIF(A$1:A438,A439)=0, "NEW", F438*(1+Table15[[#This Row],[Ávöxtun]])))</f>
        <v>#VALUE!</v>
      </c>
      <c r="G439" s="18" t="str" cm="1">
        <f t="array" ref="G439">IFERROR(_xlfn.IFS(ISNUMBER(Table15[[#This Row],[Column3]]),Table15[[#This Row],[Column3]],Table15[[#This Row],[Column3]]="NEW",Table15[[#This Row],[Column3]]),"")</f>
        <v/>
      </c>
      <c r="H439" s="15" cm="1">
        <f t="array" ref="H439">_xlfn.IFS(Table15[[#This Row],[Column4]]="NEW",AVERAGEIFS(Table15[Column4],Table15[Year],Table15[[#This Row],[Year]]),ISNUMBER(Table15[[#This Row],[Column4]]),Table15[[#This Row],[Column4]],Table15[[#This Row],[Column4]]="",H438*(1+Table15[[#This Row],[Ávöxtun]]))</f>
        <v>196.12809241041916</v>
      </c>
      <c r="I439" s="30" cm="1">
        <f t="array" ref="I439">_xlfn.IFS(Table15[[#This Row],[Column4]]="NEW",_xlfn.XLOOKUP(Table15[[#This Row],[Year]]-1,$N$2:$N$27,$P$2:$P$27)*(1+Table15[[#This Row],[Ávöxtun]]),ISNUMBER(Table15[[#This Row],[Column4]]),Table15[[#This Row],[Column4]],Table15[[#This Row],[Column4]]="",I438*(1+Table15[[#This Row],[Ávöxtun]]))</f>
        <v>183.80251218175994</v>
      </c>
      <c r="L439" s="33">
        <v>196.12809241041916</v>
      </c>
      <c r="M439" s="33">
        <v>212.04672547261163</v>
      </c>
    </row>
    <row r="440" spans="1:13">
      <c r="A440" t="s">
        <v>106</v>
      </c>
      <c r="B440">
        <v>2007</v>
      </c>
      <c r="C440" s="16">
        <v>2.2499999999999999E-2</v>
      </c>
      <c r="D440" s="1">
        <v>38161101</v>
      </c>
      <c r="E440" s="29">
        <f>Table15[[#This Row],[Ávöxtun]]*Table15[[#This Row],[Eignir]]/SUMIFS(Table15[Eignir],Table15[Year],Table15[[#This Row],[Year]])</f>
        <v>5.5523818477030995E-4</v>
      </c>
      <c r="F440" s="23" t="e">
        <f>IF(B440=1997, 100, IF(COUNTIF(A$1:A439,A440)=0, "NEW", F439*(1+Table15[[#This Row],[Ávöxtun]])))</f>
        <v>#VALUE!</v>
      </c>
      <c r="G440" s="18" t="str" cm="1">
        <f t="array" ref="G440">IFERROR(_xlfn.IFS(ISNUMBER(Table15[[#This Row],[Column3]]),Table15[[#This Row],[Column3]],Table15[[#This Row],[Column3]]="NEW",Table15[[#This Row],[Column3]]),"")</f>
        <v/>
      </c>
      <c r="H440" s="15" cm="1">
        <f t="array" ref="H440">_xlfn.IFS(Table15[[#This Row],[Column4]]="NEW",AVERAGEIFS(Table15[Column4],Table15[Year],Table15[[#This Row],[Year]]),ISNUMBER(Table15[[#This Row],[Column4]]),Table15[[#This Row],[Column4]],Table15[[#This Row],[Column4]]="",H439*(1+Table15[[#This Row],[Ávöxtun]]))</f>
        <v>200.54097448965359</v>
      </c>
      <c r="I440" s="30" cm="1">
        <f t="array" ref="I440">_xlfn.IFS(Table15[[#This Row],[Column4]]="NEW",_xlfn.XLOOKUP(Table15[[#This Row],[Year]]-1,$N$2:$N$27,$P$2:$P$27)*(1+Table15[[#This Row],[Ávöxtun]]),ISNUMBER(Table15[[#This Row],[Column4]]),Table15[[#This Row],[Column4]],Table15[[#This Row],[Column4]]="",I439*(1+Table15[[#This Row],[Ávöxtun]]))</f>
        <v>187.93806870584953</v>
      </c>
      <c r="L440" s="33">
        <v>200.54097448965359</v>
      </c>
      <c r="M440" s="33">
        <v>216.81777679574537</v>
      </c>
    </row>
    <row r="441" spans="1:13">
      <c r="A441" t="s">
        <v>106</v>
      </c>
      <c r="B441">
        <v>2008</v>
      </c>
      <c r="C441" s="16">
        <v>-0.11199999999999999</v>
      </c>
      <c r="D441" s="1">
        <v>39414110</v>
      </c>
      <c r="E441" s="29">
        <f>Table15[[#This Row],[Ávöxtun]]*Table15[[#This Row],[Eignir]]/SUMIFS(Table15[Eignir],Table15[Year],Table15[[#This Row],[Year]])</f>
        <v>-2.9481917728383638E-3</v>
      </c>
      <c r="F441" s="23" t="e">
        <f>IF(B441=1997, 100, IF(COUNTIF(A$1:A440,A441)=0, "NEW", F440*(1+Table15[[#This Row],[Ávöxtun]])))</f>
        <v>#VALUE!</v>
      </c>
      <c r="G441" s="18" t="str" cm="1">
        <f t="array" ref="G441">IFERROR(_xlfn.IFS(ISNUMBER(Table15[[#This Row],[Column3]]),Table15[[#This Row],[Column3]],Table15[[#This Row],[Column3]]="NEW",Table15[[#This Row],[Column3]]),"")</f>
        <v/>
      </c>
      <c r="H441" s="15" cm="1">
        <f t="array" ref="H441">_xlfn.IFS(Table15[[#This Row],[Column4]]="NEW",AVERAGEIFS(Table15[Column4],Table15[Year],Table15[[#This Row],[Year]]),ISNUMBER(Table15[[#This Row],[Column4]]),Table15[[#This Row],[Column4]],Table15[[#This Row],[Column4]]="",H440*(1+Table15[[#This Row],[Ávöxtun]]))</f>
        <v>178.08038534681239</v>
      </c>
      <c r="I441" s="30" cm="1">
        <f t="array" ref="I441">_xlfn.IFS(Table15[[#This Row],[Column4]]="NEW",_xlfn.XLOOKUP(Table15[[#This Row],[Year]]-1,$N$2:$N$27,$P$2:$P$27)*(1+Table15[[#This Row],[Ávöxtun]]),ISNUMBER(Table15[[#This Row],[Column4]]),Table15[[#This Row],[Column4]],Table15[[#This Row],[Column4]]="",I440*(1+Table15[[#This Row],[Ávöxtun]]))</f>
        <v>166.88900501079439</v>
      </c>
      <c r="L441" s="33">
        <v>178.08038534681239</v>
      </c>
      <c r="M441" s="33">
        <v>192.53418579462189</v>
      </c>
    </row>
    <row r="442" spans="1:13">
      <c r="A442" t="s">
        <v>106</v>
      </c>
      <c r="B442">
        <v>2009</v>
      </c>
      <c r="C442" s="16">
        <v>5.2600000000000001E-2</v>
      </c>
      <c r="D442" s="1">
        <v>44036710</v>
      </c>
      <c r="E442" s="29">
        <f>Table15[[#This Row],[Ávöxtun]]*Table15[[#This Row],[Eignir]]/SUMIFS(Table15[Eignir],Table15[Year],Table15[[#This Row],[Year]])</f>
        <v>1.3884725565921441E-3</v>
      </c>
      <c r="F442" s="23" t="e">
        <f>IF(B442=1997, 100, IF(COUNTIF(A$1:A441,A442)=0, "NEW", F441*(1+Table15[[#This Row],[Ávöxtun]])))</f>
        <v>#VALUE!</v>
      </c>
      <c r="G442" s="18" t="str" cm="1">
        <f t="array" ref="G442">IFERROR(_xlfn.IFS(ISNUMBER(Table15[[#This Row],[Column3]]),Table15[[#This Row],[Column3]],Table15[[#This Row],[Column3]]="NEW",Table15[[#This Row],[Column3]]),"")</f>
        <v/>
      </c>
      <c r="H442" s="15" cm="1">
        <f t="array" ref="H442">_xlfn.IFS(Table15[[#This Row],[Column4]]="NEW",AVERAGEIFS(Table15[Column4],Table15[Year],Table15[[#This Row],[Year]]),ISNUMBER(Table15[[#This Row],[Column4]]),Table15[[#This Row],[Column4]],Table15[[#This Row],[Column4]]="",H441*(1+Table15[[#This Row],[Ávöxtun]]))</f>
        <v>187.44741361605472</v>
      </c>
      <c r="I442" s="30" cm="1">
        <f t="array" ref="I442">_xlfn.IFS(Table15[[#This Row],[Column4]]="NEW",_xlfn.XLOOKUP(Table15[[#This Row],[Year]]-1,$N$2:$N$27,$P$2:$P$27)*(1+Table15[[#This Row],[Ávöxtun]]),ISNUMBER(Table15[[#This Row],[Column4]]),Table15[[#This Row],[Column4]],Table15[[#This Row],[Column4]]="",I441*(1+Table15[[#This Row],[Ávöxtun]]))</f>
        <v>175.66736667436217</v>
      </c>
      <c r="L442" s="33">
        <v>187.44741361605472</v>
      </c>
      <c r="M442" s="33">
        <v>202.661483967419</v>
      </c>
    </row>
    <row r="443" spans="1:13">
      <c r="A443" t="s">
        <v>106</v>
      </c>
      <c r="B443">
        <v>2010</v>
      </c>
      <c r="C443" s="16">
        <v>7.7200000000000005E-2</v>
      </c>
      <c r="D443" s="1">
        <v>46827098</v>
      </c>
      <c r="E443" s="29">
        <f>Table15[[#This Row],[Ávöxtun]]*Table15[[#This Row],[Eignir]]/SUMIFS(Table15[Eignir],Table15[Year],Table15[[#This Row],[Year]])</f>
        <v>2.0220825284770474E-3</v>
      </c>
      <c r="F443" s="23" t="e">
        <f>IF(B443=1997, 100, IF(COUNTIF(A$1:A442,A443)=0, "NEW", F442*(1+Table15[[#This Row],[Ávöxtun]])))</f>
        <v>#VALUE!</v>
      </c>
      <c r="G443" s="18" t="str" cm="1">
        <f t="array" ref="G443">IFERROR(_xlfn.IFS(ISNUMBER(Table15[[#This Row],[Column3]]),Table15[[#This Row],[Column3]],Table15[[#This Row],[Column3]]="NEW",Table15[[#This Row],[Column3]]),"")</f>
        <v/>
      </c>
      <c r="H443" s="15" cm="1">
        <f t="array" ref="H443">_xlfn.IFS(Table15[[#This Row],[Column4]]="NEW",AVERAGEIFS(Table15[Column4],Table15[Year],Table15[[#This Row],[Year]]),ISNUMBER(Table15[[#This Row],[Column4]]),Table15[[#This Row],[Column4]],Table15[[#This Row],[Column4]]="",H442*(1+Table15[[#This Row],[Ávöxtun]]))</f>
        <v>201.91835394721414</v>
      </c>
      <c r="I443" s="30" cm="1">
        <f t="array" ref="I443">_xlfn.IFS(Table15[[#This Row],[Column4]]="NEW",_xlfn.XLOOKUP(Table15[[#This Row],[Year]]-1,$N$2:$N$27,$P$2:$P$27)*(1+Table15[[#This Row],[Ávöxtun]]),ISNUMBER(Table15[[#This Row],[Column4]]),Table15[[#This Row],[Column4]],Table15[[#This Row],[Column4]]="",I442*(1+Table15[[#This Row],[Ávöxtun]]))</f>
        <v>189.22888738162291</v>
      </c>
      <c r="L443" s="33">
        <v>201.91835394721414</v>
      </c>
      <c r="M443" s="33">
        <v>218.30695052970373</v>
      </c>
    </row>
    <row r="444" spans="1:13">
      <c r="A444" t="s">
        <v>106</v>
      </c>
      <c r="B444">
        <v>2011</v>
      </c>
      <c r="C444" s="16">
        <v>8.3000000000000004E-2</v>
      </c>
      <c r="D444" s="1">
        <v>51384697</v>
      </c>
      <c r="E444" s="29">
        <f>Table15[[#This Row],[Ávöxtun]]*Table15[[#This Row],[Eignir]]/SUMIFS(Table15[Eignir],Table15[Year],Table15[[#This Row],[Year]])</f>
        <v>2.1865168934729669E-3</v>
      </c>
      <c r="F444" s="23" t="e">
        <f>IF(B444=1997, 100, IF(COUNTIF(A$1:A443,A444)=0, "NEW", F443*(1+Table15[[#This Row],[Ávöxtun]])))</f>
        <v>#VALUE!</v>
      </c>
      <c r="G444" s="18" t="str" cm="1">
        <f t="array" ref="G444">IFERROR(_xlfn.IFS(ISNUMBER(Table15[[#This Row],[Column3]]),Table15[[#This Row],[Column3]],Table15[[#This Row],[Column3]]="NEW",Table15[[#This Row],[Column3]]),"")</f>
        <v/>
      </c>
      <c r="H444" s="15" cm="1">
        <f t="array" ref="H444">_xlfn.IFS(Table15[[#This Row],[Column4]]="NEW",AVERAGEIFS(Table15[Column4],Table15[Year],Table15[[#This Row],[Year]]),ISNUMBER(Table15[[#This Row],[Column4]]),Table15[[#This Row],[Column4]],Table15[[#This Row],[Column4]]="",H443*(1+Table15[[#This Row],[Ávöxtun]]))</f>
        <v>218.6775773248329</v>
      </c>
      <c r="I444" s="30" cm="1">
        <f t="array" ref="I444">_xlfn.IFS(Table15[[#This Row],[Column4]]="NEW",_xlfn.XLOOKUP(Table15[[#This Row],[Year]]-1,$N$2:$N$27,$P$2:$P$27)*(1+Table15[[#This Row],[Ávöxtun]]),ISNUMBER(Table15[[#This Row],[Column4]]),Table15[[#This Row],[Column4]],Table15[[#This Row],[Column4]]="",I443*(1+Table15[[#This Row],[Ávöxtun]]))</f>
        <v>204.93488503429759</v>
      </c>
      <c r="L444" s="33">
        <v>218.6775773248329</v>
      </c>
      <c r="M444" s="33">
        <v>236.42642742366914</v>
      </c>
    </row>
    <row r="445" spans="1:13">
      <c r="A445" t="s">
        <v>106</v>
      </c>
      <c r="B445">
        <v>2012</v>
      </c>
      <c r="C445" s="16">
        <v>0.107</v>
      </c>
      <c r="D445" s="1">
        <v>56006035</v>
      </c>
      <c r="E445" s="29">
        <f>Table15[[#This Row],[Ávöxtun]]*Table15[[#This Row],[Eignir]]/SUMIFS(Table15[Eignir],Table15[Year],Table15[[#This Row],[Year]])</f>
        <v>2.7204143606230349E-3</v>
      </c>
      <c r="F445" s="23" t="e">
        <f>IF(B445=1997, 100, IF(COUNTIF(A$1:A444,A445)=0, "NEW", F444*(1+Table15[[#This Row],[Ávöxtun]])))</f>
        <v>#VALUE!</v>
      </c>
      <c r="G445" s="18" t="str" cm="1">
        <f t="array" ref="G445">IFERROR(_xlfn.IFS(ISNUMBER(Table15[[#This Row],[Column3]]),Table15[[#This Row],[Column3]],Table15[[#This Row],[Column3]]="NEW",Table15[[#This Row],[Column3]]),"")</f>
        <v/>
      </c>
      <c r="H445" s="15" cm="1">
        <f t="array" ref="H445">_xlfn.IFS(Table15[[#This Row],[Column4]]="NEW",AVERAGEIFS(Table15[Column4],Table15[Year],Table15[[#This Row],[Year]]),ISNUMBER(Table15[[#This Row],[Column4]]),Table15[[#This Row],[Column4]],Table15[[#This Row],[Column4]]="",H444*(1+Table15[[#This Row],[Ávöxtun]]))</f>
        <v>242.07607809859002</v>
      </c>
      <c r="I445" s="30" cm="1">
        <f t="array" ref="I445">_xlfn.IFS(Table15[[#This Row],[Column4]]="NEW",_xlfn.XLOOKUP(Table15[[#This Row],[Year]]-1,$N$2:$N$27,$P$2:$P$27)*(1+Table15[[#This Row],[Ávöxtun]]),ISNUMBER(Table15[[#This Row],[Column4]]),Table15[[#This Row],[Column4]],Table15[[#This Row],[Column4]]="",I444*(1+Table15[[#This Row],[Ávöxtun]]))</f>
        <v>226.86291773296745</v>
      </c>
      <c r="L445" s="33">
        <v>242.07607809859002</v>
      </c>
      <c r="M445" s="33">
        <v>261.72405515800176</v>
      </c>
    </row>
    <row r="446" spans="1:13">
      <c r="A446" t="s">
        <v>106</v>
      </c>
      <c r="B446">
        <v>2013</v>
      </c>
      <c r="C446" s="16">
        <v>9.6999999999999989E-2</v>
      </c>
      <c r="D446" s="1">
        <v>60336344</v>
      </c>
      <c r="E446" s="29">
        <f>Table15[[#This Row],[Ávöxtun]]*Table15[[#This Row],[Eignir]]/SUMIFS(Table15[Eignir],Table15[Year],Table15[[#This Row],[Year]])</f>
        <v>2.4049451809738513E-3</v>
      </c>
      <c r="F446" s="23" t="e">
        <f>IF(B446=1997, 100, IF(COUNTIF(A$1:A445,A446)=0, "NEW", F445*(1+Table15[[#This Row],[Ávöxtun]])))</f>
        <v>#VALUE!</v>
      </c>
      <c r="G446" s="18" t="str" cm="1">
        <f t="array" ref="G446">IFERROR(_xlfn.IFS(ISNUMBER(Table15[[#This Row],[Column3]]),Table15[[#This Row],[Column3]],Table15[[#This Row],[Column3]]="NEW",Table15[[#This Row],[Column3]]),"")</f>
        <v/>
      </c>
      <c r="H446" s="15" cm="1">
        <f t="array" ref="H446">_xlfn.IFS(Table15[[#This Row],[Column4]]="NEW",AVERAGEIFS(Table15[Column4],Table15[Year],Table15[[#This Row],[Year]]),ISNUMBER(Table15[[#This Row],[Column4]]),Table15[[#This Row],[Column4]],Table15[[#This Row],[Column4]]="",H445*(1+Table15[[#This Row],[Ávöxtun]]))</f>
        <v>265.55745767415323</v>
      </c>
      <c r="I446" s="30" cm="1">
        <f t="array" ref="I446">_xlfn.IFS(Table15[[#This Row],[Column4]]="NEW",_xlfn.XLOOKUP(Table15[[#This Row],[Year]]-1,$N$2:$N$27,$P$2:$P$27)*(1+Table15[[#This Row],[Ávöxtun]]),ISNUMBER(Table15[[#This Row],[Column4]]),Table15[[#This Row],[Column4]],Table15[[#This Row],[Column4]]="",I445*(1+Table15[[#This Row],[Ávöxtun]]))</f>
        <v>248.86862075306527</v>
      </c>
      <c r="L446" s="33">
        <v>265.55745767415323</v>
      </c>
      <c r="M446" s="33">
        <v>287.1112885083279</v>
      </c>
    </row>
    <row r="447" spans="1:13">
      <c r="A447" t="s">
        <v>106</v>
      </c>
      <c r="B447">
        <v>2014</v>
      </c>
      <c r="C447" s="16">
        <v>9.5000000000000001E-2</v>
      </c>
      <c r="D447" s="1">
        <v>63150185</v>
      </c>
      <c r="E447" s="29">
        <f>Table15[[#This Row],[Ávöxtun]]*Table15[[#This Row],[Eignir]]/SUMIFS(Table15[Eignir],Table15[Year],Table15[[#This Row],[Year]])</f>
        <v>2.2612988365371604E-3</v>
      </c>
      <c r="F447" s="23" t="e">
        <f>IF(B447=1997, 100, IF(COUNTIF(A$1:A446,A447)=0, "NEW", F446*(1+Table15[[#This Row],[Ávöxtun]])))</f>
        <v>#VALUE!</v>
      </c>
      <c r="G447" s="18" t="str" cm="1">
        <f t="array" ref="G447">IFERROR(_xlfn.IFS(ISNUMBER(Table15[[#This Row],[Column3]]),Table15[[#This Row],[Column3]],Table15[[#This Row],[Column3]]="NEW",Table15[[#This Row],[Column3]]),"")</f>
        <v/>
      </c>
      <c r="H447" s="15" cm="1">
        <f t="array" ref="H447">_xlfn.IFS(Table15[[#This Row],[Column4]]="NEW",AVERAGEIFS(Table15[Column4],Table15[Year],Table15[[#This Row],[Year]]),ISNUMBER(Table15[[#This Row],[Column4]]),Table15[[#This Row],[Column4]],Table15[[#This Row],[Column4]]="",H446*(1+Table15[[#This Row],[Ávöxtun]]))</f>
        <v>290.78541615319779</v>
      </c>
      <c r="I447" s="30" cm="1">
        <f t="array" ref="I447">_xlfn.IFS(Table15[[#This Row],[Column4]]="NEW",_xlfn.XLOOKUP(Table15[[#This Row],[Year]]-1,$N$2:$N$27,$P$2:$P$27)*(1+Table15[[#This Row],[Ávöxtun]]),ISNUMBER(Table15[[#This Row],[Column4]]),Table15[[#This Row],[Column4]],Table15[[#This Row],[Column4]]="",I446*(1+Table15[[#This Row],[Ávöxtun]]))</f>
        <v>272.51113972460649</v>
      </c>
      <c r="L447" s="33">
        <v>290.78541615319779</v>
      </c>
      <c r="M447" s="33">
        <v>314.38686091661907</v>
      </c>
    </row>
    <row r="448" spans="1:13">
      <c r="A448" t="s">
        <v>106</v>
      </c>
      <c r="B448">
        <v>2015</v>
      </c>
      <c r="C448" s="16">
        <v>0.127</v>
      </c>
      <c r="D448" s="1">
        <v>67783235</v>
      </c>
      <c r="E448" s="29">
        <f>Table15[[#This Row],[Ávöxtun]]*Table15[[#This Row],[Eignir]]/SUMIFS(Table15[Eignir],Table15[Year],Table15[[#This Row],[Year]])</f>
        <v>2.9069136656448688E-3</v>
      </c>
      <c r="F448" s="23" t="e">
        <f>IF(B448=1997, 100, IF(COUNTIF(A$1:A447,A448)=0, "NEW", F447*(1+Table15[[#This Row],[Ávöxtun]])))</f>
        <v>#VALUE!</v>
      </c>
      <c r="G448" s="18" t="str" cm="1">
        <f t="array" ref="G448">IFERROR(_xlfn.IFS(ISNUMBER(Table15[[#This Row],[Column3]]),Table15[[#This Row],[Column3]],Table15[[#This Row],[Column3]]="NEW",Table15[[#This Row],[Column3]]),"")</f>
        <v/>
      </c>
      <c r="H448" s="15" cm="1">
        <f t="array" ref="H448">_xlfn.IFS(Table15[[#This Row],[Column4]]="NEW",AVERAGEIFS(Table15[Column4],Table15[Year],Table15[[#This Row],[Year]]),ISNUMBER(Table15[[#This Row],[Column4]]),Table15[[#This Row],[Column4]],Table15[[#This Row],[Column4]]="",H447*(1+Table15[[#This Row],[Ávöxtun]]))</f>
        <v>327.7151640046539</v>
      </c>
      <c r="I448" s="30" cm="1">
        <f t="array" ref="I448">_xlfn.IFS(Table15[[#This Row],[Column4]]="NEW",_xlfn.XLOOKUP(Table15[[#This Row],[Year]]-1,$N$2:$N$27,$P$2:$P$27)*(1+Table15[[#This Row],[Ávöxtun]]),ISNUMBER(Table15[[#This Row],[Column4]]),Table15[[#This Row],[Column4]],Table15[[#This Row],[Column4]]="",I447*(1+Table15[[#This Row],[Ávöxtun]]))</f>
        <v>307.1200544696315</v>
      </c>
      <c r="L448" s="33">
        <v>327.7151640046539</v>
      </c>
      <c r="M448" s="33">
        <v>354.31399225302971</v>
      </c>
    </row>
    <row r="449" spans="1:13">
      <c r="A449" t="s">
        <v>106</v>
      </c>
      <c r="B449">
        <v>2016</v>
      </c>
      <c r="C449" s="16">
        <v>3.2000000000000001E-2</v>
      </c>
      <c r="D449" s="1">
        <v>71260086.609999999</v>
      </c>
      <c r="E449" s="29">
        <f>Table15[[#This Row],[Ávöxtun]]*Table15[[#This Row],[Eignir]]/SUMIFS(Table15[Eignir],Table15[Year],Table15[[#This Row],[Year]])</f>
        <v>7.125904761322528E-4</v>
      </c>
      <c r="F449" s="23" t="e">
        <f>IF(B449=1997, 100, IF(COUNTIF(A$1:A448,A449)=0, "NEW", F448*(1+Table15[[#This Row],[Ávöxtun]])))</f>
        <v>#VALUE!</v>
      </c>
      <c r="G449" s="18" t="str" cm="1">
        <f t="array" ref="G449">IFERROR(_xlfn.IFS(ISNUMBER(Table15[[#This Row],[Column3]]),Table15[[#This Row],[Column3]],Table15[[#This Row],[Column3]]="NEW",Table15[[#This Row],[Column3]]),"")</f>
        <v/>
      </c>
      <c r="H449" s="15" cm="1">
        <f t="array" ref="H449">_xlfn.IFS(Table15[[#This Row],[Column4]]="NEW",AVERAGEIFS(Table15[Column4],Table15[Year],Table15[[#This Row],[Year]]),ISNUMBER(Table15[[#This Row],[Column4]]),Table15[[#This Row],[Column4]],Table15[[#This Row],[Column4]]="",H448*(1+Table15[[#This Row],[Ávöxtun]]))</f>
        <v>338.20204925280285</v>
      </c>
      <c r="I449" s="30" cm="1">
        <f t="array" ref="I449">_xlfn.IFS(Table15[[#This Row],[Column4]]="NEW",_xlfn.XLOOKUP(Table15[[#This Row],[Year]]-1,$N$2:$N$27,$P$2:$P$27)*(1+Table15[[#This Row],[Ávöxtun]]),ISNUMBER(Table15[[#This Row],[Column4]]),Table15[[#This Row],[Column4]],Table15[[#This Row],[Column4]]="",I448*(1+Table15[[#This Row],[Ávöxtun]]))</f>
        <v>316.94789621265971</v>
      </c>
      <c r="L449" s="33">
        <v>338.20204925280285</v>
      </c>
      <c r="M449" s="33">
        <v>365.65204000512665</v>
      </c>
    </row>
    <row r="450" spans="1:13">
      <c r="A450" t="s">
        <v>106</v>
      </c>
      <c r="B450">
        <v>2017</v>
      </c>
      <c r="C450" s="16">
        <v>7.9000000000000001E-2</v>
      </c>
      <c r="D450" s="1">
        <v>74695853</v>
      </c>
      <c r="E450" s="29">
        <f>Table15[[#This Row],[Ávöxtun]]*Table15[[#This Row],[Eignir]]/SUMIFS(Table15[Eignir],Table15[Year],Table15[[#This Row],[Year]])</f>
        <v>1.6579717732072574E-3</v>
      </c>
      <c r="F450" s="23" t="e">
        <f>IF(B450=1997, 100, IF(COUNTIF(A$1:A449,A450)=0, "NEW", F449*(1+Table15[[#This Row],[Ávöxtun]])))</f>
        <v>#VALUE!</v>
      </c>
      <c r="G450" s="18" t="str" cm="1">
        <f t="array" ref="G450">IFERROR(_xlfn.IFS(ISNUMBER(Table15[[#This Row],[Column3]]),Table15[[#This Row],[Column3]],Table15[[#This Row],[Column3]]="NEW",Table15[[#This Row],[Column3]]),"")</f>
        <v/>
      </c>
      <c r="H450" s="15" cm="1">
        <f t="array" ref="H450">_xlfn.IFS(Table15[[#This Row],[Column4]]="NEW",AVERAGEIFS(Table15[Column4],Table15[Year],Table15[[#This Row],[Year]]),ISNUMBER(Table15[[#This Row],[Column4]]),Table15[[#This Row],[Column4]],Table15[[#This Row],[Column4]]="",H449*(1+Table15[[#This Row],[Ávöxtun]]))</f>
        <v>364.92001114377427</v>
      </c>
      <c r="I450" s="30" cm="1">
        <f t="array" ref="I450">_xlfn.IFS(Table15[[#This Row],[Column4]]="NEW",_xlfn.XLOOKUP(Table15[[#This Row],[Year]]-1,$N$2:$N$27,$P$2:$P$27)*(1+Table15[[#This Row],[Ávöxtun]]),ISNUMBER(Table15[[#This Row],[Column4]]),Table15[[#This Row],[Column4]],Table15[[#This Row],[Column4]]="",I449*(1+Table15[[#This Row],[Ávöxtun]]))</f>
        <v>341.98678001345979</v>
      </c>
      <c r="L450" s="33">
        <v>364.92001114377427</v>
      </c>
      <c r="M450" s="33">
        <v>394.53855116553166</v>
      </c>
    </row>
    <row r="451" spans="1:13">
      <c r="A451" t="s">
        <v>106</v>
      </c>
      <c r="B451">
        <v>2018</v>
      </c>
      <c r="C451" s="16">
        <v>5.2000000000000005E-2</v>
      </c>
      <c r="D451" s="1">
        <v>78395142</v>
      </c>
      <c r="E451" s="29">
        <f>Table15[[#This Row],[Ávöxtun]]*Table15[[#This Row],[Eignir]]/SUMIFS(Table15[Eignir],Table15[Year],Table15[[#This Row],[Year]])</f>
        <v>1.0676289785900807E-3</v>
      </c>
      <c r="F451" s="23" t="e">
        <f>IF(B451=1997, 100, IF(COUNTIF(A$1:A450,A451)=0, "NEW", F450*(1+Table15[[#This Row],[Ávöxtun]])))</f>
        <v>#VALUE!</v>
      </c>
      <c r="G451" s="18" t="str" cm="1">
        <f t="array" ref="G451">IFERROR(_xlfn.IFS(ISNUMBER(Table15[[#This Row],[Column3]]),Table15[[#This Row],[Column3]],Table15[[#This Row],[Column3]]="NEW",Table15[[#This Row],[Column3]]),"")</f>
        <v/>
      </c>
      <c r="H451" s="15" cm="1">
        <f t="array" ref="H451">_xlfn.IFS(Table15[[#This Row],[Column4]]="NEW",AVERAGEIFS(Table15[Column4],Table15[Year],Table15[[#This Row],[Year]]),ISNUMBER(Table15[[#This Row],[Column4]]),Table15[[#This Row],[Column4]],Table15[[#This Row],[Column4]]="",H450*(1+Table15[[#This Row],[Ávöxtun]]))</f>
        <v>383.89585172325053</v>
      </c>
      <c r="I451" s="30" cm="1">
        <f t="array" ref="I451">_xlfn.IFS(Table15[[#This Row],[Column4]]="NEW",_xlfn.XLOOKUP(Table15[[#This Row],[Year]]-1,$N$2:$N$27,$P$2:$P$27)*(1+Table15[[#This Row],[Ávöxtun]]),ISNUMBER(Table15[[#This Row],[Column4]]),Table15[[#This Row],[Column4]],Table15[[#This Row],[Column4]]="",I450*(1+Table15[[#This Row],[Ávöxtun]]))</f>
        <v>359.77009257415972</v>
      </c>
      <c r="L451" s="33">
        <v>383.89585172325053</v>
      </c>
      <c r="M451" s="33">
        <v>415.05455582613934</v>
      </c>
    </row>
    <row r="452" spans="1:13">
      <c r="A452" t="s">
        <v>106</v>
      </c>
      <c r="B452">
        <v>2019</v>
      </c>
      <c r="C452" s="16">
        <v>0.122</v>
      </c>
      <c r="D452" s="1">
        <v>84401813</v>
      </c>
      <c r="E452" s="29">
        <f>Table15[[#This Row],[Ávöxtun]]*Table15[[#This Row],[Eignir]]/SUMIFS(Table15[Eignir],Table15[Year],Table15[[#This Row],[Year]])</f>
        <v>2.3260226885059229E-3</v>
      </c>
      <c r="F452" s="23" t="e">
        <f>IF(B452=1997, 100, IF(COUNTIF(A$1:A451,A452)=0, "NEW", F451*(1+Table15[[#This Row],[Ávöxtun]])))</f>
        <v>#VALUE!</v>
      </c>
      <c r="G452" s="18" t="str" cm="1">
        <f t="array" ref="G452">IFERROR(_xlfn.IFS(ISNUMBER(Table15[[#This Row],[Column3]]),Table15[[#This Row],[Column3]],Table15[[#This Row],[Column3]]="NEW",Table15[[#This Row],[Column3]]),"")</f>
        <v/>
      </c>
      <c r="H452" s="15" cm="1">
        <f t="array" ref="H452">_xlfn.IFS(Table15[[#This Row],[Column4]]="NEW",AVERAGEIFS(Table15[Column4],Table15[Year],Table15[[#This Row],[Year]]),ISNUMBER(Table15[[#This Row],[Column4]]),Table15[[#This Row],[Column4]],Table15[[#This Row],[Column4]]="",H451*(1+Table15[[#This Row],[Ávöxtun]]))</f>
        <v>430.73114563348707</v>
      </c>
      <c r="I452" s="30" cm="1">
        <f t="array" ref="I452">_xlfn.IFS(Table15[[#This Row],[Column4]]="NEW",_xlfn.XLOOKUP(Table15[[#This Row],[Year]]-1,$N$2:$N$27,$P$2:$P$27)*(1+Table15[[#This Row],[Ávöxtun]]),ISNUMBER(Table15[[#This Row],[Column4]]),Table15[[#This Row],[Column4]],Table15[[#This Row],[Column4]]="",I451*(1+Table15[[#This Row],[Ávöxtun]]))</f>
        <v>403.66204386820715</v>
      </c>
      <c r="L452" s="33">
        <v>430.73114563348707</v>
      </c>
      <c r="M452" s="33">
        <v>465.6912116369283</v>
      </c>
    </row>
    <row r="453" spans="1:13">
      <c r="A453" t="s">
        <v>106</v>
      </c>
      <c r="B453">
        <v>2020</v>
      </c>
      <c r="C453" s="16">
        <v>0.1125</v>
      </c>
      <c r="D453" s="1">
        <v>91356989</v>
      </c>
      <c r="E453" s="29">
        <f>Table15[[#This Row],[Ávöxtun]]*Table15[[#This Row],[Eignir]]/SUMIFS(Table15[Eignir],Table15[Year],Table15[[#This Row],[Year]])</f>
        <v>2.0008632209561296E-3</v>
      </c>
      <c r="F453" s="23" t="e">
        <f>IF(B453=1997, 100, IF(COUNTIF(A$1:A452,A453)=0, "NEW", F452*(1+Table15[[#This Row],[Ávöxtun]])))</f>
        <v>#VALUE!</v>
      </c>
      <c r="G453" s="18" t="str" cm="1">
        <f t="array" ref="G453">IFERROR(_xlfn.IFS(ISNUMBER(Table15[[#This Row],[Column3]]),Table15[[#This Row],[Column3]],Table15[[#This Row],[Column3]]="NEW",Table15[[#This Row],[Column3]]),"")</f>
        <v/>
      </c>
      <c r="H453" s="15" cm="1">
        <f t="array" ref="H453">_xlfn.IFS(Table15[[#This Row],[Column4]]="NEW",AVERAGEIFS(Table15[Column4],Table15[Year],Table15[[#This Row],[Year]]),ISNUMBER(Table15[[#This Row],[Column4]]),Table15[[#This Row],[Column4]],Table15[[#This Row],[Column4]]="",H452*(1+Table15[[#This Row],[Ávöxtun]]))</f>
        <v>479.18839951725437</v>
      </c>
      <c r="I453" s="30" cm="1">
        <f t="array" ref="I453">_xlfn.IFS(Table15[[#This Row],[Column4]]="NEW",_xlfn.XLOOKUP(Table15[[#This Row],[Year]]-1,$N$2:$N$27,$P$2:$P$27)*(1+Table15[[#This Row],[Ávöxtun]]),ISNUMBER(Table15[[#This Row],[Column4]]),Table15[[#This Row],[Column4]],Table15[[#This Row],[Column4]]="",I452*(1+Table15[[#This Row],[Ávöxtun]]))</f>
        <v>449.0740238033805</v>
      </c>
      <c r="L453" s="33">
        <v>479.18839951725437</v>
      </c>
      <c r="M453" s="33">
        <v>518.08147294608273</v>
      </c>
    </row>
    <row r="454" spans="1:13">
      <c r="A454" t="s">
        <v>106</v>
      </c>
      <c r="B454">
        <v>2021</v>
      </c>
      <c r="C454" s="16">
        <v>0.14929999999999999</v>
      </c>
      <c r="D454" s="1">
        <v>101903909</v>
      </c>
      <c r="E454" s="29">
        <f>Table15[[#This Row],[Ávöxtun]]*Table15[[#This Row],[Eignir]]/SUMIFS(Table15[Eignir],Table15[Year],Table15[[#This Row],[Year]])</f>
        <v>2.5191254438968838E-3</v>
      </c>
      <c r="F454" s="23" t="e">
        <f>IF(B454=1997, 100, IF(COUNTIF(A$1:A453,A454)=0, "NEW", F453*(1+Table15[[#This Row],[Ávöxtun]])))</f>
        <v>#VALUE!</v>
      </c>
      <c r="G454" s="18" t="str" cm="1">
        <f t="array" ref="G454">IFERROR(_xlfn.IFS(ISNUMBER(Table15[[#This Row],[Column3]]),Table15[[#This Row],[Column3]],Table15[[#This Row],[Column3]]="NEW",Table15[[#This Row],[Column3]]),"")</f>
        <v/>
      </c>
      <c r="H454" s="15" cm="1">
        <f t="array" ref="H454">_xlfn.IFS(Table15[[#This Row],[Column4]]="NEW",AVERAGEIFS(Table15[Column4],Table15[Year],Table15[[#This Row],[Year]]),ISNUMBER(Table15[[#This Row],[Column4]]),Table15[[#This Row],[Column4]],Table15[[#This Row],[Column4]]="",H453*(1+Table15[[#This Row],[Ávöxtun]]))</f>
        <v>550.73122756518046</v>
      </c>
      <c r="I454" s="30" cm="1">
        <f t="array" ref="I454">_xlfn.IFS(Table15[[#This Row],[Column4]]="NEW",_xlfn.XLOOKUP(Table15[[#This Row],[Year]]-1,$N$2:$N$27,$P$2:$P$27)*(1+Table15[[#This Row],[Ávöxtun]]),ISNUMBER(Table15[[#This Row],[Column4]]),Table15[[#This Row],[Column4]],Table15[[#This Row],[Column4]]="",I453*(1+Table15[[#This Row],[Ávöxtun]]))</f>
        <v>516.12077555722522</v>
      </c>
      <c r="L454" s="33">
        <v>550.73122756518046</v>
      </c>
      <c r="M454" s="33">
        <v>595.43103685693291</v>
      </c>
    </row>
    <row r="455" spans="1:13">
      <c r="A455" t="s">
        <v>107</v>
      </c>
      <c r="B455">
        <v>1997</v>
      </c>
      <c r="C455" s="16">
        <v>0.06</v>
      </c>
      <c r="D455" s="1">
        <v>1116343.43</v>
      </c>
      <c r="E455" s="29">
        <f>Table15[[#This Row],[Ávöxtun]]*Table15[[#This Row],[Eignir]]/SUMIFS(Table15[Eignir],Table15[Year],Table15[[#This Row],[Year]])</f>
        <v>1.975681389594387E-4</v>
      </c>
      <c r="F455" s="23">
        <f>IF(B455=1997, 100, IF(COUNTIF(A$1:A454,A455)=0, "NEW", F454*(1+Table15[[#This Row],[Ávöxtun]])))</f>
        <v>100</v>
      </c>
      <c r="G455" s="18" cm="1">
        <f t="array" ref="G455">IFERROR(_xlfn.IFS(ISNUMBER(Table15[[#This Row],[Column3]]),Table15[[#This Row],[Column3]],Table15[[#This Row],[Column3]]="NEW",Table15[[#This Row],[Column3]]),"")</f>
        <v>100</v>
      </c>
      <c r="H455" s="15" cm="1">
        <f t="array" ref="H455">_xlfn.IFS(Table15[[#This Row],[Column4]]="NEW",AVERAGEIFS(Table15[Column4],Table15[Year],Table15[[#This Row],[Year]]),ISNUMBER(Table15[[#This Row],[Column4]]),Table15[[#This Row],[Column4]],Table15[[#This Row],[Column4]]="",H454*(1+Table15[[#This Row],[Ávöxtun]]))</f>
        <v>100</v>
      </c>
      <c r="I455" s="30" cm="1">
        <f t="array" ref="I455">_xlfn.IFS(Table15[[#This Row],[Column4]]="NEW",_xlfn.XLOOKUP(Table15[[#This Row],[Year]]-1,$N$2:$N$27,$P$2:$P$27)*(1+Table15[[#This Row],[Ávöxtun]]),ISNUMBER(Table15[[#This Row],[Column4]]),Table15[[#This Row],[Column4]],Table15[[#This Row],[Column4]]="",I454*(1+Table15[[#This Row],[Ávöxtun]]))</f>
        <v>100</v>
      </c>
      <c r="L455" s="33">
        <v>100</v>
      </c>
      <c r="M455" s="33">
        <v>100</v>
      </c>
    </row>
    <row r="456" spans="1:13">
      <c r="A456" t="s">
        <v>107</v>
      </c>
      <c r="B456">
        <v>1998</v>
      </c>
      <c r="C456" s="16">
        <v>0.11</v>
      </c>
      <c r="D456" s="1">
        <v>1309344.56</v>
      </c>
      <c r="E456" s="29">
        <f>Table15[[#This Row],[Ávöxtun]]*Table15[[#This Row],[Eignir]]/SUMIFS(Table15[Eignir],Table15[Year],Table15[[#This Row],[Year]])</f>
        <v>3.6776063017067678E-4</v>
      </c>
      <c r="F456" s="23">
        <f>IF(B456=1997, 100, IF(COUNTIF(A$1:A455,A456)=0, "NEW", F455*(1+Table15[[#This Row],[Ávöxtun]])))</f>
        <v>111.00000000000001</v>
      </c>
      <c r="G456" s="18" cm="1">
        <f t="array" ref="G456">IFERROR(_xlfn.IFS(ISNUMBER(Table15[[#This Row],[Column3]]),Table15[[#This Row],[Column3]],Table15[[#This Row],[Column3]]="NEW",Table15[[#This Row],[Column3]]),"")</f>
        <v>111.00000000000001</v>
      </c>
      <c r="H456" s="15" cm="1">
        <f t="array" ref="H456">_xlfn.IFS(Table15[[#This Row],[Column4]]="NEW",AVERAGEIFS(Table15[Column4],Table15[Year],Table15[[#This Row],[Year]]),ISNUMBER(Table15[[#This Row],[Column4]]),Table15[[#This Row],[Column4]],Table15[[#This Row],[Column4]]="",H455*(1+Table15[[#This Row],[Ávöxtun]]))</f>
        <v>111.00000000000001</v>
      </c>
      <c r="I456" s="30" cm="1">
        <f t="array" ref="I456">_xlfn.IFS(Table15[[#This Row],[Column4]]="NEW",_xlfn.XLOOKUP(Table15[[#This Row],[Year]]-1,$N$2:$N$27,$P$2:$P$27)*(1+Table15[[#This Row],[Ávöxtun]]),ISNUMBER(Table15[[#This Row],[Column4]]),Table15[[#This Row],[Column4]],Table15[[#This Row],[Column4]]="",I455*(1+Table15[[#This Row],[Ávöxtun]]))</f>
        <v>111.00000000000001</v>
      </c>
      <c r="L456" s="33">
        <v>111.00000000000001</v>
      </c>
      <c r="M456" s="33">
        <v>111.00000000000001</v>
      </c>
    </row>
    <row r="457" spans="1:13">
      <c r="A457" t="s">
        <v>107</v>
      </c>
      <c r="B457">
        <v>1999</v>
      </c>
      <c r="C457" s="16">
        <v>0.06</v>
      </c>
      <c r="D457" s="1">
        <v>1536501.38</v>
      </c>
      <c r="E457" s="29">
        <f>Table15[[#This Row],[Ávöxtun]]*Table15[[#This Row],[Eignir]]/SUMIFS(Table15[Eignir],Table15[Year],Table15[[#This Row],[Year]])</f>
        <v>1.7704461028123235E-4</v>
      </c>
      <c r="F457" s="23">
        <f>IF(B457=1997, 100, IF(COUNTIF(A$1:A456,A457)=0, "NEW", F456*(1+Table15[[#This Row],[Ávöxtun]])))</f>
        <v>117.66000000000003</v>
      </c>
      <c r="G457" s="18" cm="1">
        <f t="array" ref="G457">IFERROR(_xlfn.IFS(ISNUMBER(Table15[[#This Row],[Column3]]),Table15[[#This Row],[Column3]],Table15[[#This Row],[Column3]]="NEW",Table15[[#This Row],[Column3]]),"")</f>
        <v>117.66000000000003</v>
      </c>
      <c r="H457" s="15" cm="1">
        <f t="array" ref="H457">_xlfn.IFS(Table15[[#This Row],[Column4]]="NEW",AVERAGEIFS(Table15[Column4],Table15[Year],Table15[[#This Row],[Year]]),ISNUMBER(Table15[[#This Row],[Column4]]),Table15[[#This Row],[Column4]],Table15[[#This Row],[Column4]]="",H456*(1+Table15[[#This Row],[Ávöxtun]]))</f>
        <v>117.66000000000003</v>
      </c>
      <c r="I457" s="30" cm="1">
        <f t="array" ref="I457">_xlfn.IFS(Table15[[#This Row],[Column4]]="NEW",_xlfn.XLOOKUP(Table15[[#This Row],[Year]]-1,$N$2:$N$27,$P$2:$P$27)*(1+Table15[[#This Row],[Ávöxtun]]),ISNUMBER(Table15[[#This Row],[Column4]]),Table15[[#This Row],[Column4]],Table15[[#This Row],[Column4]]="",I456*(1+Table15[[#This Row],[Ávöxtun]]))</f>
        <v>117.66000000000003</v>
      </c>
      <c r="L457" s="33">
        <v>117.66000000000003</v>
      </c>
      <c r="M457" s="33">
        <v>117.66000000000003</v>
      </c>
    </row>
    <row r="458" spans="1:13">
      <c r="A458" t="s">
        <v>94</v>
      </c>
      <c r="B458">
        <v>1997</v>
      </c>
      <c r="C458" s="16">
        <v>0.06</v>
      </c>
      <c r="D458" s="1">
        <v>1539299.63</v>
      </c>
      <c r="E458" s="29">
        <f>Table15[[#This Row],[Ávöxtun]]*Table15[[#This Row],[Eignir]]/SUMIFS(Table15[Eignir],Table15[Year],Table15[[#This Row],[Year]])</f>
        <v>2.7242204775644406E-4</v>
      </c>
      <c r="F458" s="23">
        <f>IF(B458=1997, 100, IF(COUNTIF(A$1:A457,A458)=0, "NEW", F457*(1+Table15[[#This Row],[Ávöxtun]])))</f>
        <v>100</v>
      </c>
      <c r="G458" s="18" cm="1">
        <f t="array" ref="G458">IFERROR(_xlfn.IFS(ISNUMBER(Table15[[#This Row],[Column3]]),Table15[[#This Row],[Column3]],Table15[[#This Row],[Column3]]="NEW",Table15[[#This Row],[Column3]]),"")</f>
        <v>100</v>
      </c>
      <c r="H458" s="15" cm="1">
        <f t="array" ref="H458">_xlfn.IFS(Table15[[#This Row],[Column4]]="NEW",AVERAGEIFS(Table15[Column4],Table15[Year],Table15[[#This Row],[Year]]),ISNUMBER(Table15[[#This Row],[Column4]]),Table15[[#This Row],[Column4]],Table15[[#This Row],[Column4]]="",H457*(1+Table15[[#This Row],[Ávöxtun]]))</f>
        <v>100</v>
      </c>
      <c r="I458" s="30" cm="1">
        <f t="array" ref="I458">_xlfn.IFS(Table15[[#This Row],[Column4]]="NEW",_xlfn.XLOOKUP(Table15[[#This Row],[Year]]-1,$N$2:$N$27,$P$2:$P$27)*(1+Table15[[#This Row],[Ávöxtun]]),ISNUMBER(Table15[[#This Row],[Column4]]),Table15[[#This Row],[Column4]],Table15[[#This Row],[Column4]]="",I457*(1+Table15[[#This Row],[Ávöxtun]]))</f>
        <v>100</v>
      </c>
      <c r="L458" s="33">
        <v>100</v>
      </c>
      <c r="M458" s="33">
        <v>100</v>
      </c>
    </row>
    <row r="459" spans="1:13">
      <c r="A459" t="s">
        <v>94</v>
      </c>
      <c r="B459">
        <v>1998</v>
      </c>
      <c r="C459" s="16">
        <v>7.0000000000000007E-2</v>
      </c>
      <c r="D459" s="1">
        <v>1695187.81</v>
      </c>
      <c r="E459" s="29">
        <f>Table15[[#This Row],[Ávöxtun]]*Table15[[#This Row],[Eignir]]/SUMIFS(Table15[Eignir],Table15[Year],Table15[[#This Row],[Year]])</f>
        <v>3.0299430265689201E-4</v>
      </c>
      <c r="F459" s="23">
        <f>IF(B459=1997, 100, IF(COUNTIF(A$1:A458,A459)=0, "NEW", F458*(1+Table15[[#This Row],[Ávöxtun]])))</f>
        <v>107</v>
      </c>
      <c r="G459" s="18" cm="1">
        <f t="array" ref="G459">IFERROR(_xlfn.IFS(ISNUMBER(Table15[[#This Row],[Column3]]),Table15[[#This Row],[Column3]],Table15[[#This Row],[Column3]]="NEW",Table15[[#This Row],[Column3]]),"")</f>
        <v>107</v>
      </c>
      <c r="H459" s="15" cm="1">
        <f t="array" ref="H459">_xlfn.IFS(Table15[[#This Row],[Column4]]="NEW",AVERAGEIFS(Table15[Column4],Table15[Year],Table15[[#This Row],[Year]]),ISNUMBER(Table15[[#This Row],[Column4]]),Table15[[#This Row],[Column4]],Table15[[#This Row],[Column4]]="",H458*(1+Table15[[#This Row],[Ávöxtun]]))</f>
        <v>107</v>
      </c>
      <c r="I459" s="30" cm="1">
        <f t="array" ref="I459">_xlfn.IFS(Table15[[#This Row],[Column4]]="NEW",_xlfn.XLOOKUP(Table15[[#This Row],[Year]]-1,$N$2:$N$27,$P$2:$P$27)*(1+Table15[[#This Row],[Ávöxtun]]),ISNUMBER(Table15[[#This Row],[Column4]]),Table15[[#This Row],[Column4]],Table15[[#This Row],[Column4]]="",I458*(1+Table15[[#This Row],[Ávöxtun]]))</f>
        <v>107</v>
      </c>
      <c r="L459" s="33">
        <v>107</v>
      </c>
      <c r="M459" s="33">
        <v>107</v>
      </c>
    </row>
    <row r="460" spans="1:13">
      <c r="A460" t="s">
        <v>94</v>
      </c>
      <c r="B460">
        <v>1999</v>
      </c>
      <c r="C460" s="16">
        <v>0.1</v>
      </c>
      <c r="D460" s="1">
        <v>1943546.67</v>
      </c>
      <c r="E460" s="29">
        <f>Table15[[#This Row],[Ávöxtun]]*Table15[[#This Row],[Eignir]]/SUMIFS(Table15[Eignir],Table15[Year],Table15[[#This Row],[Year]])</f>
        <v>3.7324455332145225E-4</v>
      </c>
      <c r="F460" s="23">
        <f>IF(B460=1997, 100, IF(COUNTIF(A$1:A459,A460)=0, "NEW", F459*(1+Table15[[#This Row],[Ávöxtun]])))</f>
        <v>117.7</v>
      </c>
      <c r="G460" s="18" cm="1">
        <f t="array" ref="G460">IFERROR(_xlfn.IFS(ISNUMBER(Table15[[#This Row],[Column3]]),Table15[[#This Row],[Column3]],Table15[[#This Row],[Column3]]="NEW",Table15[[#This Row],[Column3]]),"")</f>
        <v>117.7</v>
      </c>
      <c r="H460" s="15" cm="1">
        <f t="array" ref="H460">_xlfn.IFS(Table15[[#This Row],[Column4]]="NEW",AVERAGEIFS(Table15[Column4],Table15[Year],Table15[[#This Row],[Year]]),ISNUMBER(Table15[[#This Row],[Column4]]),Table15[[#This Row],[Column4]],Table15[[#This Row],[Column4]]="",H459*(1+Table15[[#This Row],[Ávöxtun]]))</f>
        <v>117.7</v>
      </c>
      <c r="I460" s="30" cm="1">
        <f t="array" ref="I460">_xlfn.IFS(Table15[[#This Row],[Column4]]="NEW",_xlfn.XLOOKUP(Table15[[#This Row],[Year]]-1,$N$2:$N$27,$P$2:$P$27)*(1+Table15[[#This Row],[Ávöxtun]]),ISNUMBER(Table15[[#This Row],[Column4]]),Table15[[#This Row],[Column4]],Table15[[#This Row],[Column4]]="",I459*(1+Table15[[#This Row],[Ávöxtun]]))</f>
        <v>117.7</v>
      </c>
      <c r="L460" s="33">
        <v>117.7</v>
      </c>
      <c r="M460" s="33">
        <v>117.7</v>
      </c>
    </row>
    <row r="461" spans="1:13">
      <c r="A461" t="s">
        <v>94</v>
      </c>
      <c r="B461">
        <v>2000</v>
      </c>
      <c r="C461" s="16">
        <v>0.02</v>
      </c>
      <c r="D461" s="1">
        <v>2010196.24</v>
      </c>
      <c r="E461" s="29">
        <f>Table15[[#This Row],[Ávöxtun]]*Table15[[#This Row],[Eignir]]/SUMIFS(Table15[Eignir],Table15[Year],Table15[[#This Row],[Year]])</f>
        <v>5.6554377122618338E-5</v>
      </c>
      <c r="F461" s="23">
        <f>IF(B461=1997, 100, IF(COUNTIF(A$1:A460,A461)=0, "NEW", F460*(1+Table15[[#This Row],[Ávöxtun]])))</f>
        <v>120.054</v>
      </c>
      <c r="G461" s="18" cm="1">
        <f t="array" ref="G461">IFERROR(_xlfn.IFS(ISNUMBER(Table15[[#This Row],[Column3]]),Table15[[#This Row],[Column3]],Table15[[#This Row],[Column3]]="NEW",Table15[[#This Row],[Column3]]),"")</f>
        <v>120.054</v>
      </c>
      <c r="H461" s="15" cm="1">
        <f t="array" ref="H461">_xlfn.IFS(Table15[[#This Row],[Column4]]="NEW",AVERAGEIFS(Table15[Column4],Table15[Year],Table15[[#This Row],[Year]]),ISNUMBER(Table15[[#This Row],[Column4]]),Table15[[#This Row],[Column4]],Table15[[#This Row],[Column4]]="",H460*(1+Table15[[#This Row],[Ávöxtun]]))</f>
        <v>120.054</v>
      </c>
      <c r="I461" s="30" cm="1">
        <f t="array" ref="I461">_xlfn.IFS(Table15[[#This Row],[Column4]]="NEW",_xlfn.XLOOKUP(Table15[[#This Row],[Year]]-1,$N$2:$N$27,$P$2:$P$27)*(1+Table15[[#This Row],[Ávöxtun]]),ISNUMBER(Table15[[#This Row],[Column4]]),Table15[[#This Row],[Column4]],Table15[[#This Row],[Column4]]="",I460*(1+Table15[[#This Row],[Ávöxtun]]))</f>
        <v>120.054</v>
      </c>
      <c r="L461" s="33">
        <v>120.054</v>
      </c>
      <c r="M461" s="33">
        <v>120.054</v>
      </c>
    </row>
    <row r="462" spans="1:13">
      <c r="A462" t="s">
        <v>94</v>
      </c>
      <c r="B462">
        <v>2001</v>
      </c>
      <c r="C462" s="16">
        <v>0.01</v>
      </c>
      <c r="D462" s="1">
        <v>2106773</v>
      </c>
      <c r="E462" s="29">
        <f>Table15[[#This Row],[Ávöxtun]]*Table15[[#This Row],[Eignir]]/SUMIFS(Table15[Eignir],Table15[Year],Table15[[#This Row],[Year]])</f>
        <v>1.8194527952776822E-5</v>
      </c>
      <c r="F462" s="23">
        <f>IF(B462=1997, 100, IF(COUNTIF(A$1:A461,A462)=0, "NEW", F461*(1+Table15[[#This Row],[Ávöxtun]])))</f>
        <v>121.25454000000001</v>
      </c>
      <c r="G462" s="18" cm="1">
        <f t="array" ref="G462">IFERROR(_xlfn.IFS(ISNUMBER(Table15[[#This Row],[Column3]]),Table15[[#This Row],[Column3]],Table15[[#This Row],[Column3]]="NEW",Table15[[#This Row],[Column3]]),"")</f>
        <v>121.25454000000001</v>
      </c>
      <c r="H462" s="15" cm="1">
        <f t="array" ref="H462">_xlfn.IFS(Table15[[#This Row],[Column4]]="NEW",AVERAGEIFS(Table15[Column4],Table15[Year],Table15[[#This Row],[Year]]),ISNUMBER(Table15[[#This Row],[Column4]]),Table15[[#This Row],[Column4]],Table15[[#This Row],[Column4]]="",H461*(1+Table15[[#This Row],[Ávöxtun]]))</f>
        <v>121.25454000000001</v>
      </c>
      <c r="I462" s="30" cm="1">
        <f t="array" ref="I462">_xlfn.IFS(Table15[[#This Row],[Column4]]="NEW",_xlfn.XLOOKUP(Table15[[#This Row],[Year]]-1,$N$2:$N$27,$P$2:$P$27)*(1+Table15[[#This Row],[Ávöxtun]]),ISNUMBER(Table15[[#This Row],[Column4]]),Table15[[#This Row],[Column4]],Table15[[#This Row],[Column4]]="",I461*(1+Table15[[#This Row],[Ávöxtun]]))</f>
        <v>121.25454000000001</v>
      </c>
      <c r="L462" s="33">
        <v>121.25454000000001</v>
      </c>
      <c r="M462" s="33">
        <v>121.25454000000001</v>
      </c>
    </row>
    <row r="463" spans="1:13">
      <c r="A463" t="s">
        <v>94</v>
      </c>
      <c r="B463">
        <v>2002</v>
      </c>
      <c r="C463" s="16">
        <v>0.03</v>
      </c>
      <c r="D463" s="1">
        <v>2110670</v>
      </c>
      <c r="E463" s="29">
        <f>Table15[[#This Row],[Ávöxtun]]*Table15[[#This Row],[Eignir]]/SUMIFS(Table15[Eignir],Table15[Year],Table15[[#This Row],[Year]])</f>
        <v>9.9690921579327922E-5</v>
      </c>
      <c r="F463" s="23">
        <f>IF(B463=1997, 100, IF(COUNTIF(A$1:A462,A463)=0, "NEW", F462*(1+Table15[[#This Row],[Ávöxtun]])))</f>
        <v>124.89217620000001</v>
      </c>
      <c r="G463" s="18" cm="1">
        <f t="array" ref="G463">IFERROR(_xlfn.IFS(ISNUMBER(Table15[[#This Row],[Column3]]),Table15[[#This Row],[Column3]],Table15[[#This Row],[Column3]]="NEW",Table15[[#This Row],[Column3]]),"")</f>
        <v>124.89217620000001</v>
      </c>
      <c r="H463" s="15" cm="1">
        <f t="array" ref="H463">_xlfn.IFS(Table15[[#This Row],[Column4]]="NEW",AVERAGEIFS(Table15[Column4],Table15[Year],Table15[[#This Row],[Year]]),ISNUMBER(Table15[[#This Row],[Column4]]),Table15[[#This Row],[Column4]],Table15[[#This Row],[Column4]]="",H462*(1+Table15[[#This Row],[Ávöxtun]]))</f>
        <v>124.89217620000001</v>
      </c>
      <c r="I463" s="30" cm="1">
        <f t="array" ref="I463">_xlfn.IFS(Table15[[#This Row],[Column4]]="NEW",_xlfn.XLOOKUP(Table15[[#This Row],[Year]]-1,$N$2:$N$27,$P$2:$P$27)*(1+Table15[[#This Row],[Ávöxtun]]),ISNUMBER(Table15[[#This Row],[Column4]]),Table15[[#This Row],[Column4]],Table15[[#This Row],[Column4]]="",I462*(1+Table15[[#This Row],[Ávöxtun]]))</f>
        <v>124.89217620000001</v>
      </c>
      <c r="L463" s="33">
        <v>124.89217620000001</v>
      </c>
      <c r="M463" s="33">
        <v>124.89217620000001</v>
      </c>
    </row>
    <row r="464" spans="1:13">
      <c r="A464" t="s">
        <v>94</v>
      </c>
      <c r="B464">
        <v>2003</v>
      </c>
      <c r="C464" s="16">
        <v>0.09</v>
      </c>
      <c r="D464" s="1">
        <v>2252809</v>
      </c>
      <c r="E464" s="29">
        <f>Table15[[#This Row],[Ávöxtun]]*Table15[[#This Row],[Eignir]]/SUMIFS(Table15[Eignir],Table15[Year],Table15[[#This Row],[Year]])</f>
        <v>2.6681814186708399E-4</v>
      </c>
      <c r="F464" s="23">
        <f>IF(B464=1997, 100, IF(COUNTIF(A$1:A463,A464)=0, "NEW", F463*(1+Table15[[#This Row],[Ávöxtun]])))</f>
        <v>136.13247205800002</v>
      </c>
      <c r="G464" s="18" cm="1">
        <f t="array" ref="G464">IFERROR(_xlfn.IFS(ISNUMBER(Table15[[#This Row],[Column3]]),Table15[[#This Row],[Column3]],Table15[[#This Row],[Column3]]="NEW",Table15[[#This Row],[Column3]]),"")</f>
        <v>136.13247205800002</v>
      </c>
      <c r="H464" s="15" cm="1">
        <f t="array" ref="H464">_xlfn.IFS(Table15[[#This Row],[Column4]]="NEW",AVERAGEIFS(Table15[Column4],Table15[Year],Table15[[#This Row],[Year]]),ISNUMBER(Table15[[#This Row],[Column4]]),Table15[[#This Row],[Column4]],Table15[[#This Row],[Column4]]="",H463*(1+Table15[[#This Row],[Ávöxtun]]))</f>
        <v>136.13247205800002</v>
      </c>
      <c r="I464" s="30" cm="1">
        <f t="array" ref="I464">_xlfn.IFS(Table15[[#This Row],[Column4]]="NEW",_xlfn.XLOOKUP(Table15[[#This Row],[Year]]-1,$N$2:$N$27,$P$2:$P$27)*(1+Table15[[#This Row],[Ávöxtun]]),ISNUMBER(Table15[[#This Row],[Column4]]),Table15[[#This Row],[Column4]],Table15[[#This Row],[Column4]]="",I463*(1+Table15[[#This Row],[Ávöxtun]]))</f>
        <v>136.13247205800002</v>
      </c>
      <c r="L464" s="33">
        <v>136.13247205800002</v>
      </c>
      <c r="M464" s="33">
        <v>136.13247205800002</v>
      </c>
    </row>
    <row r="465" spans="1:13">
      <c r="A465" t="s">
        <v>94</v>
      </c>
      <c r="B465">
        <v>2004</v>
      </c>
      <c r="C465" s="16">
        <v>0.08</v>
      </c>
      <c r="D465" s="1">
        <v>2420800</v>
      </c>
      <c r="E465" s="29">
        <f>Table15[[#This Row],[Ávöxtun]]*Table15[[#This Row],[Eignir]]/SUMIFS(Table15[Eignir],Table15[Year],Table15[[#This Row],[Year]])</f>
        <v>2.1336378783638846E-4</v>
      </c>
      <c r="F465" s="23">
        <f>IF(B465=1997, 100, IF(COUNTIF(A$1:A464,A465)=0, "NEW", F464*(1+Table15[[#This Row],[Ávöxtun]])))</f>
        <v>147.02306982264002</v>
      </c>
      <c r="G465" s="18" cm="1">
        <f t="array" ref="G465">IFERROR(_xlfn.IFS(ISNUMBER(Table15[[#This Row],[Column3]]),Table15[[#This Row],[Column3]],Table15[[#This Row],[Column3]]="NEW",Table15[[#This Row],[Column3]]),"")</f>
        <v>147.02306982264002</v>
      </c>
      <c r="H465" s="15" cm="1">
        <f t="array" ref="H465">_xlfn.IFS(Table15[[#This Row],[Column4]]="NEW",AVERAGEIFS(Table15[Column4],Table15[Year],Table15[[#This Row],[Year]]),ISNUMBER(Table15[[#This Row],[Column4]]),Table15[[#This Row],[Column4]],Table15[[#This Row],[Column4]]="",H464*(1+Table15[[#This Row],[Ávöxtun]]))</f>
        <v>147.02306982264002</v>
      </c>
      <c r="I465" s="30" cm="1">
        <f t="array" ref="I465">_xlfn.IFS(Table15[[#This Row],[Column4]]="NEW",_xlfn.XLOOKUP(Table15[[#This Row],[Year]]-1,$N$2:$N$27,$P$2:$P$27)*(1+Table15[[#This Row],[Ávöxtun]]),ISNUMBER(Table15[[#This Row],[Column4]]),Table15[[#This Row],[Column4]],Table15[[#This Row],[Column4]]="",I464*(1+Table15[[#This Row],[Ávöxtun]]))</f>
        <v>147.02306982264002</v>
      </c>
      <c r="L465" s="33">
        <v>147.02306982264002</v>
      </c>
      <c r="M465" s="33">
        <v>147.02306982264002</v>
      </c>
    </row>
    <row r="466" spans="1:13">
      <c r="A466" t="s">
        <v>94</v>
      </c>
      <c r="B466">
        <v>2005</v>
      </c>
      <c r="C466" s="16">
        <v>0.09</v>
      </c>
      <c r="D466" s="1">
        <v>2637386</v>
      </c>
      <c r="E466" s="29">
        <f>Table15[[#This Row],[Ávöxtun]]*Table15[[#This Row],[Eignir]]/SUMIFS(Table15[Eignir],Table15[Year],Table15[[#This Row],[Year]])</f>
        <v>2.1167997055759492E-4</v>
      </c>
      <c r="F466" s="23">
        <f>IF(B466=1997, 100, IF(COUNTIF(A$1:A465,A466)=0, "NEW", F465*(1+Table15[[#This Row],[Ávöxtun]])))</f>
        <v>160.25514610667764</v>
      </c>
      <c r="G466" s="18" cm="1">
        <f t="array" ref="G466">IFERROR(_xlfn.IFS(ISNUMBER(Table15[[#This Row],[Column3]]),Table15[[#This Row],[Column3]],Table15[[#This Row],[Column3]]="NEW",Table15[[#This Row],[Column3]]),"")</f>
        <v>160.25514610667764</v>
      </c>
      <c r="H466" s="15" cm="1">
        <f t="array" ref="H466">_xlfn.IFS(Table15[[#This Row],[Column4]]="NEW",AVERAGEIFS(Table15[Column4],Table15[Year],Table15[[#This Row],[Year]]),ISNUMBER(Table15[[#This Row],[Column4]]),Table15[[#This Row],[Column4]],Table15[[#This Row],[Column4]]="",H465*(1+Table15[[#This Row],[Ávöxtun]]))</f>
        <v>160.25514610667764</v>
      </c>
      <c r="I466" s="30" cm="1">
        <f t="array" ref="I466">_xlfn.IFS(Table15[[#This Row],[Column4]]="NEW",_xlfn.XLOOKUP(Table15[[#This Row],[Year]]-1,$N$2:$N$27,$P$2:$P$27)*(1+Table15[[#This Row],[Ávöxtun]]),ISNUMBER(Table15[[#This Row],[Column4]]),Table15[[#This Row],[Column4]],Table15[[#This Row],[Column4]]="",I465*(1+Table15[[#This Row],[Ávöxtun]]))</f>
        <v>160.25514610667764</v>
      </c>
      <c r="L466" s="33">
        <v>160.25514610667764</v>
      </c>
      <c r="M466" s="33">
        <v>160.25514610667764</v>
      </c>
    </row>
    <row r="467" spans="1:13">
      <c r="A467" t="s">
        <v>94</v>
      </c>
      <c r="B467">
        <v>2006</v>
      </c>
      <c r="C467" s="16">
        <v>6.88E-2</v>
      </c>
      <c r="D467" s="1">
        <v>2889366</v>
      </c>
      <c r="E467" s="29">
        <f>Table15[[#This Row],[Ávöxtun]]*Table15[[#This Row],[Eignir]]/SUMIFS(Table15[Eignir],Table15[Year],Table15[[#This Row],[Year]])</f>
        <v>1.4481817481659396E-4</v>
      </c>
      <c r="F467" s="23">
        <f>IF(B467=1997, 100, IF(COUNTIF(A$1:A466,A467)=0, "NEW", F466*(1+Table15[[#This Row],[Ávöxtun]])))</f>
        <v>171.28070015881707</v>
      </c>
      <c r="G467" s="18" cm="1">
        <f t="array" ref="G467">IFERROR(_xlfn.IFS(ISNUMBER(Table15[[#This Row],[Column3]]),Table15[[#This Row],[Column3]],Table15[[#This Row],[Column3]]="NEW",Table15[[#This Row],[Column3]]),"")</f>
        <v>171.28070015881707</v>
      </c>
      <c r="H467" s="15" cm="1">
        <f t="array" ref="H467">_xlfn.IFS(Table15[[#This Row],[Column4]]="NEW",AVERAGEIFS(Table15[Column4],Table15[Year],Table15[[#This Row],[Year]]),ISNUMBER(Table15[[#This Row],[Column4]]),Table15[[#This Row],[Column4]],Table15[[#This Row],[Column4]]="",H466*(1+Table15[[#This Row],[Ávöxtun]]))</f>
        <v>171.28070015881707</v>
      </c>
      <c r="I467" s="30" cm="1">
        <f t="array" ref="I467">_xlfn.IFS(Table15[[#This Row],[Column4]]="NEW",_xlfn.XLOOKUP(Table15[[#This Row],[Year]]-1,$N$2:$N$27,$P$2:$P$27)*(1+Table15[[#This Row],[Ávöxtun]]),ISNUMBER(Table15[[#This Row],[Column4]]),Table15[[#This Row],[Column4]],Table15[[#This Row],[Column4]]="",I466*(1+Table15[[#This Row],[Ávöxtun]]))</f>
        <v>171.28070015881707</v>
      </c>
      <c r="L467" s="33">
        <v>171.28070015881707</v>
      </c>
      <c r="M467" s="33">
        <v>171.28070015881707</v>
      </c>
    </row>
    <row r="468" spans="1:13">
      <c r="A468" t="s">
        <v>109</v>
      </c>
      <c r="B468">
        <v>1997</v>
      </c>
      <c r="C468" s="16">
        <v>0.06</v>
      </c>
      <c r="D468" s="1">
        <v>4289599.13</v>
      </c>
      <c r="E468" s="29">
        <f>Table15[[#This Row],[Ávöxtun]]*Table15[[#This Row],[Eignir]]/SUMIFS(Table15[Eignir],Table15[Year],Table15[[#This Row],[Year]])</f>
        <v>7.591643343985349E-4</v>
      </c>
      <c r="F468" s="23">
        <f>IF(B468=1997, 100, IF(COUNTIF(A$1:A467,A468)=0, "NEW", F467*(1+Table15[[#This Row],[Ávöxtun]])))</f>
        <v>100</v>
      </c>
      <c r="G468" s="18" cm="1">
        <f t="array" ref="G468">IFERROR(_xlfn.IFS(ISNUMBER(Table15[[#This Row],[Column3]]),Table15[[#This Row],[Column3]],Table15[[#This Row],[Column3]]="NEW",Table15[[#This Row],[Column3]]),"")</f>
        <v>100</v>
      </c>
      <c r="H468" s="15" cm="1">
        <f t="array" ref="H468">_xlfn.IFS(Table15[[#This Row],[Column4]]="NEW",AVERAGEIFS(Table15[Column4],Table15[Year],Table15[[#This Row],[Year]]),ISNUMBER(Table15[[#This Row],[Column4]]),Table15[[#This Row],[Column4]],Table15[[#This Row],[Column4]]="",H467*(1+Table15[[#This Row],[Ávöxtun]]))</f>
        <v>100</v>
      </c>
      <c r="I468" s="30" cm="1">
        <f t="array" ref="I468">_xlfn.IFS(Table15[[#This Row],[Column4]]="NEW",_xlfn.XLOOKUP(Table15[[#This Row],[Year]]-1,$N$2:$N$27,$P$2:$P$27)*(1+Table15[[#This Row],[Ávöxtun]]),ISNUMBER(Table15[[#This Row],[Column4]]),Table15[[#This Row],[Column4]],Table15[[#This Row],[Column4]]="",I467*(1+Table15[[#This Row],[Ávöxtun]]))</f>
        <v>100</v>
      </c>
      <c r="L468" s="33">
        <v>100</v>
      </c>
      <c r="M468" s="33">
        <v>100</v>
      </c>
    </row>
    <row r="469" spans="1:13">
      <c r="A469" t="s">
        <v>109</v>
      </c>
      <c r="B469">
        <v>1998</v>
      </c>
      <c r="C469" s="16">
        <v>7.0000000000000007E-2</v>
      </c>
      <c r="D469" s="1">
        <v>4700192.82</v>
      </c>
      <c r="E469" s="29">
        <f>Table15[[#This Row],[Ávöxtun]]*Table15[[#This Row],[Eignir]]/SUMIFS(Table15[Eignir],Table15[Year],Table15[[#This Row],[Year]])</f>
        <v>8.4010257591979201E-4</v>
      </c>
      <c r="F469" s="23">
        <f>IF(B469=1997, 100, IF(COUNTIF(A$1:A468,A469)=0, "NEW", F468*(1+Table15[[#This Row],[Ávöxtun]])))</f>
        <v>107</v>
      </c>
      <c r="G469" s="18" cm="1">
        <f t="array" ref="G469">IFERROR(_xlfn.IFS(ISNUMBER(Table15[[#This Row],[Column3]]),Table15[[#This Row],[Column3]],Table15[[#This Row],[Column3]]="NEW",Table15[[#This Row],[Column3]]),"")</f>
        <v>107</v>
      </c>
      <c r="H469" s="15" cm="1">
        <f t="array" ref="H469">_xlfn.IFS(Table15[[#This Row],[Column4]]="NEW",AVERAGEIFS(Table15[Column4],Table15[Year],Table15[[#This Row],[Year]]),ISNUMBER(Table15[[#This Row],[Column4]]),Table15[[#This Row],[Column4]],Table15[[#This Row],[Column4]]="",H468*(1+Table15[[#This Row],[Ávöxtun]]))</f>
        <v>107</v>
      </c>
      <c r="I469" s="30" cm="1">
        <f t="array" ref="I469">_xlfn.IFS(Table15[[#This Row],[Column4]]="NEW",_xlfn.XLOOKUP(Table15[[#This Row],[Year]]-1,$N$2:$N$27,$P$2:$P$27)*(1+Table15[[#This Row],[Ávöxtun]]),ISNUMBER(Table15[[#This Row],[Column4]]),Table15[[#This Row],[Column4]],Table15[[#This Row],[Column4]]="",I468*(1+Table15[[#This Row],[Ávöxtun]]))</f>
        <v>107</v>
      </c>
      <c r="L469" s="33">
        <v>107</v>
      </c>
      <c r="M469" s="33">
        <v>107</v>
      </c>
    </row>
    <row r="470" spans="1:13">
      <c r="A470" t="s">
        <v>109</v>
      </c>
      <c r="B470">
        <v>1999</v>
      </c>
      <c r="C470" s="16">
        <v>0.09</v>
      </c>
      <c r="D470" s="1">
        <v>6326788.7800000003</v>
      </c>
      <c r="E470" s="29">
        <f>Table15[[#This Row],[Ávöxtun]]*Table15[[#This Row],[Eignir]]/SUMIFS(Table15[Eignir],Table15[Year],Table15[[#This Row],[Year]])</f>
        <v>1.093514007016486E-3</v>
      </c>
      <c r="F470" s="23">
        <f>IF(B470=1997, 100, IF(COUNTIF(A$1:A469,A470)=0, "NEW", F469*(1+Table15[[#This Row],[Ávöxtun]])))</f>
        <v>116.63000000000001</v>
      </c>
      <c r="G470" s="18" cm="1">
        <f t="array" ref="G470">IFERROR(_xlfn.IFS(ISNUMBER(Table15[[#This Row],[Column3]]),Table15[[#This Row],[Column3]],Table15[[#This Row],[Column3]]="NEW",Table15[[#This Row],[Column3]]),"")</f>
        <v>116.63000000000001</v>
      </c>
      <c r="H470" s="15" cm="1">
        <f t="array" ref="H470">_xlfn.IFS(Table15[[#This Row],[Column4]]="NEW",AVERAGEIFS(Table15[Column4],Table15[Year],Table15[[#This Row],[Year]]),ISNUMBER(Table15[[#This Row],[Column4]]),Table15[[#This Row],[Column4]],Table15[[#This Row],[Column4]]="",H469*(1+Table15[[#This Row],[Ávöxtun]]))</f>
        <v>116.63000000000001</v>
      </c>
      <c r="I470" s="30" cm="1">
        <f t="array" ref="I470">_xlfn.IFS(Table15[[#This Row],[Column4]]="NEW",_xlfn.XLOOKUP(Table15[[#This Row],[Year]]-1,$N$2:$N$27,$P$2:$P$27)*(1+Table15[[#This Row],[Ávöxtun]]),ISNUMBER(Table15[[#This Row],[Column4]]),Table15[[#This Row],[Column4]],Table15[[#This Row],[Column4]]="",I469*(1+Table15[[#This Row],[Ávöxtun]]))</f>
        <v>116.63000000000001</v>
      </c>
      <c r="L470" s="33">
        <v>116.63000000000001</v>
      </c>
      <c r="M470" s="33">
        <v>116.63000000000001</v>
      </c>
    </row>
    <row r="471" spans="1:13">
      <c r="A471" t="s">
        <v>109</v>
      </c>
      <c r="B471">
        <v>2000</v>
      </c>
      <c r="C471" s="16">
        <v>0.01</v>
      </c>
      <c r="D471" s="1">
        <v>7562626.8399999999</v>
      </c>
      <c r="E471" s="29">
        <f>Table15[[#This Row],[Ávöxtun]]*Table15[[#This Row],[Eignir]]/SUMIFS(Table15[Eignir],Table15[Year],Table15[[#This Row],[Year]])</f>
        <v>1.0638256152220129E-4</v>
      </c>
      <c r="F471" s="23">
        <f>IF(B471=1997, 100, IF(COUNTIF(A$1:A470,A471)=0, "NEW", F470*(1+Table15[[#This Row],[Ávöxtun]])))</f>
        <v>117.79630000000002</v>
      </c>
      <c r="G471" s="18" cm="1">
        <f t="array" ref="G471">IFERROR(_xlfn.IFS(ISNUMBER(Table15[[#This Row],[Column3]]),Table15[[#This Row],[Column3]],Table15[[#This Row],[Column3]]="NEW",Table15[[#This Row],[Column3]]),"")</f>
        <v>117.79630000000002</v>
      </c>
      <c r="H471" s="15" cm="1">
        <f t="array" ref="H471">_xlfn.IFS(Table15[[#This Row],[Column4]]="NEW",AVERAGEIFS(Table15[Column4],Table15[Year],Table15[[#This Row],[Year]]),ISNUMBER(Table15[[#This Row],[Column4]]),Table15[[#This Row],[Column4]],Table15[[#This Row],[Column4]]="",H470*(1+Table15[[#This Row],[Ávöxtun]]))</f>
        <v>117.79630000000002</v>
      </c>
      <c r="I471" s="30" cm="1">
        <f t="array" ref="I471">_xlfn.IFS(Table15[[#This Row],[Column4]]="NEW",_xlfn.XLOOKUP(Table15[[#This Row],[Year]]-1,$N$2:$N$27,$P$2:$P$27)*(1+Table15[[#This Row],[Ávöxtun]]),ISNUMBER(Table15[[#This Row],[Column4]]),Table15[[#This Row],[Column4]],Table15[[#This Row],[Column4]]="",I470*(1+Table15[[#This Row],[Ávöxtun]]))</f>
        <v>117.79630000000002</v>
      </c>
      <c r="L471" s="33">
        <v>117.79630000000002</v>
      </c>
      <c r="M471" s="33">
        <v>117.79630000000002</v>
      </c>
    </row>
    <row r="472" spans="1:13">
      <c r="A472" t="s">
        <v>109</v>
      </c>
      <c r="B472">
        <v>2001</v>
      </c>
      <c r="C472" s="16">
        <v>-0.01</v>
      </c>
      <c r="D472" s="1">
        <v>9604011</v>
      </c>
      <c r="E472" s="29">
        <f>Table15[[#This Row],[Ávöxtun]]*Table15[[#This Row],[Eignir]]/SUMIFS(Table15[Eignir],Table15[Year],Table15[[#This Row],[Year]])</f>
        <v>-8.2942228041785277E-5</v>
      </c>
      <c r="F472" s="23">
        <f>IF(B472=1997, 100, IF(COUNTIF(A$1:A471,A472)=0, "NEW", F471*(1+Table15[[#This Row],[Ávöxtun]])))</f>
        <v>116.61833700000001</v>
      </c>
      <c r="G472" s="18" cm="1">
        <f t="array" ref="G472">IFERROR(_xlfn.IFS(ISNUMBER(Table15[[#This Row],[Column3]]),Table15[[#This Row],[Column3]],Table15[[#This Row],[Column3]]="NEW",Table15[[#This Row],[Column3]]),"")</f>
        <v>116.61833700000001</v>
      </c>
      <c r="H472" s="15" cm="1">
        <f t="array" ref="H472">_xlfn.IFS(Table15[[#This Row],[Column4]]="NEW",AVERAGEIFS(Table15[Column4],Table15[Year],Table15[[#This Row],[Year]]),ISNUMBER(Table15[[#This Row],[Column4]]),Table15[[#This Row],[Column4]],Table15[[#This Row],[Column4]]="",H471*(1+Table15[[#This Row],[Ávöxtun]]))</f>
        <v>116.61833700000001</v>
      </c>
      <c r="I472" s="30" cm="1">
        <f t="array" ref="I472">_xlfn.IFS(Table15[[#This Row],[Column4]]="NEW",_xlfn.XLOOKUP(Table15[[#This Row],[Year]]-1,$N$2:$N$27,$P$2:$P$27)*(1+Table15[[#This Row],[Ávöxtun]]),ISNUMBER(Table15[[#This Row],[Column4]]),Table15[[#This Row],[Column4]],Table15[[#This Row],[Column4]]="",I471*(1+Table15[[#This Row],[Ávöxtun]]))</f>
        <v>116.61833700000001</v>
      </c>
      <c r="L472" s="33">
        <v>116.61833700000001</v>
      </c>
      <c r="M472" s="33">
        <v>116.61833700000001</v>
      </c>
    </row>
    <row r="473" spans="1:13">
      <c r="A473" t="s">
        <v>109</v>
      </c>
      <c r="B473">
        <v>2002</v>
      </c>
      <c r="C473" s="16">
        <v>-0.03</v>
      </c>
      <c r="D473" s="1">
        <v>10506131</v>
      </c>
      <c r="E473" s="29">
        <f>Table15[[#This Row],[Ávöxtun]]*Table15[[#This Row],[Eignir]]/SUMIFS(Table15[Eignir],Table15[Year],Table15[[#This Row],[Year]])</f>
        <v>-4.962243655441855E-4</v>
      </c>
      <c r="F473" s="23">
        <f>IF(B473=1997, 100, IF(COUNTIF(A$1:A472,A473)=0, "NEW", F472*(1+Table15[[#This Row],[Ávöxtun]])))</f>
        <v>113.11978689000001</v>
      </c>
      <c r="G473" s="18" cm="1">
        <f t="array" ref="G473">IFERROR(_xlfn.IFS(ISNUMBER(Table15[[#This Row],[Column3]]),Table15[[#This Row],[Column3]],Table15[[#This Row],[Column3]]="NEW",Table15[[#This Row],[Column3]]),"")</f>
        <v>113.11978689000001</v>
      </c>
      <c r="H473" s="15" cm="1">
        <f t="array" ref="H473">_xlfn.IFS(Table15[[#This Row],[Column4]]="NEW",AVERAGEIFS(Table15[Column4],Table15[Year],Table15[[#This Row],[Year]]),ISNUMBER(Table15[[#This Row],[Column4]]),Table15[[#This Row],[Column4]],Table15[[#This Row],[Column4]]="",H472*(1+Table15[[#This Row],[Ávöxtun]]))</f>
        <v>113.11978689000001</v>
      </c>
      <c r="I473" s="30" cm="1">
        <f t="array" ref="I473">_xlfn.IFS(Table15[[#This Row],[Column4]]="NEW",_xlfn.XLOOKUP(Table15[[#This Row],[Year]]-1,$N$2:$N$27,$P$2:$P$27)*(1+Table15[[#This Row],[Ávöxtun]]),ISNUMBER(Table15[[#This Row],[Column4]]),Table15[[#This Row],[Column4]],Table15[[#This Row],[Column4]]="",I472*(1+Table15[[#This Row],[Ávöxtun]]))</f>
        <v>113.11978689000001</v>
      </c>
      <c r="L473" s="33">
        <v>113.11978689000001</v>
      </c>
      <c r="M473" s="33">
        <v>113.11978689000001</v>
      </c>
    </row>
    <row r="474" spans="1:13">
      <c r="A474" t="s">
        <v>109</v>
      </c>
      <c r="B474">
        <v>2003</v>
      </c>
      <c r="C474" s="16">
        <v>0.12</v>
      </c>
      <c r="D474" s="1">
        <v>12978154</v>
      </c>
      <c r="E474" s="29">
        <f>Table15[[#This Row],[Ávöxtun]]*Table15[[#This Row],[Eignir]]/SUMIFS(Table15[Eignir],Table15[Year],Table15[[#This Row],[Year]])</f>
        <v>2.0494750835630027E-3</v>
      </c>
      <c r="F474" s="23">
        <f>IF(B474=1997, 100, IF(COUNTIF(A$1:A473,A474)=0, "NEW", F473*(1+Table15[[#This Row],[Ávöxtun]])))</f>
        <v>126.69416131680003</v>
      </c>
      <c r="G474" s="18" cm="1">
        <f t="array" ref="G474">IFERROR(_xlfn.IFS(ISNUMBER(Table15[[#This Row],[Column3]]),Table15[[#This Row],[Column3]],Table15[[#This Row],[Column3]]="NEW",Table15[[#This Row],[Column3]]),"")</f>
        <v>126.69416131680003</v>
      </c>
      <c r="H474" s="15" cm="1">
        <f t="array" ref="H474">_xlfn.IFS(Table15[[#This Row],[Column4]]="NEW",AVERAGEIFS(Table15[Column4],Table15[Year],Table15[[#This Row],[Year]]),ISNUMBER(Table15[[#This Row],[Column4]]),Table15[[#This Row],[Column4]],Table15[[#This Row],[Column4]]="",H473*(1+Table15[[#This Row],[Ávöxtun]]))</f>
        <v>126.69416131680003</v>
      </c>
      <c r="I474" s="30" cm="1">
        <f t="array" ref="I474">_xlfn.IFS(Table15[[#This Row],[Column4]]="NEW",_xlfn.XLOOKUP(Table15[[#This Row],[Year]]-1,$N$2:$N$27,$P$2:$P$27)*(1+Table15[[#This Row],[Ávöxtun]]),ISNUMBER(Table15[[#This Row],[Column4]]),Table15[[#This Row],[Column4]],Table15[[#This Row],[Column4]]="",I473*(1+Table15[[#This Row],[Ávöxtun]]))</f>
        <v>126.69416131680003</v>
      </c>
      <c r="L474" s="33">
        <v>126.69416131680003</v>
      </c>
      <c r="M474" s="33">
        <v>126.69416131680003</v>
      </c>
    </row>
    <row r="475" spans="1:13">
      <c r="A475" t="s">
        <v>109</v>
      </c>
      <c r="B475">
        <v>2004</v>
      </c>
      <c r="C475" s="16">
        <v>0.09</v>
      </c>
      <c r="D475" s="1">
        <v>15523906</v>
      </c>
      <c r="E475" s="29">
        <f>Table15[[#This Row],[Ávöxtun]]*Table15[[#This Row],[Eignir]]/SUMIFS(Table15[Eignir],Table15[Year],Table15[[#This Row],[Year]])</f>
        <v>1.5392718561830976E-3</v>
      </c>
      <c r="F475" s="23">
        <f>IF(B475=1997, 100, IF(COUNTIF(A$1:A474,A475)=0, "NEW", F474*(1+Table15[[#This Row],[Ávöxtun]])))</f>
        <v>138.09663583531204</v>
      </c>
      <c r="G475" s="18" cm="1">
        <f t="array" ref="G475">IFERROR(_xlfn.IFS(ISNUMBER(Table15[[#This Row],[Column3]]),Table15[[#This Row],[Column3]],Table15[[#This Row],[Column3]]="NEW",Table15[[#This Row],[Column3]]),"")</f>
        <v>138.09663583531204</v>
      </c>
      <c r="H475" s="15" cm="1">
        <f t="array" ref="H475">_xlfn.IFS(Table15[[#This Row],[Column4]]="NEW",AVERAGEIFS(Table15[Column4],Table15[Year],Table15[[#This Row],[Year]]),ISNUMBER(Table15[[#This Row],[Column4]]),Table15[[#This Row],[Column4]],Table15[[#This Row],[Column4]]="",H474*(1+Table15[[#This Row],[Ávöxtun]]))</f>
        <v>138.09663583531204</v>
      </c>
      <c r="I475" s="30" cm="1">
        <f t="array" ref="I475">_xlfn.IFS(Table15[[#This Row],[Column4]]="NEW",_xlfn.XLOOKUP(Table15[[#This Row],[Year]]-1,$N$2:$N$27,$P$2:$P$27)*(1+Table15[[#This Row],[Ávöxtun]]),ISNUMBER(Table15[[#This Row],[Column4]]),Table15[[#This Row],[Column4]],Table15[[#This Row],[Column4]]="",I474*(1+Table15[[#This Row],[Ávöxtun]]))</f>
        <v>138.09663583531204</v>
      </c>
      <c r="L475" s="33">
        <v>138.09663583531204</v>
      </c>
      <c r="M475" s="33">
        <v>138.09663583531204</v>
      </c>
    </row>
    <row r="476" spans="1:13">
      <c r="A476" t="s">
        <v>109</v>
      </c>
      <c r="B476">
        <v>2005</v>
      </c>
      <c r="C476" s="16">
        <v>0.14000000000000001</v>
      </c>
      <c r="D476" s="1">
        <v>18614234</v>
      </c>
      <c r="E476" s="29">
        <f>Table15[[#This Row],[Ávöxtun]]*Table15[[#This Row],[Eignir]]/SUMIFS(Table15[Eignir],Table15[Year],Table15[[#This Row],[Year]])</f>
        <v>2.324003433324198E-3</v>
      </c>
      <c r="F476" s="23">
        <f>IF(B476=1997, 100, IF(COUNTIF(A$1:A475,A476)=0, "NEW", F475*(1+Table15[[#This Row],[Ávöxtun]])))</f>
        <v>157.43016485225576</v>
      </c>
      <c r="G476" s="18" cm="1">
        <f t="array" ref="G476">IFERROR(_xlfn.IFS(ISNUMBER(Table15[[#This Row],[Column3]]),Table15[[#This Row],[Column3]],Table15[[#This Row],[Column3]]="NEW",Table15[[#This Row],[Column3]]),"")</f>
        <v>157.43016485225576</v>
      </c>
      <c r="H476" s="15" cm="1">
        <f t="array" ref="H476">_xlfn.IFS(Table15[[#This Row],[Column4]]="NEW",AVERAGEIFS(Table15[Column4],Table15[Year],Table15[[#This Row],[Year]]),ISNUMBER(Table15[[#This Row],[Column4]]),Table15[[#This Row],[Column4]],Table15[[#This Row],[Column4]]="",H475*(1+Table15[[#This Row],[Ávöxtun]]))</f>
        <v>157.43016485225576</v>
      </c>
      <c r="I476" s="30" cm="1">
        <f t="array" ref="I476">_xlfn.IFS(Table15[[#This Row],[Column4]]="NEW",_xlfn.XLOOKUP(Table15[[#This Row],[Year]]-1,$N$2:$N$27,$P$2:$P$27)*(1+Table15[[#This Row],[Ávöxtun]]),ISNUMBER(Table15[[#This Row],[Column4]]),Table15[[#This Row],[Column4]],Table15[[#This Row],[Column4]]="",I475*(1+Table15[[#This Row],[Ávöxtun]]))</f>
        <v>157.43016485225576</v>
      </c>
      <c r="L476" s="33">
        <v>157.43016485225576</v>
      </c>
      <c r="M476" s="33">
        <v>157.43016485225576</v>
      </c>
    </row>
    <row r="477" spans="1:13">
      <c r="A477" t="s">
        <v>109</v>
      </c>
      <c r="B477">
        <v>2006</v>
      </c>
      <c r="C477" s="16">
        <v>0.1109</v>
      </c>
      <c r="D477" s="1">
        <v>22367837</v>
      </c>
      <c r="E477" s="29">
        <f>Table15[[#This Row],[Ávöxtun]]*Table15[[#This Row],[Eignir]]/SUMIFS(Table15[Eignir],Table15[Year],Table15[[#This Row],[Year]])</f>
        <v>1.8071225648762879E-3</v>
      </c>
      <c r="F477" s="23">
        <f>IF(B477=1997, 100, IF(COUNTIF(A$1:A476,A477)=0, "NEW", F476*(1+Table15[[#This Row],[Ávöxtun]])))</f>
        <v>174.88917013437091</v>
      </c>
      <c r="G477" s="18" cm="1">
        <f t="array" ref="G477">IFERROR(_xlfn.IFS(ISNUMBER(Table15[[#This Row],[Column3]]),Table15[[#This Row],[Column3]],Table15[[#This Row],[Column3]]="NEW",Table15[[#This Row],[Column3]]),"")</f>
        <v>174.88917013437091</v>
      </c>
      <c r="H477" s="15" cm="1">
        <f t="array" ref="H477">_xlfn.IFS(Table15[[#This Row],[Column4]]="NEW",AVERAGEIFS(Table15[Column4],Table15[Year],Table15[[#This Row],[Year]]),ISNUMBER(Table15[[#This Row],[Column4]]),Table15[[#This Row],[Column4]],Table15[[#This Row],[Column4]]="",H476*(1+Table15[[#This Row],[Ávöxtun]]))</f>
        <v>174.88917013437091</v>
      </c>
      <c r="I477" s="30" cm="1">
        <f t="array" ref="I477">_xlfn.IFS(Table15[[#This Row],[Column4]]="NEW",_xlfn.XLOOKUP(Table15[[#This Row],[Year]]-1,$N$2:$N$27,$P$2:$P$27)*(1+Table15[[#This Row],[Ávöxtun]]),ISNUMBER(Table15[[#This Row],[Column4]]),Table15[[#This Row],[Column4]],Table15[[#This Row],[Column4]]="",I476*(1+Table15[[#This Row],[Ávöxtun]]))</f>
        <v>174.88917013437091</v>
      </c>
      <c r="L477" s="33">
        <v>174.88917013437091</v>
      </c>
      <c r="M477" s="33">
        <v>174.88917013437091</v>
      </c>
    </row>
    <row r="478" spans="1:13">
      <c r="A478" t="s">
        <v>109</v>
      </c>
      <c r="B478">
        <v>2007</v>
      </c>
      <c r="C478" s="16">
        <v>-1.47E-2</v>
      </c>
      <c r="D478" s="1">
        <v>23208801</v>
      </c>
      <c r="E478" s="29">
        <f>Table15[[#This Row],[Ávöxtun]]*Table15[[#This Row],[Eignir]]/SUMIFS(Table15[Eignir],Table15[Year],Table15[[#This Row],[Year]])</f>
        <v>-2.2062054389148164E-4</v>
      </c>
      <c r="F478" s="23">
        <f>IF(B478=1997, 100, IF(COUNTIF(A$1:A477,A478)=0, "NEW", F477*(1+Table15[[#This Row],[Ávöxtun]])))</f>
        <v>172.31829933339566</v>
      </c>
      <c r="G478" s="18" cm="1">
        <f t="array" ref="G478">IFERROR(_xlfn.IFS(ISNUMBER(Table15[[#This Row],[Column3]]),Table15[[#This Row],[Column3]],Table15[[#This Row],[Column3]]="NEW",Table15[[#This Row],[Column3]]),"")</f>
        <v>172.31829933339566</v>
      </c>
      <c r="H478" s="15" cm="1">
        <f t="array" ref="H478">_xlfn.IFS(Table15[[#This Row],[Column4]]="NEW",AVERAGEIFS(Table15[Column4],Table15[Year],Table15[[#This Row],[Year]]),ISNUMBER(Table15[[#This Row],[Column4]]),Table15[[#This Row],[Column4]],Table15[[#This Row],[Column4]]="",H477*(1+Table15[[#This Row],[Ávöxtun]]))</f>
        <v>172.31829933339566</v>
      </c>
      <c r="I478" s="30" cm="1">
        <f t="array" ref="I478">_xlfn.IFS(Table15[[#This Row],[Column4]]="NEW",_xlfn.XLOOKUP(Table15[[#This Row],[Year]]-1,$N$2:$N$27,$P$2:$P$27)*(1+Table15[[#This Row],[Ávöxtun]]),ISNUMBER(Table15[[#This Row],[Column4]]),Table15[[#This Row],[Column4]],Table15[[#This Row],[Column4]]="",I477*(1+Table15[[#This Row],[Ávöxtun]]))</f>
        <v>172.31829933339566</v>
      </c>
      <c r="L478" s="33">
        <v>172.31829933339566</v>
      </c>
      <c r="M478" s="33">
        <v>172.31829933339566</v>
      </c>
    </row>
    <row r="479" spans="1:13">
      <c r="A479" t="s">
        <v>109</v>
      </c>
      <c r="B479">
        <v>2008</v>
      </c>
      <c r="C479" s="16">
        <v>-0.26730000000000004</v>
      </c>
      <c r="D479" s="1">
        <v>21133490</v>
      </c>
      <c r="E479" s="29">
        <f>Table15[[#This Row],[Ávöxtun]]*Table15[[#This Row],[Eignir]]/SUMIFS(Table15[Eignir],Table15[Year],Table15[[#This Row],[Year]])</f>
        <v>-3.7727338125421021E-3</v>
      </c>
      <c r="F479" s="23">
        <f>IF(B479=1997, 100, IF(COUNTIF(A$1:A478,A479)=0, "NEW", F478*(1+Table15[[#This Row],[Ávöxtun]])))</f>
        <v>126.25761792157898</v>
      </c>
      <c r="G479" s="18" cm="1">
        <f t="array" ref="G479">IFERROR(_xlfn.IFS(ISNUMBER(Table15[[#This Row],[Column3]]),Table15[[#This Row],[Column3]],Table15[[#This Row],[Column3]]="NEW",Table15[[#This Row],[Column3]]),"")</f>
        <v>126.25761792157898</v>
      </c>
      <c r="H479" s="15" cm="1">
        <f t="array" ref="H479">_xlfn.IFS(Table15[[#This Row],[Column4]]="NEW",AVERAGEIFS(Table15[Column4],Table15[Year],Table15[[#This Row],[Year]]),ISNUMBER(Table15[[#This Row],[Column4]]),Table15[[#This Row],[Column4]],Table15[[#This Row],[Column4]]="",H478*(1+Table15[[#This Row],[Ávöxtun]]))</f>
        <v>126.25761792157898</v>
      </c>
      <c r="I479" s="30" cm="1">
        <f t="array" ref="I479">_xlfn.IFS(Table15[[#This Row],[Column4]]="NEW",_xlfn.XLOOKUP(Table15[[#This Row],[Year]]-1,$N$2:$N$27,$P$2:$P$27)*(1+Table15[[#This Row],[Ávöxtun]]),ISNUMBER(Table15[[#This Row],[Column4]]),Table15[[#This Row],[Column4]],Table15[[#This Row],[Column4]]="",I478*(1+Table15[[#This Row],[Ávöxtun]]))</f>
        <v>126.25761792157898</v>
      </c>
      <c r="L479" s="33">
        <v>126.25761792157898</v>
      </c>
      <c r="M479" s="33">
        <v>126.25761792157898</v>
      </c>
    </row>
    <row r="480" spans="1:13">
      <c r="A480" t="s">
        <v>109</v>
      </c>
      <c r="B480">
        <v>2009</v>
      </c>
      <c r="C480" s="16">
        <v>2.53E-2</v>
      </c>
      <c r="D480" s="1">
        <v>22965845</v>
      </c>
      <c r="E480" s="29">
        <f>Table15[[#This Row],[Ávöxtun]]*Table15[[#This Row],[Eignir]]/SUMIFS(Table15[Eignir],Table15[Year],Table15[[#This Row],[Year]])</f>
        <v>3.4828890624882987E-4</v>
      </c>
      <c r="F480" s="23">
        <f>IF(B480=1997, 100, IF(COUNTIF(A$1:A479,A480)=0, "NEW", F479*(1+Table15[[#This Row],[Ávöxtun]])))</f>
        <v>129.45193565499494</v>
      </c>
      <c r="G480" s="18" cm="1">
        <f t="array" ref="G480">IFERROR(_xlfn.IFS(ISNUMBER(Table15[[#This Row],[Column3]]),Table15[[#This Row],[Column3]],Table15[[#This Row],[Column3]]="NEW",Table15[[#This Row],[Column3]]),"")</f>
        <v>129.45193565499494</v>
      </c>
      <c r="H480" s="15" cm="1">
        <f t="array" ref="H480">_xlfn.IFS(Table15[[#This Row],[Column4]]="NEW",AVERAGEIFS(Table15[Column4],Table15[Year],Table15[[#This Row],[Year]]),ISNUMBER(Table15[[#This Row],[Column4]]),Table15[[#This Row],[Column4]],Table15[[#This Row],[Column4]]="",H479*(1+Table15[[#This Row],[Ávöxtun]]))</f>
        <v>129.45193565499494</v>
      </c>
      <c r="I480" s="30" cm="1">
        <f t="array" ref="I480">_xlfn.IFS(Table15[[#This Row],[Column4]]="NEW",_xlfn.XLOOKUP(Table15[[#This Row],[Year]]-1,$N$2:$N$27,$P$2:$P$27)*(1+Table15[[#This Row],[Ávöxtun]]),ISNUMBER(Table15[[#This Row],[Column4]]),Table15[[#This Row],[Column4]],Table15[[#This Row],[Column4]]="",I479*(1+Table15[[#This Row],[Ávöxtun]]))</f>
        <v>129.45193565499494</v>
      </c>
      <c r="L480" s="33">
        <v>129.45193565499494</v>
      </c>
      <c r="M480" s="33">
        <v>129.45193565499494</v>
      </c>
    </row>
    <row r="481" spans="1:13">
      <c r="A481" t="s">
        <v>109</v>
      </c>
      <c r="B481">
        <v>2010</v>
      </c>
      <c r="C481" s="16">
        <v>1.83E-2</v>
      </c>
      <c r="D481" s="1">
        <v>23330418</v>
      </c>
      <c r="E481" s="29">
        <f>Table15[[#This Row],[Ávöxtun]]*Table15[[#This Row],[Eignir]]/SUMIFS(Table15[Eignir],Table15[Year],Table15[[#This Row],[Year]])</f>
        <v>2.3881298763025324E-4</v>
      </c>
      <c r="F481" s="23">
        <f>IF(B481=1997, 100, IF(COUNTIF(A$1:A480,A481)=0, "NEW", F480*(1+Table15[[#This Row],[Ávöxtun]])))</f>
        <v>131.82090607748134</v>
      </c>
      <c r="G481" s="18" cm="1">
        <f t="array" ref="G481">IFERROR(_xlfn.IFS(ISNUMBER(Table15[[#This Row],[Column3]]),Table15[[#This Row],[Column3]],Table15[[#This Row],[Column3]]="NEW",Table15[[#This Row],[Column3]]),"")</f>
        <v>131.82090607748134</v>
      </c>
      <c r="H481" s="15" cm="1">
        <f t="array" ref="H481">_xlfn.IFS(Table15[[#This Row],[Column4]]="NEW",AVERAGEIFS(Table15[Column4],Table15[Year],Table15[[#This Row],[Year]]),ISNUMBER(Table15[[#This Row],[Column4]]),Table15[[#This Row],[Column4]],Table15[[#This Row],[Column4]]="",H480*(1+Table15[[#This Row],[Ávöxtun]]))</f>
        <v>131.82090607748134</v>
      </c>
      <c r="I481" s="30" cm="1">
        <f t="array" ref="I481">_xlfn.IFS(Table15[[#This Row],[Column4]]="NEW",_xlfn.XLOOKUP(Table15[[#This Row],[Year]]-1,$N$2:$N$27,$P$2:$P$27)*(1+Table15[[#This Row],[Ávöxtun]]),ISNUMBER(Table15[[#This Row],[Column4]]),Table15[[#This Row],[Column4]],Table15[[#This Row],[Column4]]="",I480*(1+Table15[[#This Row],[Ávöxtun]]))</f>
        <v>131.82090607748134</v>
      </c>
      <c r="L481" s="33">
        <v>131.82090607748134</v>
      </c>
      <c r="M481" s="33">
        <v>131.82090607748134</v>
      </c>
    </row>
    <row r="482" spans="1:13">
      <c r="A482" t="s">
        <v>109</v>
      </c>
      <c r="B482">
        <v>2011</v>
      </c>
      <c r="C482" s="16">
        <v>1.6E-2</v>
      </c>
      <c r="D482" s="1">
        <v>23806386</v>
      </c>
      <c r="E482" s="29">
        <f>Table15[[#This Row],[Ávöxtun]]*Table15[[#This Row],[Eignir]]/SUMIFS(Table15[Eignir],Table15[Year],Table15[[#This Row],[Year]])</f>
        <v>1.9527848562136019E-4</v>
      </c>
      <c r="F482" s="23">
        <f>IF(B482=1997, 100, IF(COUNTIF(A$1:A481,A482)=0, "NEW", F481*(1+Table15[[#This Row],[Ávöxtun]])))</f>
        <v>133.93004057472103</v>
      </c>
      <c r="G482" s="18" cm="1">
        <f t="array" ref="G482">IFERROR(_xlfn.IFS(ISNUMBER(Table15[[#This Row],[Column3]]),Table15[[#This Row],[Column3]],Table15[[#This Row],[Column3]]="NEW",Table15[[#This Row],[Column3]]),"")</f>
        <v>133.93004057472103</v>
      </c>
      <c r="H482" s="15" cm="1">
        <f t="array" ref="H482">_xlfn.IFS(Table15[[#This Row],[Column4]]="NEW",AVERAGEIFS(Table15[Column4],Table15[Year],Table15[[#This Row],[Year]]),ISNUMBER(Table15[[#This Row],[Column4]]),Table15[[#This Row],[Column4]],Table15[[#This Row],[Column4]]="",H481*(1+Table15[[#This Row],[Ávöxtun]]))</f>
        <v>133.93004057472103</v>
      </c>
      <c r="I482" s="30" cm="1">
        <f t="array" ref="I482">_xlfn.IFS(Table15[[#This Row],[Column4]]="NEW",_xlfn.XLOOKUP(Table15[[#This Row],[Year]]-1,$N$2:$N$27,$P$2:$P$27)*(1+Table15[[#This Row],[Ávöxtun]]),ISNUMBER(Table15[[#This Row],[Column4]]),Table15[[#This Row],[Column4]],Table15[[#This Row],[Column4]]="",I481*(1+Table15[[#This Row],[Ávöxtun]]))</f>
        <v>133.93004057472103</v>
      </c>
      <c r="L482" s="33">
        <v>133.93004057472103</v>
      </c>
      <c r="M482" s="33">
        <v>133.93004057472103</v>
      </c>
    </row>
    <row r="483" spans="1:13">
      <c r="A483" t="s">
        <v>109</v>
      </c>
      <c r="B483">
        <v>2012</v>
      </c>
      <c r="C483" s="16">
        <v>9.6000000000000002E-2</v>
      </c>
      <c r="D483" s="1">
        <v>25622182</v>
      </c>
      <c r="E483" s="29">
        <f>Table15[[#This Row],[Ávöxtun]]*Table15[[#This Row],[Eignir]]/SUMIFS(Table15[Eignir],Table15[Year],Table15[[#This Row],[Year]])</f>
        <v>1.1166158761277678E-3</v>
      </c>
      <c r="F483" s="23">
        <f>IF(B483=1997, 100, IF(COUNTIF(A$1:A482,A483)=0, "NEW", F482*(1+Table15[[#This Row],[Ávöxtun]])))</f>
        <v>146.78732446989426</v>
      </c>
      <c r="G483" s="18" cm="1">
        <f t="array" ref="G483">IFERROR(_xlfn.IFS(ISNUMBER(Table15[[#This Row],[Column3]]),Table15[[#This Row],[Column3]],Table15[[#This Row],[Column3]]="NEW",Table15[[#This Row],[Column3]]),"")</f>
        <v>146.78732446989426</v>
      </c>
      <c r="H483" s="15" cm="1">
        <f t="array" ref="H483">_xlfn.IFS(Table15[[#This Row],[Column4]]="NEW",AVERAGEIFS(Table15[Column4],Table15[Year],Table15[[#This Row],[Year]]),ISNUMBER(Table15[[#This Row],[Column4]]),Table15[[#This Row],[Column4]],Table15[[#This Row],[Column4]]="",H482*(1+Table15[[#This Row],[Ávöxtun]]))</f>
        <v>146.78732446989426</v>
      </c>
      <c r="I483" s="30" cm="1">
        <f t="array" ref="I483">_xlfn.IFS(Table15[[#This Row],[Column4]]="NEW",_xlfn.XLOOKUP(Table15[[#This Row],[Year]]-1,$N$2:$N$27,$P$2:$P$27)*(1+Table15[[#This Row],[Ávöxtun]]),ISNUMBER(Table15[[#This Row],[Column4]]),Table15[[#This Row],[Column4]],Table15[[#This Row],[Column4]]="",I482*(1+Table15[[#This Row],[Ávöxtun]]))</f>
        <v>146.78732446989426</v>
      </c>
      <c r="L483" s="33">
        <v>146.78732446989426</v>
      </c>
      <c r="M483" s="33">
        <v>146.78732446989426</v>
      </c>
    </row>
    <row r="484" spans="1:13">
      <c r="A484" t="s">
        <v>109</v>
      </c>
      <c r="B484">
        <v>2013</v>
      </c>
      <c r="C484" s="16">
        <v>7.3499999999999996E-2</v>
      </c>
      <c r="D484" s="1">
        <v>26385503</v>
      </c>
      <c r="E484" s="29">
        <f>Table15[[#This Row],[Ávöxtun]]*Table15[[#This Row],[Eignir]]/SUMIFS(Table15[Eignir],Table15[Year],Table15[[#This Row],[Year]])</f>
        <v>7.9690613970038917E-4</v>
      </c>
      <c r="F484" s="23">
        <f>IF(B484=1997, 100, IF(COUNTIF(A$1:A483,A484)=0, "NEW", F483*(1+Table15[[#This Row],[Ávöxtun]])))</f>
        <v>157.57619281843148</v>
      </c>
      <c r="G484" s="18" cm="1">
        <f t="array" ref="G484">IFERROR(_xlfn.IFS(ISNUMBER(Table15[[#This Row],[Column3]]),Table15[[#This Row],[Column3]],Table15[[#This Row],[Column3]]="NEW",Table15[[#This Row],[Column3]]),"")</f>
        <v>157.57619281843148</v>
      </c>
      <c r="H484" s="15" cm="1">
        <f t="array" ref="H484">_xlfn.IFS(Table15[[#This Row],[Column4]]="NEW",AVERAGEIFS(Table15[Column4],Table15[Year],Table15[[#This Row],[Year]]),ISNUMBER(Table15[[#This Row],[Column4]]),Table15[[#This Row],[Column4]],Table15[[#This Row],[Column4]]="",H483*(1+Table15[[#This Row],[Ávöxtun]]))</f>
        <v>157.57619281843148</v>
      </c>
      <c r="I484" s="30" cm="1">
        <f t="array" ref="I484">_xlfn.IFS(Table15[[#This Row],[Column4]]="NEW",_xlfn.XLOOKUP(Table15[[#This Row],[Year]]-1,$N$2:$N$27,$P$2:$P$27)*(1+Table15[[#This Row],[Ávöxtun]]),ISNUMBER(Table15[[#This Row],[Column4]]),Table15[[#This Row],[Column4]],Table15[[#This Row],[Column4]]="",I483*(1+Table15[[#This Row],[Ávöxtun]]))</f>
        <v>157.57619281843148</v>
      </c>
      <c r="L484" s="33">
        <v>157.57619281843148</v>
      </c>
      <c r="M484" s="33">
        <v>157.57619281843148</v>
      </c>
    </row>
    <row r="485" spans="1:13">
      <c r="A485" t="s">
        <v>109</v>
      </c>
      <c r="B485">
        <v>2014</v>
      </c>
      <c r="C485" s="16">
        <v>9.3000000000000013E-2</v>
      </c>
      <c r="D485" s="1">
        <v>27645876</v>
      </c>
      <c r="E485" s="29">
        <f>Table15[[#This Row],[Ávöxtun]]*Table15[[#This Row],[Eignir]]/SUMIFS(Table15[Eignir],Table15[Year],Table15[[#This Row],[Year]])</f>
        <v>9.6910990217803498E-4</v>
      </c>
      <c r="F485" s="23">
        <f>IF(B485=1997, 100, IF(COUNTIF(A$1:A484,A485)=0, "NEW", F484*(1+Table15[[#This Row],[Ávöxtun]])))</f>
        <v>172.2307787505456</v>
      </c>
      <c r="G485" s="18" cm="1">
        <f t="array" ref="G485">IFERROR(_xlfn.IFS(ISNUMBER(Table15[[#This Row],[Column3]]),Table15[[#This Row],[Column3]],Table15[[#This Row],[Column3]]="NEW",Table15[[#This Row],[Column3]]),"")</f>
        <v>172.2307787505456</v>
      </c>
      <c r="H485" s="15" cm="1">
        <f t="array" ref="H485">_xlfn.IFS(Table15[[#This Row],[Column4]]="NEW",AVERAGEIFS(Table15[Column4],Table15[Year],Table15[[#This Row],[Year]]),ISNUMBER(Table15[[#This Row],[Column4]]),Table15[[#This Row],[Column4]],Table15[[#This Row],[Column4]]="",H484*(1+Table15[[#This Row],[Ávöxtun]]))</f>
        <v>172.2307787505456</v>
      </c>
      <c r="I485" s="30" cm="1">
        <f t="array" ref="I485">_xlfn.IFS(Table15[[#This Row],[Column4]]="NEW",_xlfn.XLOOKUP(Table15[[#This Row],[Year]]-1,$N$2:$N$27,$P$2:$P$27)*(1+Table15[[#This Row],[Ávöxtun]]),ISNUMBER(Table15[[#This Row],[Column4]]),Table15[[#This Row],[Column4]],Table15[[#This Row],[Column4]]="",I484*(1+Table15[[#This Row],[Ávöxtun]]))</f>
        <v>172.2307787505456</v>
      </c>
      <c r="L485" s="33">
        <v>172.2307787505456</v>
      </c>
      <c r="M485" s="33">
        <v>172.2307787505456</v>
      </c>
    </row>
    <row r="486" spans="1:13">
      <c r="A486" t="s">
        <v>109</v>
      </c>
      <c r="B486">
        <v>2015</v>
      </c>
      <c r="C486" s="16">
        <v>5.0999999999999997E-2</v>
      </c>
      <c r="D486" s="1">
        <v>27883167</v>
      </c>
      <c r="E486" s="29">
        <f>Table15[[#This Row],[Ávöxtun]]*Table15[[#This Row],[Eignir]]/SUMIFS(Table15[Eignir],Table15[Year],Table15[[#This Row],[Year]])</f>
        <v>4.8019584352575683E-4</v>
      </c>
      <c r="F486" s="23">
        <f>IF(B486=1997, 100, IF(COUNTIF(A$1:A485,A486)=0, "NEW", F485*(1+Table15[[#This Row],[Ávöxtun]])))</f>
        <v>181.01454846682341</v>
      </c>
      <c r="G486" s="18" cm="1">
        <f t="array" ref="G486">IFERROR(_xlfn.IFS(ISNUMBER(Table15[[#This Row],[Column3]]),Table15[[#This Row],[Column3]],Table15[[#This Row],[Column3]]="NEW",Table15[[#This Row],[Column3]]),"")</f>
        <v>181.01454846682341</v>
      </c>
      <c r="H486" s="15" cm="1">
        <f t="array" ref="H486">_xlfn.IFS(Table15[[#This Row],[Column4]]="NEW",AVERAGEIFS(Table15[Column4],Table15[Year],Table15[[#This Row],[Year]]),ISNUMBER(Table15[[#This Row],[Column4]]),Table15[[#This Row],[Column4]],Table15[[#This Row],[Column4]]="",H485*(1+Table15[[#This Row],[Ávöxtun]]))</f>
        <v>181.01454846682341</v>
      </c>
      <c r="I486" s="30" cm="1">
        <f t="array" ref="I486">_xlfn.IFS(Table15[[#This Row],[Column4]]="NEW",_xlfn.XLOOKUP(Table15[[#This Row],[Year]]-1,$N$2:$N$27,$P$2:$P$27)*(1+Table15[[#This Row],[Ávöxtun]]),ISNUMBER(Table15[[#This Row],[Column4]]),Table15[[#This Row],[Column4]],Table15[[#This Row],[Column4]]="",I485*(1+Table15[[#This Row],[Ávöxtun]]))</f>
        <v>181.01454846682341</v>
      </c>
      <c r="L486" s="33">
        <v>181.01454846682341</v>
      </c>
      <c r="M486" s="33">
        <v>181.01454846682341</v>
      </c>
    </row>
    <row r="487" spans="1:13">
      <c r="A487" t="s">
        <v>109</v>
      </c>
      <c r="B487">
        <v>2016</v>
      </c>
      <c r="C487" s="16">
        <v>-9.7000000000000003E-3</v>
      </c>
      <c r="D487" s="1">
        <v>26626803.609999999</v>
      </c>
      <c r="E487" s="29">
        <f>Table15[[#This Row],[Ávöxtun]]*Table15[[#This Row],[Eignir]]/SUMIFS(Table15[Eignir],Table15[Year],Table15[[#This Row],[Year]])</f>
        <v>-8.0711321626595304E-5</v>
      </c>
      <c r="F487" s="23">
        <f>IF(B487=1997, 100, IF(COUNTIF(A$1:A486,A487)=0, "NEW", F486*(1+Table15[[#This Row],[Ávöxtun]])))</f>
        <v>179.25870734669522</v>
      </c>
      <c r="G487" s="18" cm="1">
        <f t="array" ref="G487">IFERROR(_xlfn.IFS(ISNUMBER(Table15[[#This Row],[Column3]]),Table15[[#This Row],[Column3]],Table15[[#This Row],[Column3]]="NEW",Table15[[#This Row],[Column3]]),"")</f>
        <v>179.25870734669522</v>
      </c>
      <c r="H487" s="15" cm="1">
        <f t="array" ref="H487">_xlfn.IFS(Table15[[#This Row],[Column4]]="NEW",AVERAGEIFS(Table15[Column4],Table15[Year],Table15[[#This Row],[Year]]),ISNUMBER(Table15[[#This Row],[Column4]]),Table15[[#This Row],[Column4]],Table15[[#This Row],[Column4]]="",H486*(1+Table15[[#This Row],[Ávöxtun]]))</f>
        <v>179.25870734669522</v>
      </c>
      <c r="I487" s="30" cm="1">
        <f t="array" ref="I487">_xlfn.IFS(Table15[[#This Row],[Column4]]="NEW",_xlfn.XLOOKUP(Table15[[#This Row],[Year]]-1,$N$2:$N$27,$P$2:$P$27)*(1+Table15[[#This Row],[Ávöxtun]]),ISNUMBER(Table15[[#This Row],[Column4]]),Table15[[#This Row],[Column4]],Table15[[#This Row],[Column4]]="",I486*(1+Table15[[#This Row],[Ávöxtun]]))</f>
        <v>179.25870734669522</v>
      </c>
      <c r="L487" s="33">
        <v>179.25870734669522</v>
      </c>
      <c r="M487" s="33">
        <v>179.25870734669522</v>
      </c>
    </row>
    <row r="488" spans="1:13">
      <c r="A488" t="s">
        <v>109</v>
      </c>
      <c r="B488">
        <v>2017</v>
      </c>
      <c r="C488" s="16">
        <v>7.2000000000000008E-2</v>
      </c>
      <c r="D488" s="1">
        <v>26839154</v>
      </c>
      <c r="E488" s="29">
        <f>Table15[[#This Row],[Ávöxtun]]*Table15[[#This Row],[Eignir]]/SUMIFS(Table15[Eignir],Table15[Year],Table15[[#This Row],[Year]])</f>
        <v>5.4294378820839444E-4</v>
      </c>
      <c r="F488" s="23">
        <f>IF(B488=1997, 100, IF(COUNTIF(A$1:A487,A488)=0, "NEW", F487*(1+Table15[[#This Row],[Ávöxtun]])))</f>
        <v>192.16533427565727</v>
      </c>
      <c r="G488" s="18" cm="1">
        <f t="array" ref="G488">IFERROR(_xlfn.IFS(ISNUMBER(Table15[[#This Row],[Column3]]),Table15[[#This Row],[Column3]],Table15[[#This Row],[Column3]]="NEW",Table15[[#This Row],[Column3]]),"")</f>
        <v>192.16533427565727</v>
      </c>
      <c r="H488" s="15" cm="1">
        <f t="array" ref="H488">_xlfn.IFS(Table15[[#This Row],[Column4]]="NEW",AVERAGEIFS(Table15[Column4],Table15[Year],Table15[[#This Row],[Year]]),ISNUMBER(Table15[[#This Row],[Column4]]),Table15[[#This Row],[Column4]],Table15[[#This Row],[Column4]]="",H487*(1+Table15[[#This Row],[Ávöxtun]]))</f>
        <v>192.16533427565727</v>
      </c>
      <c r="I488" s="30" cm="1">
        <f t="array" ref="I488">_xlfn.IFS(Table15[[#This Row],[Column4]]="NEW",_xlfn.XLOOKUP(Table15[[#This Row],[Year]]-1,$N$2:$N$27,$P$2:$P$27)*(1+Table15[[#This Row],[Ávöxtun]]),ISNUMBER(Table15[[#This Row],[Column4]]),Table15[[#This Row],[Column4]],Table15[[#This Row],[Column4]]="",I487*(1+Table15[[#This Row],[Ávöxtun]]))</f>
        <v>192.16533427565727</v>
      </c>
      <c r="L488" s="33">
        <v>192.16533427565727</v>
      </c>
      <c r="M488" s="33">
        <v>192.16533427565727</v>
      </c>
    </row>
    <row r="489" spans="1:13">
      <c r="A489" t="s">
        <v>110</v>
      </c>
      <c r="B489">
        <v>1997</v>
      </c>
      <c r="C489" s="16">
        <v>0.06</v>
      </c>
      <c r="D489" s="1">
        <v>167252.48000000001</v>
      </c>
      <c r="E489" s="29">
        <f>Table15[[#This Row],[Ávöxtun]]*Table15[[#This Row],[Eignir]]/SUMIFS(Table15[Eignir],Table15[Year],Table15[[#This Row],[Year]])</f>
        <v>2.9599996131970563E-5</v>
      </c>
      <c r="F489" s="23">
        <f>IF(B489=1997, 100, IF(COUNTIF(A$1:A488,A489)=0, "NEW", F488*(1+Table15[[#This Row],[Ávöxtun]])))</f>
        <v>100</v>
      </c>
      <c r="G489" s="18" cm="1">
        <f t="array" ref="G489">IFERROR(_xlfn.IFS(ISNUMBER(Table15[[#This Row],[Column3]]),Table15[[#This Row],[Column3]],Table15[[#This Row],[Column3]]="NEW",Table15[[#This Row],[Column3]]),"")</f>
        <v>100</v>
      </c>
      <c r="H489" s="15" cm="1">
        <f t="array" ref="H489">_xlfn.IFS(Table15[[#This Row],[Column4]]="NEW",AVERAGEIFS(Table15[Column4],Table15[Year],Table15[[#This Row],[Year]]),ISNUMBER(Table15[[#This Row],[Column4]]),Table15[[#This Row],[Column4]],Table15[[#This Row],[Column4]]="",H488*(1+Table15[[#This Row],[Ávöxtun]]))</f>
        <v>100</v>
      </c>
      <c r="I489" s="30" cm="1">
        <f t="array" ref="I489">_xlfn.IFS(Table15[[#This Row],[Column4]]="NEW",_xlfn.XLOOKUP(Table15[[#This Row],[Year]]-1,$N$2:$N$27,$P$2:$P$27)*(1+Table15[[#This Row],[Ávöxtun]]),ISNUMBER(Table15[[#This Row],[Column4]]),Table15[[#This Row],[Column4]],Table15[[#This Row],[Column4]]="",I488*(1+Table15[[#This Row],[Ávöxtun]]))</f>
        <v>100</v>
      </c>
      <c r="L489" s="33">
        <v>100</v>
      </c>
      <c r="M489" s="33">
        <v>100</v>
      </c>
    </row>
    <row r="490" spans="1:13">
      <c r="A490" t="s">
        <v>110</v>
      </c>
      <c r="B490">
        <v>1998</v>
      </c>
      <c r="C490" s="16">
        <v>0.06</v>
      </c>
      <c r="D490" s="1">
        <v>163463.51999999999</v>
      </c>
      <c r="E490" s="29">
        <f>Table15[[#This Row],[Ávöxtun]]*Table15[[#This Row],[Eignir]]/SUMIFS(Table15[Eignir],Table15[Year],Table15[[#This Row],[Year]])</f>
        <v>2.5043250560744269E-5</v>
      </c>
      <c r="F490" s="23">
        <f>IF(B490=1997, 100, IF(COUNTIF(A$1:A489,A490)=0, "NEW", F489*(1+Table15[[#This Row],[Ávöxtun]])))</f>
        <v>106</v>
      </c>
      <c r="G490" s="18" cm="1">
        <f t="array" ref="G490">IFERROR(_xlfn.IFS(ISNUMBER(Table15[[#This Row],[Column3]]),Table15[[#This Row],[Column3]],Table15[[#This Row],[Column3]]="NEW",Table15[[#This Row],[Column3]]),"")</f>
        <v>106</v>
      </c>
      <c r="H490" s="15" cm="1">
        <f t="array" ref="H490">_xlfn.IFS(Table15[[#This Row],[Column4]]="NEW",AVERAGEIFS(Table15[Column4],Table15[Year],Table15[[#This Row],[Year]]),ISNUMBER(Table15[[#This Row],[Column4]]),Table15[[#This Row],[Column4]],Table15[[#This Row],[Column4]]="",H489*(1+Table15[[#This Row],[Ávöxtun]]))</f>
        <v>106</v>
      </c>
      <c r="I490" s="30" cm="1">
        <f t="array" ref="I490">_xlfn.IFS(Table15[[#This Row],[Column4]]="NEW",_xlfn.XLOOKUP(Table15[[#This Row],[Year]]-1,$N$2:$N$27,$P$2:$P$27)*(1+Table15[[#This Row],[Ávöxtun]]),ISNUMBER(Table15[[#This Row],[Column4]]),Table15[[#This Row],[Column4]],Table15[[#This Row],[Column4]]="",I489*(1+Table15[[#This Row],[Ávöxtun]]))</f>
        <v>106</v>
      </c>
      <c r="L490" s="33">
        <v>106</v>
      </c>
      <c r="M490" s="33">
        <v>106</v>
      </c>
    </row>
    <row r="491" spans="1:13">
      <c r="A491" t="s">
        <v>110</v>
      </c>
      <c r="B491">
        <v>1999</v>
      </c>
      <c r="C491" s="16">
        <v>0.06</v>
      </c>
      <c r="D491" s="1">
        <v>165834.60999999999</v>
      </c>
      <c r="E491" s="29">
        <f>Table15[[#This Row],[Ávöxtun]]*Table15[[#This Row],[Eignir]]/SUMIFS(Table15[Eignir],Table15[Year],Table15[[#This Row],[Year]])</f>
        <v>1.9108426637788087E-5</v>
      </c>
      <c r="F491" s="23">
        <f>IF(B491=1997, 100, IF(COUNTIF(A$1:A490,A491)=0, "NEW", F490*(1+Table15[[#This Row],[Ávöxtun]])))</f>
        <v>112.36</v>
      </c>
      <c r="G491" s="18" cm="1">
        <f t="array" ref="G491">IFERROR(_xlfn.IFS(ISNUMBER(Table15[[#This Row],[Column3]]),Table15[[#This Row],[Column3]],Table15[[#This Row],[Column3]]="NEW",Table15[[#This Row],[Column3]]),"")</f>
        <v>112.36</v>
      </c>
      <c r="H491" s="15" cm="1">
        <f t="array" ref="H491">_xlfn.IFS(Table15[[#This Row],[Column4]]="NEW",AVERAGEIFS(Table15[Column4],Table15[Year],Table15[[#This Row],[Year]]),ISNUMBER(Table15[[#This Row],[Column4]]),Table15[[#This Row],[Column4]],Table15[[#This Row],[Column4]]="",H490*(1+Table15[[#This Row],[Ávöxtun]]))</f>
        <v>112.36</v>
      </c>
      <c r="I491" s="30" cm="1">
        <f t="array" ref="I491">_xlfn.IFS(Table15[[#This Row],[Column4]]="NEW",_xlfn.XLOOKUP(Table15[[#This Row],[Year]]-1,$N$2:$N$27,$P$2:$P$27)*(1+Table15[[#This Row],[Ávöxtun]]),ISNUMBER(Table15[[#This Row],[Column4]]),Table15[[#This Row],[Column4]],Table15[[#This Row],[Column4]]="",I490*(1+Table15[[#This Row],[Ávöxtun]]))</f>
        <v>112.36</v>
      </c>
      <c r="L491" s="33">
        <v>112.36</v>
      </c>
      <c r="M491" s="33">
        <v>112.36</v>
      </c>
    </row>
    <row r="492" spans="1:13">
      <c r="A492" t="s">
        <v>97</v>
      </c>
      <c r="B492">
        <v>1997</v>
      </c>
      <c r="C492" s="16">
        <v>0.06</v>
      </c>
      <c r="D492" s="1">
        <v>996815.56</v>
      </c>
      <c r="E492" s="29">
        <f>Table15[[#This Row],[Ávöxtun]]*Table15[[#This Row],[Eignir]]/SUMIFS(Table15[Eignir],Table15[Year],Table15[[#This Row],[Year]])</f>
        <v>1.7641434506853392E-4</v>
      </c>
      <c r="F492" s="23">
        <f>IF(B492=1997, 100, IF(COUNTIF(A$1:A491,A492)=0, "NEW", F491*(1+Table15[[#This Row],[Ávöxtun]])))</f>
        <v>100</v>
      </c>
      <c r="G492" s="18" cm="1">
        <f t="array" ref="G492">IFERROR(_xlfn.IFS(ISNUMBER(Table15[[#This Row],[Column3]]),Table15[[#This Row],[Column3]],Table15[[#This Row],[Column3]]="NEW",Table15[[#This Row],[Column3]]),"")</f>
        <v>100</v>
      </c>
      <c r="H492" s="15" cm="1">
        <f t="array" ref="H492">_xlfn.IFS(Table15[[#This Row],[Column4]]="NEW",AVERAGEIFS(Table15[Column4],Table15[Year],Table15[[#This Row],[Year]]),ISNUMBER(Table15[[#This Row],[Column4]]),Table15[[#This Row],[Column4]],Table15[[#This Row],[Column4]]="",H491*(1+Table15[[#This Row],[Ávöxtun]]))</f>
        <v>100</v>
      </c>
      <c r="I492" s="30" cm="1">
        <f t="array" ref="I492">_xlfn.IFS(Table15[[#This Row],[Column4]]="NEW",_xlfn.XLOOKUP(Table15[[#This Row],[Year]]-1,$N$2:$N$27,$P$2:$P$27)*(1+Table15[[#This Row],[Ávöxtun]]),ISNUMBER(Table15[[#This Row],[Column4]]),Table15[[#This Row],[Column4]],Table15[[#This Row],[Column4]]="",I491*(1+Table15[[#This Row],[Ávöxtun]]))</f>
        <v>100</v>
      </c>
      <c r="L492" s="33">
        <v>100</v>
      </c>
      <c r="M492" s="33">
        <v>100</v>
      </c>
    </row>
    <row r="493" spans="1:13">
      <c r="A493" t="s">
        <v>97</v>
      </c>
      <c r="B493">
        <v>1998</v>
      </c>
      <c r="C493" s="16">
        <v>0.06</v>
      </c>
      <c r="D493" s="1">
        <v>1059315.1499999999</v>
      </c>
      <c r="E493" s="29">
        <f>Table15[[#This Row],[Ávöxtun]]*Table15[[#This Row],[Eignir]]/SUMIFS(Table15[Eignir],Table15[Year],Table15[[#This Row],[Year]])</f>
        <v>1.6229122390269341E-4</v>
      </c>
      <c r="F493" s="23">
        <f>IF(B493=1997, 100, IF(COUNTIF(A$1:A492,A493)=0, "NEW", F492*(1+Table15[[#This Row],[Ávöxtun]])))</f>
        <v>106</v>
      </c>
      <c r="G493" s="18" cm="1">
        <f t="array" ref="G493">IFERROR(_xlfn.IFS(ISNUMBER(Table15[[#This Row],[Column3]]),Table15[[#This Row],[Column3]],Table15[[#This Row],[Column3]]="NEW",Table15[[#This Row],[Column3]]),"")</f>
        <v>106</v>
      </c>
      <c r="H493" s="15" cm="1">
        <f t="array" ref="H493">_xlfn.IFS(Table15[[#This Row],[Column4]]="NEW",AVERAGEIFS(Table15[Column4],Table15[Year],Table15[[#This Row],[Year]]),ISNUMBER(Table15[[#This Row],[Column4]]),Table15[[#This Row],[Column4]],Table15[[#This Row],[Column4]]="",H492*(1+Table15[[#This Row],[Ávöxtun]]))</f>
        <v>106</v>
      </c>
      <c r="I493" s="30" cm="1">
        <f t="array" ref="I493">_xlfn.IFS(Table15[[#This Row],[Column4]]="NEW",_xlfn.XLOOKUP(Table15[[#This Row],[Year]]-1,$N$2:$N$27,$P$2:$P$27)*(1+Table15[[#This Row],[Ávöxtun]]),ISNUMBER(Table15[[#This Row],[Column4]]),Table15[[#This Row],[Column4]],Table15[[#This Row],[Column4]]="",I492*(1+Table15[[#This Row],[Ávöxtun]]))</f>
        <v>106</v>
      </c>
      <c r="L493" s="33">
        <v>106</v>
      </c>
      <c r="M493" s="33">
        <v>106</v>
      </c>
    </row>
    <row r="494" spans="1:13">
      <c r="A494" t="s">
        <v>97</v>
      </c>
      <c r="B494">
        <v>1999</v>
      </c>
      <c r="C494" s="16">
        <v>0.09</v>
      </c>
      <c r="D494" s="1">
        <v>1161341.6599999999</v>
      </c>
      <c r="E494" s="29">
        <f>Table15[[#This Row],[Ávöxtun]]*Table15[[#This Row],[Eignir]]/SUMIFS(Table15[Eignir],Table15[Year],Table15[[#This Row],[Year]])</f>
        <v>2.0072479361983337E-4</v>
      </c>
      <c r="F494" s="23">
        <f>IF(B494=1997, 100, IF(COUNTIF(A$1:A493,A494)=0, "NEW", F493*(1+Table15[[#This Row],[Ávöxtun]])))</f>
        <v>115.54</v>
      </c>
      <c r="G494" s="18" cm="1">
        <f t="array" ref="G494">IFERROR(_xlfn.IFS(ISNUMBER(Table15[[#This Row],[Column3]]),Table15[[#This Row],[Column3]],Table15[[#This Row],[Column3]]="NEW",Table15[[#This Row],[Column3]]),"")</f>
        <v>115.54</v>
      </c>
      <c r="H494" s="15" cm="1">
        <f t="array" ref="H494">_xlfn.IFS(Table15[[#This Row],[Column4]]="NEW",AVERAGEIFS(Table15[Column4],Table15[Year],Table15[[#This Row],[Year]]),ISNUMBER(Table15[[#This Row],[Column4]]),Table15[[#This Row],[Column4]],Table15[[#This Row],[Column4]]="",H493*(1+Table15[[#This Row],[Ávöxtun]]))</f>
        <v>115.54</v>
      </c>
      <c r="I494" s="30" cm="1">
        <f t="array" ref="I494">_xlfn.IFS(Table15[[#This Row],[Column4]]="NEW",_xlfn.XLOOKUP(Table15[[#This Row],[Year]]-1,$N$2:$N$27,$P$2:$P$27)*(1+Table15[[#This Row],[Ávöxtun]]),ISNUMBER(Table15[[#This Row],[Column4]]),Table15[[#This Row],[Column4]],Table15[[#This Row],[Column4]]="",I493*(1+Table15[[#This Row],[Ávöxtun]]))</f>
        <v>115.54</v>
      </c>
      <c r="L494" s="33">
        <v>115.54</v>
      </c>
      <c r="M494" s="33">
        <v>115.54</v>
      </c>
    </row>
    <row r="495" spans="1:13">
      <c r="A495" t="s">
        <v>97</v>
      </c>
      <c r="B495">
        <v>2000</v>
      </c>
      <c r="C495" s="16">
        <v>0.03</v>
      </c>
      <c r="D495" s="1">
        <v>1195355.19</v>
      </c>
      <c r="E495" s="29">
        <f>Table15[[#This Row],[Ávöxtun]]*Table15[[#This Row],[Eignir]]/SUMIFS(Table15[Eignir],Table15[Year],Table15[[#This Row],[Year]])</f>
        <v>5.0444752755138293E-5</v>
      </c>
      <c r="F495" s="23">
        <f>IF(B495=1997, 100, IF(COUNTIF(A$1:A494,A495)=0, "NEW", F494*(1+Table15[[#This Row],[Ávöxtun]])))</f>
        <v>119.00620000000001</v>
      </c>
      <c r="G495" s="18" cm="1">
        <f t="array" ref="G495">IFERROR(_xlfn.IFS(ISNUMBER(Table15[[#This Row],[Column3]]),Table15[[#This Row],[Column3]],Table15[[#This Row],[Column3]]="NEW",Table15[[#This Row],[Column3]]),"")</f>
        <v>119.00620000000001</v>
      </c>
      <c r="H495" s="15" cm="1">
        <f t="array" ref="H495">_xlfn.IFS(Table15[[#This Row],[Column4]]="NEW",AVERAGEIFS(Table15[Column4],Table15[Year],Table15[[#This Row],[Year]]),ISNUMBER(Table15[[#This Row],[Column4]]),Table15[[#This Row],[Column4]],Table15[[#This Row],[Column4]]="",H494*(1+Table15[[#This Row],[Ávöxtun]]))</f>
        <v>119.00620000000001</v>
      </c>
      <c r="I495" s="30" cm="1">
        <f t="array" ref="I495">_xlfn.IFS(Table15[[#This Row],[Column4]]="NEW",_xlfn.XLOOKUP(Table15[[#This Row],[Year]]-1,$N$2:$N$27,$P$2:$P$27)*(1+Table15[[#This Row],[Ávöxtun]]),ISNUMBER(Table15[[#This Row],[Column4]]),Table15[[#This Row],[Column4]],Table15[[#This Row],[Column4]]="",I494*(1+Table15[[#This Row],[Ávöxtun]]))</f>
        <v>119.00620000000001</v>
      </c>
      <c r="L495" s="33">
        <v>119.00620000000001</v>
      </c>
      <c r="M495" s="33">
        <v>119.00620000000001</v>
      </c>
    </row>
    <row r="496" spans="1:13">
      <c r="A496" t="s">
        <v>97</v>
      </c>
      <c r="B496">
        <v>2001</v>
      </c>
      <c r="C496" s="16">
        <v>0.03</v>
      </c>
      <c r="D496" s="1">
        <v>1261185</v>
      </c>
      <c r="E496" s="29">
        <f>Table15[[#This Row],[Ávöxtun]]*Table15[[#This Row],[Eignir]]/SUMIFS(Table15[Eignir],Table15[Year],Table15[[#This Row],[Year]])</f>
        <v>3.2675564575950282E-5</v>
      </c>
      <c r="F496" s="23">
        <f>IF(B496=1997, 100, IF(COUNTIF(A$1:A495,A496)=0, "NEW", F495*(1+Table15[[#This Row],[Ávöxtun]])))</f>
        <v>122.57638600000001</v>
      </c>
      <c r="G496" s="18" cm="1">
        <f t="array" ref="G496">IFERROR(_xlfn.IFS(ISNUMBER(Table15[[#This Row],[Column3]]),Table15[[#This Row],[Column3]],Table15[[#This Row],[Column3]]="NEW",Table15[[#This Row],[Column3]]),"")</f>
        <v>122.57638600000001</v>
      </c>
      <c r="H496" s="15" cm="1">
        <f t="array" ref="H496">_xlfn.IFS(Table15[[#This Row],[Column4]]="NEW",AVERAGEIFS(Table15[Column4],Table15[Year],Table15[[#This Row],[Year]]),ISNUMBER(Table15[[#This Row],[Column4]]),Table15[[#This Row],[Column4]],Table15[[#This Row],[Column4]]="",H495*(1+Table15[[#This Row],[Ávöxtun]]))</f>
        <v>122.57638600000001</v>
      </c>
      <c r="I496" s="30" cm="1">
        <f t="array" ref="I496">_xlfn.IFS(Table15[[#This Row],[Column4]]="NEW",_xlfn.XLOOKUP(Table15[[#This Row],[Year]]-1,$N$2:$N$27,$P$2:$P$27)*(1+Table15[[#This Row],[Ávöxtun]]),ISNUMBER(Table15[[#This Row],[Column4]]),Table15[[#This Row],[Column4]],Table15[[#This Row],[Column4]]="",I495*(1+Table15[[#This Row],[Ávöxtun]]))</f>
        <v>122.57638600000001</v>
      </c>
      <c r="L496" s="33">
        <v>122.57638600000001</v>
      </c>
      <c r="M496" s="33">
        <v>122.57638600000001</v>
      </c>
    </row>
    <row r="497" spans="1:13">
      <c r="A497" t="s">
        <v>97</v>
      </c>
      <c r="B497">
        <v>2002</v>
      </c>
      <c r="C497" s="16">
        <v>0.03</v>
      </c>
      <c r="D497" s="1">
        <v>1252986</v>
      </c>
      <c r="E497" s="29">
        <f>Table15[[#This Row],[Ávöxtun]]*Table15[[#This Row],[Eignir]]/SUMIFS(Table15[Eignir],Table15[Year],Table15[[#This Row],[Year]])</f>
        <v>5.9180889985642372E-5</v>
      </c>
      <c r="F497" s="23">
        <f>IF(B497=1997, 100, IF(COUNTIF(A$1:A496,A497)=0, "NEW", F496*(1+Table15[[#This Row],[Ávöxtun]])))</f>
        <v>126.25367758000002</v>
      </c>
      <c r="G497" s="18" cm="1">
        <f t="array" ref="G497">IFERROR(_xlfn.IFS(ISNUMBER(Table15[[#This Row],[Column3]]),Table15[[#This Row],[Column3]],Table15[[#This Row],[Column3]]="NEW",Table15[[#This Row],[Column3]]),"")</f>
        <v>126.25367758000002</v>
      </c>
      <c r="H497" s="15" cm="1">
        <f t="array" ref="H497">_xlfn.IFS(Table15[[#This Row],[Column4]]="NEW",AVERAGEIFS(Table15[Column4],Table15[Year],Table15[[#This Row],[Year]]),ISNUMBER(Table15[[#This Row],[Column4]]),Table15[[#This Row],[Column4]],Table15[[#This Row],[Column4]]="",H496*(1+Table15[[#This Row],[Ávöxtun]]))</f>
        <v>126.25367758000002</v>
      </c>
      <c r="I497" s="30" cm="1">
        <f t="array" ref="I497">_xlfn.IFS(Table15[[#This Row],[Column4]]="NEW",_xlfn.XLOOKUP(Table15[[#This Row],[Year]]-1,$N$2:$N$27,$P$2:$P$27)*(1+Table15[[#This Row],[Ávöxtun]]),ISNUMBER(Table15[[#This Row],[Column4]]),Table15[[#This Row],[Column4]],Table15[[#This Row],[Column4]]="",I496*(1+Table15[[#This Row],[Ávöxtun]]))</f>
        <v>126.25367758000002</v>
      </c>
      <c r="L497" s="33">
        <v>126.25367758000002</v>
      </c>
      <c r="M497" s="33">
        <v>126.25367758000002</v>
      </c>
    </row>
    <row r="498" spans="1:13">
      <c r="A498" t="s">
        <v>97</v>
      </c>
      <c r="B498">
        <v>2003</v>
      </c>
      <c r="C498" s="16">
        <v>0.12</v>
      </c>
      <c r="D498" s="1">
        <v>1371428</v>
      </c>
      <c r="E498" s="29">
        <f>Table15[[#This Row],[Ávöxtun]]*Table15[[#This Row],[Eignir]]/SUMIFS(Table15[Eignir],Table15[Year],Table15[[#This Row],[Year]])</f>
        <v>2.1657221164894804E-4</v>
      </c>
      <c r="F498" s="23">
        <f>IF(B498=1997, 100, IF(COUNTIF(A$1:A497,A498)=0, "NEW", F497*(1+Table15[[#This Row],[Ávöxtun]])))</f>
        <v>141.40411888960003</v>
      </c>
      <c r="G498" s="18" cm="1">
        <f t="array" ref="G498">IFERROR(_xlfn.IFS(ISNUMBER(Table15[[#This Row],[Column3]]),Table15[[#This Row],[Column3]],Table15[[#This Row],[Column3]]="NEW",Table15[[#This Row],[Column3]]),"")</f>
        <v>141.40411888960003</v>
      </c>
      <c r="H498" s="15" cm="1">
        <f t="array" ref="H498">_xlfn.IFS(Table15[[#This Row],[Column4]]="NEW",AVERAGEIFS(Table15[Column4],Table15[Year],Table15[[#This Row],[Year]]),ISNUMBER(Table15[[#This Row],[Column4]]),Table15[[#This Row],[Column4]],Table15[[#This Row],[Column4]]="",H497*(1+Table15[[#This Row],[Ávöxtun]]))</f>
        <v>141.40411888960003</v>
      </c>
      <c r="I498" s="30" cm="1">
        <f t="array" ref="I498">_xlfn.IFS(Table15[[#This Row],[Column4]]="NEW",_xlfn.XLOOKUP(Table15[[#This Row],[Year]]-1,$N$2:$N$27,$P$2:$P$27)*(1+Table15[[#This Row],[Ávöxtun]]),ISNUMBER(Table15[[#This Row],[Column4]]),Table15[[#This Row],[Column4]],Table15[[#This Row],[Column4]]="",I497*(1+Table15[[#This Row],[Ávöxtun]]))</f>
        <v>141.40411888960003</v>
      </c>
      <c r="L498" s="33">
        <v>141.40411888960003</v>
      </c>
      <c r="M498" s="33">
        <v>141.40411888960003</v>
      </c>
    </row>
    <row r="499" spans="1:13">
      <c r="A499" t="s">
        <v>97</v>
      </c>
      <c r="B499">
        <v>2004</v>
      </c>
      <c r="C499" s="16">
        <v>0.09</v>
      </c>
      <c r="D499" s="1">
        <v>1482603</v>
      </c>
      <c r="E499" s="29">
        <f>Table15[[#This Row],[Ávöxtun]]*Table15[[#This Row],[Eignir]]/SUMIFS(Table15[Eignir],Table15[Year],Table15[[#This Row],[Year]])</f>
        <v>1.4700740083021816E-4</v>
      </c>
      <c r="F499" s="23">
        <f>IF(B499=1997, 100, IF(COUNTIF(A$1:A498,A499)=0, "NEW", F498*(1+Table15[[#This Row],[Ávöxtun]])))</f>
        <v>154.13048958966405</v>
      </c>
      <c r="G499" s="18" cm="1">
        <f t="array" ref="G499">IFERROR(_xlfn.IFS(ISNUMBER(Table15[[#This Row],[Column3]]),Table15[[#This Row],[Column3]],Table15[[#This Row],[Column3]]="NEW",Table15[[#This Row],[Column3]]),"")</f>
        <v>154.13048958966405</v>
      </c>
      <c r="H499" s="15" cm="1">
        <f t="array" ref="H499">_xlfn.IFS(Table15[[#This Row],[Column4]]="NEW",AVERAGEIFS(Table15[Column4],Table15[Year],Table15[[#This Row],[Year]]),ISNUMBER(Table15[[#This Row],[Column4]]),Table15[[#This Row],[Column4]],Table15[[#This Row],[Column4]]="",H498*(1+Table15[[#This Row],[Ávöxtun]]))</f>
        <v>154.13048958966405</v>
      </c>
      <c r="I499" s="30" cm="1">
        <f t="array" ref="I499">_xlfn.IFS(Table15[[#This Row],[Column4]]="NEW",_xlfn.XLOOKUP(Table15[[#This Row],[Year]]-1,$N$2:$N$27,$P$2:$P$27)*(1+Table15[[#This Row],[Ávöxtun]]),ISNUMBER(Table15[[#This Row],[Column4]]),Table15[[#This Row],[Column4]],Table15[[#This Row],[Column4]]="",I498*(1+Table15[[#This Row],[Ávöxtun]]))</f>
        <v>154.13048958966405</v>
      </c>
      <c r="L499" s="33">
        <v>154.13048958966405</v>
      </c>
      <c r="M499" s="33">
        <v>154.13048958966405</v>
      </c>
    </row>
    <row r="500" spans="1:13">
      <c r="A500" t="s">
        <v>97</v>
      </c>
      <c r="B500">
        <v>2005</v>
      </c>
      <c r="C500" s="16">
        <v>0.08</v>
      </c>
      <c r="D500" s="1">
        <v>1598629</v>
      </c>
      <c r="E500" s="29">
        <f>Table15[[#This Row],[Ávöxtun]]*Table15[[#This Row],[Eignir]]/SUMIFS(Table15[Eignir],Table15[Year],Table15[[#This Row],[Year]])</f>
        <v>1.1405156120576878E-4</v>
      </c>
      <c r="F500" s="23">
        <f>IF(B500=1997, 100, IF(COUNTIF(A$1:A499,A500)=0, "NEW", F499*(1+Table15[[#This Row],[Ávöxtun]])))</f>
        <v>166.46092875683718</v>
      </c>
      <c r="G500" s="18" cm="1">
        <f t="array" ref="G500">IFERROR(_xlfn.IFS(ISNUMBER(Table15[[#This Row],[Column3]]),Table15[[#This Row],[Column3]],Table15[[#This Row],[Column3]]="NEW",Table15[[#This Row],[Column3]]),"")</f>
        <v>166.46092875683718</v>
      </c>
      <c r="H500" s="15" cm="1">
        <f t="array" ref="H500">_xlfn.IFS(Table15[[#This Row],[Column4]]="NEW",AVERAGEIFS(Table15[Column4],Table15[Year],Table15[[#This Row],[Year]]),ISNUMBER(Table15[[#This Row],[Column4]]),Table15[[#This Row],[Column4]],Table15[[#This Row],[Column4]]="",H499*(1+Table15[[#This Row],[Ávöxtun]]))</f>
        <v>166.46092875683718</v>
      </c>
      <c r="I500" s="30" cm="1">
        <f t="array" ref="I500">_xlfn.IFS(Table15[[#This Row],[Column4]]="NEW",_xlfn.XLOOKUP(Table15[[#This Row],[Year]]-1,$N$2:$N$27,$P$2:$P$27)*(1+Table15[[#This Row],[Ávöxtun]]),ISNUMBER(Table15[[#This Row],[Column4]]),Table15[[#This Row],[Column4]],Table15[[#This Row],[Column4]]="",I499*(1+Table15[[#This Row],[Ávöxtun]]))</f>
        <v>166.46092875683718</v>
      </c>
      <c r="L500" s="33">
        <v>166.46092875683718</v>
      </c>
      <c r="M500" s="33">
        <v>166.46092875683718</v>
      </c>
    </row>
    <row r="501" spans="1:13">
      <c r="A501" t="s">
        <v>97</v>
      </c>
      <c r="B501">
        <v>2006</v>
      </c>
      <c r="C501" s="16">
        <v>7.4900000000000008E-2</v>
      </c>
      <c r="D501" s="1">
        <v>1769815</v>
      </c>
      <c r="E501" s="29">
        <f>Table15[[#This Row],[Ávöxtun]]*Table15[[#This Row],[Eignir]]/SUMIFS(Table15[Eignir],Table15[Year],Table15[[#This Row],[Year]])</f>
        <v>9.6569895783974141E-5</v>
      </c>
      <c r="F501" s="23">
        <f>IF(B501=1997, 100, IF(COUNTIF(A$1:A500,A501)=0, "NEW", F500*(1+Table15[[#This Row],[Ávöxtun]])))</f>
        <v>178.92885232072427</v>
      </c>
      <c r="G501" s="18" cm="1">
        <f t="array" ref="G501">IFERROR(_xlfn.IFS(ISNUMBER(Table15[[#This Row],[Column3]]),Table15[[#This Row],[Column3]],Table15[[#This Row],[Column3]]="NEW",Table15[[#This Row],[Column3]]),"")</f>
        <v>178.92885232072427</v>
      </c>
      <c r="H501" s="15" cm="1">
        <f t="array" ref="H501">_xlfn.IFS(Table15[[#This Row],[Column4]]="NEW",AVERAGEIFS(Table15[Column4],Table15[Year],Table15[[#This Row],[Year]]),ISNUMBER(Table15[[#This Row],[Column4]]),Table15[[#This Row],[Column4]],Table15[[#This Row],[Column4]]="",H500*(1+Table15[[#This Row],[Ávöxtun]]))</f>
        <v>178.92885232072427</v>
      </c>
      <c r="I501" s="30" cm="1">
        <f t="array" ref="I501">_xlfn.IFS(Table15[[#This Row],[Column4]]="NEW",_xlfn.XLOOKUP(Table15[[#This Row],[Year]]-1,$N$2:$N$27,$P$2:$P$27)*(1+Table15[[#This Row],[Ávöxtun]]),ISNUMBER(Table15[[#This Row],[Column4]]),Table15[[#This Row],[Column4]],Table15[[#This Row],[Column4]]="",I500*(1+Table15[[#This Row],[Ávöxtun]]))</f>
        <v>178.92885232072427</v>
      </c>
      <c r="L501" s="33">
        <v>178.92885232072427</v>
      </c>
      <c r="M501" s="33">
        <v>178.92885232072427</v>
      </c>
    </row>
    <row r="502" spans="1:13">
      <c r="A502" t="s">
        <v>98</v>
      </c>
      <c r="B502">
        <v>1997</v>
      </c>
      <c r="C502" s="16">
        <v>0.08</v>
      </c>
      <c r="D502" s="1">
        <v>12918896.17</v>
      </c>
      <c r="E502" s="29">
        <f>Table15[[#This Row],[Ávöxtun]]*Table15[[#This Row],[Eignir]]/SUMIFS(Table15[Eignir],Table15[Year],Table15[[#This Row],[Year]])</f>
        <v>3.0484791748086825E-3</v>
      </c>
      <c r="F502" s="23">
        <f>IF(B502=1997, 100, IF(COUNTIF(A$1:A501,A502)=0, "NEW", F501*(1+Table15[[#This Row],[Ávöxtun]])))</f>
        <v>100</v>
      </c>
      <c r="G502" s="18" cm="1">
        <f t="array" ref="G502">IFERROR(_xlfn.IFS(ISNUMBER(Table15[[#This Row],[Column3]]),Table15[[#This Row],[Column3]],Table15[[#This Row],[Column3]]="NEW",Table15[[#This Row],[Column3]]),"")</f>
        <v>100</v>
      </c>
      <c r="H502" s="15" cm="1">
        <f t="array" ref="H502">_xlfn.IFS(Table15[[#This Row],[Column4]]="NEW",AVERAGEIFS(Table15[Column4],Table15[Year],Table15[[#This Row],[Year]]),ISNUMBER(Table15[[#This Row],[Column4]]),Table15[[#This Row],[Column4]],Table15[[#This Row],[Column4]]="",H501*(1+Table15[[#This Row],[Ávöxtun]]))</f>
        <v>100</v>
      </c>
      <c r="I502" s="30" cm="1">
        <f t="array" ref="I502">_xlfn.IFS(Table15[[#This Row],[Column4]]="NEW",_xlfn.XLOOKUP(Table15[[#This Row],[Year]]-1,$N$2:$N$27,$P$2:$P$27)*(1+Table15[[#This Row],[Ávöxtun]]),ISNUMBER(Table15[[#This Row],[Column4]]),Table15[[#This Row],[Column4]],Table15[[#This Row],[Column4]]="",I501*(1+Table15[[#This Row],[Ávöxtun]]))</f>
        <v>100</v>
      </c>
      <c r="L502" s="33">
        <v>100</v>
      </c>
      <c r="M502" s="33">
        <v>100</v>
      </c>
    </row>
    <row r="503" spans="1:13">
      <c r="A503" t="s">
        <v>98</v>
      </c>
      <c r="B503">
        <v>1998</v>
      </c>
      <c r="C503" s="16">
        <v>0.1</v>
      </c>
      <c r="D503" s="1">
        <v>14831105.6</v>
      </c>
      <c r="E503" s="29">
        <f>Table15[[#This Row],[Ávöxtun]]*Table15[[#This Row],[Eignir]]/SUMIFS(Table15[Eignir],Table15[Year],Table15[[#This Row],[Year]])</f>
        <v>3.7869723025832466E-3</v>
      </c>
      <c r="F503" s="23">
        <f>IF(B503=1997, 100, IF(COUNTIF(A$1:A502,A503)=0, "NEW", F502*(1+Table15[[#This Row],[Ávöxtun]])))</f>
        <v>110.00000000000001</v>
      </c>
      <c r="G503" s="18" cm="1">
        <f t="array" ref="G503">IFERROR(_xlfn.IFS(ISNUMBER(Table15[[#This Row],[Column3]]),Table15[[#This Row],[Column3]],Table15[[#This Row],[Column3]]="NEW",Table15[[#This Row],[Column3]]),"")</f>
        <v>110.00000000000001</v>
      </c>
      <c r="H503" s="15" cm="1">
        <f t="array" ref="H503">_xlfn.IFS(Table15[[#This Row],[Column4]]="NEW",AVERAGEIFS(Table15[Column4],Table15[Year],Table15[[#This Row],[Year]]),ISNUMBER(Table15[[#This Row],[Column4]]),Table15[[#This Row],[Column4]],Table15[[#This Row],[Column4]]="",H502*(1+Table15[[#This Row],[Ávöxtun]]))</f>
        <v>110.00000000000001</v>
      </c>
      <c r="I503" s="30" cm="1">
        <f t="array" ref="I503">_xlfn.IFS(Table15[[#This Row],[Column4]]="NEW",_xlfn.XLOOKUP(Table15[[#This Row],[Year]]-1,$N$2:$N$27,$P$2:$P$27)*(1+Table15[[#This Row],[Ávöxtun]]),ISNUMBER(Table15[[#This Row],[Column4]]),Table15[[#This Row],[Column4]],Table15[[#This Row],[Column4]]="",I502*(1+Table15[[#This Row],[Ávöxtun]]))</f>
        <v>110.00000000000001</v>
      </c>
      <c r="L503" s="33">
        <v>110.00000000000001</v>
      </c>
      <c r="M503" s="33">
        <v>110.00000000000001</v>
      </c>
    </row>
    <row r="504" spans="1:13">
      <c r="A504" t="s">
        <v>98</v>
      </c>
      <c r="B504">
        <v>1999</v>
      </c>
      <c r="C504" s="16">
        <v>0.16</v>
      </c>
      <c r="D504" s="1">
        <v>18759203.879999999</v>
      </c>
      <c r="E504" s="29">
        <f>Table15[[#This Row],[Ávöxtun]]*Table15[[#This Row],[Eignir]]/SUMIFS(Table15[Eignir],Table15[Year],Table15[[#This Row],[Year]])</f>
        <v>5.7641183767254967E-3</v>
      </c>
      <c r="F504" s="23">
        <f>IF(B504=1997, 100, IF(COUNTIF(A$1:A503,A504)=0, "NEW", F503*(1+Table15[[#This Row],[Ávöxtun]])))</f>
        <v>127.60000000000001</v>
      </c>
      <c r="G504" s="18" cm="1">
        <f t="array" ref="G504">IFERROR(_xlfn.IFS(ISNUMBER(Table15[[#This Row],[Column3]]),Table15[[#This Row],[Column3]],Table15[[#This Row],[Column3]]="NEW",Table15[[#This Row],[Column3]]),"")</f>
        <v>127.60000000000001</v>
      </c>
      <c r="H504" s="15" cm="1">
        <f t="array" ref="H504">_xlfn.IFS(Table15[[#This Row],[Column4]]="NEW",AVERAGEIFS(Table15[Column4],Table15[Year],Table15[[#This Row],[Year]]),ISNUMBER(Table15[[#This Row],[Column4]]),Table15[[#This Row],[Column4]],Table15[[#This Row],[Column4]]="",H503*(1+Table15[[#This Row],[Ávöxtun]]))</f>
        <v>127.60000000000001</v>
      </c>
      <c r="I504" s="30" cm="1">
        <f t="array" ref="I504">_xlfn.IFS(Table15[[#This Row],[Column4]]="NEW",_xlfn.XLOOKUP(Table15[[#This Row],[Year]]-1,$N$2:$N$27,$P$2:$P$27)*(1+Table15[[#This Row],[Ávöxtun]]),ISNUMBER(Table15[[#This Row],[Column4]]),Table15[[#This Row],[Column4]],Table15[[#This Row],[Column4]]="",I503*(1+Table15[[#This Row],[Ávöxtun]]))</f>
        <v>127.60000000000001</v>
      </c>
      <c r="L504" s="33">
        <v>127.60000000000001</v>
      </c>
      <c r="M504" s="33">
        <v>127.60000000000001</v>
      </c>
    </row>
    <row r="505" spans="1:13">
      <c r="A505" t="s">
        <v>98</v>
      </c>
      <c r="B505">
        <v>2000</v>
      </c>
      <c r="C505" s="16">
        <v>-0.03</v>
      </c>
      <c r="D505" s="1">
        <v>19525603.260000002</v>
      </c>
      <c r="E505" s="29">
        <f>Table15[[#This Row],[Ávöxtun]]*Table15[[#This Row],[Eignir]]/SUMIFS(Table15[Eignir],Table15[Year],Table15[[#This Row],[Year]])</f>
        <v>-8.2399293288350748E-4</v>
      </c>
      <c r="F505" s="23">
        <f>IF(B505=1997, 100, IF(COUNTIF(A$1:A504,A505)=0, "NEW", F504*(1+Table15[[#This Row],[Ávöxtun]])))</f>
        <v>123.77200000000001</v>
      </c>
      <c r="G505" s="18" cm="1">
        <f t="array" ref="G505">IFERROR(_xlfn.IFS(ISNUMBER(Table15[[#This Row],[Column3]]),Table15[[#This Row],[Column3]],Table15[[#This Row],[Column3]]="NEW",Table15[[#This Row],[Column3]]),"")</f>
        <v>123.77200000000001</v>
      </c>
      <c r="H505" s="15" cm="1">
        <f t="array" ref="H505">_xlfn.IFS(Table15[[#This Row],[Column4]]="NEW",AVERAGEIFS(Table15[Column4],Table15[Year],Table15[[#This Row],[Year]]),ISNUMBER(Table15[[#This Row],[Column4]]),Table15[[#This Row],[Column4]],Table15[[#This Row],[Column4]]="",H504*(1+Table15[[#This Row],[Ávöxtun]]))</f>
        <v>123.77200000000001</v>
      </c>
      <c r="I505" s="30" cm="1">
        <f t="array" ref="I505">_xlfn.IFS(Table15[[#This Row],[Column4]]="NEW",_xlfn.XLOOKUP(Table15[[#This Row],[Year]]-1,$N$2:$N$27,$P$2:$P$27)*(1+Table15[[#This Row],[Ávöxtun]]),ISNUMBER(Table15[[#This Row],[Column4]]),Table15[[#This Row],[Column4]],Table15[[#This Row],[Column4]]="",I504*(1+Table15[[#This Row],[Ávöxtun]]))</f>
        <v>123.77200000000001</v>
      </c>
      <c r="L505" s="33">
        <v>123.77200000000001</v>
      </c>
      <c r="M505" s="33">
        <v>123.77200000000001</v>
      </c>
    </row>
    <row r="506" spans="1:13">
      <c r="A506" t="s">
        <v>98</v>
      </c>
      <c r="B506">
        <v>2001</v>
      </c>
      <c r="C506" s="16">
        <v>-0.04</v>
      </c>
      <c r="D506" s="1">
        <v>56446787</v>
      </c>
      <c r="E506" s="29">
        <f>Table15[[#This Row],[Ávöxtun]]*Table15[[#This Row],[Eignir]]/SUMIFS(Table15[Eignir],Table15[Year],Table15[[#This Row],[Year]])</f>
        <v>-1.9499445719419024E-3</v>
      </c>
      <c r="F506" s="23">
        <f>IF(B506=1997, 100, IF(COUNTIF(A$1:A505,A506)=0, "NEW", F505*(1+Table15[[#This Row],[Ávöxtun]])))</f>
        <v>118.82112000000001</v>
      </c>
      <c r="G506" s="18" cm="1">
        <f t="array" ref="G506">IFERROR(_xlfn.IFS(ISNUMBER(Table15[[#This Row],[Column3]]),Table15[[#This Row],[Column3]],Table15[[#This Row],[Column3]]="NEW",Table15[[#This Row],[Column3]]),"")</f>
        <v>118.82112000000001</v>
      </c>
      <c r="H506" s="15" cm="1">
        <f t="array" ref="H506">_xlfn.IFS(Table15[[#This Row],[Column4]]="NEW",AVERAGEIFS(Table15[Column4],Table15[Year],Table15[[#This Row],[Year]]),ISNUMBER(Table15[[#This Row],[Column4]]),Table15[[#This Row],[Column4]],Table15[[#This Row],[Column4]]="",H505*(1+Table15[[#This Row],[Ávöxtun]]))</f>
        <v>118.82112000000001</v>
      </c>
      <c r="I506" s="30" cm="1">
        <f t="array" ref="I506">_xlfn.IFS(Table15[[#This Row],[Column4]]="NEW",_xlfn.XLOOKUP(Table15[[#This Row],[Year]]-1,$N$2:$N$27,$P$2:$P$27)*(1+Table15[[#This Row],[Ávöxtun]]),ISNUMBER(Table15[[#This Row],[Column4]]),Table15[[#This Row],[Column4]],Table15[[#This Row],[Column4]]="",I505*(1+Table15[[#This Row],[Ávöxtun]]))</f>
        <v>118.82112000000001</v>
      </c>
      <c r="L506" s="33">
        <v>118.82112000000001</v>
      </c>
      <c r="M506" s="33">
        <v>118.82112000000001</v>
      </c>
    </row>
    <row r="507" spans="1:13">
      <c r="A507" t="s">
        <v>98</v>
      </c>
      <c r="B507">
        <v>2002</v>
      </c>
      <c r="C507" s="16">
        <v>-0.02</v>
      </c>
      <c r="D507" s="1">
        <v>27968753</v>
      </c>
      <c r="E507" s="29">
        <f>Table15[[#This Row],[Ávöxtun]]*Table15[[#This Row],[Eignir]]/SUMIFS(Table15[Eignir],Table15[Year],Table15[[#This Row],[Year]])</f>
        <v>-8.8067794017842444E-4</v>
      </c>
      <c r="F507" s="23">
        <f>IF(B507=1997, 100, IF(COUNTIF(A$1:A506,A507)=0, "NEW", F506*(1+Table15[[#This Row],[Ávöxtun]])))</f>
        <v>116.44469760000001</v>
      </c>
      <c r="G507" s="18" cm="1">
        <f t="array" ref="G507">IFERROR(_xlfn.IFS(ISNUMBER(Table15[[#This Row],[Column3]]),Table15[[#This Row],[Column3]],Table15[[#This Row],[Column3]]="NEW",Table15[[#This Row],[Column3]]),"")</f>
        <v>116.44469760000001</v>
      </c>
      <c r="H507" s="15" cm="1">
        <f t="array" ref="H507">_xlfn.IFS(Table15[[#This Row],[Column4]]="NEW",AVERAGEIFS(Table15[Column4],Table15[Year],Table15[[#This Row],[Year]]),ISNUMBER(Table15[[#This Row],[Column4]]),Table15[[#This Row],[Column4]],Table15[[#This Row],[Column4]]="",H506*(1+Table15[[#This Row],[Ávöxtun]]))</f>
        <v>116.44469760000001</v>
      </c>
      <c r="I507" s="30" cm="1">
        <f t="array" ref="I507">_xlfn.IFS(Table15[[#This Row],[Column4]]="NEW",_xlfn.XLOOKUP(Table15[[#This Row],[Year]]-1,$N$2:$N$27,$P$2:$P$27)*(1+Table15[[#This Row],[Ávöxtun]]),ISNUMBER(Table15[[#This Row],[Column4]]),Table15[[#This Row],[Column4]],Table15[[#This Row],[Column4]]="",I506*(1+Table15[[#This Row],[Ávöxtun]]))</f>
        <v>116.44469760000001</v>
      </c>
      <c r="L507" s="33">
        <v>116.44469760000001</v>
      </c>
      <c r="M507" s="33">
        <v>116.44469760000001</v>
      </c>
    </row>
    <row r="508" spans="1:13">
      <c r="A508" t="s">
        <v>98</v>
      </c>
      <c r="B508">
        <v>2003</v>
      </c>
      <c r="C508" s="16">
        <v>0.09</v>
      </c>
      <c r="D508" s="1">
        <v>32242102</v>
      </c>
      <c r="E508" s="29">
        <f>Table15[[#This Row],[Ávöxtun]]*Table15[[#This Row],[Eignir]]/SUMIFS(Table15[Eignir],Table15[Year],Table15[[#This Row],[Year]])</f>
        <v>3.8186893542812511E-3</v>
      </c>
      <c r="F508" s="23">
        <f>IF(B508=1997, 100, IF(COUNTIF(A$1:A507,A508)=0, "NEW", F507*(1+Table15[[#This Row],[Ávöxtun]])))</f>
        <v>126.92472038400003</v>
      </c>
      <c r="G508" s="18" cm="1">
        <f t="array" ref="G508">IFERROR(_xlfn.IFS(ISNUMBER(Table15[[#This Row],[Column3]]),Table15[[#This Row],[Column3]],Table15[[#This Row],[Column3]]="NEW",Table15[[#This Row],[Column3]]),"")</f>
        <v>126.92472038400003</v>
      </c>
      <c r="H508" s="15" cm="1">
        <f t="array" ref="H508">_xlfn.IFS(Table15[[#This Row],[Column4]]="NEW",AVERAGEIFS(Table15[Column4],Table15[Year],Table15[[#This Row],[Year]]),ISNUMBER(Table15[[#This Row],[Column4]]),Table15[[#This Row],[Column4]],Table15[[#This Row],[Column4]]="",H507*(1+Table15[[#This Row],[Ávöxtun]]))</f>
        <v>126.92472038400003</v>
      </c>
      <c r="I508" s="30" cm="1">
        <f t="array" ref="I508">_xlfn.IFS(Table15[[#This Row],[Column4]]="NEW",_xlfn.XLOOKUP(Table15[[#This Row],[Year]]-1,$N$2:$N$27,$P$2:$P$27)*(1+Table15[[#This Row],[Ávöxtun]]),ISNUMBER(Table15[[#This Row],[Column4]]),Table15[[#This Row],[Column4]],Table15[[#This Row],[Column4]]="",I507*(1+Table15[[#This Row],[Ávöxtun]]))</f>
        <v>126.92472038400003</v>
      </c>
      <c r="L508" s="33">
        <v>126.92472038400003</v>
      </c>
      <c r="M508" s="33">
        <v>126.92472038400003</v>
      </c>
    </row>
    <row r="509" spans="1:13">
      <c r="A509" t="s">
        <v>98</v>
      </c>
      <c r="B509">
        <v>2004</v>
      </c>
      <c r="C509" s="16">
        <v>0.13</v>
      </c>
      <c r="D509" s="1">
        <v>38019390.359999999</v>
      </c>
      <c r="E509" s="29">
        <f>Table15[[#This Row],[Ávöxtun]]*Table15[[#This Row],[Eignir]]/SUMIFS(Table15[Eignir],Table15[Year],Table15[[#This Row],[Year]])</f>
        <v>5.4452812499854565E-3</v>
      </c>
      <c r="F509" s="23">
        <f>IF(B509=1997, 100, IF(COUNTIF(A$1:A508,A509)=0, "NEW", F508*(1+Table15[[#This Row],[Ávöxtun]])))</f>
        <v>143.42493403392001</v>
      </c>
      <c r="G509" s="18" cm="1">
        <f t="array" ref="G509">IFERROR(_xlfn.IFS(ISNUMBER(Table15[[#This Row],[Column3]]),Table15[[#This Row],[Column3]],Table15[[#This Row],[Column3]]="NEW",Table15[[#This Row],[Column3]]),"")</f>
        <v>143.42493403392001</v>
      </c>
      <c r="H509" s="15" cm="1">
        <f t="array" ref="H509">_xlfn.IFS(Table15[[#This Row],[Column4]]="NEW",AVERAGEIFS(Table15[Column4],Table15[Year],Table15[[#This Row],[Year]]),ISNUMBER(Table15[[#This Row],[Column4]]),Table15[[#This Row],[Column4]],Table15[[#This Row],[Column4]]="",H508*(1+Table15[[#This Row],[Ávöxtun]]))</f>
        <v>143.42493403392001</v>
      </c>
      <c r="I509" s="30" cm="1">
        <f t="array" ref="I509">_xlfn.IFS(Table15[[#This Row],[Column4]]="NEW",_xlfn.XLOOKUP(Table15[[#This Row],[Year]]-1,$N$2:$N$27,$P$2:$P$27)*(1+Table15[[#This Row],[Ávöxtun]]),ISNUMBER(Table15[[#This Row],[Column4]]),Table15[[#This Row],[Column4]],Table15[[#This Row],[Column4]]="",I508*(1+Table15[[#This Row],[Ávöxtun]]))</f>
        <v>143.42493403392001</v>
      </c>
      <c r="L509" s="33">
        <v>143.42493403392001</v>
      </c>
      <c r="M509" s="33">
        <v>143.42493403392001</v>
      </c>
    </row>
    <row r="510" spans="1:13">
      <c r="A510" t="s">
        <v>98</v>
      </c>
      <c r="B510">
        <v>2005</v>
      </c>
      <c r="C510" s="16">
        <v>0.14000000000000001</v>
      </c>
      <c r="D510" s="1">
        <v>46325670</v>
      </c>
      <c r="E510" s="29">
        <f>Table15[[#This Row],[Ávöxtun]]*Table15[[#This Row],[Eignir]]/SUMIFS(Table15[Eignir],Table15[Year],Table15[[#This Row],[Year]])</f>
        <v>5.7838005115356242E-3</v>
      </c>
      <c r="F510" s="23">
        <f>IF(B510=1997, 100, IF(COUNTIF(A$1:A509,A510)=0, "NEW", F509*(1+Table15[[#This Row],[Ávöxtun]])))</f>
        <v>163.50442479866882</v>
      </c>
      <c r="G510" s="18" cm="1">
        <f t="array" ref="G510">IFERROR(_xlfn.IFS(ISNUMBER(Table15[[#This Row],[Column3]]),Table15[[#This Row],[Column3]],Table15[[#This Row],[Column3]]="NEW",Table15[[#This Row],[Column3]]),"")</f>
        <v>163.50442479866882</v>
      </c>
      <c r="H510" s="15" cm="1">
        <f t="array" ref="H510">_xlfn.IFS(Table15[[#This Row],[Column4]]="NEW",AVERAGEIFS(Table15[Column4],Table15[Year],Table15[[#This Row],[Year]]),ISNUMBER(Table15[[#This Row],[Column4]]),Table15[[#This Row],[Column4]],Table15[[#This Row],[Column4]]="",H509*(1+Table15[[#This Row],[Ávöxtun]]))</f>
        <v>163.50442479866882</v>
      </c>
      <c r="I510" s="30" cm="1">
        <f t="array" ref="I510">_xlfn.IFS(Table15[[#This Row],[Column4]]="NEW",_xlfn.XLOOKUP(Table15[[#This Row],[Year]]-1,$N$2:$N$27,$P$2:$P$27)*(1+Table15[[#This Row],[Ávöxtun]]),ISNUMBER(Table15[[#This Row],[Column4]]),Table15[[#This Row],[Column4]],Table15[[#This Row],[Column4]]="",I509*(1+Table15[[#This Row],[Ávöxtun]]))</f>
        <v>163.50442479866882</v>
      </c>
      <c r="L510" s="33">
        <v>163.50442479866882</v>
      </c>
      <c r="M510" s="33">
        <v>163.50442479866882</v>
      </c>
    </row>
    <row r="511" spans="1:13">
      <c r="A511" t="s">
        <v>98</v>
      </c>
      <c r="B511">
        <v>2006</v>
      </c>
      <c r="C511" s="16">
        <v>8.6400000000000005E-2</v>
      </c>
      <c r="D511" s="1">
        <v>55126217</v>
      </c>
      <c r="E511" s="29">
        <f>Table15[[#This Row],[Ávöxtun]]*Table15[[#This Row],[Eignir]]/SUMIFS(Table15[Eignir],Table15[Year],Table15[[#This Row],[Year]])</f>
        <v>3.4697965127435354E-3</v>
      </c>
      <c r="F511" s="23">
        <f>IF(B511=1997, 100, IF(COUNTIF(A$1:A510,A511)=0, "NEW", F510*(1+Table15[[#This Row],[Ávöxtun]])))</f>
        <v>177.63120710127382</v>
      </c>
      <c r="G511" s="18" cm="1">
        <f t="array" ref="G511">IFERROR(_xlfn.IFS(ISNUMBER(Table15[[#This Row],[Column3]]),Table15[[#This Row],[Column3]],Table15[[#This Row],[Column3]]="NEW",Table15[[#This Row],[Column3]]),"")</f>
        <v>177.63120710127382</v>
      </c>
      <c r="H511" s="15" cm="1">
        <f t="array" ref="H511">_xlfn.IFS(Table15[[#This Row],[Column4]]="NEW",AVERAGEIFS(Table15[Column4],Table15[Year],Table15[[#This Row],[Year]]),ISNUMBER(Table15[[#This Row],[Column4]]),Table15[[#This Row],[Column4]],Table15[[#This Row],[Column4]]="",H510*(1+Table15[[#This Row],[Ávöxtun]]))</f>
        <v>177.63120710127382</v>
      </c>
      <c r="I511" s="30" cm="1">
        <f t="array" ref="I511">_xlfn.IFS(Table15[[#This Row],[Column4]]="NEW",_xlfn.XLOOKUP(Table15[[#This Row],[Year]]-1,$N$2:$N$27,$P$2:$P$27)*(1+Table15[[#This Row],[Ávöxtun]]),ISNUMBER(Table15[[#This Row],[Column4]]),Table15[[#This Row],[Column4]],Table15[[#This Row],[Column4]]="",I510*(1+Table15[[#This Row],[Ávöxtun]]))</f>
        <v>177.63120710127382</v>
      </c>
      <c r="L511" s="33">
        <v>177.63120710127382</v>
      </c>
      <c r="M511" s="33">
        <v>177.63120710127382</v>
      </c>
    </row>
    <row r="512" spans="1:13">
      <c r="A512" t="s">
        <v>141</v>
      </c>
      <c r="B512">
        <v>1997</v>
      </c>
      <c r="C512" s="16">
        <v>0</v>
      </c>
      <c r="D512" s="1">
        <v>9495.1</v>
      </c>
      <c r="E512" s="29">
        <f>Table15[[#This Row],[Ávöxtun]]*Table15[[#This Row],[Eignir]]/SUMIFS(Table15[Eignir],Table15[Year],Table15[[#This Row],[Year]])</f>
        <v>0</v>
      </c>
      <c r="F512" s="23">
        <f>IF(B512=1997, 100, IF(COUNTIF(A$1:A511,A512)=0, "NEW", F511*(1+Table15[[#This Row],[Ávöxtun]])))</f>
        <v>100</v>
      </c>
      <c r="G512" s="18" cm="1">
        <f t="array" ref="G512">IFERROR(_xlfn.IFS(ISNUMBER(Table15[[#This Row],[Column3]]),Table15[[#This Row],[Column3]],Table15[[#This Row],[Column3]]="NEW",Table15[[#This Row],[Column3]]),"")</f>
        <v>100</v>
      </c>
      <c r="H512" s="15" cm="1">
        <f t="array" ref="H512">_xlfn.IFS(Table15[[#This Row],[Column4]]="NEW",AVERAGEIFS(Table15[Column4],Table15[Year],Table15[[#This Row],[Year]]),ISNUMBER(Table15[[#This Row],[Column4]]),Table15[[#This Row],[Column4]],Table15[[#This Row],[Column4]]="",H511*(1+Table15[[#This Row],[Ávöxtun]]))</f>
        <v>100</v>
      </c>
      <c r="I512" s="30" cm="1">
        <f t="array" ref="I512">_xlfn.IFS(Table15[[#This Row],[Column4]]="NEW",_xlfn.XLOOKUP(Table15[[#This Row],[Year]]-1,$N$2:$N$27,$P$2:$P$27)*(1+Table15[[#This Row],[Ávöxtun]]),ISNUMBER(Table15[[#This Row],[Column4]]),Table15[[#This Row],[Column4]],Table15[[#This Row],[Column4]]="",I511*(1+Table15[[#This Row],[Ávöxtun]]))</f>
        <v>100</v>
      </c>
      <c r="L512" s="33">
        <v>100</v>
      </c>
      <c r="M512" s="33">
        <v>100</v>
      </c>
    </row>
    <row r="513" spans="1:13">
      <c r="A513" t="s">
        <v>141</v>
      </c>
      <c r="B513">
        <v>1998</v>
      </c>
      <c r="C513" s="16">
        <v>0</v>
      </c>
      <c r="D513" s="1">
        <v>6062.53</v>
      </c>
      <c r="E513" s="29">
        <f>Table15[[#This Row],[Ávöxtun]]*Table15[[#This Row],[Eignir]]/SUMIFS(Table15[Eignir],Table15[Year],Table15[[#This Row],[Year]])</f>
        <v>0</v>
      </c>
      <c r="F513" s="23">
        <f>IF(B513=1997, 100, IF(COUNTIF(A$1:A512,A513)=0, "NEW", F512*(1+Table15[[#This Row],[Ávöxtun]])))</f>
        <v>100</v>
      </c>
      <c r="G513" s="18" cm="1">
        <f t="array" ref="G513">IFERROR(_xlfn.IFS(ISNUMBER(Table15[[#This Row],[Column3]]),Table15[[#This Row],[Column3]],Table15[[#This Row],[Column3]]="NEW",Table15[[#This Row],[Column3]]),"")</f>
        <v>100</v>
      </c>
      <c r="H513" s="15" cm="1">
        <f t="array" ref="H513">_xlfn.IFS(Table15[[#This Row],[Column4]]="NEW",AVERAGEIFS(Table15[Column4],Table15[Year],Table15[[#This Row],[Year]]),ISNUMBER(Table15[[#This Row],[Column4]]),Table15[[#This Row],[Column4]],Table15[[#This Row],[Column4]]="",H512*(1+Table15[[#This Row],[Ávöxtun]]))</f>
        <v>100</v>
      </c>
      <c r="I513" s="30" cm="1">
        <f t="array" ref="I513">_xlfn.IFS(Table15[[#This Row],[Column4]]="NEW",_xlfn.XLOOKUP(Table15[[#This Row],[Year]]-1,$N$2:$N$27,$P$2:$P$27)*(1+Table15[[#This Row],[Ávöxtun]]),ISNUMBER(Table15[[#This Row],[Column4]]),Table15[[#This Row],[Column4]],Table15[[#This Row],[Column4]]="",I512*(1+Table15[[#This Row],[Ávöxtun]]))</f>
        <v>100</v>
      </c>
      <c r="L513" s="33">
        <v>100</v>
      </c>
      <c r="M513" s="33">
        <v>100</v>
      </c>
    </row>
    <row r="514" spans="1:13">
      <c r="A514" t="s">
        <v>99</v>
      </c>
      <c r="B514">
        <v>1997</v>
      </c>
      <c r="C514" s="16">
        <v>0.05</v>
      </c>
      <c r="D514" s="1">
        <v>1267436.26</v>
      </c>
      <c r="E514" s="29">
        <f>Table15[[#This Row],[Ávöxtun]]*Table15[[#This Row],[Eignir]]/SUMIFS(Table15[Eignir],Table15[Year],Table15[[#This Row],[Year]])</f>
        <v>1.8692352819680777E-4</v>
      </c>
      <c r="F514" s="23">
        <f>IF(B514=1997, 100, IF(COUNTIF(A$1:A513,A514)=0, "NEW", F513*(1+Table15[[#This Row],[Ávöxtun]])))</f>
        <v>100</v>
      </c>
      <c r="G514" s="18" cm="1">
        <f t="array" ref="G514">IFERROR(_xlfn.IFS(ISNUMBER(Table15[[#This Row],[Column3]]),Table15[[#This Row],[Column3]],Table15[[#This Row],[Column3]]="NEW",Table15[[#This Row],[Column3]]),"")</f>
        <v>100</v>
      </c>
      <c r="H514" s="15" cm="1">
        <f t="array" ref="H514">_xlfn.IFS(Table15[[#This Row],[Column4]]="NEW",AVERAGEIFS(Table15[Column4],Table15[Year],Table15[[#This Row],[Year]]),ISNUMBER(Table15[[#This Row],[Column4]]),Table15[[#This Row],[Column4]],Table15[[#This Row],[Column4]]="",H513*(1+Table15[[#This Row],[Ávöxtun]]))</f>
        <v>100</v>
      </c>
      <c r="I514" s="30" cm="1">
        <f t="array" ref="I514">_xlfn.IFS(Table15[[#This Row],[Column4]]="NEW",_xlfn.XLOOKUP(Table15[[#This Row],[Year]]-1,$N$2:$N$27,$P$2:$P$27)*(1+Table15[[#This Row],[Ávöxtun]]),ISNUMBER(Table15[[#This Row],[Column4]]),Table15[[#This Row],[Column4]],Table15[[#This Row],[Column4]]="",I513*(1+Table15[[#This Row],[Ávöxtun]]))</f>
        <v>100</v>
      </c>
      <c r="L514" s="33">
        <v>100</v>
      </c>
      <c r="M514" s="33">
        <v>100</v>
      </c>
    </row>
    <row r="515" spans="1:13">
      <c r="A515" t="s">
        <v>99</v>
      </c>
      <c r="B515">
        <v>1998</v>
      </c>
      <c r="C515" s="16">
        <v>0.06</v>
      </c>
      <c r="D515" s="1">
        <v>1417601.36</v>
      </c>
      <c r="E515" s="29">
        <f>Table15[[#This Row],[Ávöxtun]]*Table15[[#This Row],[Eignir]]/SUMIFS(Table15[Eignir],Table15[Year],Table15[[#This Row],[Year]])</f>
        <v>2.1718207251215346E-4</v>
      </c>
      <c r="F515" s="23">
        <f>IF(B515=1997, 100, IF(COUNTIF(A$1:A514,A515)=0, "NEW", F514*(1+Table15[[#This Row],[Ávöxtun]])))</f>
        <v>106</v>
      </c>
      <c r="G515" s="18" cm="1">
        <f t="array" ref="G515">IFERROR(_xlfn.IFS(ISNUMBER(Table15[[#This Row],[Column3]]),Table15[[#This Row],[Column3]],Table15[[#This Row],[Column3]]="NEW",Table15[[#This Row],[Column3]]),"")</f>
        <v>106</v>
      </c>
      <c r="H515" s="15" cm="1">
        <f t="array" ref="H515">_xlfn.IFS(Table15[[#This Row],[Column4]]="NEW",AVERAGEIFS(Table15[Column4],Table15[Year],Table15[[#This Row],[Year]]),ISNUMBER(Table15[[#This Row],[Column4]]),Table15[[#This Row],[Column4]],Table15[[#This Row],[Column4]]="",H514*(1+Table15[[#This Row],[Ávöxtun]]))</f>
        <v>106</v>
      </c>
      <c r="I515" s="30" cm="1">
        <f t="array" ref="I515">_xlfn.IFS(Table15[[#This Row],[Column4]]="NEW",_xlfn.XLOOKUP(Table15[[#This Row],[Year]]-1,$N$2:$N$27,$P$2:$P$27)*(1+Table15[[#This Row],[Ávöxtun]]),ISNUMBER(Table15[[#This Row],[Column4]]),Table15[[#This Row],[Column4]],Table15[[#This Row],[Column4]]="",I514*(1+Table15[[#This Row],[Ávöxtun]]))</f>
        <v>106</v>
      </c>
      <c r="L515" s="33">
        <v>106</v>
      </c>
      <c r="M515" s="33">
        <v>106</v>
      </c>
    </row>
    <row r="516" spans="1:13">
      <c r="A516" t="s">
        <v>99</v>
      </c>
      <c r="B516">
        <v>1999</v>
      </c>
      <c r="C516" s="16">
        <v>0.05</v>
      </c>
      <c r="D516" s="1">
        <v>1646109.34</v>
      </c>
      <c r="E516" s="29">
        <f>Table15[[#This Row],[Ávöxtun]]*Table15[[#This Row],[Eignir]]/SUMIFS(Table15[Eignir],Table15[Year],Table15[[#This Row],[Year]])</f>
        <v>1.5806189653438333E-4</v>
      </c>
      <c r="F516" s="23">
        <f>IF(B516=1997, 100, IF(COUNTIF(A$1:A515,A516)=0, "NEW", F515*(1+Table15[[#This Row],[Ávöxtun]])))</f>
        <v>111.30000000000001</v>
      </c>
      <c r="G516" s="18" cm="1">
        <f t="array" ref="G516">IFERROR(_xlfn.IFS(ISNUMBER(Table15[[#This Row],[Column3]]),Table15[[#This Row],[Column3]],Table15[[#This Row],[Column3]]="NEW",Table15[[#This Row],[Column3]]),"")</f>
        <v>111.30000000000001</v>
      </c>
      <c r="H516" s="15" cm="1">
        <f t="array" ref="H516">_xlfn.IFS(Table15[[#This Row],[Column4]]="NEW",AVERAGEIFS(Table15[Column4],Table15[Year],Table15[[#This Row],[Year]]),ISNUMBER(Table15[[#This Row],[Column4]]),Table15[[#This Row],[Column4]],Table15[[#This Row],[Column4]]="",H515*(1+Table15[[#This Row],[Ávöxtun]]))</f>
        <v>111.30000000000001</v>
      </c>
      <c r="I516" s="30" cm="1">
        <f t="array" ref="I516">_xlfn.IFS(Table15[[#This Row],[Column4]]="NEW",_xlfn.XLOOKUP(Table15[[#This Row],[Year]]-1,$N$2:$N$27,$P$2:$P$27)*(1+Table15[[#This Row],[Ávöxtun]]),ISNUMBER(Table15[[#This Row],[Column4]]),Table15[[#This Row],[Column4]],Table15[[#This Row],[Column4]]="",I515*(1+Table15[[#This Row],[Ávöxtun]]))</f>
        <v>111.30000000000001</v>
      </c>
      <c r="L516" s="33">
        <v>111.30000000000001</v>
      </c>
      <c r="M516" s="33">
        <v>111.30000000000001</v>
      </c>
    </row>
    <row r="517" spans="1:13">
      <c r="A517" t="s">
        <v>99</v>
      </c>
      <c r="B517">
        <v>2000</v>
      </c>
      <c r="C517" s="16">
        <v>0.03</v>
      </c>
      <c r="D517" s="1">
        <v>1875408.81</v>
      </c>
      <c r="E517" s="29">
        <f>Table15[[#This Row],[Ávöxtun]]*Table15[[#This Row],[Eignir]]/SUMIFS(Table15[Eignir],Table15[Year],Table15[[#This Row],[Year]])</f>
        <v>7.91434500194525E-5</v>
      </c>
      <c r="F517" s="23">
        <f>IF(B517=1997, 100, IF(COUNTIF(A$1:A516,A517)=0, "NEW", F516*(1+Table15[[#This Row],[Ávöxtun]])))</f>
        <v>114.63900000000001</v>
      </c>
      <c r="G517" s="18" cm="1">
        <f t="array" ref="G517">IFERROR(_xlfn.IFS(ISNUMBER(Table15[[#This Row],[Column3]]),Table15[[#This Row],[Column3]],Table15[[#This Row],[Column3]]="NEW",Table15[[#This Row],[Column3]]),"")</f>
        <v>114.63900000000001</v>
      </c>
      <c r="H517" s="15" cm="1">
        <f t="array" ref="H517">_xlfn.IFS(Table15[[#This Row],[Column4]]="NEW",AVERAGEIFS(Table15[Column4],Table15[Year],Table15[[#This Row],[Year]]),ISNUMBER(Table15[[#This Row],[Column4]]),Table15[[#This Row],[Column4]],Table15[[#This Row],[Column4]]="",H516*(1+Table15[[#This Row],[Ávöxtun]]))</f>
        <v>114.63900000000001</v>
      </c>
      <c r="I517" s="30" cm="1">
        <f t="array" ref="I517">_xlfn.IFS(Table15[[#This Row],[Column4]]="NEW",_xlfn.XLOOKUP(Table15[[#This Row],[Year]]-1,$N$2:$N$27,$P$2:$P$27)*(1+Table15[[#This Row],[Ávöxtun]]),ISNUMBER(Table15[[#This Row],[Column4]]),Table15[[#This Row],[Column4]],Table15[[#This Row],[Column4]]="",I516*(1+Table15[[#This Row],[Ávöxtun]]))</f>
        <v>114.63900000000001</v>
      </c>
      <c r="L517" s="33">
        <v>114.63900000000001</v>
      </c>
      <c r="M517" s="33">
        <v>114.63900000000001</v>
      </c>
    </row>
    <row r="518" spans="1:13">
      <c r="A518" t="s">
        <v>99</v>
      </c>
      <c r="B518">
        <v>2001</v>
      </c>
      <c r="C518" s="16">
        <v>0.04</v>
      </c>
      <c r="D518" s="1">
        <v>2207701</v>
      </c>
      <c r="E518" s="29">
        <f>Table15[[#This Row],[Ávöxtun]]*Table15[[#This Row],[Eignir]]/SUMIFS(Table15[Eignir],Table15[Year],Table15[[#This Row],[Year]])</f>
        <v>7.6264652254178972E-5</v>
      </c>
      <c r="F518" s="23">
        <f>IF(B518=1997, 100, IF(COUNTIF(A$1:A517,A518)=0, "NEW", F517*(1+Table15[[#This Row],[Ávöxtun]])))</f>
        <v>119.22456000000001</v>
      </c>
      <c r="G518" s="18" cm="1">
        <f t="array" ref="G518">IFERROR(_xlfn.IFS(ISNUMBER(Table15[[#This Row],[Column3]]),Table15[[#This Row],[Column3]],Table15[[#This Row],[Column3]]="NEW",Table15[[#This Row],[Column3]]),"")</f>
        <v>119.22456000000001</v>
      </c>
      <c r="H518" s="15" cm="1">
        <f t="array" ref="H518">_xlfn.IFS(Table15[[#This Row],[Column4]]="NEW",AVERAGEIFS(Table15[Column4],Table15[Year],Table15[[#This Row],[Year]]),ISNUMBER(Table15[[#This Row],[Column4]]),Table15[[#This Row],[Column4]],Table15[[#This Row],[Column4]]="",H517*(1+Table15[[#This Row],[Ávöxtun]]))</f>
        <v>119.22456000000001</v>
      </c>
      <c r="I518" s="30" cm="1">
        <f t="array" ref="I518">_xlfn.IFS(Table15[[#This Row],[Column4]]="NEW",_xlfn.XLOOKUP(Table15[[#This Row],[Year]]-1,$N$2:$N$27,$P$2:$P$27)*(1+Table15[[#This Row],[Ávöxtun]]),ISNUMBER(Table15[[#This Row],[Column4]]),Table15[[#This Row],[Column4]],Table15[[#This Row],[Column4]]="",I517*(1+Table15[[#This Row],[Ávöxtun]]))</f>
        <v>119.22456000000001</v>
      </c>
      <c r="L518" s="33">
        <v>119.22456000000001</v>
      </c>
      <c r="M518" s="33">
        <v>119.22456000000001</v>
      </c>
    </row>
    <row r="519" spans="1:13">
      <c r="A519" t="s">
        <v>99</v>
      </c>
      <c r="B519">
        <v>2002</v>
      </c>
      <c r="C519" s="16">
        <v>0.04</v>
      </c>
      <c r="D519" s="1">
        <v>2384937.79</v>
      </c>
      <c r="E519" s="29">
        <f>Table15[[#This Row],[Ávöxtun]]*Table15[[#This Row],[Eignir]]/SUMIFS(Table15[Eignir],Table15[Year],Table15[[#This Row],[Year]])</f>
        <v>1.501934748646737E-4</v>
      </c>
      <c r="F519" s="23">
        <f>IF(B519=1997, 100, IF(COUNTIF(A$1:A518,A519)=0, "NEW", F518*(1+Table15[[#This Row],[Ávöxtun]])))</f>
        <v>123.99354240000001</v>
      </c>
      <c r="G519" s="18" cm="1">
        <f t="array" ref="G519">IFERROR(_xlfn.IFS(ISNUMBER(Table15[[#This Row],[Column3]]),Table15[[#This Row],[Column3]],Table15[[#This Row],[Column3]]="NEW",Table15[[#This Row],[Column3]]),"")</f>
        <v>123.99354240000001</v>
      </c>
      <c r="H519" s="15" cm="1">
        <f t="array" ref="H519">_xlfn.IFS(Table15[[#This Row],[Column4]]="NEW",AVERAGEIFS(Table15[Column4],Table15[Year],Table15[[#This Row],[Year]]),ISNUMBER(Table15[[#This Row],[Column4]]),Table15[[#This Row],[Column4]],Table15[[#This Row],[Column4]]="",H518*(1+Table15[[#This Row],[Ávöxtun]]))</f>
        <v>123.99354240000001</v>
      </c>
      <c r="I519" s="30" cm="1">
        <f t="array" ref="I519">_xlfn.IFS(Table15[[#This Row],[Column4]]="NEW",_xlfn.XLOOKUP(Table15[[#This Row],[Year]]-1,$N$2:$N$27,$P$2:$P$27)*(1+Table15[[#This Row],[Ávöxtun]]),ISNUMBER(Table15[[#This Row],[Column4]]),Table15[[#This Row],[Column4]],Table15[[#This Row],[Column4]]="",I518*(1+Table15[[#This Row],[Ávöxtun]]))</f>
        <v>123.99354240000001</v>
      </c>
      <c r="L519" s="33">
        <v>123.99354240000001</v>
      </c>
      <c r="M519" s="33">
        <v>123.99354240000001</v>
      </c>
    </row>
    <row r="520" spans="1:13">
      <c r="A520" t="s">
        <v>99</v>
      </c>
      <c r="B520">
        <v>2003</v>
      </c>
      <c r="C520" s="16">
        <v>7.0000000000000007E-2</v>
      </c>
      <c r="D520" s="1">
        <v>2672915</v>
      </c>
      <c r="E520" s="29">
        <f>Table15[[#This Row],[Ávöxtun]]*Table15[[#This Row],[Eignir]]/SUMIFS(Table15[Eignir],Table15[Year],Table15[[#This Row],[Year]])</f>
        <v>2.4622472535303449E-4</v>
      </c>
      <c r="F520" s="23">
        <f>IF(B520=1997, 100, IF(COUNTIF(A$1:A519,A520)=0, "NEW", F519*(1+Table15[[#This Row],[Ávöxtun]])))</f>
        <v>132.673090368</v>
      </c>
      <c r="G520" s="18" cm="1">
        <f t="array" ref="G520">IFERROR(_xlfn.IFS(ISNUMBER(Table15[[#This Row],[Column3]]),Table15[[#This Row],[Column3]],Table15[[#This Row],[Column3]]="NEW",Table15[[#This Row],[Column3]]),"")</f>
        <v>132.673090368</v>
      </c>
      <c r="H520" s="15" cm="1">
        <f t="array" ref="H520">_xlfn.IFS(Table15[[#This Row],[Column4]]="NEW",AVERAGEIFS(Table15[Column4],Table15[Year],Table15[[#This Row],[Year]]),ISNUMBER(Table15[[#This Row],[Column4]]),Table15[[#This Row],[Column4]],Table15[[#This Row],[Column4]]="",H519*(1+Table15[[#This Row],[Ávöxtun]]))</f>
        <v>132.673090368</v>
      </c>
      <c r="I520" s="30" cm="1">
        <f t="array" ref="I520">_xlfn.IFS(Table15[[#This Row],[Column4]]="NEW",_xlfn.XLOOKUP(Table15[[#This Row],[Year]]-1,$N$2:$N$27,$P$2:$P$27)*(1+Table15[[#This Row],[Ávöxtun]]),ISNUMBER(Table15[[#This Row],[Column4]]),Table15[[#This Row],[Column4]],Table15[[#This Row],[Column4]]="",I519*(1+Table15[[#This Row],[Ávöxtun]]))</f>
        <v>132.673090368</v>
      </c>
      <c r="L520" s="33">
        <v>132.673090368</v>
      </c>
      <c r="M520" s="33">
        <v>132.673090368</v>
      </c>
    </row>
    <row r="521" spans="1:13">
      <c r="A521" t="s">
        <v>99</v>
      </c>
      <c r="B521">
        <v>2004</v>
      </c>
      <c r="C521" s="16">
        <v>0.05</v>
      </c>
      <c r="D521" s="1">
        <v>2960624</v>
      </c>
      <c r="E521" s="29">
        <f>Table15[[#This Row],[Ávöxtun]]*Table15[[#This Row],[Eignir]]/SUMIFS(Table15[Eignir],Table15[Year],Table15[[#This Row],[Year]])</f>
        <v>1.6308915208797706E-4</v>
      </c>
      <c r="F521" s="23">
        <f>IF(B521=1997, 100, IF(COUNTIF(A$1:A520,A521)=0, "NEW", F520*(1+Table15[[#This Row],[Ávöxtun]])))</f>
        <v>139.3067448864</v>
      </c>
      <c r="G521" s="18" cm="1">
        <f t="array" ref="G521">IFERROR(_xlfn.IFS(ISNUMBER(Table15[[#This Row],[Column3]]),Table15[[#This Row],[Column3]],Table15[[#This Row],[Column3]]="NEW",Table15[[#This Row],[Column3]]),"")</f>
        <v>139.3067448864</v>
      </c>
      <c r="H521" s="15" cm="1">
        <f t="array" ref="H521">_xlfn.IFS(Table15[[#This Row],[Column4]]="NEW",AVERAGEIFS(Table15[Column4],Table15[Year],Table15[[#This Row],[Year]]),ISNUMBER(Table15[[#This Row],[Column4]]),Table15[[#This Row],[Column4]],Table15[[#This Row],[Column4]]="",H520*(1+Table15[[#This Row],[Ávöxtun]]))</f>
        <v>139.3067448864</v>
      </c>
      <c r="I521" s="30" cm="1">
        <f t="array" ref="I521">_xlfn.IFS(Table15[[#This Row],[Column4]]="NEW",_xlfn.XLOOKUP(Table15[[#This Row],[Year]]-1,$N$2:$N$27,$P$2:$P$27)*(1+Table15[[#This Row],[Ávöxtun]]),ISNUMBER(Table15[[#This Row],[Column4]]),Table15[[#This Row],[Column4]],Table15[[#This Row],[Column4]]="",I520*(1+Table15[[#This Row],[Ávöxtun]]))</f>
        <v>139.3067448864</v>
      </c>
      <c r="L521" s="33">
        <v>139.3067448864</v>
      </c>
      <c r="M521" s="33">
        <v>139.3067448864</v>
      </c>
    </row>
    <row r="522" spans="1:13">
      <c r="A522" t="s">
        <v>99</v>
      </c>
      <c r="B522">
        <v>2005</v>
      </c>
      <c r="C522" s="16">
        <v>0.06</v>
      </c>
      <c r="D522" s="1">
        <v>3332256</v>
      </c>
      <c r="E522" s="29">
        <f>Table15[[#This Row],[Ávöxtun]]*Table15[[#This Row],[Eignir]]/SUMIFS(Table15[Eignir],Table15[Year],Table15[[#This Row],[Year]])</f>
        <v>1.7830074980059018E-4</v>
      </c>
      <c r="F522" s="23">
        <f>IF(B522=1997, 100, IF(COUNTIF(A$1:A521,A522)=0, "NEW", F521*(1+Table15[[#This Row],[Ávöxtun]])))</f>
        <v>147.66514957958401</v>
      </c>
      <c r="G522" s="18" cm="1">
        <f t="array" ref="G522">IFERROR(_xlfn.IFS(ISNUMBER(Table15[[#This Row],[Column3]]),Table15[[#This Row],[Column3]],Table15[[#This Row],[Column3]]="NEW",Table15[[#This Row],[Column3]]),"")</f>
        <v>147.66514957958401</v>
      </c>
      <c r="H522" s="15" cm="1">
        <f t="array" ref="H522">_xlfn.IFS(Table15[[#This Row],[Column4]]="NEW",AVERAGEIFS(Table15[Column4],Table15[Year],Table15[[#This Row],[Year]]),ISNUMBER(Table15[[#This Row],[Column4]]),Table15[[#This Row],[Column4]],Table15[[#This Row],[Column4]]="",H521*(1+Table15[[#This Row],[Ávöxtun]]))</f>
        <v>147.66514957958401</v>
      </c>
      <c r="I522" s="30" cm="1">
        <f t="array" ref="I522">_xlfn.IFS(Table15[[#This Row],[Column4]]="NEW",_xlfn.XLOOKUP(Table15[[#This Row],[Year]]-1,$N$2:$N$27,$P$2:$P$27)*(1+Table15[[#This Row],[Ávöxtun]]),ISNUMBER(Table15[[#This Row],[Column4]]),Table15[[#This Row],[Column4]],Table15[[#This Row],[Column4]]="",I521*(1+Table15[[#This Row],[Ávöxtun]]))</f>
        <v>147.66514957958401</v>
      </c>
      <c r="L522" s="33">
        <v>147.66514957958401</v>
      </c>
      <c r="M522" s="33">
        <v>147.66514957958401</v>
      </c>
    </row>
    <row r="523" spans="1:13">
      <c r="A523" t="s">
        <v>99</v>
      </c>
      <c r="B523">
        <v>2006</v>
      </c>
      <c r="C523" s="16">
        <v>6.7599999999999993E-2</v>
      </c>
      <c r="D523" s="1">
        <v>3883469</v>
      </c>
      <c r="E523" s="29">
        <f>Table15[[#This Row],[Ávöxtun]]*Table15[[#This Row],[Eignir]]/SUMIFS(Table15[Eignir],Table15[Year],Table15[[#This Row],[Year]])</f>
        <v>1.9124875298289694E-4</v>
      </c>
      <c r="F523" s="23">
        <f>IF(B523=1997, 100, IF(COUNTIF(A$1:A522,A523)=0, "NEW", F522*(1+Table15[[#This Row],[Ávöxtun]])))</f>
        <v>157.6473136911639</v>
      </c>
      <c r="G523" s="18" cm="1">
        <f t="array" ref="G523">IFERROR(_xlfn.IFS(ISNUMBER(Table15[[#This Row],[Column3]]),Table15[[#This Row],[Column3]],Table15[[#This Row],[Column3]]="NEW",Table15[[#This Row],[Column3]]),"")</f>
        <v>157.6473136911639</v>
      </c>
      <c r="H523" s="15" cm="1">
        <f t="array" ref="H523">_xlfn.IFS(Table15[[#This Row],[Column4]]="NEW",AVERAGEIFS(Table15[Column4],Table15[Year],Table15[[#This Row],[Year]]),ISNUMBER(Table15[[#This Row],[Column4]]),Table15[[#This Row],[Column4]],Table15[[#This Row],[Column4]]="",H522*(1+Table15[[#This Row],[Ávöxtun]]))</f>
        <v>157.6473136911639</v>
      </c>
      <c r="I523" s="30" cm="1">
        <f t="array" ref="I523">_xlfn.IFS(Table15[[#This Row],[Column4]]="NEW",_xlfn.XLOOKUP(Table15[[#This Row],[Year]]-1,$N$2:$N$27,$P$2:$P$27)*(1+Table15[[#This Row],[Ávöxtun]]),ISNUMBER(Table15[[#This Row],[Column4]]),Table15[[#This Row],[Column4]],Table15[[#This Row],[Column4]]="",I522*(1+Table15[[#This Row],[Ávöxtun]]))</f>
        <v>157.6473136911639</v>
      </c>
      <c r="L523" s="33">
        <v>157.6473136911639</v>
      </c>
      <c r="M523" s="33">
        <v>157.6473136911639</v>
      </c>
    </row>
    <row r="524" spans="1:13">
      <c r="A524" t="s">
        <v>99</v>
      </c>
      <c r="B524">
        <v>2007</v>
      </c>
      <c r="C524" s="16">
        <v>0.01</v>
      </c>
      <c r="D524" s="1">
        <v>4277591</v>
      </c>
      <c r="E524" s="29">
        <f>Table15[[#This Row],[Ávöxtun]]*Table15[[#This Row],[Eignir]]/SUMIFS(Table15[Eignir],Table15[Year],Table15[[#This Row],[Year]])</f>
        <v>2.7661464449883607E-5</v>
      </c>
      <c r="F524" s="23">
        <f>IF(B524=1997, 100, IF(COUNTIF(A$1:A523,A524)=0, "NEW", F523*(1+Table15[[#This Row],[Ávöxtun]])))</f>
        <v>159.22378682807553</v>
      </c>
      <c r="G524" s="18" cm="1">
        <f t="array" ref="G524">IFERROR(_xlfn.IFS(ISNUMBER(Table15[[#This Row],[Column3]]),Table15[[#This Row],[Column3]],Table15[[#This Row],[Column3]]="NEW",Table15[[#This Row],[Column3]]),"")</f>
        <v>159.22378682807553</v>
      </c>
      <c r="H524" s="15" cm="1">
        <f t="array" ref="H524">_xlfn.IFS(Table15[[#This Row],[Column4]]="NEW",AVERAGEIFS(Table15[Column4],Table15[Year],Table15[[#This Row],[Year]]),ISNUMBER(Table15[[#This Row],[Column4]]),Table15[[#This Row],[Column4]],Table15[[#This Row],[Column4]]="",H523*(1+Table15[[#This Row],[Ávöxtun]]))</f>
        <v>159.22378682807553</v>
      </c>
      <c r="I524" s="30" cm="1">
        <f t="array" ref="I524">_xlfn.IFS(Table15[[#This Row],[Column4]]="NEW",_xlfn.XLOOKUP(Table15[[#This Row],[Year]]-1,$N$2:$N$27,$P$2:$P$27)*(1+Table15[[#This Row],[Ávöxtun]]),ISNUMBER(Table15[[#This Row],[Column4]]),Table15[[#This Row],[Column4]],Table15[[#This Row],[Column4]]="",I523*(1+Table15[[#This Row],[Ávöxtun]]))</f>
        <v>159.22378682807553</v>
      </c>
      <c r="L524" s="33">
        <v>159.22378682807553</v>
      </c>
      <c r="M524" s="33">
        <v>159.22378682807553</v>
      </c>
    </row>
    <row r="525" spans="1:13">
      <c r="A525" t="s">
        <v>99</v>
      </c>
      <c r="B525">
        <v>2008</v>
      </c>
      <c r="C525" s="16">
        <v>-0.1283</v>
      </c>
      <c r="D525" s="1">
        <v>4479466</v>
      </c>
      <c r="E525" s="29">
        <f>Table15[[#This Row],[Ávöxtun]]*Table15[[#This Row],[Eignir]]/SUMIFS(Table15[Eignir],Table15[Year],Table15[[#This Row],[Year]])</f>
        <v>-3.8382997159944464E-4</v>
      </c>
      <c r="F525" s="23">
        <f>IF(B525=1997, 100, IF(COUNTIF(A$1:A524,A525)=0, "NEW", F524*(1+Table15[[#This Row],[Ávöxtun]])))</f>
        <v>138.79537497803344</v>
      </c>
      <c r="G525" s="18" cm="1">
        <f t="array" ref="G525">IFERROR(_xlfn.IFS(ISNUMBER(Table15[[#This Row],[Column3]]),Table15[[#This Row],[Column3]],Table15[[#This Row],[Column3]]="NEW",Table15[[#This Row],[Column3]]),"")</f>
        <v>138.79537497803344</v>
      </c>
      <c r="H525" s="15" cm="1">
        <f t="array" ref="H525">_xlfn.IFS(Table15[[#This Row],[Column4]]="NEW",AVERAGEIFS(Table15[Column4],Table15[Year],Table15[[#This Row],[Year]]),ISNUMBER(Table15[[#This Row],[Column4]]),Table15[[#This Row],[Column4]],Table15[[#This Row],[Column4]]="",H524*(1+Table15[[#This Row],[Ávöxtun]]))</f>
        <v>138.79537497803344</v>
      </c>
      <c r="I525" s="30" cm="1">
        <f t="array" ref="I525">_xlfn.IFS(Table15[[#This Row],[Column4]]="NEW",_xlfn.XLOOKUP(Table15[[#This Row],[Year]]-1,$N$2:$N$27,$P$2:$P$27)*(1+Table15[[#This Row],[Ávöxtun]]),ISNUMBER(Table15[[#This Row],[Column4]]),Table15[[#This Row],[Column4]],Table15[[#This Row],[Column4]]="",I524*(1+Table15[[#This Row],[Ávöxtun]]))</f>
        <v>138.79537497803344</v>
      </c>
      <c r="L525" s="33">
        <v>138.79537497803344</v>
      </c>
      <c r="M525" s="33">
        <v>138.79537497803344</v>
      </c>
    </row>
    <row r="526" spans="1:13">
      <c r="A526" t="s">
        <v>99</v>
      </c>
      <c r="B526">
        <v>2009</v>
      </c>
      <c r="C526" s="16">
        <v>-1.9800000000000002E-2</v>
      </c>
      <c r="D526" s="1">
        <v>4892437</v>
      </c>
      <c r="E526" s="29">
        <f>Table15[[#This Row],[Ávöxtun]]*Table15[[#This Row],[Eignir]]/SUMIFS(Table15[Eignir],Table15[Year],Table15[[#This Row],[Year]])</f>
        <v>-5.8066697039779916E-5</v>
      </c>
      <c r="F526" s="23">
        <f>IF(B526=1997, 100, IF(COUNTIF(A$1:A525,A526)=0, "NEW", F525*(1+Table15[[#This Row],[Ávöxtun]])))</f>
        <v>136.04722655346836</v>
      </c>
      <c r="G526" s="18" cm="1">
        <f t="array" ref="G526">IFERROR(_xlfn.IFS(ISNUMBER(Table15[[#This Row],[Column3]]),Table15[[#This Row],[Column3]],Table15[[#This Row],[Column3]]="NEW",Table15[[#This Row],[Column3]]),"")</f>
        <v>136.04722655346836</v>
      </c>
      <c r="H526" s="15" cm="1">
        <f t="array" ref="H526">_xlfn.IFS(Table15[[#This Row],[Column4]]="NEW",AVERAGEIFS(Table15[Column4],Table15[Year],Table15[[#This Row],[Year]]),ISNUMBER(Table15[[#This Row],[Column4]]),Table15[[#This Row],[Column4]],Table15[[#This Row],[Column4]]="",H525*(1+Table15[[#This Row],[Ávöxtun]]))</f>
        <v>136.04722655346836</v>
      </c>
      <c r="I526" s="30" cm="1">
        <f t="array" ref="I526">_xlfn.IFS(Table15[[#This Row],[Column4]]="NEW",_xlfn.XLOOKUP(Table15[[#This Row],[Year]]-1,$N$2:$N$27,$P$2:$P$27)*(1+Table15[[#This Row],[Ávöxtun]]),ISNUMBER(Table15[[#This Row],[Column4]]),Table15[[#This Row],[Column4]],Table15[[#This Row],[Column4]]="",I525*(1+Table15[[#This Row],[Ávöxtun]]))</f>
        <v>136.04722655346836</v>
      </c>
      <c r="L526" s="33">
        <v>136.04722655346836</v>
      </c>
      <c r="M526" s="33">
        <v>136.04722655346836</v>
      </c>
    </row>
    <row r="527" spans="1:13">
      <c r="A527" t="s">
        <v>99</v>
      </c>
      <c r="B527">
        <v>2010</v>
      </c>
      <c r="C527" s="16">
        <v>9.2600000000000002E-2</v>
      </c>
      <c r="D527" s="1">
        <v>5619868</v>
      </c>
      <c r="E527" s="29">
        <f>Table15[[#This Row],[Ávöxtun]]*Table15[[#This Row],[Eignir]]/SUMIFS(Table15[Eignir],Table15[Year],Table15[[#This Row],[Year]])</f>
        <v>2.9108607746278507E-4</v>
      </c>
      <c r="F527" s="23">
        <f>IF(B527=1997, 100, IF(COUNTIF(A$1:A526,A527)=0, "NEW", F526*(1+Table15[[#This Row],[Ávöxtun]])))</f>
        <v>148.64519973231953</v>
      </c>
      <c r="G527" s="18" cm="1">
        <f t="array" ref="G527">IFERROR(_xlfn.IFS(ISNUMBER(Table15[[#This Row],[Column3]]),Table15[[#This Row],[Column3]],Table15[[#This Row],[Column3]]="NEW",Table15[[#This Row],[Column3]]),"")</f>
        <v>148.64519973231953</v>
      </c>
      <c r="H527" s="15" cm="1">
        <f t="array" ref="H527">_xlfn.IFS(Table15[[#This Row],[Column4]]="NEW",AVERAGEIFS(Table15[Column4],Table15[Year],Table15[[#This Row],[Year]]),ISNUMBER(Table15[[#This Row],[Column4]]),Table15[[#This Row],[Column4]],Table15[[#This Row],[Column4]]="",H526*(1+Table15[[#This Row],[Ávöxtun]]))</f>
        <v>148.64519973231953</v>
      </c>
      <c r="I527" s="30" cm="1">
        <f t="array" ref="I527">_xlfn.IFS(Table15[[#This Row],[Column4]]="NEW",_xlfn.XLOOKUP(Table15[[#This Row],[Year]]-1,$N$2:$N$27,$P$2:$P$27)*(1+Table15[[#This Row],[Ávöxtun]]),ISNUMBER(Table15[[#This Row],[Column4]]),Table15[[#This Row],[Column4]],Table15[[#This Row],[Column4]]="",I526*(1+Table15[[#This Row],[Ávöxtun]]))</f>
        <v>148.64519973231953</v>
      </c>
      <c r="L527" s="33">
        <v>148.64519973231953</v>
      </c>
      <c r="M527" s="33">
        <v>148.64519973231953</v>
      </c>
    </row>
    <row r="528" spans="1:13">
      <c r="A528" t="s">
        <v>99</v>
      </c>
      <c r="B528">
        <v>2011</v>
      </c>
      <c r="C528" s="16">
        <v>3.2000000000000001E-2</v>
      </c>
      <c r="D528" s="1">
        <v>6244872</v>
      </c>
      <c r="E528" s="29">
        <f>Table15[[#This Row],[Ávöxtun]]*Table15[[#This Row],[Eignir]]/SUMIFS(Table15[Eignir],Table15[Year],Table15[[#This Row],[Year]])</f>
        <v>1.0245059011134531E-4</v>
      </c>
      <c r="F528" s="23">
        <f>IF(B528=1997, 100, IF(COUNTIF(A$1:A527,A528)=0, "NEW", F527*(1+Table15[[#This Row],[Ávöxtun]])))</f>
        <v>153.40184612375376</v>
      </c>
      <c r="G528" s="18" cm="1">
        <f t="array" ref="G528">IFERROR(_xlfn.IFS(ISNUMBER(Table15[[#This Row],[Column3]]),Table15[[#This Row],[Column3]],Table15[[#This Row],[Column3]]="NEW",Table15[[#This Row],[Column3]]),"")</f>
        <v>153.40184612375376</v>
      </c>
      <c r="H528" s="15" cm="1">
        <f t="array" ref="H528">_xlfn.IFS(Table15[[#This Row],[Column4]]="NEW",AVERAGEIFS(Table15[Column4],Table15[Year],Table15[[#This Row],[Year]]),ISNUMBER(Table15[[#This Row],[Column4]]),Table15[[#This Row],[Column4]],Table15[[#This Row],[Column4]]="",H527*(1+Table15[[#This Row],[Ávöxtun]]))</f>
        <v>153.40184612375376</v>
      </c>
      <c r="I528" s="30" cm="1">
        <f t="array" ref="I528">_xlfn.IFS(Table15[[#This Row],[Column4]]="NEW",_xlfn.XLOOKUP(Table15[[#This Row],[Year]]-1,$N$2:$N$27,$P$2:$P$27)*(1+Table15[[#This Row],[Ávöxtun]]),ISNUMBER(Table15[[#This Row],[Column4]]),Table15[[#This Row],[Column4]],Table15[[#This Row],[Column4]]="",I527*(1+Table15[[#This Row],[Ávöxtun]]))</f>
        <v>153.40184612375376</v>
      </c>
      <c r="L528" s="33">
        <v>153.40184612375376</v>
      </c>
      <c r="M528" s="33">
        <v>153.40184612375376</v>
      </c>
    </row>
    <row r="529" spans="1:13">
      <c r="A529" t="s">
        <v>99</v>
      </c>
      <c r="B529">
        <v>2012</v>
      </c>
      <c r="C529" s="16">
        <v>5.2999999999999999E-2</v>
      </c>
      <c r="D529" s="1">
        <v>7019544</v>
      </c>
      <c r="E529" s="29">
        <f>Table15[[#This Row],[Ávöxtun]]*Table15[[#This Row],[Eignir]]/SUMIFS(Table15[Eignir],Table15[Year],Table15[[#This Row],[Year]])</f>
        <v>1.6888894540171735E-4</v>
      </c>
      <c r="F529" s="23">
        <f>IF(B529=1997, 100, IF(COUNTIF(A$1:A528,A529)=0, "NEW", F528*(1+Table15[[#This Row],[Ávöxtun]])))</f>
        <v>161.53214396831271</v>
      </c>
      <c r="G529" s="18" cm="1">
        <f t="array" ref="G529">IFERROR(_xlfn.IFS(ISNUMBER(Table15[[#This Row],[Column3]]),Table15[[#This Row],[Column3]],Table15[[#This Row],[Column3]]="NEW",Table15[[#This Row],[Column3]]),"")</f>
        <v>161.53214396831271</v>
      </c>
      <c r="H529" s="15" cm="1">
        <f t="array" ref="H529">_xlfn.IFS(Table15[[#This Row],[Column4]]="NEW",AVERAGEIFS(Table15[Column4],Table15[Year],Table15[[#This Row],[Year]]),ISNUMBER(Table15[[#This Row],[Column4]]),Table15[[#This Row],[Column4]],Table15[[#This Row],[Column4]]="",H528*(1+Table15[[#This Row],[Ávöxtun]]))</f>
        <v>161.53214396831271</v>
      </c>
      <c r="I529" s="30" cm="1">
        <f t="array" ref="I529">_xlfn.IFS(Table15[[#This Row],[Column4]]="NEW",_xlfn.XLOOKUP(Table15[[#This Row],[Year]]-1,$N$2:$N$27,$P$2:$P$27)*(1+Table15[[#This Row],[Ávöxtun]]),ISNUMBER(Table15[[#This Row],[Column4]]),Table15[[#This Row],[Column4]],Table15[[#This Row],[Column4]]="",I528*(1+Table15[[#This Row],[Ávöxtun]]))</f>
        <v>161.53214396831271</v>
      </c>
      <c r="L529" s="33">
        <v>161.53214396831271</v>
      </c>
      <c r="M529" s="33">
        <v>161.53214396831271</v>
      </c>
    </row>
    <row r="530" spans="1:13">
      <c r="A530" t="s">
        <v>99</v>
      </c>
      <c r="B530">
        <v>2013</v>
      </c>
      <c r="C530" s="16">
        <v>4.4000000000000004E-2</v>
      </c>
      <c r="D530" s="1">
        <v>7781988</v>
      </c>
      <c r="E530" s="29">
        <f>Table15[[#This Row],[Ávöxtun]]*Table15[[#This Row],[Eignir]]/SUMIFS(Table15[Eignir],Table15[Year],Table15[[#This Row],[Year]])</f>
        <v>1.4070116365525053E-4</v>
      </c>
      <c r="F530" s="23">
        <f>IF(B530=1997, 100, IF(COUNTIF(A$1:A529,A530)=0, "NEW", F529*(1+Table15[[#This Row],[Ávöxtun]])))</f>
        <v>168.63955830291849</v>
      </c>
      <c r="G530" s="18" cm="1">
        <f t="array" ref="G530">IFERROR(_xlfn.IFS(ISNUMBER(Table15[[#This Row],[Column3]]),Table15[[#This Row],[Column3]],Table15[[#This Row],[Column3]]="NEW",Table15[[#This Row],[Column3]]),"")</f>
        <v>168.63955830291849</v>
      </c>
      <c r="H530" s="15" cm="1">
        <f t="array" ref="H530">_xlfn.IFS(Table15[[#This Row],[Column4]]="NEW",AVERAGEIFS(Table15[Column4],Table15[Year],Table15[[#This Row],[Year]]),ISNUMBER(Table15[[#This Row],[Column4]]),Table15[[#This Row],[Column4]],Table15[[#This Row],[Column4]]="",H529*(1+Table15[[#This Row],[Ávöxtun]]))</f>
        <v>168.63955830291849</v>
      </c>
      <c r="I530" s="30" cm="1">
        <f t="array" ref="I530">_xlfn.IFS(Table15[[#This Row],[Column4]]="NEW",_xlfn.XLOOKUP(Table15[[#This Row],[Year]]-1,$N$2:$N$27,$P$2:$P$27)*(1+Table15[[#This Row],[Ávöxtun]]),ISNUMBER(Table15[[#This Row],[Column4]]),Table15[[#This Row],[Column4]],Table15[[#This Row],[Column4]]="",I529*(1+Table15[[#This Row],[Ávöxtun]]))</f>
        <v>168.63955830291849</v>
      </c>
      <c r="L530" s="33">
        <v>168.63955830291849</v>
      </c>
      <c r="M530" s="33">
        <v>168.63955830291849</v>
      </c>
    </row>
    <row r="531" spans="1:13">
      <c r="A531" t="s">
        <v>99</v>
      </c>
      <c r="B531">
        <v>2014</v>
      </c>
      <c r="C531" s="16">
        <v>4.2000000000000003E-2</v>
      </c>
      <c r="D531" s="1">
        <v>8384042</v>
      </c>
      <c r="E531" s="29">
        <f>Table15[[#This Row],[Ávöxtun]]*Table15[[#This Row],[Eignir]]/SUMIFS(Table15[Eignir],Table15[Year],Table15[[#This Row],[Year]])</f>
        <v>1.3272797315484048E-4</v>
      </c>
      <c r="F531" s="23">
        <f>IF(B531=1997, 100, IF(COUNTIF(A$1:A530,A531)=0, "NEW", F530*(1+Table15[[#This Row],[Ávöxtun]])))</f>
        <v>175.72241975164107</v>
      </c>
      <c r="G531" s="18" cm="1">
        <f t="array" ref="G531">IFERROR(_xlfn.IFS(ISNUMBER(Table15[[#This Row],[Column3]]),Table15[[#This Row],[Column3]],Table15[[#This Row],[Column3]]="NEW",Table15[[#This Row],[Column3]]),"")</f>
        <v>175.72241975164107</v>
      </c>
      <c r="H531" s="15" cm="1">
        <f t="array" ref="H531">_xlfn.IFS(Table15[[#This Row],[Column4]]="NEW",AVERAGEIFS(Table15[Column4],Table15[Year],Table15[[#This Row],[Year]]),ISNUMBER(Table15[[#This Row],[Column4]]),Table15[[#This Row],[Column4]],Table15[[#This Row],[Column4]]="",H530*(1+Table15[[#This Row],[Ávöxtun]]))</f>
        <v>175.72241975164107</v>
      </c>
      <c r="I531" s="30" cm="1">
        <f t="array" ref="I531">_xlfn.IFS(Table15[[#This Row],[Column4]]="NEW",_xlfn.XLOOKUP(Table15[[#This Row],[Year]]-1,$N$2:$N$27,$P$2:$P$27)*(1+Table15[[#This Row],[Ávöxtun]]),ISNUMBER(Table15[[#This Row],[Column4]]),Table15[[#This Row],[Column4]],Table15[[#This Row],[Column4]]="",I530*(1+Table15[[#This Row],[Ávöxtun]]))</f>
        <v>175.72241975164107</v>
      </c>
      <c r="L531" s="33">
        <v>175.72241975164107</v>
      </c>
      <c r="M531" s="33">
        <v>175.72241975164107</v>
      </c>
    </row>
    <row r="532" spans="1:13">
      <c r="A532" t="s">
        <v>99</v>
      </c>
      <c r="B532">
        <v>2015</v>
      </c>
      <c r="C532" s="16">
        <v>6.7000000000000004E-2</v>
      </c>
      <c r="D532" s="1">
        <v>9355308</v>
      </c>
      <c r="E532" s="29">
        <f>Table15[[#This Row],[Ávöxtun]]*Table15[[#This Row],[Eignir]]/SUMIFS(Table15[Eignir],Table15[Year],Table15[[#This Row],[Year]])</f>
        <v>2.1166010802602927E-4</v>
      </c>
      <c r="F532" s="23">
        <f>IF(B532=1997, 100, IF(COUNTIF(A$1:A531,A532)=0, "NEW", F531*(1+Table15[[#This Row],[Ávöxtun]])))</f>
        <v>187.49582187500101</v>
      </c>
      <c r="G532" s="18" cm="1">
        <f t="array" ref="G532">IFERROR(_xlfn.IFS(ISNUMBER(Table15[[#This Row],[Column3]]),Table15[[#This Row],[Column3]],Table15[[#This Row],[Column3]]="NEW",Table15[[#This Row],[Column3]]),"")</f>
        <v>187.49582187500101</v>
      </c>
      <c r="H532" s="15" cm="1">
        <f t="array" ref="H532">_xlfn.IFS(Table15[[#This Row],[Column4]]="NEW",AVERAGEIFS(Table15[Column4],Table15[Year],Table15[[#This Row],[Year]]),ISNUMBER(Table15[[#This Row],[Column4]]),Table15[[#This Row],[Column4]],Table15[[#This Row],[Column4]]="",H531*(1+Table15[[#This Row],[Ávöxtun]]))</f>
        <v>187.49582187500101</v>
      </c>
      <c r="I532" s="30" cm="1">
        <f t="array" ref="I532">_xlfn.IFS(Table15[[#This Row],[Column4]]="NEW",_xlfn.XLOOKUP(Table15[[#This Row],[Year]]-1,$N$2:$N$27,$P$2:$P$27)*(1+Table15[[#This Row],[Ávöxtun]]),ISNUMBER(Table15[[#This Row],[Column4]]),Table15[[#This Row],[Column4]],Table15[[#This Row],[Column4]]="",I531*(1+Table15[[#This Row],[Ávöxtun]]))</f>
        <v>187.49582187500101</v>
      </c>
      <c r="L532" s="33">
        <v>187.49582187500101</v>
      </c>
      <c r="M532" s="33">
        <v>187.49582187500101</v>
      </c>
    </row>
    <row r="533" spans="1:13">
      <c r="A533" t="s">
        <v>99</v>
      </c>
      <c r="B533">
        <v>2016</v>
      </c>
      <c r="C533" s="16">
        <v>7.000000000000001E-4</v>
      </c>
      <c r="D533" s="1">
        <v>10148760</v>
      </c>
      <c r="E533" s="29">
        <f>Table15[[#This Row],[Ávöxtun]]*Table15[[#This Row],[Eignir]]/SUMIFS(Table15[Eignir],Table15[Year],Table15[[#This Row],[Year]])</f>
        <v>2.2200088810286977E-6</v>
      </c>
      <c r="F533" s="23">
        <f>IF(B533=1997, 100, IF(COUNTIF(A$1:A532,A533)=0, "NEW", F532*(1+Table15[[#This Row],[Ávöxtun]])))</f>
        <v>187.62706895031349</v>
      </c>
      <c r="G533" s="18" cm="1">
        <f t="array" ref="G533">IFERROR(_xlfn.IFS(ISNUMBER(Table15[[#This Row],[Column3]]),Table15[[#This Row],[Column3]],Table15[[#This Row],[Column3]]="NEW",Table15[[#This Row],[Column3]]),"")</f>
        <v>187.62706895031349</v>
      </c>
      <c r="H533" s="15" cm="1">
        <f t="array" ref="H533">_xlfn.IFS(Table15[[#This Row],[Column4]]="NEW",AVERAGEIFS(Table15[Column4],Table15[Year],Table15[[#This Row],[Year]]),ISNUMBER(Table15[[#This Row],[Column4]]),Table15[[#This Row],[Column4]],Table15[[#This Row],[Column4]]="",H532*(1+Table15[[#This Row],[Ávöxtun]]))</f>
        <v>187.62706895031349</v>
      </c>
      <c r="I533" s="30" cm="1">
        <f t="array" ref="I533">_xlfn.IFS(Table15[[#This Row],[Column4]]="NEW",_xlfn.XLOOKUP(Table15[[#This Row],[Year]]-1,$N$2:$N$27,$P$2:$P$27)*(1+Table15[[#This Row],[Ávöxtun]]),ISNUMBER(Table15[[#This Row],[Column4]]),Table15[[#This Row],[Column4]],Table15[[#This Row],[Column4]]="",I532*(1+Table15[[#This Row],[Ávöxtun]]))</f>
        <v>187.62706895031349</v>
      </c>
      <c r="L533" s="33">
        <v>187.62706895031349</v>
      </c>
      <c r="M533" s="33">
        <v>187.62706895031349</v>
      </c>
    </row>
    <row r="534" spans="1:13">
      <c r="A534" t="s">
        <v>99</v>
      </c>
      <c r="B534">
        <v>2017</v>
      </c>
      <c r="C534" s="16">
        <v>5.7000000000000002E-2</v>
      </c>
      <c r="D534" s="1">
        <v>11270032</v>
      </c>
      <c r="E534" s="29">
        <f>Table15[[#This Row],[Ávöxtun]]*Table15[[#This Row],[Eignir]]/SUMIFS(Table15[Eignir],Table15[Year],Table15[[#This Row],[Year]])</f>
        <v>1.8049017037895257E-4</v>
      </c>
      <c r="F534" s="23">
        <f>IF(B534=1997, 100, IF(COUNTIF(A$1:A533,A534)=0, "NEW", F533*(1+Table15[[#This Row],[Ávöxtun]])))</f>
        <v>198.32181188048133</v>
      </c>
      <c r="G534" s="18" cm="1">
        <f t="array" ref="G534">IFERROR(_xlfn.IFS(ISNUMBER(Table15[[#This Row],[Column3]]),Table15[[#This Row],[Column3]],Table15[[#This Row],[Column3]]="NEW",Table15[[#This Row],[Column3]]),"")</f>
        <v>198.32181188048133</v>
      </c>
      <c r="H534" s="15" cm="1">
        <f t="array" ref="H534">_xlfn.IFS(Table15[[#This Row],[Column4]]="NEW",AVERAGEIFS(Table15[Column4],Table15[Year],Table15[[#This Row],[Year]]),ISNUMBER(Table15[[#This Row],[Column4]]),Table15[[#This Row],[Column4]],Table15[[#This Row],[Column4]]="",H533*(1+Table15[[#This Row],[Ávöxtun]]))</f>
        <v>198.32181188048133</v>
      </c>
      <c r="I534" s="30" cm="1">
        <f t="array" ref="I534">_xlfn.IFS(Table15[[#This Row],[Column4]]="NEW",_xlfn.XLOOKUP(Table15[[#This Row],[Year]]-1,$N$2:$N$27,$P$2:$P$27)*(1+Table15[[#This Row],[Ávöxtun]]),ISNUMBER(Table15[[#This Row],[Column4]]),Table15[[#This Row],[Column4]],Table15[[#This Row],[Column4]]="",I533*(1+Table15[[#This Row],[Ávöxtun]]))</f>
        <v>198.32181188048133</v>
      </c>
      <c r="L534" s="33">
        <v>198.32181188048133</v>
      </c>
      <c r="M534" s="33">
        <v>198.32181188048133</v>
      </c>
    </row>
    <row r="535" spans="1:13">
      <c r="A535" t="s">
        <v>99</v>
      </c>
      <c r="B535">
        <v>2018</v>
      </c>
      <c r="C535" s="16">
        <v>2.6000000000000002E-2</v>
      </c>
      <c r="D535" s="1">
        <v>12420748</v>
      </c>
      <c r="E535" s="29">
        <f>Table15[[#This Row],[Ávöxtun]]*Table15[[#This Row],[Eignir]]/SUMIFS(Table15[Eignir],Table15[Year],Table15[[#This Row],[Year]])</f>
        <v>8.4576353599594129E-5</v>
      </c>
      <c r="F535" s="23">
        <f>IF(B535=1997, 100, IF(COUNTIF(A$1:A534,A535)=0, "NEW", F534*(1+Table15[[#This Row],[Ávöxtun]])))</f>
        <v>203.47817898937384</v>
      </c>
      <c r="G535" s="18" cm="1">
        <f t="array" ref="G535">IFERROR(_xlfn.IFS(ISNUMBER(Table15[[#This Row],[Column3]]),Table15[[#This Row],[Column3]],Table15[[#This Row],[Column3]]="NEW",Table15[[#This Row],[Column3]]),"")</f>
        <v>203.47817898937384</v>
      </c>
      <c r="H535" s="15" cm="1">
        <f t="array" ref="H535">_xlfn.IFS(Table15[[#This Row],[Column4]]="NEW",AVERAGEIFS(Table15[Column4],Table15[Year],Table15[[#This Row],[Year]]),ISNUMBER(Table15[[#This Row],[Column4]]),Table15[[#This Row],[Column4]],Table15[[#This Row],[Column4]]="",H534*(1+Table15[[#This Row],[Ávöxtun]]))</f>
        <v>203.47817898937384</v>
      </c>
      <c r="I535" s="30" cm="1">
        <f t="array" ref="I535">_xlfn.IFS(Table15[[#This Row],[Column4]]="NEW",_xlfn.XLOOKUP(Table15[[#This Row],[Year]]-1,$N$2:$N$27,$P$2:$P$27)*(1+Table15[[#This Row],[Ávöxtun]]),ISNUMBER(Table15[[#This Row],[Column4]]),Table15[[#This Row],[Column4]],Table15[[#This Row],[Column4]]="",I534*(1+Table15[[#This Row],[Ávöxtun]]))</f>
        <v>203.47817898937384</v>
      </c>
      <c r="L535" s="33">
        <v>203.47817898937384</v>
      </c>
      <c r="M535" s="33">
        <v>203.47817898937384</v>
      </c>
    </row>
    <row r="536" spans="1:13">
      <c r="A536" t="s">
        <v>99</v>
      </c>
      <c r="B536">
        <v>2019</v>
      </c>
      <c r="C536" s="16">
        <v>7.7200000000000005E-2</v>
      </c>
      <c r="D536" s="1">
        <v>14311168</v>
      </c>
      <c r="E536" s="29">
        <f>Table15[[#This Row],[Ávöxtun]]*Table15[[#This Row],[Eignir]]/SUMIFS(Table15[Eignir],Table15[Year],Table15[[#This Row],[Year]])</f>
        <v>2.4957134561866663E-4</v>
      </c>
      <c r="F536" s="23">
        <f>IF(B536=1997, 100, IF(COUNTIF(A$1:A535,A536)=0, "NEW", F535*(1+Table15[[#This Row],[Ávöxtun]])))</f>
        <v>219.18669440735349</v>
      </c>
      <c r="G536" s="18" cm="1">
        <f t="array" ref="G536">IFERROR(_xlfn.IFS(ISNUMBER(Table15[[#This Row],[Column3]]),Table15[[#This Row],[Column3]],Table15[[#This Row],[Column3]]="NEW",Table15[[#This Row],[Column3]]),"")</f>
        <v>219.18669440735349</v>
      </c>
      <c r="H536" s="15" cm="1">
        <f t="array" ref="H536">_xlfn.IFS(Table15[[#This Row],[Column4]]="NEW",AVERAGEIFS(Table15[Column4],Table15[Year],Table15[[#This Row],[Year]]),ISNUMBER(Table15[[#This Row],[Column4]]),Table15[[#This Row],[Column4]],Table15[[#This Row],[Column4]]="",H535*(1+Table15[[#This Row],[Ávöxtun]]))</f>
        <v>219.18669440735349</v>
      </c>
      <c r="I536" s="30" cm="1">
        <f t="array" ref="I536">_xlfn.IFS(Table15[[#This Row],[Column4]]="NEW",_xlfn.XLOOKUP(Table15[[#This Row],[Year]]-1,$N$2:$N$27,$P$2:$P$27)*(1+Table15[[#This Row],[Ávöxtun]]),ISNUMBER(Table15[[#This Row],[Column4]]),Table15[[#This Row],[Column4]],Table15[[#This Row],[Column4]]="",I535*(1+Table15[[#This Row],[Ávöxtun]]))</f>
        <v>219.18669440735349</v>
      </c>
      <c r="L536" s="33">
        <v>219.18669440735349</v>
      </c>
      <c r="M536" s="33">
        <v>219.18669440735349</v>
      </c>
    </row>
    <row r="537" spans="1:13">
      <c r="A537" t="s">
        <v>99</v>
      </c>
      <c r="B537">
        <v>2020</v>
      </c>
      <c r="C537" s="16">
        <v>7.0800000000000002E-2</v>
      </c>
      <c r="D537" s="1">
        <v>16282896</v>
      </c>
      <c r="E537" s="29">
        <f>Table15[[#This Row],[Ávöxtun]]*Table15[[#This Row],[Eignir]]/SUMIFS(Table15[Eignir],Table15[Year],Table15[[#This Row],[Year]])</f>
        <v>2.2443366840661143E-4</v>
      </c>
      <c r="F537" s="23">
        <f>IF(B537=1997, 100, IF(COUNTIF(A$1:A536,A537)=0, "NEW", F536*(1+Table15[[#This Row],[Ávöxtun]])))</f>
        <v>234.70511237139411</v>
      </c>
      <c r="G537" s="18" cm="1">
        <f t="array" ref="G537">IFERROR(_xlfn.IFS(ISNUMBER(Table15[[#This Row],[Column3]]),Table15[[#This Row],[Column3]],Table15[[#This Row],[Column3]]="NEW",Table15[[#This Row],[Column3]]),"")</f>
        <v>234.70511237139411</v>
      </c>
      <c r="H537" s="15" cm="1">
        <f t="array" ref="H537">_xlfn.IFS(Table15[[#This Row],[Column4]]="NEW",AVERAGEIFS(Table15[Column4],Table15[Year],Table15[[#This Row],[Year]]),ISNUMBER(Table15[[#This Row],[Column4]]),Table15[[#This Row],[Column4]],Table15[[#This Row],[Column4]]="",H536*(1+Table15[[#This Row],[Ávöxtun]]))</f>
        <v>234.70511237139411</v>
      </c>
      <c r="I537" s="30" cm="1">
        <f t="array" ref="I537">_xlfn.IFS(Table15[[#This Row],[Column4]]="NEW",_xlfn.XLOOKUP(Table15[[#This Row],[Year]]-1,$N$2:$N$27,$P$2:$P$27)*(1+Table15[[#This Row],[Ávöxtun]]),ISNUMBER(Table15[[#This Row],[Column4]]),Table15[[#This Row],[Column4]],Table15[[#This Row],[Column4]]="",I536*(1+Table15[[#This Row],[Ávöxtun]]))</f>
        <v>234.70511237139411</v>
      </c>
      <c r="L537" s="33">
        <v>234.70511237139411</v>
      </c>
      <c r="M537" s="33">
        <v>234.70511237139411</v>
      </c>
    </row>
    <row r="538" spans="1:13">
      <c r="A538" t="s">
        <v>99</v>
      </c>
      <c r="B538">
        <v>2021</v>
      </c>
      <c r="C538" s="16">
        <v>8.0600000000000005E-2</v>
      </c>
      <c r="D538" s="1">
        <v>18966050</v>
      </c>
      <c r="E538" s="29">
        <f>Table15[[#This Row],[Ávöxtun]]*Table15[[#This Row],[Eignir]]/SUMIFS(Table15[Eignir],Table15[Year],Table15[[#This Row],[Year]])</f>
        <v>2.5311103280315715E-4</v>
      </c>
      <c r="F538" s="23">
        <f>IF(B538=1997, 100, IF(COUNTIF(A$1:A537,A538)=0, "NEW", F537*(1+Table15[[#This Row],[Ávöxtun]])))</f>
        <v>253.62234442852846</v>
      </c>
      <c r="G538" s="18" cm="1">
        <f t="array" ref="G538">IFERROR(_xlfn.IFS(ISNUMBER(Table15[[#This Row],[Column3]]),Table15[[#This Row],[Column3]],Table15[[#This Row],[Column3]]="NEW",Table15[[#This Row],[Column3]]),"")</f>
        <v>253.62234442852846</v>
      </c>
      <c r="H538" s="15" cm="1">
        <f t="array" ref="H538">_xlfn.IFS(Table15[[#This Row],[Column4]]="NEW",AVERAGEIFS(Table15[Column4],Table15[Year],Table15[[#This Row],[Year]]),ISNUMBER(Table15[[#This Row],[Column4]]),Table15[[#This Row],[Column4]],Table15[[#This Row],[Column4]]="",H537*(1+Table15[[#This Row],[Ávöxtun]]))</f>
        <v>253.62234442852846</v>
      </c>
      <c r="I538" s="30" cm="1">
        <f t="array" ref="I538">_xlfn.IFS(Table15[[#This Row],[Column4]]="NEW",_xlfn.XLOOKUP(Table15[[#This Row],[Year]]-1,$N$2:$N$27,$P$2:$P$27)*(1+Table15[[#This Row],[Ávöxtun]]),ISNUMBER(Table15[[#This Row],[Column4]]),Table15[[#This Row],[Column4]],Table15[[#This Row],[Column4]]="",I537*(1+Table15[[#This Row],[Ávöxtun]]))</f>
        <v>253.62234442852846</v>
      </c>
      <c r="L538" s="33">
        <v>253.62234442852846</v>
      </c>
      <c r="M538" s="33">
        <v>253.62234442852846</v>
      </c>
    </row>
    <row r="539" spans="1:13">
      <c r="A539" t="s">
        <v>111</v>
      </c>
      <c r="B539">
        <v>1997</v>
      </c>
      <c r="C539" s="16">
        <v>7.0000000000000007E-2</v>
      </c>
      <c r="D539" s="1">
        <v>28695766.84</v>
      </c>
      <c r="E539" s="29">
        <f>Table15[[#This Row],[Ávöxtun]]*Table15[[#This Row],[Eignir]]/SUMIFS(Table15[Eignir],Table15[Year],Table15[[#This Row],[Year]])</f>
        <v>5.9249366708697968E-3</v>
      </c>
      <c r="F539" s="23">
        <f>IF(B539=1997, 100, IF(COUNTIF(A$1:A538,A539)=0, "NEW", F538*(1+Table15[[#This Row],[Ávöxtun]])))</f>
        <v>100</v>
      </c>
      <c r="G539" s="18" cm="1">
        <f t="array" ref="G539">IFERROR(_xlfn.IFS(ISNUMBER(Table15[[#This Row],[Column3]]),Table15[[#This Row],[Column3]],Table15[[#This Row],[Column3]]="NEW",Table15[[#This Row],[Column3]]),"")</f>
        <v>100</v>
      </c>
      <c r="H539" s="15" cm="1">
        <f t="array" ref="H539">_xlfn.IFS(Table15[[#This Row],[Column4]]="NEW",AVERAGEIFS(Table15[Column4],Table15[Year],Table15[[#This Row],[Year]]),ISNUMBER(Table15[[#This Row],[Column4]]),Table15[[#This Row],[Column4]],Table15[[#This Row],[Column4]]="",H538*(1+Table15[[#This Row],[Ávöxtun]]))</f>
        <v>100</v>
      </c>
      <c r="I539" s="30" cm="1">
        <f t="array" ref="I539">_xlfn.IFS(Table15[[#This Row],[Column4]]="NEW",_xlfn.XLOOKUP(Table15[[#This Row],[Year]]-1,$N$2:$N$27,$P$2:$P$27)*(1+Table15[[#This Row],[Ávöxtun]]),ISNUMBER(Table15[[#This Row],[Column4]]),Table15[[#This Row],[Column4]],Table15[[#This Row],[Column4]]="",I538*(1+Table15[[#This Row],[Ávöxtun]]))</f>
        <v>100</v>
      </c>
      <c r="L539" s="33">
        <v>100</v>
      </c>
      <c r="M539" s="33">
        <v>100</v>
      </c>
    </row>
    <row r="540" spans="1:13">
      <c r="A540" t="s">
        <v>111</v>
      </c>
      <c r="B540">
        <v>1998</v>
      </c>
      <c r="C540" s="16">
        <v>0.08</v>
      </c>
      <c r="D540" s="1">
        <v>32170922.469999999</v>
      </c>
      <c r="E540" s="29">
        <f>Table15[[#This Row],[Ávöxtun]]*Table15[[#This Row],[Eignir]]/SUMIFS(Table15[Eignir],Table15[Year],Table15[[#This Row],[Year]])</f>
        <v>6.5716148547923774E-3</v>
      </c>
      <c r="F540" s="23">
        <f>IF(B540=1997, 100, IF(COUNTIF(A$1:A539,A540)=0, "NEW", F539*(1+Table15[[#This Row],[Ávöxtun]])))</f>
        <v>108</v>
      </c>
      <c r="G540" s="18" cm="1">
        <f t="array" ref="G540">IFERROR(_xlfn.IFS(ISNUMBER(Table15[[#This Row],[Column3]]),Table15[[#This Row],[Column3]],Table15[[#This Row],[Column3]]="NEW",Table15[[#This Row],[Column3]]),"")</f>
        <v>108</v>
      </c>
      <c r="H540" s="15" cm="1">
        <f t="array" ref="H540">_xlfn.IFS(Table15[[#This Row],[Column4]]="NEW",AVERAGEIFS(Table15[Column4],Table15[Year],Table15[[#This Row],[Year]]),ISNUMBER(Table15[[#This Row],[Column4]]),Table15[[#This Row],[Column4]],Table15[[#This Row],[Column4]]="",H539*(1+Table15[[#This Row],[Ávöxtun]]))</f>
        <v>108</v>
      </c>
      <c r="I540" s="30" cm="1">
        <f t="array" ref="I540">_xlfn.IFS(Table15[[#This Row],[Column4]]="NEW",_xlfn.XLOOKUP(Table15[[#This Row],[Year]]-1,$N$2:$N$27,$P$2:$P$27)*(1+Table15[[#This Row],[Ávöxtun]]),ISNUMBER(Table15[[#This Row],[Column4]]),Table15[[#This Row],[Column4]],Table15[[#This Row],[Column4]]="",I539*(1+Table15[[#This Row],[Ávöxtun]]))</f>
        <v>108</v>
      </c>
      <c r="L540" s="33">
        <v>108</v>
      </c>
      <c r="M540" s="33">
        <v>108</v>
      </c>
    </row>
    <row r="541" spans="1:13">
      <c r="A541" t="s">
        <v>111</v>
      </c>
      <c r="B541">
        <v>1999</v>
      </c>
      <c r="C541" s="16">
        <v>0.12</v>
      </c>
      <c r="D541" s="1">
        <v>38967903.960000001</v>
      </c>
      <c r="E541" s="29">
        <f>Table15[[#This Row],[Ávöxtun]]*Table15[[#This Row],[Eignir]]/SUMIFS(Table15[Eignir],Table15[Year],Table15[[#This Row],[Year]])</f>
        <v>8.9802163016276526E-3</v>
      </c>
      <c r="F541" s="23">
        <f>IF(B541=1997, 100, IF(COUNTIF(A$1:A540,A541)=0, "NEW", F540*(1+Table15[[#This Row],[Ávöxtun]])))</f>
        <v>120.96000000000001</v>
      </c>
      <c r="G541" s="18" cm="1">
        <f t="array" ref="G541">IFERROR(_xlfn.IFS(ISNUMBER(Table15[[#This Row],[Column3]]),Table15[[#This Row],[Column3]],Table15[[#This Row],[Column3]]="NEW",Table15[[#This Row],[Column3]]),"")</f>
        <v>120.96000000000001</v>
      </c>
      <c r="H541" s="15" cm="1">
        <f t="array" ref="H541">_xlfn.IFS(Table15[[#This Row],[Column4]]="NEW",AVERAGEIFS(Table15[Column4],Table15[Year],Table15[[#This Row],[Year]]),ISNUMBER(Table15[[#This Row],[Column4]]),Table15[[#This Row],[Column4]],Table15[[#This Row],[Column4]]="",H540*(1+Table15[[#This Row],[Ávöxtun]]))</f>
        <v>120.96000000000001</v>
      </c>
      <c r="I541" s="30" cm="1">
        <f t="array" ref="I541">_xlfn.IFS(Table15[[#This Row],[Column4]]="NEW",_xlfn.XLOOKUP(Table15[[#This Row],[Year]]-1,$N$2:$N$27,$P$2:$P$27)*(1+Table15[[#This Row],[Ávöxtun]]),ISNUMBER(Table15[[#This Row],[Column4]]),Table15[[#This Row],[Column4]],Table15[[#This Row],[Column4]]="",I540*(1+Table15[[#This Row],[Ávöxtun]]))</f>
        <v>120.96000000000001</v>
      </c>
      <c r="L541" s="33">
        <v>120.96000000000001</v>
      </c>
      <c r="M541" s="33">
        <v>120.96000000000001</v>
      </c>
    </row>
    <row r="542" spans="1:13">
      <c r="A542" t="s">
        <v>111</v>
      </c>
      <c r="B542">
        <v>2000</v>
      </c>
      <c r="C542" s="16">
        <v>-0.01</v>
      </c>
      <c r="D542" s="1">
        <v>41515181.030000001</v>
      </c>
      <c r="E542" s="29">
        <f>Table15[[#This Row],[Ávöxtun]]*Table15[[#This Row],[Eignir]]/SUMIFS(Table15[Eignir],Table15[Year],Table15[[#This Row],[Year]])</f>
        <v>-5.839890547910862E-4</v>
      </c>
      <c r="F542" s="23">
        <f>IF(B542=1997, 100, IF(COUNTIF(A$1:A541,A542)=0, "NEW", F541*(1+Table15[[#This Row],[Ávöxtun]])))</f>
        <v>119.75040000000001</v>
      </c>
      <c r="G542" s="18" cm="1">
        <f t="array" ref="G542">IFERROR(_xlfn.IFS(ISNUMBER(Table15[[#This Row],[Column3]]),Table15[[#This Row],[Column3]],Table15[[#This Row],[Column3]]="NEW",Table15[[#This Row],[Column3]]),"")</f>
        <v>119.75040000000001</v>
      </c>
      <c r="H542" s="15" cm="1">
        <f t="array" ref="H542">_xlfn.IFS(Table15[[#This Row],[Column4]]="NEW",AVERAGEIFS(Table15[Column4],Table15[Year],Table15[[#This Row],[Year]]),ISNUMBER(Table15[[#This Row],[Column4]]),Table15[[#This Row],[Column4]],Table15[[#This Row],[Column4]]="",H541*(1+Table15[[#This Row],[Ávöxtun]]))</f>
        <v>119.75040000000001</v>
      </c>
      <c r="I542" s="30" cm="1">
        <f t="array" ref="I542">_xlfn.IFS(Table15[[#This Row],[Column4]]="NEW",_xlfn.XLOOKUP(Table15[[#This Row],[Year]]-1,$N$2:$N$27,$P$2:$P$27)*(1+Table15[[#This Row],[Ávöxtun]]),ISNUMBER(Table15[[#This Row],[Column4]]),Table15[[#This Row],[Column4]],Table15[[#This Row],[Column4]]="",I541*(1+Table15[[#This Row],[Ávöxtun]]))</f>
        <v>119.75040000000001</v>
      </c>
      <c r="L542" s="33">
        <v>119.75040000000001</v>
      </c>
      <c r="M542" s="33">
        <v>119.75040000000001</v>
      </c>
    </row>
    <row r="543" spans="1:13">
      <c r="A543" t="s">
        <v>111</v>
      </c>
      <c r="B543">
        <v>2001</v>
      </c>
      <c r="C543" s="16">
        <v>-0.03</v>
      </c>
      <c r="D543" s="1">
        <v>90003599</v>
      </c>
      <c r="E543" s="29">
        <f>Table15[[#This Row],[Ávöxtun]]*Table15[[#This Row],[Eignir]]/SUMIFS(Table15[Eignir],Table15[Year],Table15[[#This Row],[Year]])</f>
        <v>-2.3318691636773623E-3</v>
      </c>
      <c r="F543" s="23">
        <f>IF(B543=1997, 100, IF(COUNTIF(A$1:A542,A543)=0, "NEW", F542*(1+Table15[[#This Row],[Ávöxtun]])))</f>
        <v>116.15788800000001</v>
      </c>
      <c r="G543" s="18" cm="1">
        <f t="array" ref="G543">IFERROR(_xlfn.IFS(ISNUMBER(Table15[[#This Row],[Column3]]),Table15[[#This Row],[Column3]],Table15[[#This Row],[Column3]]="NEW",Table15[[#This Row],[Column3]]),"")</f>
        <v>116.15788800000001</v>
      </c>
      <c r="H543" s="15" cm="1">
        <f t="array" ref="H543">_xlfn.IFS(Table15[[#This Row],[Column4]]="NEW",AVERAGEIFS(Table15[Column4],Table15[Year],Table15[[#This Row],[Year]]),ISNUMBER(Table15[[#This Row],[Column4]]),Table15[[#This Row],[Column4]],Table15[[#This Row],[Column4]]="",H542*(1+Table15[[#This Row],[Ávöxtun]]))</f>
        <v>116.15788800000001</v>
      </c>
      <c r="I543" s="30" cm="1">
        <f t="array" ref="I543">_xlfn.IFS(Table15[[#This Row],[Column4]]="NEW",_xlfn.XLOOKUP(Table15[[#This Row],[Year]]-1,$N$2:$N$27,$P$2:$P$27)*(1+Table15[[#This Row],[Ávöxtun]]),ISNUMBER(Table15[[#This Row],[Column4]]),Table15[[#This Row],[Column4]],Table15[[#This Row],[Column4]]="",I542*(1+Table15[[#This Row],[Ávöxtun]]))</f>
        <v>116.15788800000001</v>
      </c>
      <c r="L543" s="33">
        <v>116.15788800000001</v>
      </c>
      <c r="M543" s="33">
        <v>116.15788800000001</v>
      </c>
    </row>
    <row r="544" spans="1:13">
      <c r="A544" t="s">
        <v>111</v>
      </c>
      <c r="B544">
        <v>2002</v>
      </c>
      <c r="C544" s="16">
        <v>0</v>
      </c>
      <c r="D544" s="1">
        <v>47018568</v>
      </c>
      <c r="E544" s="29">
        <f>Table15[[#This Row],[Ávöxtun]]*Table15[[#This Row],[Eignir]]/SUMIFS(Table15[Eignir],Table15[Year],Table15[[#This Row],[Year]])</f>
        <v>0</v>
      </c>
      <c r="F544" s="23">
        <f>IF(B544=1997, 100, IF(COUNTIF(A$1:A543,A544)=0, "NEW", F543*(1+Table15[[#This Row],[Ávöxtun]])))</f>
        <v>116.15788800000001</v>
      </c>
      <c r="G544" s="18" cm="1">
        <f t="array" ref="G544">IFERROR(_xlfn.IFS(ISNUMBER(Table15[[#This Row],[Column3]]),Table15[[#This Row],[Column3]],Table15[[#This Row],[Column3]]="NEW",Table15[[#This Row],[Column3]]),"")</f>
        <v>116.15788800000001</v>
      </c>
      <c r="H544" s="15" cm="1">
        <f t="array" ref="H544">_xlfn.IFS(Table15[[#This Row],[Column4]]="NEW",AVERAGEIFS(Table15[Column4],Table15[Year],Table15[[#This Row],[Year]]),ISNUMBER(Table15[[#This Row],[Column4]]),Table15[[#This Row],[Column4]],Table15[[#This Row],[Column4]]="",H543*(1+Table15[[#This Row],[Ávöxtun]]))</f>
        <v>116.15788800000001</v>
      </c>
      <c r="I544" s="30" cm="1">
        <f t="array" ref="I544">_xlfn.IFS(Table15[[#This Row],[Column4]]="NEW",_xlfn.XLOOKUP(Table15[[#This Row],[Year]]-1,$N$2:$N$27,$P$2:$P$27)*(1+Table15[[#This Row],[Ávöxtun]]),ISNUMBER(Table15[[#This Row],[Column4]]),Table15[[#This Row],[Column4]],Table15[[#This Row],[Column4]]="",I543*(1+Table15[[#This Row],[Ávöxtun]]))</f>
        <v>116.15788800000001</v>
      </c>
      <c r="L544" s="33">
        <v>116.15788800000001</v>
      </c>
      <c r="M544" s="33">
        <v>116.15788800000001</v>
      </c>
    </row>
    <row r="545" spans="1:13">
      <c r="A545" t="s">
        <v>111</v>
      </c>
      <c r="B545">
        <v>2003</v>
      </c>
      <c r="C545" s="16">
        <v>0.15</v>
      </c>
      <c r="D545" s="1">
        <v>56142043</v>
      </c>
      <c r="E545" s="29">
        <f>Table15[[#This Row],[Ávöxtun]]*Table15[[#This Row],[Eignir]]/SUMIFS(Table15[Eignir],Table15[Year],Table15[[#This Row],[Year]])</f>
        <v>1.1082250051588874E-2</v>
      </c>
      <c r="F545" s="23">
        <f>IF(B545=1997, 100, IF(COUNTIF(A$1:A544,A545)=0, "NEW", F544*(1+Table15[[#This Row],[Ávöxtun]])))</f>
        <v>133.58157120000001</v>
      </c>
      <c r="G545" s="18" cm="1">
        <f t="array" ref="G545">IFERROR(_xlfn.IFS(ISNUMBER(Table15[[#This Row],[Column3]]),Table15[[#This Row],[Column3]],Table15[[#This Row],[Column3]]="NEW",Table15[[#This Row],[Column3]]),"")</f>
        <v>133.58157120000001</v>
      </c>
      <c r="H545" s="15" cm="1">
        <f t="array" ref="H545">_xlfn.IFS(Table15[[#This Row],[Column4]]="NEW",AVERAGEIFS(Table15[Column4],Table15[Year],Table15[[#This Row],[Year]]),ISNUMBER(Table15[[#This Row],[Column4]]),Table15[[#This Row],[Column4]],Table15[[#This Row],[Column4]]="",H544*(1+Table15[[#This Row],[Ávöxtun]]))</f>
        <v>133.58157120000001</v>
      </c>
      <c r="I545" s="30" cm="1">
        <f t="array" ref="I545">_xlfn.IFS(Table15[[#This Row],[Column4]]="NEW",_xlfn.XLOOKUP(Table15[[#This Row],[Year]]-1,$N$2:$N$27,$P$2:$P$27)*(1+Table15[[#This Row],[Ávöxtun]]),ISNUMBER(Table15[[#This Row],[Column4]]),Table15[[#This Row],[Column4]],Table15[[#This Row],[Column4]]="",I544*(1+Table15[[#This Row],[Ávöxtun]]))</f>
        <v>133.58157120000001</v>
      </c>
      <c r="L545" s="33">
        <v>133.58157120000001</v>
      </c>
      <c r="M545" s="33">
        <v>133.58157120000001</v>
      </c>
    </row>
    <row r="546" spans="1:13">
      <c r="A546" t="s">
        <v>111</v>
      </c>
      <c r="B546">
        <v>2004</v>
      </c>
      <c r="C546" s="16">
        <v>0.16</v>
      </c>
      <c r="D546" s="1">
        <v>68288832</v>
      </c>
      <c r="E546" s="29">
        <f>Table15[[#This Row],[Ávöxtun]]*Table15[[#This Row],[Eignir]]/SUMIFS(Table15[Eignir],Table15[Year],Table15[[#This Row],[Year]])</f>
        <v>1.2037643640484779E-2</v>
      </c>
      <c r="F546" s="23">
        <f>IF(B546=1997, 100, IF(COUNTIF(A$1:A545,A546)=0, "NEW", F545*(1+Table15[[#This Row],[Ávöxtun]])))</f>
        <v>154.95462259199999</v>
      </c>
      <c r="G546" s="18" cm="1">
        <f t="array" ref="G546">IFERROR(_xlfn.IFS(ISNUMBER(Table15[[#This Row],[Column3]]),Table15[[#This Row],[Column3]],Table15[[#This Row],[Column3]]="NEW",Table15[[#This Row],[Column3]]),"")</f>
        <v>154.95462259199999</v>
      </c>
      <c r="H546" s="15" cm="1">
        <f t="array" ref="H546">_xlfn.IFS(Table15[[#This Row],[Column4]]="NEW",AVERAGEIFS(Table15[Column4],Table15[Year],Table15[[#This Row],[Year]]),ISNUMBER(Table15[[#This Row],[Column4]]),Table15[[#This Row],[Column4]],Table15[[#This Row],[Column4]]="",H545*(1+Table15[[#This Row],[Ávöxtun]]))</f>
        <v>154.95462259199999</v>
      </c>
      <c r="I546" s="30" cm="1">
        <f t="array" ref="I546">_xlfn.IFS(Table15[[#This Row],[Column4]]="NEW",_xlfn.XLOOKUP(Table15[[#This Row],[Year]]-1,$N$2:$N$27,$P$2:$P$27)*(1+Table15[[#This Row],[Ávöxtun]]),ISNUMBER(Table15[[#This Row],[Column4]]),Table15[[#This Row],[Column4]],Table15[[#This Row],[Column4]]="",I545*(1+Table15[[#This Row],[Ávöxtun]]))</f>
        <v>154.95462259199999</v>
      </c>
      <c r="L546" s="33">
        <v>154.95462259199999</v>
      </c>
      <c r="M546" s="33">
        <v>154.95462259199999</v>
      </c>
    </row>
    <row r="547" spans="1:13">
      <c r="A547" t="s">
        <v>112</v>
      </c>
      <c r="B547">
        <v>1997</v>
      </c>
      <c r="C547" s="16">
        <v>0.05</v>
      </c>
      <c r="D547" s="1">
        <v>38314</v>
      </c>
      <c r="E547" s="29">
        <f>Table15[[#This Row],[Ávöxtun]]*Table15[[#This Row],[Eignir]]/SUMIFS(Table15[Eignir],Table15[Year],Table15[[#This Row],[Year]])</f>
        <v>5.6506100427744528E-6</v>
      </c>
      <c r="F547" s="23">
        <f>IF(B547=1997, 100, IF(COUNTIF(A$1:A546,A547)=0, "NEW", F546*(1+Table15[[#This Row],[Ávöxtun]])))</f>
        <v>100</v>
      </c>
      <c r="G547" s="18" cm="1">
        <f t="array" ref="G547">IFERROR(_xlfn.IFS(ISNUMBER(Table15[[#This Row],[Column3]]),Table15[[#This Row],[Column3]],Table15[[#This Row],[Column3]]="NEW",Table15[[#This Row],[Column3]]),"")</f>
        <v>100</v>
      </c>
      <c r="H547" s="15" cm="1">
        <f t="array" ref="H547">_xlfn.IFS(Table15[[#This Row],[Column4]]="NEW",AVERAGEIFS(Table15[Column4],Table15[Year],Table15[[#This Row],[Year]]),ISNUMBER(Table15[[#This Row],[Column4]]),Table15[[#This Row],[Column4]],Table15[[#This Row],[Column4]]="",H546*(1+Table15[[#This Row],[Ávöxtun]]))</f>
        <v>100</v>
      </c>
      <c r="I547" s="30" cm="1">
        <f t="array" ref="I547">_xlfn.IFS(Table15[[#This Row],[Column4]]="NEW",_xlfn.XLOOKUP(Table15[[#This Row],[Year]]-1,$N$2:$N$27,$P$2:$P$27)*(1+Table15[[#This Row],[Ávöxtun]]),ISNUMBER(Table15[[#This Row],[Column4]]),Table15[[#This Row],[Column4]],Table15[[#This Row],[Column4]]="",I546*(1+Table15[[#This Row],[Ávöxtun]]))</f>
        <v>100</v>
      </c>
      <c r="L547" s="33">
        <v>100</v>
      </c>
      <c r="M547" s="33">
        <v>100</v>
      </c>
    </row>
    <row r="548" spans="1:13">
      <c r="A548" t="s">
        <v>112</v>
      </c>
      <c r="B548">
        <v>1998</v>
      </c>
      <c r="C548" s="16">
        <v>0.05</v>
      </c>
      <c r="D548" s="1">
        <v>37913.39</v>
      </c>
      <c r="E548" s="29">
        <f>Table15[[#This Row],[Ávöxtun]]*Table15[[#This Row],[Eignir]]/SUMIFS(Table15[Eignir],Table15[Year],Table15[[#This Row],[Year]])</f>
        <v>4.8403996876347721E-6</v>
      </c>
      <c r="F548" s="23">
        <f>IF(B548=1997, 100, IF(COUNTIF(A$1:A547,A548)=0, "NEW", F547*(1+Table15[[#This Row],[Ávöxtun]])))</f>
        <v>105</v>
      </c>
      <c r="G548" s="18" cm="1">
        <f t="array" ref="G548">IFERROR(_xlfn.IFS(ISNUMBER(Table15[[#This Row],[Column3]]),Table15[[#This Row],[Column3]],Table15[[#This Row],[Column3]]="NEW",Table15[[#This Row],[Column3]]),"")</f>
        <v>105</v>
      </c>
      <c r="H548" s="15" cm="1">
        <f t="array" ref="H548">_xlfn.IFS(Table15[[#This Row],[Column4]]="NEW",AVERAGEIFS(Table15[Column4],Table15[Year],Table15[[#This Row],[Year]]),ISNUMBER(Table15[[#This Row],[Column4]]),Table15[[#This Row],[Column4]],Table15[[#This Row],[Column4]]="",H547*(1+Table15[[#This Row],[Ávöxtun]]))</f>
        <v>105</v>
      </c>
      <c r="I548" s="30" cm="1">
        <f t="array" ref="I548">_xlfn.IFS(Table15[[#This Row],[Column4]]="NEW",_xlfn.XLOOKUP(Table15[[#This Row],[Year]]-1,$N$2:$N$27,$P$2:$P$27)*(1+Table15[[#This Row],[Ávöxtun]]),ISNUMBER(Table15[[#This Row],[Column4]]),Table15[[#This Row],[Column4]],Table15[[#This Row],[Column4]]="",I547*(1+Table15[[#This Row],[Ávöxtun]]))</f>
        <v>105</v>
      </c>
      <c r="L548" s="33">
        <v>105</v>
      </c>
      <c r="M548" s="33">
        <v>105</v>
      </c>
    </row>
    <row r="549" spans="1:13">
      <c r="A549" t="s">
        <v>112</v>
      </c>
      <c r="B549">
        <v>1999</v>
      </c>
      <c r="C549" s="16">
        <v>0.06</v>
      </c>
      <c r="D549" s="1">
        <v>39726.46</v>
      </c>
      <c r="E549" s="29">
        <f>Table15[[#This Row],[Ávöxtun]]*Table15[[#This Row],[Eignir]]/SUMIFS(Table15[Eignir],Table15[Year],Table15[[#This Row],[Year]])</f>
        <v>4.5775133820920914E-6</v>
      </c>
      <c r="F549" s="23">
        <f>IF(B549=1997, 100, IF(COUNTIF(A$1:A548,A549)=0, "NEW", F548*(1+Table15[[#This Row],[Ávöxtun]])))</f>
        <v>111.30000000000001</v>
      </c>
      <c r="G549" s="18" cm="1">
        <f t="array" ref="G549">IFERROR(_xlfn.IFS(ISNUMBER(Table15[[#This Row],[Column3]]),Table15[[#This Row],[Column3]],Table15[[#This Row],[Column3]]="NEW",Table15[[#This Row],[Column3]]),"")</f>
        <v>111.30000000000001</v>
      </c>
      <c r="H549" s="15" cm="1">
        <f t="array" ref="H549">_xlfn.IFS(Table15[[#This Row],[Column4]]="NEW",AVERAGEIFS(Table15[Column4],Table15[Year],Table15[[#This Row],[Year]]),ISNUMBER(Table15[[#This Row],[Column4]]),Table15[[#This Row],[Column4]],Table15[[#This Row],[Column4]]="",H548*(1+Table15[[#This Row],[Ávöxtun]]))</f>
        <v>111.30000000000001</v>
      </c>
      <c r="I549" s="30" cm="1">
        <f t="array" ref="I549">_xlfn.IFS(Table15[[#This Row],[Column4]]="NEW",_xlfn.XLOOKUP(Table15[[#This Row],[Year]]-1,$N$2:$N$27,$P$2:$P$27)*(1+Table15[[#This Row],[Ávöxtun]]),ISNUMBER(Table15[[#This Row],[Column4]]),Table15[[#This Row],[Column4]],Table15[[#This Row],[Column4]]="",I548*(1+Table15[[#This Row],[Ávöxtun]]))</f>
        <v>111.30000000000001</v>
      </c>
      <c r="L549" s="33">
        <v>111.30000000000001</v>
      </c>
      <c r="M549" s="33">
        <v>111.30000000000001</v>
      </c>
    </row>
    <row r="550" spans="1:13">
      <c r="A550" t="s">
        <v>113</v>
      </c>
      <c r="B550">
        <v>1997</v>
      </c>
      <c r="C550" s="16">
        <v>0.05</v>
      </c>
      <c r="D550" s="1">
        <v>777612.59</v>
      </c>
      <c r="E550" s="29">
        <f>Table15[[#This Row],[Ávöxtun]]*Table15[[#This Row],[Eignir]]/SUMIFS(Table15[Eignir],Table15[Year],Table15[[#This Row],[Year]])</f>
        <v>1.1468354936685946E-4</v>
      </c>
      <c r="F550" s="23">
        <f>IF(B550=1997, 100, IF(COUNTIF(A$1:A549,A550)=0, "NEW", F549*(1+Table15[[#This Row],[Ávöxtun]])))</f>
        <v>100</v>
      </c>
      <c r="G550" s="18" cm="1">
        <f t="array" ref="G550">IFERROR(_xlfn.IFS(ISNUMBER(Table15[[#This Row],[Column3]]),Table15[[#This Row],[Column3]],Table15[[#This Row],[Column3]]="NEW",Table15[[#This Row],[Column3]]),"")</f>
        <v>100</v>
      </c>
      <c r="H550" s="15" cm="1">
        <f t="array" ref="H550">_xlfn.IFS(Table15[[#This Row],[Column4]]="NEW",AVERAGEIFS(Table15[Column4],Table15[Year],Table15[[#This Row],[Year]]),ISNUMBER(Table15[[#This Row],[Column4]]),Table15[[#This Row],[Column4]],Table15[[#This Row],[Column4]]="",H549*(1+Table15[[#This Row],[Ávöxtun]]))</f>
        <v>100</v>
      </c>
      <c r="I550" s="30" cm="1">
        <f t="array" ref="I550">_xlfn.IFS(Table15[[#This Row],[Column4]]="NEW",_xlfn.XLOOKUP(Table15[[#This Row],[Year]]-1,$N$2:$N$27,$P$2:$P$27)*(1+Table15[[#This Row],[Ávöxtun]]),ISNUMBER(Table15[[#This Row],[Column4]]),Table15[[#This Row],[Column4]],Table15[[#This Row],[Column4]]="",I549*(1+Table15[[#This Row],[Ávöxtun]]))</f>
        <v>100</v>
      </c>
      <c r="L550" s="33">
        <v>100</v>
      </c>
      <c r="M550" s="33">
        <v>100</v>
      </c>
    </row>
    <row r="551" spans="1:13">
      <c r="A551" t="s">
        <v>113</v>
      </c>
      <c r="B551">
        <v>1998</v>
      </c>
      <c r="C551" s="16">
        <v>7.0000000000000007E-2</v>
      </c>
      <c r="D551" s="1">
        <v>853427.34</v>
      </c>
      <c r="E551" s="29">
        <f>Table15[[#This Row],[Ávöxtun]]*Table15[[#This Row],[Eignir]]/SUMIFS(Table15[Eignir],Table15[Year],Table15[[#This Row],[Year]])</f>
        <v>1.5253980722739285E-4</v>
      </c>
      <c r="F551" s="23">
        <f>IF(B551=1997, 100, IF(COUNTIF(A$1:A550,A551)=0, "NEW", F550*(1+Table15[[#This Row],[Ávöxtun]])))</f>
        <v>107</v>
      </c>
      <c r="G551" s="18" cm="1">
        <f t="array" ref="G551">IFERROR(_xlfn.IFS(ISNUMBER(Table15[[#This Row],[Column3]]),Table15[[#This Row],[Column3]],Table15[[#This Row],[Column3]]="NEW",Table15[[#This Row],[Column3]]),"")</f>
        <v>107</v>
      </c>
      <c r="H551" s="15" cm="1">
        <f t="array" ref="H551">_xlfn.IFS(Table15[[#This Row],[Column4]]="NEW",AVERAGEIFS(Table15[Column4],Table15[Year],Table15[[#This Row],[Year]]),ISNUMBER(Table15[[#This Row],[Column4]]),Table15[[#This Row],[Column4]],Table15[[#This Row],[Column4]]="",H550*(1+Table15[[#This Row],[Ávöxtun]]))</f>
        <v>107</v>
      </c>
      <c r="I551" s="30" cm="1">
        <f t="array" ref="I551">_xlfn.IFS(Table15[[#This Row],[Column4]]="NEW",_xlfn.XLOOKUP(Table15[[#This Row],[Year]]-1,$N$2:$N$27,$P$2:$P$27)*(1+Table15[[#This Row],[Ávöxtun]]),ISNUMBER(Table15[[#This Row],[Column4]]),Table15[[#This Row],[Column4]],Table15[[#This Row],[Column4]]="",I550*(1+Table15[[#This Row],[Ávöxtun]]))</f>
        <v>107</v>
      </c>
      <c r="L551" s="33">
        <v>107</v>
      </c>
      <c r="M551" s="33">
        <v>107</v>
      </c>
    </row>
    <row r="552" spans="1:13">
      <c r="A552" t="s">
        <v>113</v>
      </c>
      <c r="B552">
        <v>1999</v>
      </c>
      <c r="C552" s="16">
        <v>0.09</v>
      </c>
      <c r="D552" s="1">
        <v>989697.96</v>
      </c>
      <c r="E552" s="29">
        <f>Table15[[#This Row],[Ávöxtun]]*Table15[[#This Row],[Eignir]]/SUMIFS(Table15[Eignir],Table15[Year],Table15[[#This Row],[Year]])</f>
        <v>1.7105811804509803E-4</v>
      </c>
      <c r="F552" s="23">
        <f>IF(B552=1997, 100, IF(COUNTIF(A$1:A551,A552)=0, "NEW", F551*(1+Table15[[#This Row],[Ávöxtun]])))</f>
        <v>116.63000000000001</v>
      </c>
      <c r="G552" s="18" cm="1">
        <f t="array" ref="G552">IFERROR(_xlfn.IFS(ISNUMBER(Table15[[#This Row],[Column3]]),Table15[[#This Row],[Column3]],Table15[[#This Row],[Column3]]="NEW",Table15[[#This Row],[Column3]]),"")</f>
        <v>116.63000000000001</v>
      </c>
      <c r="H552" s="15" cm="1">
        <f t="array" ref="H552">_xlfn.IFS(Table15[[#This Row],[Column4]]="NEW",AVERAGEIFS(Table15[Column4],Table15[Year],Table15[[#This Row],[Year]]),ISNUMBER(Table15[[#This Row],[Column4]]),Table15[[#This Row],[Column4]],Table15[[#This Row],[Column4]]="",H551*(1+Table15[[#This Row],[Ávöxtun]]))</f>
        <v>116.63000000000001</v>
      </c>
      <c r="I552" s="30" cm="1">
        <f t="array" ref="I552">_xlfn.IFS(Table15[[#This Row],[Column4]]="NEW",_xlfn.XLOOKUP(Table15[[#This Row],[Year]]-1,$N$2:$N$27,$P$2:$P$27)*(1+Table15[[#This Row],[Ávöxtun]]),ISNUMBER(Table15[[#This Row],[Column4]]),Table15[[#This Row],[Column4]],Table15[[#This Row],[Column4]]="",I551*(1+Table15[[#This Row],[Ávöxtun]]))</f>
        <v>116.63000000000001</v>
      </c>
      <c r="L552" s="33">
        <v>116.63000000000001</v>
      </c>
      <c r="M552" s="33">
        <v>116.63000000000001</v>
      </c>
    </row>
    <row r="553" spans="1:13">
      <c r="A553" t="s">
        <v>113</v>
      </c>
      <c r="B553">
        <v>2000</v>
      </c>
      <c r="C553" s="16">
        <v>0.03</v>
      </c>
      <c r="D553" s="1">
        <v>1066448.1299999999</v>
      </c>
      <c r="E553" s="29">
        <f>Table15[[#This Row],[Ávöxtun]]*Table15[[#This Row],[Eignir]]/SUMIFS(Table15[Eignir],Table15[Year],Table15[[#This Row],[Year]])</f>
        <v>4.5004792461753212E-5</v>
      </c>
      <c r="F553" s="23">
        <f>IF(B553=1997, 100, IF(COUNTIF(A$1:A552,A553)=0, "NEW", F552*(1+Table15[[#This Row],[Ávöxtun]])))</f>
        <v>120.12890000000002</v>
      </c>
      <c r="G553" s="18" cm="1">
        <f t="array" ref="G553">IFERROR(_xlfn.IFS(ISNUMBER(Table15[[#This Row],[Column3]]),Table15[[#This Row],[Column3]],Table15[[#This Row],[Column3]]="NEW",Table15[[#This Row],[Column3]]),"")</f>
        <v>120.12890000000002</v>
      </c>
      <c r="H553" s="15" cm="1">
        <f t="array" ref="H553">_xlfn.IFS(Table15[[#This Row],[Column4]]="NEW",AVERAGEIFS(Table15[Column4],Table15[Year],Table15[[#This Row],[Year]]),ISNUMBER(Table15[[#This Row],[Column4]]),Table15[[#This Row],[Column4]],Table15[[#This Row],[Column4]]="",H552*(1+Table15[[#This Row],[Ávöxtun]]))</f>
        <v>120.12890000000002</v>
      </c>
      <c r="I553" s="30" cm="1">
        <f t="array" ref="I553">_xlfn.IFS(Table15[[#This Row],[Column4]]="NEW",_xlfn.XLOOKUP(Table15[[#This Row],[Year]]-1,$N$2:$N$27,$P$2:$P$27)*(1+Table15[[#This Row],[Ávöxtun]]),ISNUMBER(Table15[[#This Row],[Column4]]),Table15[[#This Row],[Column4]],Table15[[#This Row],[Column4]]="",I552*(1+Table15[[#This Row],[Ávöxtun]]))</f>
        <v>120.12890000000002</v>
      </c>
      <c r="L553" s="33">
        <v>120.12890000000002</v>
      </c>
      <c r="M553" s="33">
        <v>120.12890000000002</v>
      </c>
    </row>
    <row r="554" spans="1:13">
      <c r="A554" t="s">
        <v>113</v>
      </c>
      <c r="B554">
        <v>2001</v>
      </c>
      <c r="C554" s="16">
        <v>0</v>
      </c>
      <c r="D554" s="1">
        <v>1133696.6499999999</v>
      </c>
      <c r="E554" s="29">
        <f>Table15[[#This Row],[Ávöxtun]]*Table15[[#This Row],[Eignir]]/SUMIFS(Table15[Eignir],Table15[Year],Table15[[#This Row],[Year]])</f>
        <v>0</v>
      </c>
      <c r="F554" s="23">
        <f>IF(B554=1997, 100, IF(COUNTIF(A$1:A553,A554)=0, "NEW", F553*(1+Table15[[#This Row],[Ávöxtun]])))</f>
        <v>120.12890000000002</v>
      </c>
      <c r="G554" s="18" cm="1">
        <f t="array" ref="G554">IFERROR(_xlfn.IFS(ISNUMBER(Table15[[#This Row],[Column3]]),Table15[[#This Row],[Column3]],Table15[[#This Row],[Column3]]="NEW",Table15[[#This Row],[Column3]]),"")</f>
        <v>120.12890000000002</v>
      </c>
      <c r="H554" s="15" cm="1">
        <f t="array" ref="H554">_xlfn.IFS(Table15[[#This Row],[Column4]]="NEW",AVERAGEIFS(Table15[Column4],Table15[Year],Table15[[#This Row],[Year]]),ISNUMBER(Table15[[#This Row],[Column4]]),Table15[[#This Row],[Column4]],Table15[[#This Row],[Column4]]="",H553*(1+Table15[[#This Row],[Ávöxtun]]))</f>
        <v>120.12890000000002</v>
      </c>
      <c r="I554" s="30" cm="1">
        <f t="array" ref="I554">_xlfn.IFS(Table15[[#This Row],[Column4]]="NEW",_xlfn.XLOOKUP(Table15[[#This Row],[Year]]-1,$N$2:$N$27,$P$2:$P$27)*(1+Table15[[#This Row],[Ávöxtun]]),ISNUMBER(Table15[[#This Row],[Column4]]),Table15[[#This Row],[Column4]],Table15[[#This Row],[Column4]]="",I553*(1+Table15[[#This Row],[Ávöxtun]]))</f>
        <v>120.12890000000002</v>
      </c>
      <c r="L554" s="33">
        <v>120.12890000000002</v>
      </c>
      <c r="M554" s="33">
        <v>120.12890000000002</v>
      </c>
    </row>
    <row r="555" spans="1:13">
      <c r="A555" t="s">
        <v>113</v>
      </c>
      <c r="B555">
        <v>2002</v>
      </c>
      <c r="C555" s="16">
        <v>-0.02</v>
      </c>
      <c r="D555" s="1">
        <v>1104587.3999999999</v>
      </c>
      <c r="E555" s="29">
        <f>Table15[[#This Row],[Ávöxtun]]*Table15[[#This Row],[Eignir]]/SUMIFS(Table15[Eignir],Table15[Year],Table15[[#This Row],[Year]])</f>
        <v>-3.4781162970656621E-5</v>
      </c>
      <c r="F555" s="23">
        <f>IF(B555=1997, 100, IF(COUNTIF(A$1:A554,A555)=0, "NEW", F554*(1+Table15[[#This Row],[Ávöxtun]])))</f>
        <v>117.72632200000001</v>
      </c>
      <c r="G555" s="18" cm="1">
        <f t="array" ref="G555">IFERROR(_xlfn.IFS(ISNUMBER(Table15[[#This Row],[Column3]]),Table15[[#This Row],[Column3]],Table15[[#This Row],[Column3]]="NEW",Table15[[#This Row],[Column3]]),"")</f>
        <v>117.72632200000001</v>
      </c>
      <c r="H555" s="15" cm="1">
        <f t="array" ref="H555">_xlfn.IFS(Table15[[#This Row],[Column4]]="NEW",AVERAGEIFS(Table15[Column4],Table15[Year],Table15[[#This Row],[Year]]),ISNUMBER(Table15[[#This Row],[Column4]]),Table15[[#This Row],[Column4]],Table15[[#This Row],[Column4]]="",H554*(1+Table15[[#This Row],[Ávöxtun]]))</f>
        <v>117.72632200000001</v>
      </c>
      <c r="I555" s="30" cm="1">
        <f t="array" ref="I555">_xlfn.IFS(Table15[[#This Row],[Column4]]="NEW",_xlfn.XLOOKUP(Table15[[#This Row],[Year]]-1,$N$2:$N$27,$P$2:$P$27)*(1+Table15[[#This Row],[Ávöxtun]]),ISNUMBER(Table15[[#This Row],[Column4]]),Table15[[#This Row],[Column4]],Table15[[#This Row],[Column4]]="",I554*(1+Table15[[#This Row],[Ávöxtun]]))</f>
        <v>117.72632200000001</v>
      </c>
      <c r="L555" s="33">
        <v>117.72632200000001</v>
      </c>
      <c r="M555" s="33">
        <v>117.72632200000001</v>
      </c>
    </row>
    <row r="556" spans="1:13">
      <c r="A556" t="s">
        <v>113</v>
      </c>
      <c r="B556">
        <v>2003</v>
      </c>
      <c r="C556" s="16">
        <v>0.08</v>
      </c>
      <c r="D556" s="1">
        <v>1184785</v>
      </c>
      <c r="E556" s="29">
        <f>Table15[[#This Row],[Ávöxtun]]*Table15[[#This Row],[Eignir]]/SUMIFS(Table15[Eignir],Table15[Year],Table15[[#This Row],[Year]])</f>
        <v>1.2473203491956264E-4</v>
      </c>
      <c r="F556" s="23">
        <f>IF(B556=1997, 100, IF(COUNTIF(A$1:A555,A556)=0, "NEW", F555*(1+Table15[[#This Row],[Ávöxtun]])))</f>
        <v>127.14442776000001</v>
      </c>
      <c r="G556" s="18" cm="1">
        <f t="array" ref="G556">IFERROR(_xlfn.IFS(ISNUMBER(Table15[[#This Row],[Column3]]),Table15[[#This Row],[Column3]],Table15[[#This Row],[Column3]]="NEW",Table15[[#This Row],[Column3]]),"")</f>
        <v>127.14442776000001</v>
      </c>
      <c r="H556" s="15" cm="1">
        <f t="array" ref="H556">_xlfn.IFS(Table15[[#This Row],[Column4]]="NEW",AVERAGEIFS(Table15[Column4],Table15[Year],Table15[[#This Row],[Year]]),ISNUMBER(Table15[[#This Row],[Column4]]),Table15[[#This Row],[Column4]],Table15[[#This Row],[Column4]]="",H555*(1+Table15[[#This Row],[Ávöxtun]]))</f>
        <v>127.14442776000001</v>
      </c>
      <c r="I556" s="30" cm="1">
        <f t="array" ref="I556">_xlfn.IFS(Table15[[#This Row],[Column4]]="NEW",_xlfn.XLOOKUP(Table15[[#This Row],[Year]]-1,$N$2:$N$27,$P$2:$P$27)*(1+Table15[[#This Row],[Ávöxtun]]),ISNUMBER(Table15[[#This Row],[Column4]]),Table15[[#This Row],[Column4]],Table15[[#This Row],[Column4]]="",I555*(1+Table15[[#This Row],[Ávöxtun]]))</f>
        <v>127.14442776000001</v>
      </c>
      <c r="L556" s="33">
        <v>127.14442776000001</v>
      </c>
      <c r="M556" s="33">
        <v>127.14442776000001</v>
      </c>
    </row>
    <row r="557" spans="1:13">
      <c r="A557" t="s">
        <v>113</v>
      </c>
      <c r="B557">
        <v>2004</v>
      </c>
      <c r="C557" s="16">
        <v>0.11</v>
      </c>
      <c r="D557" s="1">
        <v>1311725</v>
      </c>
      <c r="E557" s="29">
        <f>Table15[[#This Row],[Ávöxtun]]*Table15[[#This Row],[Eignir]]/SUMIFS(Table15[Eignir],Table15[Year],Table15[[#This Row],[Year]])</f>
        <v>1.5896711627336795E-4</v>
      </c>
      <c r="F557" s="23">
        <f>IF(B557=1997, 100, IF(COUNTIF(A$1:A556,A557)=0, "NEW", F556*(1+Table15[[#This Row],[Ávöxtun]])))</f>
        <v>141.13031481360002</v>
      </c>
      <c r="G557" s="18" cm="1">
        <f t="array" ref="G557">IFERROR(_xlfn.IFS(ISNUMBER(Table15[[#This Row],[Column3]]),Table15[[#This Row],[Column3]],Table15[[#This Row],[Column3]]="NEW",Table15[[#This Row],[Column3]]),"")</f>
        <v>141.13031481360002</v>
      </c>
      <c r="H557" s="15" cm="1">
        <f t="array" ref="H557">_xlfn.IFS(Table15[[#This Row],[Column4]]="NEW",AVERAGEIFS(Table15[Column4],Table15[Year],Table15[[#This Row],[Year]]),ISNUMBER(Table15[[#This Row],[Column4]]),Table15[[#This Row],[Column4]],Table15[[#This Row],[Column4]]="",H556*(1+Table15[[#This Row],[Ávöxtun]]))</f>
        <v>141.13031481360002</v>
      </c>
      <c r="I557" s="30" cm="1">
        <f t="array" ref="I557">_xlfn.IFS(Table15[[#This Row],[Column4]]="NEW",_xlfn.XLOOKUP(Table15[[#This Row],[Year]]-1,$N$2:$N$27,$P$2:$P$27)*(1+Table15[[#This Row],[Ávöxtun]]),ISNUMBER(Table15[[#This Row],[Column4]]),Table15[[#This Row],[Column4]],Table15[[#This Row],[Column4]]="",I556*(1+Table15[[#This Row],[Ávöxtun]]))</f>
        <v>141.13031481360002</v>
      </c>
      <c r="L557" s="33">
        <v>141.13031481360002</v>
      </c>
      <c r="M557" s="33">
        <v>141.13031481360002</v>
      </c>
    </row>
    <row r="558" spans="1:13">
      <c r="A558" t="s">
        <v>113</v>
      </c>
      <c r="B558">
        <v>2005</v>
      </c>
      <c r="C558" s="16">
        <v>0.1</v>
      </c>
      <c r="D558" s="1">
        <v>2147153</v>
      </c>
      <c r="E558" s="29">
        <f>Table15[[#This Row],[Ávöxtun]]*Table15[[#This Row],[Eignir]]/SUMIFS(Table15[Eignir],Table15[Year],Table15[[#This Row],[Year]])</f>
        <v>1.9148138170085904E-4</v>
      </c>
      <c r="F558" s="23">
        <f>IF(B558=1997, 100, IF(COUNTIF(A$1:A557,A558)=0, "NEW", F557*(1+Table15[[#This Row],[Ávöxtun]])))</f>
        <v>155.24334629496005</v>
      </c>
      <c r="G558" s="18" cm="1">
        <f t="array" ref="G558">IFERROR(_xlfn.IFS(ISNUMBER(Table15[[#This Row],[Column3]]),Table15[[#This Row],[Column3]],Table15[[#This Row],[Column3]]="NEW",Table15[[#This Row],[Column3]]),"")</f>
        <v>155.24334629496005</v>
      </c>
      <c r="H558" s="15" cm="1">
        <f t="array" ref="H558">_xlfn.IFS(Table15[[#This Row],[Column4]]="NEW",AVERAGEIFS(Table15[Column4],Table15[Year],Table15[[#This Row],[Year]]),ISNUMBER(Table15[[#This Row],[Column4]]),Table15[[#This Row],[Column4]],Table15[[#This Row],[Column4]]="",H557*(1+Table15[[#This Row],[Ávöxtun]]))</f>
        <v>155.24334629496005</v>
      </c>
      <c r="I558" s="30" cm="1">
        <f t="array" ref="I558">_xlfn.IFS(Table15[[#This Row],[Column4]]="NEW",_xlfn.XLOOKUP(Table15[[#This Row],[Year]]-1,$N$2:$N$27,$P$2:$P$27)*(1+Table15[[#This Row],[Ávöxtun]]),ISNUMBER(Table15[[#This Row],[Column4]]),Table15[[#This Row],[Column4]],Table15[[#This Row],[Column4]]="",I557*(1+Table15[[#This Row],[Ávöxtun]]))</f>
        <v>155.24334629496005</v>
      </c>
      <c r="L558" s="33">
        <v>155.24334629496005</v>
      </c>
      <c r="M558" s="33">
        <v>155.24334629496005</v>
      </c>
    </row>
    <row r="559" spans="1:13">
      <c r="A559" t="s">
        <v>113</v>
      </c>
      <c r="B559">
        <v>2006</v>
      </c>
      <c r="C559" s="16">
        <v>7.0599999999999996E-2</v>
      </c>
      <c r="D559" s="1">
        <v>2382635</v>
      </c>
      <c r="E559" s="29">
        <f>Table15[[#This Row],[Ávöxtun]]*Table15[[#This Row],[Eignir]]/SUMIFS(Table15[Eignir],Table15[Year],Table15[[#This Row],[Year]])</f>
        <v>1.22544631884048E-4</v>
      </c>
      <c r="F559" s="23">
        <f>IF(B559=1997, 100, IF(COUNTIF(A$1:A558,A559)=0, "NEW", F558*(1+Table15[[#This Row],[Ávöxtun]])))</f>
        <v>166.20352654338421</v>
      </c>
      <c r="G559" s="18" cm="1">
        <f t="array" ref="G559">IFERROR(_xlfn.IFS(ISNUMBER(Table15[[#This Row],[Column3]]),Table15[[#This Row],[Column3]],Table15[[#This Row],[Column3]]="NEW",Table15[[#This Row],[Column3]]),"")</f>
        <v>166.20352654338421</v>
      </c>
      <c r="H559" s="15" cm="1">
        <f t="array" ref="H559">_xlfn.IFS(Table15[[#This Row],[Column4]]="NEW",AVERAGEIFS(Table15[Column4],Table15[Year],Table15[[#This Row],[Year]]),ISNUMBER(Table15[[#This Row],[Column4]]),Table15[[#This Row],[Column4]],Table15[[#This Row],[Column4]]="",H558*(1+Table15[[#This Row],[Ávöxtun]]))</f>
        <v>166.20352654338421</v>
      </c>
      <c r="I559" s="30" cm="1">
        <f t="array" ref="I559">_xlfn.IFS(Table15[[#This Row],[Column4]]="NEW",_xlfn.XLOOKUP(Table15[[#This Row],[Year]]-1,$N$2:$N$27,$P$2:$P$27)*(1+Table15[[#This Row],[Ávöxtun]]),ISNUMBER(Table15[[#This Row],[Column4]]),Table15[[#This Row],[Column4]],Table15[[#This Row],[Column4]]="",I558*(1+Table15[[#This Row],[Ávöxtun]]))</f>
        <v>166.20352654338421</v>
      </c>
      <c r="L559" s="33">
        <v>166.20352654338421</v>
      </c>
      <c r="M559" s="33">
        <v>166.20352654338421</v>
      </c>
    </row>
    <row r="560" spans="1:13">
      <c r="A560" t="s">
        <v>113</v>
      </c>
      <c r="B560">
        <v>2007</v>
      </c>
      <c r="C560" s="16">
        <v>4.02E-2</v>
      </c>
      <c r="D560" s="1">
        <v>5935385</v>
      </c>
      <c r="E560" s="29">
        <f>Table15[[#This Row],[Ávöxtun]]*Table15[[#This Row],[Eignir]]/SUMIFS(Table15[Eignir],Table15[Year],Table15[[#This Row],[Year]])</f>
        <v>1.5429464703824348E-4</v>
      </c>
      <c r="F560" s="23">
        <f>IF(B560=1997, 100, IF(COUNTIF(A$1:A559,A560)=0, "NEW", F559*(1+Table15[[#This Row],[Ávöxtun]])))</f>
        <v>172.88490831042827</v>
      </c>
      <c r="G560" s="18" cm="1">
        <f t="array" ref="G560">IFERROR(_xlfn.IFS(ISNUMBER(Table15[[#This Row],[Column3]]),Table15[[#This Row],[Column3]],Table15[[#This Row],[Column3]]="NEW",Table15[[#This Row],[Column3]]),"")</f>
        <v>172.88490831042827</v>
      </c>
      <c r="H560" s="15" cm="1">
        <f t="array" ref="H560">_xlfn.IFS(Table15[[#This Row],[Column4]]="NEW",AVERAGEIFS(Table15[Column4],Table15[Year],Table15[[#This Row],[Year]]),ISNUMBER(Table15[[#This Row],[Column4]]),Table15[[#This Row],[Column4]],Table15[[#This Row],[Column4]]="",H559*(1+Table15[[#This Row],[Ávöxtun]]))</f>
        <v>172.88490831042827</v>
      </c>
      <c r="I560" s="30" cm="1">
        <f t="array" ref="I560">_xlfn.IFS(Table15[[#This Row],[Column4]]="NEW",_xlfn.XLOOKUP(Table15[[#This Row],[Year]]-1,$N$2:$N$27,$P$2:$P$27)*(1+Table15[[#This Row],[Ávöxtun]]),ISNUMBER(Table15[[#This Row],[Column4]]),Table15[[#This Row],[Column4]],Table15[[#This Row],[Column4]]="",I559*(1+Table15[[#This Row],[Ávöxtun]]))</f>
        <v>172.88490831042827</v>
      </c>
      <c r="L560" s="33">
        <v>172.88490831042827</v>
      </c>
      <c r="M560" s="33">
        <v>172.88490831042827</v>
      </c>
    </row>
    <row r="561" spans="1:13">
      <c r="A561" t="s">
        <v>113</v>
      </c>
      <c r="B561">
        <v>2008</v>
      </c>
      <c r="C561" s="16">
        <v>-5.6000000000000008E-3</v>
      </c>
      <c r="D561" s="1">
        <v>6904779</v>
      </c>
      <c r="E561" s="29">
        <f>Table15[[#This Row],[Ávöxtun]]*Table15[[#This Row],[Eignir]]/SUMIFS(Table15[Eignir],Table15[Year],Table15[[#This Row],[Year]])</f>
        <v>-2.5824016628901566E-5</v>
      </c>
      <c r="F561" s="23">
        <f>IF(B561=1997, 100, IF(COUNTIF(A$1:A560,A561)=0, "NEW", F560*(1+Table15[[#This Row],[Ávöxtun]])))</f>
        <v>171.91675282388988</v>
      </c>
      <c r="G561" s="18" cm="1">
        <f t="array" ref="G561">IFERROR(_xlfn.IFS(ISNUMBER(Table15[[#This Row],[Column3]]),Table15[[#This Row],[Column3]],Table15[[#This Row],[Column3]]="NEW",Table15[[#This Row],[Column3]]),"")</f>
        <v>171.91675282388988</v>
      </c>
      <c r="H561" s="15" cm="1">
        <f t="array" ref="H561">_xlfn.IFS(Table15[[#This Row],[Column4]]="NEW",AVERAGEIFS(Table15[Column4],Table15[Year],Table15[[#This Row],[Year]]),ISNUMBER(Table15[[#This Row],[Column4]]),Table15[[#This Row],[Column4]],Table15[[#This Row],[Column4]]="",H560*(1+Table15[[#This Row],[Ávöxtun]]))</f>
        <v>171.91675282388988</v>
      </c>
      <c r="I561" s="30" cm="1">
        <f t="array" ref="I561">_xlfn.IFS(Table15[[#This Row],[Column4]]="NEW",_xlfn.XLOOKUP(Table15[[#This Row],[Year]]-1,$N$2:$N$27,$P$2:$P$27)*(1+Table15[[#This Row],[Ávöxtun]]),ISNUMBER(Table15[[#This Row],[Column4]]),Table15[[#This Row],[Column4]],Table15[[#This Row],[Column4]]="",I560*(1+Table15[[#This Row],[Ávöxtun]]))</f>
        <v>171.91675282388988</v>
      </c>
      <c r="L561" s="33">
        <v>171.91675282388988</v>
      </c>
      <c r="M561" s="33">
        <v>171.91675282388988</v>
      </c>
    </row>
    <row r="562" spans="1:13">
      <c r="A562" t="s">
        <v>113</v>
      </c>
      <c r="B562">
        <v>2009</v>
      </c>
      <c r="C562" s="16">
        <v>3.1300000000000001E-2</v>
      </c>
      <c r="D562" s="1">
        <v>7588249</v>
      </c>
      <c r="E562" s="29">
        <f>Table15[[#This Row],[Ávöxtun]]*Table15[[#This Row],[Eignir]]/SUMIFS(Table15[Eignir],Table15[Year],Table15[[#This Row],[Year]])</f>
        <v>1.4237134955949753E-4</v>
      </c>
      <c r="F562" s="23">
        <f>IF(B562=1997, 100, IF(COUNTIF(A$1:A561,A562)=0, "NEW", F561*(1+Table15[[#This Row],[Ávöxtun]])))</f>
        <v>177.29774718727765</v>
      </c>
      <c r="G562" s="18" cm="1">
        <f t="array" ref="G562">IFERROR(_xlfn.IFS(ISNUMBER(Table15[[#This Row],[Column3]]),Table15[[#This Row],[Column3]],Table15[[#This Row],[Column3]]="NEW",Table15[[#This Row],[Column3]]),"")</f>
        <v>177.29774718727765</v>
      </c>
      <c r="H562" s="15" cm="1">
        <f t="array" ref="H562">_xlfn.IFS(Table15[[#This Row],[Column4]]="NEW",AVERAGEIFS(Table15[Column4],Table15[Year],Table15[[#This Row],[Year]]),ISNUMBER(Table15[[#This Row],[Column4]]),Table15[[#This Row],[Column4]],Table15[[#This Row],[Column4]]="",H561*(1+Table15[[#This Row],[Ávöxtun]]))</f>
        <v>177.29774718727765</v>
      </c>
      <c r="I562" s="30" cm="1">
        <f t="array" ref="I562">_xlfn.IFS(Table15[[#This Row],[Column4]]="NEW",_xlfn.XLOOKUP(Table15[[#This Row],[Year]]-1,$N$2:$N$27,$P$2:$P$27)*(1+Table15[[#This Row],[Ávöxtun]]),ISNUMBER(Table15[[#This Row],[Column4]]),Table15[[#This Row],[Column4]],Table15[[#This Row],[Column4]]="",I561*(1+Table15[[#This Row],[Ávöxtun]]))</f>
        <v>177.29774718727765</v>
      </c>
      <c r="L562" s="33">
        <v>177.29774718727765</v>
      </c>
      <c r="M562" s="33">
        <v>177.29774718727765</v>
      </c>
    </row>
    <row r="563" spans="1:13">
      <c r="A563" t="s">
        <v>113</v>
      </c>
      <c r="B563">
        <v>2010</v>
      </c>
      <c r="C563" s="16">
        <v>3.2500000000000001E-2</v>
      </c>
      <c r="D563" s="1">
        <v>7866337</v>
      </c>
      <c r="E563" s="29">
        <f>Table15[[#This Row],[Ávöxtun]]*Table15[[#This Row],[Eignir]]/SUMIFS(Table15[Eignir],Table15[Year],Table15[[#This Row],[Year]])</f>
        <v>1.430013841490124E-4</v>
      </c>
      <c r="F563" s="23">
        <f>IF(B563=1997, 100, IF(COUNTIF(A$1:A562,A563)=0, "NEW", F562*(1+Table15[[#This Row],[Ávöxtun]])))</f>
        <v>183.05992397086416</v>
      </c>
      <c r="G563" s="18" cm="1">
        <f t="array" ref="G563">IFERROR(_xlfn.IFS(ISNUMBER(Table15[[#This Row],[Column3]]),Table15[[#This Row],[Column3]],Table15[[#This Row],[Column3]]="NEW",Table15[[#This Row],[Column3]]),"")</f>
        <v>183.05992397086416</v>
      </c>
      <c r="H563" s="15" cm="1">
        <f t="array" ref="H563">_xlfn.IFS(Table15[[#This Row],[Column4]]="NEW",AVERAGEIFS(Table15[Column4],Table15[Year],Table15[[#This Row],[Year]]),ISNUMBER(Table15[[#This Row],[Column4]]),Table15[[#This Row],[Column4]],Table15[[#This Row],[Column4]]="",H562*(1+Table15[[#This Row],[Ávöxtun]]))</f>
        <v>183.05992397086416</v>
      </c>
      <c r="I563" s="30" cm="1">
        <f t="array" ref="I563">_xlfn.IFS(Table15[[#This Row],[Column4]]="NEW",_xlfn.XLOOKUP(Table15[[#This Row],[Year]]-1,$N$2:$N$27,$P$2:$P$27)*(1+Table15[[#This Row],[Ávöxtun]]),ISNUMBER(Table15[[#This Row],[Column4]]),Table15[[#This Row],[Column4]],Table15[[#This Row],[Column4]]="",I562*(1+Table15[[#This Row],[Ávöxtun]]))</f>
        <v>183.05992397086416</v>
      </c>
      <c r="L563" s="33">
        <v>183.05992397086416</v>
      </c>
      <c r="M563" s="33">
        <v>183.05992397086416</v>
      </c>
    </row>
    <row r="564" spans="1:13">
      <c r="A564" t="s">
        <v>113</v>
      </c>
      <c r="B564">
        <v>2011</v>
      </c>
      <c r="C564" s="16">
        <v>0.03</v>
      </c>
      <c r="D564" s="1">
        <v>8325781</v>
      </c>
      <c r="E564" s="29">
        <f>Table15[[#This Row],[Ávöxtun]]*Table15[[#This Row],[Eignir]]/SUMIFS(Table15[Eignir],Table15[Year],Table15[[#This Row],[Year]])</f>
        <v>1.2805224079069795E-4</v>
      </c>
      <c r="F564" s="23">
        <f>IF(B564=1997, 100, IF(COUNTIF(A$1:A563,A564)=0, "NEW", F563*(1+Table15[[#This Row],[Ávöxtun]])))</f>
        <v>188.5517216899901</v>
      </c>
      <c r="G564" s="18" cm="1">
        <f t="array" ref="G564">IFERROR(_xlfn.IFS(ISNUMBER(Table15[[#This Row],[Column3]]),Table15[[#This Row],[Column3]],Table15[[#This Row],[Column3]]="NEW",Table15[[#This Row],[Column3]]),"")</f>
        <v>188.5517216899901</v>
      </c>
      <c r="H564" s="15" cm="1">
        <f t="array" ref="H564">_xlfn.IFS(Table15[[#This Row],[Column4]]="NEW",AVERAGEIFS(Table15[Column4],Table15[Year],Table15[[#This Row],[Year]]),ISNUMBER(Table15[[#This Row],[Column4]]),Table15[[#This Row],[Column4]],Table15[[#This Row],[Column4]]="",H563*(1+Table15[[#This Row],[Ávöxtun]]))</f>
        <v>188.5517216899901</v>
      </c>
      <c r="I564" s="30" cm="1">
        <f t="array" ref="I564">_xlfn.IFS(Table15[[#This Row],[Column4]]="NEW",_xlfn.XLOOKUP(Table15[[#This Row],[Year]]-1,$N$2:$N$27,$P$2:$P$27)*(1+Table15[[#This Row],[Ávöxtun]]),ISNUMBER(Table15[[#This Row],[Column4]]),Table15[[#This Row],[Column4]],Table15[[#This Row],[Column4]]="",I563*(1+Table15[[#This Row],[Ávöxtun]]))</f>
        <v>188.5517216899901</v>
      </c>
      <c r="L564" s="33">
        <v>188.5517216899901</v>
      </c>
      <c r="M564" s="33">
        <v>188.5517216899901</v>
      </c>
    </row>
    <row r="565" spans="1:13">
      <c r="A565" t="s">
        <v>113</v>
      </c>
      <c r="B565">
        <v>2012</v>
      </c>
      <c r="C565" s="16">
        <v>0.03</v>
      </c>
      <c r="D565" s="1">
        <v>8693781</v>
      </c>
      <c r="E565" s="29">
        <f>Table15[[#This Row],[Ávöxtun]]*Table15[[#This Row],[Eignir]]/SUMIFS(Table15[Eignir],Table15[Year],Table15[[#This Row],[Year]])</f>
        <v>1.1839855559747436E-4</v>
      </c>
      <c r="F565" s="23">
        <f>IF(B565=1997, 100, IF(COUNTIF(A$1:A564,A565)=0, "NEW", F564*(1+Table15[[#This Row],[Ávöxtun]])))</f>
        <v>194.2082733406898</v>
      </c>
      <c r="G565" s="18" cm="1">
        <f t="array" ref="G565">IFERROR(_xlfn.IFS(ISNUMBER(Table15[[#This Row],[Column3]]),Table15[[#This Row],[Column3]],Table15[[#This Row],[Column3]]="NEW",Table15[[#This Row],[Column3]]),"")</f>
        <v>194.2082733406898</v>
      </c>
      <c r="H565" s="15" cm="1">
        <f t="array" ref="H565">_xlfn.IFS(Table15[[#This Row],[Column4]]="NEW",AVERAGEIFS(Table15[Column4],Table15[Year],Table15[[#This Row],[Year]]),ISNUMBER(Table15[[#This Row],[Column4]]),Table15[[#This Row],[Column4]],Table15[[#This Row],[Column4]]="",H564*(1+Table15[[#This Row],[Ávöxtun]]))</f>
        <v>194.2082733406898</v>
      </c>
      <c r="I565" s="30" cm="1">
        <f t="array" ref="I565">_xlfn.IFS(Table15[[#This Row],[Column4]]="NEW",_xlfn.XLOOKUP(Table15[[#This Row],[Year]]-1,$N$2:$N$27,$P$2:$P$27)*(1+Table15[[#This Row],[Ávöxtun]]),ISNUMBER(Table15[[#This Row],[Column4]]),Table15[[#This Row],[Column4]],Table15[[#This Row],[Column4]]="",I564*(1+Table15[[#This Row],[Ávöxtun]]))</f>
        <v>194.2082733406898</v>
      </c>
      <c r="L565" s="33">
        <v>194.2082733406898</v>
      </c>
      <c r="M565" s="33">
        <v>194.2082733406898</v>
      </c>
    </row>
    <row r="566" spans="1:13">
      <c r="A566" t="s">
        <v>113</v>
      </c>
      <c r="B566">
        <v>2013</v>
      </c>
      <c r="C566" s="16">
        <v>7.2000000000000008E-2</v>
      </c>
      <c r="D566" s="1">
        <v>9128704</v>
      </c>
      <c r="E566" s="29">
        <f>Table15[[#This Row],[Ávöxtun]]*Table15[[#This Row],[Eignir]]/SUMIFS(Table15[Eignir],Table15[Year],Table15[[#This Row],[Year]])</f>
        <v>2.7008227154994008E-4</v>
      </c>
      <c r="F566" s="23">
        <f>IF(B566=1997, 100, IF(COUNTIF(A$1:A565,A566)=0, "NEW", F565*(1+Table15[[#This Row],[Ávöxtun]])))</f>
        <v>208.19126902121948</v>
      </c>
      <c r="G566" s="18" cm="1">
        <f t="array" ref="G566">IFERROR(_xlfn.IFS(ISNUMBER(Table15[[#This Row],[Column3]]),Table15[[#This Row],[Column3]],Table15[[#This Row],[Column3]]="NEW",Table15[[#This Row],[Column3]]),"")</f>
        <v>208.19126902121948</v>
      </c>
      <c r="H566" s="15" cm="1">
        <f t="array" ref="H566">_xlfn.IFS(Table15[[#This Row],[Column4]]="NEW",AVERAGEIFS(Table15[Column4],Table15[Year],Table15[[#This Row],[Year]]),ISNUMBER(Table15[[#This Row],[Column4]]),Table15[[#This Row],[Column4]],Table15[[#This Row],[Column4]]="",H565*(1+Table15[[#This Row],[Ávöxtun]]))</f>
        <v>208.19126902121948</v>
      </c>
      <c r="I566" s="30" cm="1">
        <f t="array" ref="I566">_xlfn.IFS(Table15[[#This Row],[Column4]]="NEW",_xlfn.XLOOKUP(Table15[[#This Row],[Year]]-1,$N$2:$N$27,$P$2:$P$27)*(1+Table15[[#This Row],[Ávöxtun]]),ISNUMBER(Table15[[#This Row],[Column4]]),Table15[[#This Row],[Column4]],Table15[[#This Row],[Column4]]="",I565*(1+Table15[[#This Row],[Ávöxtun]]))</f>
        <v>208.19126902121948</v>
      </c>
      <c r="L566" s="33">
        <v>208.19126902121948</v>
      </c>
      <c r="M566" s="33">
        <v>208.19126902121948</v>
      </c>
    </row>
    <row r="567" spans="1:13">
      <c r="A567" t="s">
        <v>113</v>
      </c>
      <c r="B567">
        <v>2014</v>
      </c>
      <c r="C567" s="16">
        <v>0.05</v>
      </c>
      <c r="D567" s="1">
        <v>9397602</v>
      </c>
      <c r="E567" s="29">
        <f>Table15[[#This Row],[Ávöxtun]]*Table15[[#This Row],[Eignir]]/SUMIFS(Table15[Eignir],Table15[Year],Table15[[#This Row],[Year]])</f>
        <v>1.7711150738962742E-4</v>
      </c>
      <c r="F567" s="23">
        <f>IF(B567=1997, 100, IF(COUNTIF(A$1:A566,A567)=0, "NEW", F566*(1+Table15[[#This Row],[Ávöxtun]])))</f>
        <v>218.60083247228047</v>
      </c>
      <c r="G567" s="18" cm="1">
        <f t="array" ref="G567">IFERROR(_xlfn.IFS(ISNUMBER(Table15[[#This Row],[Column3]]),Table15[[#This Row],[Column3]],Table15[[#This Row],[Column3]]="NEW",Table15[[#This Row],[Column3]]),"")</f>
        <v>218.60083247228047</v>
      </c>
      <c r="H567" s="15" cm="1">
        <f t="array" ref="H567">_xlfn.IFS(Table15[[#This Row],[Column4]]="NEW",AVERAGEIFS(Table15[Column4],Table15[Year],Table15[[#This Row],[Year]]),ISNUMBER(Table15[[#This Row],[Column4]]),Table15[[#This Row],[Column4]],Table15[[#This Row],[Column4]]="",H566*(1+Table15[[#This Row],[Ávöxtun]]))</f>
        <v>218.60083247228047</v>
      </c>
      <c r="I567" s="30" cm="1">
        <f t="array" ref="I567">_xlfn.IFS(Table15[[#This Row],[Column4]]="NEW",_xlfn.XLOOKUP(Table15[[#This Row],[Year]]-1,$N$2:$N$27,$P$2:$P$27)*(1+Table15[[#This Row],[Ávöxtun]]),ISNUMBER(Table15[[#This Row],[Column4]]),Table15[[#This Row],[Column4]],Table15[[#This Row],[Column4]]="",I566*(1+Table15[[#This Row],[Ávöxtun]]))</f>
        <v>218.60083247228047</v>
      </c>
      <c r="L567" s="33">
        <v>218.60083247228047</v>
      </c>
      <c r="M567" s="33">
        <v>218.60083247228047</v>
      </c>
    </row>
    <row r="568" spans="1:13">
      <c r="A568" t="s">
        <v>113</v>
      </c>
      <c r="B568">
        <v>2015</v>
      </c>
      <c r="C568" s="16">
        <v>0.09</v>
      </c>
      <c r="D568" s="1">
        <v>10346055</v>
      </c>
      <c r="E568" s="29">
        <f>Table15[[#This Row],[Ávöxtun]]*Table15[[#This Row],[Eignir]]/SUMIFS(Table15[Eignir],Table15[Year],Table15[[#This Row],[Year]])</f>
        <v>3.1442959250112994E-4</v>
      </c>
      <c r="F568" s="23">
        <f>IF(B568=1997, 100, IF(COUNTIF(A$1:A567,A568)=0, "NEW", F567*(1+Table15[[#This Row],[Ávöxtun]])))</f>
        <v>238.27490739478574</v>
      </c>
      <c r="G568" s="18" cm="1">
        <f t="array" ref="G568">IFERROR(_xlfn.IFS(ISNUMBER(Table15[[#This Row],[Column3]]),Table15[[#This Row],[Column3]],Table15[[#This Row],[Column3]]="NEW",Table15[[#This Row],[Column3]]),"")</f>
        <v>238.27490739478574</v>
      </c>
      <c r="H568" s="15" cm="1">
        <f t="array" ref="H568">_xlfn.IFS(Table15[[#This Row],[Column4]]="NEW",AVERAGEIFS(Table15[Column4],Table15[Year],Table15[[#This Row],[Year]]),ISNUMBER(Table15[[#This Row],[Column4]]),Table15[[#This Row],[Column4]],Table15[[#This Row],[Column4]]="",H567*(1+Table15[[#This Row],[Ávöxtun]]))</f>
        <v>238.27490739478574</v>
      </c>
      <c r="I568" s="30" cm="1">
        <f t="array" ref="I568">_xlfn.IFS(Table15[[#This Row],[Column4]]="NEW",_xlfn.XLOOKUP(Table15[[#This Row],[Year]]-1,$N$2:$N$27,$P$2:$P$27)*(1+Table15[[#This Row],[Ávöxtun]]),ISNUMBER(Table15[[#This Row],[Column4]]),Table15[[#This Row],[Column4]],Table15[[#This Row],[Column4]]="",I567*(1+Table15[[#This Row],[Ávöxtun]]))</f>
        <v>238.27490739478574</v>
      </c>
      <c r="L568" s="33">
        <v>238.27490739478574</v>
      </c>
      <c r="M568" s="33">
        <v>238.27490739478574</v>
      </c>
    </row>
    <row r="569" spans="1:13">
      <c r="A569" t="s">
        <v>113</v>
      </c>
      <c r="B569">
        <v>2016</v>
      </c>
      <c r="C569" s="16">
        <v>2.2499999999999999E-2</v>
      </c>
      <c r="D569" s="1">
        <v>10443166.810000001</v>
      </c>
      <c r="E569" s="29">
        <f>Table15[[#This Row],[Ávöxtun]]*Table15[[#This Row],[Eignir]]/SUMIFS(Table15[Eignir],Table15[Year],Table15[[#This Row],[Year]])</f>
        <v>7.3427446019576063E-5</v>
      </c>
      <c r="F569" s="23">
        <f>IF(B569=1997, 100, IF(COUNTIF(A$1:A568,A569)=0, "NEW", F568*(1+Table15[[#This Row],[Ávöxtun]])))</f>
        <v>243.63609281116842</v>
      </c>
      <c r="G569" s="18" cm="1">
        <f t="array" ref="G569">IFERROR(_xlfn.IFS(ISNUMBER(Table15[[#This Row],[Column3]]),Table15[[#This Row],[Column3]],Table15[[#This Row],[Column3]]="NEW",Table15[[#This Row],[Column3]]),"")</f>
        <v>243.63609281116842</v>
      </c>
      <c r="H569" s="15" cm="1">
        <f t="array" ref="H569">_xlfn.IFS(Table15[[#This Row],[Column4]]="NEW",AVERAGEIFS(Table15[Column4],Table15[Year],Table15[[#This Row],[Year]]),ISNUMBER(Table15[[#This Row],[Column4]]),Table15[[#This Row],[Column4]],Table15[[#This Row],[Column4]]="",H568*(1+Table15[[#This Row],[Ávöxtun]]))</f>
        <v>243.63609281116842</v>
      </c>
      <c r="I569" s="30" cm="1">
        <f t="array" ref="I569">_xlfn.IFS(Table15[[#This Row],[Column4]]="NEW",_xlfn.XLOOKUP(Table15[[#This Row],[Year]]-1,$N$2:$N$27,$P$2:$P$27)*(1+Table15[[#This Row],[Ávöxtun]]),ISNUMBER(Table15[[#This Row],[Column4]]),Table15[[#This Row],[Column4]],Table15[[#This Row],[Column4]]="",I568*(1+Table15[[#This Row],[Ávöxtun]]))</f>
        <v>243.63609281116842</v>
      </c>
      <c r="L569" s="33">
        <v>243.63609281116842</v>
      </c>
      <c r="M569" s="33">
        <v>243.63609281116842</v>
      </c>
    </row>
    <row r="570" spans="1:13">
      <c r="A570" t="s">
        <v>113</v>
      </c>
      <c r="B570">
        <v>2017</v>
      </c>
      <c r="C570" s="16">
        <v>3.4000000000000002E-2</v>
      </c>
      <c r="D570" s="1">
        <v>11991979</v>
      </c>
      <c r="E570" s="29">
        <f>Table15[[#This Row],[Ávöxtun]]*Table15[[#This Row],[Eignir]]/SUMIFS(Table15[Eignir],Table15[Year],Table15[[#This Row],[Year]])</f>
        <v>1.1455744698003492E-4</v>
      </c>
      <c r="F570" s="23">
        <f>IF(B570=1997, 100, IF(COUNTIF(A$1:A569,A570)=0, "NEW", F569*(1+Table15[[#This Row],[Ávöxtun]])))</f>
        <v>251.91971996674815</v>
      </c>
      <c r="G570" s="18" cm="1">
        <f t="array" ref="G570">IFERROR(_xlfn.IFS(ISNUMBER(Table15[[#This Row],[Column3]]),Table15[[#This Row],[Column3]],Table15[[#This Row],[Column3]]="NEW",Table15[[#This Row],[Column3]]),"")</f>
        <v>251.91971996674815</v>
      </c>
      <c r="H570" s="15" cm="1">
        <f t="array" ref="H570">_xlfn.IFS(Table15[[#This Row],[Column4]]="NEW",AVERAGEIFS(Table15[Column4],Table15[Year],Table15[[#This Row],[Year]]),ISNUMBER(Table15[[#This Row],[Column4]]),Table15[[#This Row],[Column4]],Table15[[#This Row],[Column4]]="",H569*(1+Table15[[#This Row],[Ávöxtun]]))</f>
        <v>251.91971996674815</v>
      </c>
      <c r="I570" s="30" cm="1">
        <f t="array" ref="I570">_xlfn.IFS(Table15[[#This Row],[Column4]]="NEW",_xlfn.XLOOKUP(Table15[[#This Row],[Year]]-1,$N$2:$N$27,$P$2:$P$27)*(1+Table15[[#This Row],[Ávöxtun]]),ISNUMBER(Table15[[#This Row],[Column4]]),Table15[[#This Row],[Column4]],Table15[[#This Row],[Column4]]="",I569*(1+Table15[[#This Row],[Ávöxtun]]))</f>
        <v>251.91971996674815</v>
      </c>
      <c r="L570" s="33">
        <v>251.91971996674815</v>
      </c>
      <c r="M570" s="33">
        <v>251.91971996674815</v>
      </c>
    </row>
    <row r="571" spans="1:13">
      <c r="A571" t="s">
        <v>113</v>
      </c>
      <c r="B571">
        <v>2018</v>
      </c>
      <c r="C571" s="16">
        <v>6.9999999999999993E-3</v>
      </c>
      <c r="D571" s="1">
        <v>12025984</v>
      </c>
      <c r="E571" s="29">
        <f>Table15[[#This Row],[Ávöxtun]]*Table15[[#This Row],[Eignir]]/SUMIFS(Table15[Eignir],Table15[Year],Table15[[#This Row],[Year]])</f>
        <v>2.2046848628320653E-5</v>
      </c>
      <c r="F571" s="23">
        <f>IF(B571=1997, 100, IF(COUNTIF(A$1:A570,A571)=0, "NEW", F570*(1+Table15[[#This Row],[Ávöxtun]])))</f>
        <v>253.68315800651536</v>
      </c>
      <c r="G571" s="18" cm="1">
        <f t="array" ref="G571">IFERROR(_xlfn.IFS(ISNUMBER(Table15[[#This Row],[Column3]]),Table15[[#This Row],[Column3]],Table15[[#This Row],[Column3]]="NEW",Table15[[#This Row],[Column3]]),"")</f>
        <v>253.68315800651536</v>
      </c>
      <c r="H571" s="15" cm="1">
        <f t="array" ref="H571">_xlfn.IFS(Table15[[#This Row],[Column4]]="NEW",AVERAGEIFS(Table15[Column4],Table15[Year],Table15[[#This Row],[Year]]),ISNUMBER(Table15[[#This Row],[Column4]]),Table15[[#This Row],[Column4]],Table15[[#This Row],[Column4]]="",H570*(1+Table15[[#This Row],[Ávöxtun]]))</f>
        <v>253.68315800651536</v>
      </c>
      <c r="I571" s="30" cm="1">
        <f t="array" ref="I571">_xlfn.IFS(Table15[[#This Row],[Column4]]="NEW",_xlfn.XLOOKUP(Table15[[#This Row],[Year]]-1,$N$2:$N$27,$P$2:$P$27)*(1+Table15[[#This Row],[Ávöxtun]]),ISNUMBER(Table15[[#This Row],[Column4]]),Table15[[#This Row],[Column4]],Table15[[#This Row],[Column4]]="",I570*(1+Table15[[#This Row],[Ávöxtun]]))</f>
        <v>253.68315800651536</v>
      </c>
      <c r="L571" s="33">
        <v>253.68315800651536</v>
      </c>
      <c r="M571" s="33">
        <v>253.68315800651536</v>
      </c>
    </row>
    <row r="572" spans="1:13">
      <c r="A572" t="s">
        <v>113</v>
      </c>
      <c r="B572">
        <v>2019</v>
      </c>
      <c r="C572" s="16">
        <v>6.7000000000000004E-2</v>
      </c>
      <c r="D572" s="1">
        <v>12726848.77</v>
      </c>
      <c r="E572" s="29">
        <f>Table15[[#This Row],[Ávöxtun]]*Table15[[#This Row],[Eignir]]/SUMIFS(Table15[Eignir],Table15[Year],Table15[[#This Row],[Year]])</f>
        <v>1.9261851332056176E-4</v>
      </c>
      <c r="F572" s="23">
        <f>IF(B572=1997, 100, IF(COUNTIF(A$1:A571,A572)=0, "NEW", F571*(1+Table15[[#This Row],[Ávöxtun]])))</f>
        <v>270.67992959295185</v>
      </c>
      <c r="G572" s="18" cm="1">
        <f t="array" ref="G572">IFERROR(_xlfn.IFS(ISNUMBER(Table15[[#This Row],[Column3]]),Table15[[#This Row],[Column3]],Table15[[#This Row],[Column3]]="NEW",Table15[[#This Row],[Column3]]),"")</f>
        <v>270.67992959295185</v>
      </c>
      <c r="H572" s="15" cm="1">
        <f t="array" ref="H572">_xlfn.IFS(Table15[[#This Row],[Column4]]="NEW",AVERAGEIFS(Table15[Column4],Table15[Year],Table15[[#This Row],[Year]]),ISNUMBER(Table15[[#This Row],[Column4]]),Table15[[#This Row],[Column4]],Table15[[#This Row],[Column4]]="",H571*(1+Table15[[#This Row],[Ávöxtun]]))</f>
        <v>270.67992959295185</v>
      </c>
      <c r="I572" s="30" cm="1">
        <f t="array" ref="I572">_xlfn.IFS(Table15[[#This Row],[Column4]]="NEW",_xlfn.XLOOKUP(Table15[[#This Row],[Year]]-1,$N$2:$N$27,$P$2:$P$27)*(1+Table15[[#This Row],[Ávöxtun]]),ISNUMBER(Table15[[#This Row],[Column4]]),Table15[[#This Row],[Column4]],Table15[[#This Row],[Column4]]="",I571*(1+Table15[[#This Row],[Ávöxtun]]))</f>
        <v>270.67992959295185</v>
      </c>
      <c r="L572" s="33">
        <v>270.67992959295185</v>
      </c>
      <c r="M572" s="33">
        <v>270.67992959295185</v>
      </c>
    </row>
    <row r="573" spans="1:13">
      <c r="A573" t="s">
        <v>113</v>
      </c>
      <c r="B573">
        <v>2020</v>
      </c>
      <c r="C573" s="16">
        <v>7.4200000000000002E-2</v>
      </c>
      <c r="D573" s="1">
        <v>13505036.48</v>
      </c>
      <c r="E573" s="29">
        <f>Table15[[#This Row],[Ávöxtun]]*Table15[[#This Row],[Eignir]]/SUMIFS(Table15[Eignir],Table15[Year],Table15[[#This Row],[Year]])</f>
        <v>1.9508450156564109E-4</v>
      </c>
      <c r="F573" s="23">
        <f>IF(B573=1997, 100, IF(COUNTIF(A$1:A572,A573)=0, "NEW", F572*(1+Table15[[#This Row],[Ávöxtun]])))</f>
        <v>290.7643803687489</v>
      </c>
      <c r="G573" s="18" cm="1">
        <f t="array" ref="G573">IFERROR(_xlfn.IFS(ISNUMBER(Table15[[#This Row],[Column3]]),Table15[[#This Row],[Column3]],Table15[[#This Row],[Column3]]="NEW",Table15[[#This Row],[Column3]]),"")</f>
        <v>290.7643803687489</v>
      </c>
      <c r="H573" s="15" cm="1">
        <f t="array" ref="H573">_xlfn.IFS(Table15[[#This Row],[Column4]]="NEW",AVERAGEIFS(Table15[Column4],Table15[Year],Table15[[#This Row],[Year]]),ISNUMBER(Table15[[#This Row],[Column4]]),Table15[[#This Row],[Column4]],Table15[[#This Row],[Column4]]="",H572*(1+Table15[[#This Row],[Ávöxtun]]))</f>
        <v>290.7643803687489</v>
      </c>
      <c r="I573" s="30" cm="1">
        <f t="array" ref="I573">_xlfn.IFS(Table15[[#This Row],[Column4]]="NEW",_xlfn.XLOOKUP(Table15[[#This Row],[Year]]-1,$N$2:$N$27,$P$2:$P$27)*(1+Table15[[#This Row],[Ávöxtun]]),ISNUMBER(Table15[[#This Row],[Column4]]),Table15[[#This Row],[Column4]],Table15[[#This Row],[Column4]]="",I572*(1+Table15[[#This Row],[Ávöxtun]]))</f>
        <v>290.7643803687489</v>
      </c>
      <c r="L573" s="33">
        <v>290.7643803687489</v>
      </c>
      <c r="M573" s="33">
        <v>290.7643803687489</v>
      </c>
    </row>
    <row r="574" spans="1:13">
      <c r="A574" t="s">
        <v>113</v>
      </c>
      <c r="B574">
        <v>2021</v>
      </c>
      <c r="C574" s="16">
        <v>0.08</v>
      </c>
      <c r="D574" s="1">
        <v>14586205.210000001</v>
      </c>
      <c r="E574" s="29">
        <f>Table15[[#This Row],[Ávöxtun]]*Table15[[#This Row],[Eignir]]/SUMIFS(Table15[Eignir],Table15[Year],Table15[[#This Row],[Year]])</f>
        <v>1.932108224688719E-4</v>
      </c>
      <c r="F574" s="23">
        <f>IF(B574=1997, 100, IF(COUNTIF(A$1:A573,A574)=0, "NEW", F573*(1+Table15[[#This Row],[Ávöxtun]])))</f>
        <v>314.02553079824884</v>
      </c>
      <c r="G574" s="18" cm="1">
        <f t="array" ref="G574">IFERROR(_xlfn.IFS(ISNUMBER(Table15[[#This Row],[Column3]]),Table15[[#This Row],[Column3]],Table15[[#This Row],[Column3]]="NEW",Table15[[#This Row],[Column3]]),"")</f>
        <v>314.02553079824884</v>
      </c>
      <c r="H574" s="15" cm="1">
        <f t="array" ref="H574">_xlfn.IFS(Table15[[#This Row],[Column4]]="NEW",AVERAGEIFS(Table15[Column4],Table15[Year],Table15[[#This Row],[Year]]),ISNUMBER(Table15[[#This Row],[Column4]]),Table15[[#This Row],[Column4]],Table15[[#This Row],[Column4]]="",H573*(1+Table15[[#This Row],[Ávöxtun]]))</f>
        <v>314.02553079824884</v>
      </c>
      <c r="I574" s="30" cm="1">
        <f t="array" ref="I574">_xlfn.IFS(Table15[[#This Row],[Column4]]="NEW",_xlfn.XLOOKUP(Table15[[#This Row],[Year]]-1,$N$2:$N$27,$P$2:$P$27)*(1+Table15[[#This Row],[Ávöxtun]]),ISNUMBER(Table15[[#This Row],[Column4]]),Table15[[#This Row],[Column4]],Table15[[#This Row],[Column4]]="",I573*(1+Table15[[#This Row],[Ávöxtun]]))</f>
        <v>314.02553079824884</v>
      </c>
      <c r="L574" s="33">
        <v>314.02553079824884</v>
      </c>
      <c r="M574" s="33">
        <v>314.02553079824884</v>
      </c>
    </row>
    <row r="575" spans="1:13">
      <c r="A575" t="s">
        <v>114</v>
      </c>
      <c r="B575">
        <v>1997</v>
      </c>
      <c r="C575" s="16">
        <v>0.02</v>
      </c>
      <c r="D575" s="1">
        <v>4701050</v>
      </c>
      <c r="E575" s="29">
        <f>Table15[[#This Row],[Ávöxtun]]*Table15[[#This Row],[Eignir]]/SUMIFS(Table15[Eignir],Table15[Year],Table15[[#This Row],[Year]])</f>
        <v>2.7732735127196161E-4</v>
      </c>
      <c r="F575" s="23">
        <f>IF(B575=1997, 100, IF(COUNTIF(A$1:A574,A575)=0, "NEW", F574*(1+Table15[[#This Row],[Ávöxtun]])))</f>
        <v>100</v>
      </c>
      <c r="G575" s="18" cm="1">
        <f t="array" ref="G575">IFERROR(_xlfn.IFS(ISNUMBER(Table15[[#This Row],[Column3]]),Table15[[#This Row],[Column3]],Table15[[#This Row],[Column3]]="NEW",Table15[[#This Row],[Column3]]),"")</f>
        <v>100</v>
      </c>
      <c r="H575" s="15" cm="1">
        <f t="array" ref="H575">_xlfn.IFS(Table15[[#This Row],[Column4]]="NEW",AVERAGEIFS(Table15[Column4],Table15[Year],Table15[[#This Row],[Year]]),ISNUMBER(Table15[[#This Row],[Column4]]),Table15[[#This Row],[Column4]],Table15[[#This Row],[Column4]]="",H574*(1+Table15[[#This Row],[Ávöxtun]]))</f>
        <v>100</v>
      </c>
      <c r="I575" s="30" cm="1">
        <f t="array" ref="I575">_xlfn.IFS(Table15[[#This Row],[Column4]]="NEW",_xlfn.XLOOKUP(Table15[[#This Row],[Year]]-1,$N$2:$N$27,$P$2:$P$27)*(1+Table15[[#This Row],[Ávöxtun]]),ISNUMBER(Table15[[#This Row],[Column4]]),Table15[[#This Row],[Column4]],Table15[[#This Row],[Column4]]="",I574*(1+Table15[[#This Row],[Ávöxtun]]))</f>
        <v>100</v>
      </c>
      <c r="L575" s="33">
        <v>100</v>
      </c>
      <c r="M575" s="33">
        <v>100</v>
      </c>
    </row>
    <row r="576" spans="1:13">
      <c r="A576" t="s">
        <v>114</v>
      </c>
      <c r="B576">
        <v>1998</v>
      </c>
      <c r="C576" s="16">
        <v>0.1</v>
      </c>
      <c r="D576" s="1">
        <v>5380107.6100000003</v>
      </c>
      <c r="E576" s="29">
        <f>Table15[[#This Row],[Ávöxtun]]*Table15[[#This Row],[Eignir]]/SUMIFS(Table15[Eignir],Table15[Year],Table15[[#This Row],[Year]])</f>
        <v>1.3737558785898839E-3</v>
      </c>
      <c r="F576" s="23">
        <f>IF(B576=1997, 100, IF(COUNTIF(A$1:A575,A576)=0, "NEW", F575*(1+Table15[[#This Row],[Ávöxtun]])))</f>
        <v>110.00000000000001</v>
      </c>
      <c r="G576" s="18" cm="1">
        <f t="array" ref="G576">IFERROR(_xlfn.IFS(ISNUMBER(Table15[[#This Row],[Column3]]),Table15[[#This Row],[Column3]],Table15[[#This Row],[Column3]]="NEW",Table15[[#This Row],[Column3]]),"")</f>
        <v>110.00000000000001</v>
      </c>
      <c r="H576" s="15" cm="1">
        <f t="array" ref="H576">_xlfn.IFS(Table15[[#This Row],[Column4]]="NEW",AVERAGEIFS(Table15[Column4],Table15[Year],Table15[[#This Row],[Year]]),ISNUMBER(Table15[[#This Row],[Column4]]),Table15[[#This Row],[Column4]],Table15[[#This Row],[Column4]]="",H575*(1+Table15[[#This Row],[Ávöxtun]]))</f>
        <v>110.00000000000001</v>
      </c>
      <c r="I576" s="30" cm="1">
        <f t="array" ref="I576">_xlfn.IFS(Table15[[#This Row],[Column4]]="NEW",_xlfn.XLOOKUP(Table15[[#This Row],[Year]]-1,$N$2:$N$27,$P$2:$P$27)*(1+Table15[[#This Row],[Ávöxtun]]),ISNUMBER(Table15[[#This Row],[Column4]]),Table15[[#This Row],[Column4]],Table15[[#This Row],[Column4]]="",I575*(1+Table15[[#This Row],[Ávöxtun]]))</f>
        <v>110.00000000000001</v>
      </c>
      <c r="L576" s="33">
        <v>110.00000000000001</v>
      </c>
      <c r="M576" s="33">
        <v>110.00000000000001</v>
      </c>
    </row>
    <row r="577" spans="1:13">
      <c r="A577" t="s">
        <v>114</v>
      </c>
      <c r="B577">
        <v>1999</v>
      </c>
      <c r="C577" s="16">
        <v>0.14000000000000001</v>
      </c>
      <c r="D577" s="1">
        <v>5992910.3499999996</v>
      </c>
      <c r="E577" s="29">
        <f>Table15[[#This Row],[Ávöxtun]]*Table15[[#This Row],[Eignir]]/SUMIFS(Table15[Eignir],Table15[Year],Table15[[#This Row],[Year]])</f>
        <v>1.6112551623747532E-3</v>
      </c>
      <c r="F577" s="23">
        <f>IF(B577=1997, 100, IF(COUNTIF(A$1:A576,A577)=0, "NEW", F576*(1+Table15[[#This Row],[Ávöxtun]])))</f>
        <v>125.40000000000003</v>
      </c>
      <c r="G577" s="18" cm="1">
        <f t="array" ref="G577">IFERROR(_xlfn.IFS(ISNUMBER(Table15[[#This Row],[Column3]]),Table15[[#This Row],[Column3]],Table15[[#This Row],[Column3]]="NEW",Table15[[#This Row],[Column3]]),"")</f>
        <v>125.40000000000003</v>
      </c>
      <c r="H577" s="15" cm="1">
        <f t="array" ref="H577">_xlfn.IFS(Table15[[#This Row],[Column4]]="NEW",AVERAGEIFS(Table15[Column4],Table15[Year],Table15[[#This Row],[Year]]),ISNUMBER(Table15[[#This Row],[Column4]]),Table15[[#This Row],[Column4]],Table15[[#This Row],[Column4]]="",H576*(1+Table15[[#This Row],[Ávöxtun]]))</f>
        <v>125.40000000000003</v>
      </c>
      <c r="I577" s="30" cm="1">
        <f t="array" ref="I577">_xlfn.IFS(Table15[[#This Row],[Column4]]="NEW",_xlfn.XLOOKUP(Table15[[#This Row],[Year]]-1,$N$2:$N$27,$P$2:$P$27)*(1+Table15[[#This Row],[Ávöxtun]]),ISNUMBER(Table15[[#This Row],[Column4]]),Table15[[#This Row],[Column4]],Table15[[#This Row],[Column4]]="",I576*(1+Table15[[#This Row],[Ávöxtun]]))</f>
        <v>125.40000000000003</v>
      </c>
      <c r="L577" s="33">
        <v>125.40000000000003</v>
      </c>
      <c r="M577" s="33">
        <v>125.40000000000003</v>
      </c>
    </row>
    <row r="578" spans="1:13">
      <c r="A578" t="s">
        <v>114</v>
      </c>
      <c r="B578">
        <v>2000</v>
      </c>
      <c r="C578" s="16">
        <v>-0.01</v>
      </c>
      <c r="D578" s="1">
        <v>6122434.2400000002</v>
      </c>
      <c r="E578" s="29">
        <f>Table15[[#This Row],[Ávöxtun]]*Table15[[#This Row],[Eignir]]/SUMIFS(Table15[Eignir],Table15[Year],Table15[[#This Row],[Year]])</f>
        <v>-8.6123545559261221E-5</v>
      </c>
      <c r="F578" s="23">
        <f>IF(B578=1997, 100, IF(COUNTIF(A$1:A577,A578)=0, "NEW", F577*(1+Table15[[#This Row],[Ávöxtun]])))</f>
        <v>124.14600000000003</v>
      </c>
      <c r="G578" s="18" cm="1">
        <f t="array" ref="G578">IFERROR(_xlfn.IFS(ISNUMBER(Table15[[#This Row],[Column3]]),Table15[[#This Row],[Column3]],Table15[[#This Row],[Column3]]="NEW",Table15[[#This Row],[Column3]]),"")</f>
        <v>124.14600000000003</v>
      </c>
      <c r="H578" s="15" cm="1">
        <f t="array" ref="H578">_xlfn.IFS(Table15[[#This Row],[Column4]]="NEW",AVERAGEIFS(Table15[Column4],Table15[Year],Table15[[#This Row],[Year]]),ISNUMBER(Table15[[#This Row],[Column4]]),Table15[[#This Row],[Column4]],Table15[[#This Row],[Column4]]="",H577*(1+Table15[[#This Row],[Ávöxtun]]))</f>
        <v>124.14600000000003</v>
      </c>
      <c r="I578" s="30" cm="1">
        <f t="array" ref="I578">_xlfn.IFS(Table15[[#This Row],[Column4]]="NEW",_xlfn.XLOOKUP(Table15[[#This Row],[Year]]-1,$N$2:$N$27,$P$2:$P$27)*(1+Table15[[#This Row],[Ávöxtun]]),ISNUMBER(Table15[[#This Row],[Column4]]),Table15[[#This Row],[Column4]],Table15[[#This Row],[Column4]]="",I577*(1+Table15[[#This Row],[Ávöxtun]]))</f>
        <v>124.14600000000003</v>
      </c>
      <c r="L578" s="33">
        <v>124.14600000000003</v>
      </c>
      <c r="M578" s="33">
        <v>124.14600000000003</v>
      </c>
    </row>
    <row r="579" spans="1:13">
      <c r="A579" t="s">
        <v>114</v>
      </c>
      <c r="B579">
        <v>2001</v>
      </c>
      <c r="C579" s="16">
        <v>-0.02</v>
      </c>
      <c r="D579" s="1">
        <v>6362109.0599999996</v>
      </c>
      <c r="E579" s="29">
        <f>Table15[[#This Row],[Ávöxtun]]*Table15[[#This Row],[Eignir]]/SUMIFS(Table15[Eignir],Table15[Year],Table15[[#This Row],[Year]])</f>
        <v>-1.0988898294290336E-4</v>
      </c>
      <c r="F579" s="23">
        <f>IF(B579=1997, 100, IF(COUNTIF(A$1:A578,A579)=0, "NEW", F578*(1+Table15[[#This Row],[Ávöxtun]])))</f>
        <v>121.66308000000002</v>
      </c>
      <c r="G579" s="18" cm="1">
        <f t="array" ref="G579">IFERROR(_xlfn.IFS(ISNUMBER(Table15[[#This Row],[Column3]]),Table15[[#This Row],[Column3]],Table15[[#This Row],[Column3]]="NEW",Table15[[#This Row],[Column3]]),"")</f>
        <v>121.66308000000002</v>
      </c>
      <c r="H579" s="15" cm="1">
        <f t="array" ref="H579">_xlfn.IFS(Table15[[#This Row],[Column4]]="NEW",AVERAGEIFS(Table15[Column4],Table15[Year],Table15[[#This Row],[Year]]),ISNUMBER(Table15[[#This Row],[Column4]]),Table15[[#This Row],[Column4]],Table15[[#This Row],[Column4]]="",H578*(1+Table15[[#This Row],[Ávöxtun]]))</f>
        <v>121.66308000000002</v>
      </c>
      <c r="I579" s="30" cm="1">
        <f t="array" ref="I579">_xlfn.IFS(Table15[[#This Row],[Column4]]="NEW",_xlfn.XLOOKUP(Table15[[#This Row],[Year]]-1,$N$2:$N$27,$P$2:$P$27)*(1+Table15[[#This Row],[Ávöxtun]]),ISNUMBER(Table15[[#This Row],[Column4]]),Table15[[#This Row],[Column4]],Table15[[#This Row],[Column4]]="",I578*(1+Table15[[#This Row],[Ávöxtun]]))</f>
        <v>121.66308000000002</v>
      </c>
      <c r="L579" s="33">
        <v>121.66308000000002</v>
      </c>
      <c r="M579" s="33">
        <v>121.66308000000002</v>
      </c>
    </row>
    <row r="580" spans="1:13">
      <c r="A580" t="s">
        <v>114</v>
      </c>
      <c r="B580">
        <v>2002</v>
      </c>
      <c r="C580" s="16">
        <v>0.05</v>
      </c>
      <c r="D580" s="1">
        <v>6712815.9199999999</v>
      </c>
      <c r="E580" s="29">
        <f>Table15[[#This Row],[Ávöxtun]]*Table15[[#This Row],[Eignir]]/SUMIFS(Table15[Eignir],Table15[Year],Table15[[#This Row],[Year]])</f>
        <v>5.2843157659035922E-4</v>
      </c>
      <c r="F580" s="23">
        <f>IF(B580=1997, 100, IF(COUNTIF(A$1:A579,A580)=0, "NEW", F579*(1+Table15[[#This Row],[Ávöxtun]])))</f>
        <v>127.74623400000003</v>
      </c>
      <c r="G580" s="18" cm="1">
        <f t="array" ref="G580">IFERROR(_xlfn.IFS(ISNUMBER(Table15[[#This Row],[Column3]]),Table15[[#This Row],[Column3]],Table15[[#This Row],[Column3]]="NEW",Table15[[#This Row],[Column3]]),"")</f>
        <v>127.74623400000003</v>
      </c>
      <c r="H580" s="15" cm="1">
        <f t="array" ref="H580">_xlfn.IFS(Table15[[#This Row],[Column4]]="NEW",AVERAGEIFS(Table15[Column4],Table15[Year],Table15[[#This Row],[Year]]),ISNUMBER(Table15[[#This Row],[Column4]]),Table15[[#This Row],[Column4]],Table15[[#This Row],[Column4]]="",H579*(1+Table15[[#This Row],[Ávöxtun]]))</f>
        <v>127.74623400000003</v>
      </c>
      <c r="I580" s="30" cm="1">
        <f t="array" ref="I580">_xlfn.IFS(Table15[[#This Row],[Column4]]="NEW",_xlfn.XLOOKUP(Table15[[#This Row],[Year]]-1,$N$2:$N$27,$P$2:$P$27)*(1+Table15[[#This Row],[Ávöxtun]]),ISNUMBER(Table15[[#This Row],[Column4]]),Table15[[#This Row],[Column4]],Table15[[#This Row],[Column4]]="",I579*(1+Table15[[#This Row],[Ávöxtun]]))</f>
        <v>127.74623400000003</v>
      </c>
      <c r="L580" s="33">
        <v>127.74623400000003</v>
      </c>
      <c r="M580" s="33">
        <v>127.74623400000003</v>
      </c>
    </row>
    <row r="581" spans="1:13">
      <c r="A581" t="s">
        <v>114</v>
      </c>
      <c r="B581">
        <v>2003</v>
      </c>
      <c r="C581" s="16">
        <v>0.11</v>
      </c>
      <c r="D581" s="1">
        <v>7503172</v>
      </c>
      <c r="E581" s="29">
        <f>Table15[[#This Row],[Ávöxtun]]*Table15[[#This Row],[Eignir]]/SUMIFS(Table15[Eignir],Table15[Year],Table15[[#This Row],[Year]])</f>
        <v>1.0861406321638874E-3</v>
      </c>
      <c r="F581" s="23">
        <f>IF(B581=1997, 100, IF(COUNTIF(A$1:A580,A581)=0, "NEW", F580*(1+Table15[[#This Row],[Ávöxtun]])))</f>
        <v>141.79831974000004</v>
      </c>
      <c r="G581" s="18" cm="1">
        <f t="array" ref="G581">IFERROR(_xlfn.IFS(ISNUMBER(Table15[[#This Row],[Column3]]),Table15[[#This Row],[Column3]],Table15[[#This Row],[Column3]]="NEW",Table15[[#This Row],[Column3]]),"")</f>
        <v>141.79831974000004</v>
      </c>
      <c r="H581" s="15" cm="1">
        <f t="array" ref="H581">_xlfn.IFS(Table15[[#This Row],[Column4]]="NEW",AVERAGEIFS(Table15[Column4],Table15[Year],Table15[[#This Row],[Year]]),ISNUMBER(Table15[[#This Row],[Column4]]),Table15[[#This Row],[Column4]],Table15[[#This Row],[Column4]]="",H580*(1+Table15[[#This Row],[Ávöxtun]]))</f>
        <v>141.79831974000004</v>
      </c>
      <c r="I581" s="30" cm="1">
        <f t="array" ref="I581">_xlfn.IFS(Table15[[#This Row],[Column4]]="NEW",_xlfn.XLOOKUP(Table15[[#This Row],[Year]]-1,$N$2:$N$27,$P$2:$P$27)*(1+Table15[[#This Row],[Ávöxtun]]),ISNUMBER(Table15[[#This Row],[Column4]]),Table15[[#This Row],[Column4]],Table15[[#This Row],[Column4]]="",I580*(1+Table15[[#This Row],[Ávöxtun]]))</f>
        <v>141.79831974000004</v>
      </c>
      <c r="L581" s="33">
        <v>141.79831974000004</v>
      </c>
      <c r="M581" s="33">
        <v>141.79831974000004</v>
      </c>
    </row>
    <row r="582" spans="1:13">
      <c r="A582" t="s">
        <v>114</v>
      </c>
      <c r="B582">
        <v>2004</v>
      </c>
      <c r="C582" s="16">
        <v>0.19</v>
      </c>
      <c r="D582" s="1">
        <v>9080552.8100000005</v>
      </c>
      <c r="E582" s="29">
        <f>Table15[[#This Row],[Ávöxtun]]*Table15[[#This Row],[Eignir]]/SUMIFS(Table15[Eignir],Table15[Year],Table15[[#This Row],[Year]])</f>
        <v>1.9008056076818235E-3</v>
      </c>
      <c r="F582" s="23">
        <f>IF(B582=1997, 100, IF(COUNTIF(A$1:A581,A582)=0, "NEW", F581*(1+Table15[[#This Row],[Ávöxtun]])))</f>
        <v>168.74000049060004</v>
      </c>
      <c r="G582" s="18" cm="1">
        <f t="array" ref="G582">IFERROR(_xlfn.IFS(ISNUMBER(Table15[[#This Row],[Column3]]),Table15[[#This Row],[Column3]],Table15[[#This Row],[Column3]]="NEW",Table15[[#This Row],[Column3]]),"")</f>
        <v>168.74000049060004</v>
      </c>
      <c r="H582" s="15" cm="1">
        <f t="array" ref="H582">_xlfn.IFS(Table15[[#This Row],[Column4]]="NEW",AVERAGEIFS(Table15[Column4],Table15[Year],Table15[[#This Row],[Year]]),ISNUMBER(Table15[[#This Row],[Column4]]),Table15[[#This Row],[Column4]],Table15[[#This Row],[Column4]]="",H581*(1+Table15[[#This Row],[Ávöxtun]]))</f>
        <v>168.74000049060004</v>
      </c>
      <c r="I582" s="30" cm="1">
        <f t="array" ref="I582">_xlfn.IFS(Table15[[#This Row],[Column4]]="NEW",_xlfn.XLOOKUP(Table15[[#This Row],[Year]]-1,$N$2:$N$27,$P$2:$P$27)*(1+Table15[[#This Row],[Ávöxtun]]),ISNUMBER(Table15[[#This Row],[Column4]]),Table15[[#This Row],[Column4]],Table15[[#This Row],[Column4]]="",I581*(1+Table15[[#This Row],[Ávöxtun]]))</f>
        <v>168.74000049060004</v>
      </c>
      <c r="L582" s="33">
        <v>168.74000049060004</v>
      </c>
      <c r="M582" s="33">
        <v>168.74000049060004</v>
      </c>
    </row>
    <row r="583" spans="1:13">
      <c r="A583" t="s">
        <v>114</v>
      </c>
      <c r="B583">
        <v>2005</v>
      </c>
      <c r="C583" s="16">
        <v>0.16</v>
      </c>
      <c r="D583" s="1">
        <v>10695930</v>
      </c>
      <c r="E583" s="29">
        <f>Table15[[#This Row],[Ávöxtun]]*Table15[[#This Row],[Eignir]]/SUMIFS(Table15[Eignir],Table15[Year],Table15[[#This Row],[Year]])</f>
        <v>1.5261671282675573E-3</v>
      </c>
      <c r="F583" s="23">
        <f>IF(B583=1997, 100, IF(COUNTIF(A$1:A582,A583)=0, "NEW", F582*(1+Table15[[#This Row],[Ávöxtun]])))</f>
        <v>195.73840056909603</v>
      </c>
      <c r="G583" s="18" cm="1">
        <f t="array" ref="G583">IFERROR(_xlfn.IFS(ISNUMBER(Table15[[#This Row],[Column3]]),Table15[[#This Row],[Column3]],Table15[[#This Row],[Column3]]="NEW",Table15[[#This Row],[Column3]]),"")</f>
        <v>195.73840056909603</v>
      </c>
      <c r="H583" s="15" cm="1">
        <f t="array" ref="H583">_xlfn.IFS(Table15[[#This Row],[Column4]]="NEW",AVERAGEIFS(Table15[Column4],Table15[Year],Table15[[#This Row],[Year]]),ISNUMBER(Table15[[#This Row],[Column4]]),Table15[[#This Row],[Column4]],Table15[[#This Row],[Column4]]="",H582*(1+Table15[[#This Row],[Ávöxtun]]))</f>
        <v>195.73840056909603</v>
      </c>
      <c r="I583" s="30" cm="1">
        <f t="array" ref="I583">_xlfn.IFS(Table15[[#This Row],[Column4]]="NEW",_xlfn.XLOOKUP(Table15[[#This Row],[Year]]-1,$N$2:$N$27,$P$2:$P$27)*(1+Table15[[#This Row],[Ávöxtun]]),ISNUMBER(Table15[[#This Row],[Column4]]),Table15[[#This Row],[Column4]],Table15[[#This Row],[Column4]]="",I582*(1+Table15[[#This Row],[Ávöxtun]]))</f>
        <v>195.73840056909603</v>
      </c>
      <c r="L583" s="33">
        <v>195.73840056909603</v>
      </c>
      <c r="M583" s="33">
        <v>195.73840056909603</v>
      </c>
    </row>
    <row r="584" spans="1:13">
      <c r="A584" t="s">
        <v>114</v>
      </c>
      <c r="B584">
        <v>2006</v>
      </c>
      <c r="C584" s="16">
        <v>6.4600000000000005E-2</v>
      </c>
      <c r="D584" s="1">
        <v>11972512</v>
      </c>
      <c r="E584" s="29">
        <f>Table15[[#This Row],[Ávöxtun]]*Table15[[#This Row],[Eignir]]/SUMIFS(Table15[Eignir],Table15[Year],Table15[[#This Row],[Year]])</f>
        <v>5.6344285034445581E-4</v>
      </c>
      <c r="F584" s="23">
        <f>IF(B584=1997, 100, IF(COUNTIF(A$1:A583,A584)=0, "NEW", F583*(1+Table15[[#This Row],[Ávöxtun]])))</f>
        <v>208.38310124585962</v>
      </c>
      <c r="G584" s="18" cm="1">
        <f t="array" ref="G584">IFERROR(_xlfn.IFS(ISNUMBER(Table15[[#This Row],[Column3]]),Table15[[#This Row],[Column3]],Table15[[#This Row],[Column3]]="NEW",Table15[[#This Row],[Column3]]),"")</f>
        <v>208.38310124585962</v>
      </c>
      <c r="H584" s="15" cm="1">
        <f t="array" ref="H584">_xlfn.IFS(Table15[[#This Row],[Column4]]="NEW",AVERAGEIFS(Table15[Column4],Table15[Year],Table15[[#This Row],[Year]]),ISNUMBER(Table15[[#This Row],[Column4]]),Table15[[#This Row],[Column4]],Table15[[#This Row],[Column4]]="",H583*(1+Table15[[#This Row],[Ávöxtun]]))</f>
        <v>208.38310124585962</v>
      </c>
      <c r="I584" s="30" cm="1">
        <f t="array" ref="I584">_xlfn.IFS(Table15[[#This Row],[Column4]]="NEW",_xlfn.XLOOKUP(Table15[[#This Row],[Year]]-1,$N$2:$N$27,$P$2:$P$27)*(1+Table15[[#This Row],[Ávöxtun]]),ISNUMBER(Table15[[#This Row],[Column4]]),Table15[[#This Row],[Column4]],Table15[[#This Row],[Column4]]="",I583*(1+Table15[[#This Row],[Ávöxtun]]))</f>
        <v>208.38310124585962</v>
      </c>
      <c r="L584" s="33">
        <v>208.38310124585962</v>
      </c>
      <c r="M584" s="33">
        <v>208.38310124585962</v>
      </c>
    </row>
    <row r="585" spans="1:13">
      <c r="A585" t="s">
        <v>114</v>
      </c>
      <c r="B585">
        <v>2007</v>
      </c>
      <c r="C585" s="16">
        <v>5.8200000000000002E-2</v>
      </c>
      <c r="D585" s="1">
        <v>12974259</v>
      </c>
      <c r="E585" s="29">
        <f>Table15[[#This Row],[Ávöxtun]]*Table15[[#This Row],[Eignir]]/SUMIFS(Table15[Eignir],Table15[Year],Table15[[#This Row],[Year]])</f>
        <v>4.8829408043357106E-4</v>
      </c>
      <c r="F585" s="23">
        <f>IF(B585=1997, 100, IF(COUNTIF(A$1:A584,A585)=0, "NEW", F584*(1+Table15[[#This Row],[Ávöxtun]])))</f>
        <v>220.51099773836864</v>
      </c>
      <c r="G585" s="18" cm="1">
        <f t="array" ref="G585">IFERROR(_xlfn.IFS(ISNUMBER(Table15[[#This Row],[Column3]]),Table15[[#This Row],[Column3]],Table15[[#This Row],[Column3]]="NEW",Table15[[#This Row],[Column3]]),"")</f>
        <v>220.51099773836864</v>
      </c>
      <c r="H585" s="15" cm="1">
        <f t="array" ref="H585">_xlfn.IFS(Table15[[#This Row],[Column4]]="NEW",AVERAGEIFS(Table15[Column4],Table15[Year],Table15[[#This Row],[Year]]),ISNUMBER(Table15[[#This Row],[Column4]]),Table15[[#This Row],[Column4]],Table15[[#This Row],[Column4]]="",H584*(1+Table15[[#This Row],[Ávöxtun]]))</f>
        <v>220.51099773836864</v>
      </c>
      <c r="I585" s="30" cm="1">
        <f t="array" ref="I585">_xlfn.IFS(Table15[[#This Row],[Column4]]="NEW",_xlfn.XLOOKUP(Table15[[#This Row],[Year]]-1,$N$2:$N$27,$P$2:$P$27)*(1+Table15[[#This Row],[Ávöxtun]]),ISNUMBER(Table15[[#This Row],[Column4]]),Table15[[#This Row],[Column4]],Table15[[#This Row],[Column4]]="",I584*(1+Table15[[#This Row],[Ávöxtun]]))</f>
        <v>220.51099773836864</v>
      </c>
      <c r="L585" s="33">
        <v>220.51099773836864</v>
      </c>
      <c r="M585" s="33">
        <v>220.51099773836864</v>
      </c>
    </row>
    <row r="586" spans="1:13">
      <c r="A586" t="s">
        <v>114</v>
      </c>
      <c r="B586">
        <v>2008</v>
      </c>
      <c r="C586" s="16">
        <v>-4.5899999999999996E-2</v>
      </c>
      <c r="D586" s="1">
        <v>13978654</v>
      </c>
      <c r="E586" s="29">
        <f>Table15[[#This Row],[Ávöxtun]]*Table15[[#This Row],[Eignir]]/SUMIFS(Table15[Eignir],Table15[Year],Table15[[#This Row],[Year]])</f>
        <v>-4.2851302167894596E-4</v>
      </c>
      <c r="F586" s="23">
        <f>IF(B586=1997, 100, IF(COUNTIF(A$1:A585,A586)=0, "NEW", F585*(1+Table15[[#This Row],[Ávöxtun]])))</f>
        <v>210.38954294217751</v>
      </c>
      <c r="G586" s="18" cm="1">
        <f t="array" ref="G586">IFERROR(_xlfn.IFS(ISNUMBER(Table15[[#This Row],[Column3]]),Table15[[#This Row],[Column3]],Table15[[#This Row],[Column3]]="NEW",Table15[[#This Row],[Column3]]),"")</f>
        <v>210.38954294217751</v>
      </c>
      <c r="H586" s="15" cm="1">
        <f t="array" ref="H586">_xlfn.IFS(Table15[[#This Row],[Column4]]="NEW",AVERAGEIFS(Table15[Column4],Table15[Year],Table15[[#This Row],[Year]]),ISNUMBER(Table15[[#This Row],[Column4]]),Table15[[#This Row],[Column4]],Table15[[#This Row],[Column4]]="",H585*(1+Table15[[#This Row],[Ávöxtun]]))</f>
        <v>210.38954294217751</v>
      </c>
      <c r="I586" s="30" cm="1">
        <f t="array" ref="I586">_xlfn.IFS(Table15[[#This Row],[Column4]]="NEW",_xlfn.XLOOKUP(Table15[[#This Row],[Year]]-1,$N$2:$N$27,$P$2:$P$27)*(1+Table15[[#This Row],[Ávöxtun]]),ISNUMBER(Table15[[#This Row],[Column4]]),Table15[[#This Row],[Column4]],Table15[[#This Row],[Column4]]="",I585*(1+Table15[[#This Row],[Ávöxtun]]))</f>
        <v>210.38954294217751</v>
      </c>
      <c r="L586" s="33">
        <v>210.38954294217751</v>
      </c>
      <c r="M586" s="33">
        <v>210.38954294217751</v>
      </c>
    </row>
    <row r="587" spans="1:13">
      <c r="A587" t="s">
        <v>114</v>
      </c>
      <c r="B587">
        <v>2009</v>
      </c>
      <c r="C587" s="16">
        <v>4.4800000000000006E-2</v>
      </c>
      <c r="D587" s="1">
        <v>15428962</v>
      </c>
      <c r="E587" s="29">
        <f>Table15[[#This Row],[Ávöxtun]]*Table15[[#This Row],[Eignir]]/SUMIFS(Table15[Eignir],Table15[Year],Table15[[#This Row],[Year]])</f>
        <v>4.1433480293963853E-4</v>
      </c>
      <c r="F587" s="23">
        <f>IF(B587=1997, 100, IF(COUNTIF(A$1:A586,A587)=0, "NEW", F586*(1+Table15[[#This Row],[Ávöxtun]])))</f>
        <v>219.81499446598707</v>
      </c>
      <c r="G587" s="18" cm="1">
        <f t="array" ref="G587">IFERROR(_xlfn.IFS(ISNUMBER(Table15[[#This Row],[Column3]]),Table15[[#This Row],[Column3]],Table15[[#This Row],[Column3]]="NEW",Table15[[#This Row],[Column3]]),"")</f>
        <v>219.81499446598707</v>
      </c>
      <c r="H587" s="15" cm="1">
        <f t="array" ref="H587">_xlfn.IFS(Table15[[#This Row],[Column4]]="NEW",AVERAGEIFS(Table15[Column4],Table15[Year],Table15[[#This Row],[Year]]),ISNUMBER(Table15[[#This Row],[Column4]]),Table15[[#This Row],[Column4]],Table15[[#This Row],[Column4]]="",H586*(1+Table15[[#This Row],[Ávöxtun]]))</f>
        <v>219.81499446598707</v>
      </c>
      <c r="I587" s="30" cm="1">
        <f t="array" ref="I587">_xlfn.IFS(Table15[[#This Row],[Column4]]="NEW",_xlfn.XLOOKUP(Table15[[#This Row],[Year]]-1,$N$2:$N$27,$P$2:$P$27)*(1+Table15[[#This Row],[Ávöxtun]]),ISNUMBER(Table15[[#This Row],[Column4]]),Table15[[#This Row],[Column4]],Table15[[#This Row],[Column4]]="",I586*(1+Table15[[#This Row],[Ávöxtun]]))</f>
        <v>219.81499446598707</v>
      </c>
      <c r="L587" s="33">
        <v>219.81499446598707</v>
      </c>
      <c r="M587" s="33">
        <v>219.81499446598707</v>
      </c>
    </row>
    <row r="588" spans="1:13">
      <c r="A588" t="s">
        <v>114</v>
      </c>
      <c r="B588">
        <v>2010</v>
      </c>
      <c r="C588" s="16">
        <v>5.0099999999999999E-2</v>
      </c>
      <c r="D588" s="1">
        <v>16108136</v>
      </c>
      <c r="E588" s="29">
        <f>Table15[[#This Row],[Ávöxtun]]*Table15[[#This Row],[Eignir]]/SUMIFS(Table15[Eignir],Table15[Year],Table15[[#This Row],[Year]])</f>
        <v>4.5140601910073982E-4</v>
      </c>
      <c r="F588" s="23">
        <f>IF(B588=1997, 100, IF(COUNTIF(A$1:A587,A588)=0, "NEW", F587*(1+Table15[[#This Row],[Ávöxtun]])))</f>
        <v>230.82772568873304</v>
      </c>
      <c r="G588" s="18" cm="1">
        <f t="array" ref="G588">IFERROR(_xlfn.IFS(ISNUMBER(Table15[[#This Row],[Column3]]),Table15[[#This Row],[Column3]],Table15[[#This Row],[Column3]]="NEW",Table15[[#This Row],[Column3]]),"")</f>
        <v>230.82772568873304</v>
      </c>
      <c r="H588" s="15" cm="1">
        <f t="array" ref="H588">_xlfn.IFS(Table15[[#This Row],[Column4]]="NEW",AVERAGEIFS(Table15[Column4],Table15[Year],Table15[[#This Row],[Year]]),ISNUMBER(Table15[[#This Row],[Column4]]),Table15[[#This Row],[Column4]],Table15[[#This Row],[Column4]]="",H587*(1+Table15[[#This Row],[Ávöxtun]]))</f>
        <v>230.82772568873304</v>
      </c>
      <c r="I588" s="30" cm="1">
        <f t="array" ref="I588">_xlfn.IFS(Table15[[#This Row],[Column4]]="NEW",_xlfn.XLOOKUP(Table15[[#This Row],[Year]]-1,$N$2:$N$27,$P$2:$P$27)*(1+Table15[[#This Row],[Ávöxtun]]),ISNUMBER(Table15[[#This Row],[Column4]]),Table15[[#This Row],[Column4]],Table15[[#This Row],[Column4]]="",I587*(1+Table15[[#This Row],[Ávöxtun]]))</f>
        <v>230.82772568873304</v>
      </c>
      <c r="L588" s="33">
        <v>230.82772568873304</v>
      </c>
      <c r="M588" s="33">
        <v>230.82772568873304</v>
      </c>
    </row>
    <row r="589" spans="1:13">
      <c r="A589" t="s">
        <v>114</v>
      </c>
      <c r="B589">
        <v>2011</v>
      </c>
      <c r="C589" s="16">
        <v>4.7E-2</v>
      </c>
      <c r="D589" s="1">
        <v>17134433</v>
      </c>
      <c r="E589" s="29">
        <f>Table15[[#This Row],[Ávöxtun]]*Table15[[#This Row],[Eignir]]/SUMIFS(Table15[Eignir],Table15[Year],Table15[[#This Row],[Year]])</f>
        <v>4.1286544928105371E-4</v>
      </c>
      <c r="F589" s="23">
        <f>IF(B589=1997, 100, IF(COUNTIF(A$1:A588,A589)=0, "NEW", F588*(1+Table15[[#This Row],[Ávöxtun]])))</f>
        <v>241.67662879610347</v>
      </c>
      <c r="G589" s="18" cm="1">
        <f t="array" ref="G589">IFERROR(_xlfn.IFS(ISNUMBER(Table15[[#This Row],[Column3]]),Table15[[#This Row],[Column3]],Table15[[#This Row],[Column3]]="NEW",Table15[[#This Row],[Column3]]),"")</f>
        <v>241.67662879610347</v>
      </c>
      <c r="H589" s="15" cm="1">
        <f t="array" ref="H589">_xlfn.IFS(Table15[[#This Row],[Column4]]="NEW",AVERAGEIFS(Table15[Column4],Table15[Year],Table15[[#This Row],[Year]]),ISNUMBER(Table15[[#This Row],[Column4]]),Table15[[#This Row],[Column4]],Table15[[#This Row],[Column4]]="",H588*(1+Table15[[#This Row],[Ávöxtun]]))</f>
        <v>241.67662879610347</v>
      </c>
      <c r="I589" s="30" cm="1">
        <f t="array" ref="I589">_xlfn.IFS(Table15[[#This Row],[Column4]]="NEW",_xlfn.XLOOKUP(Table15[[#This Row],[Year]]-1,$N$2:$N$27,$P$2:$P$27)*(1+Table15[[#This Row],[Ávöxtun]]),ISNUMBER(Table15[[#This Row],[Column4]]),Table15[[#This Row],[Column4]],Table15[[#This Row],[Column4]]="",I588*(1+Table15[[#This Row],[Ávöxtun]]))</f>
        <v>241.67662879610347</v>
      </c>
      <c r="L589" s="33">
        <v>241.67662879610347</v>
      </c>
      <c r="M589" s="33">
        <v>241.67662879610347</v>
      </c>
    </row>
    <row r="590" spans="1:13">
      <c r="A590" t="s">
        <v>114</v>
      </c>
      <c r="B590">
        <v>2012</v>
      </c>
      <c r="C590" s="16">
        <v>5.9000000000000004E-2</v>
      </c>
      <c r="D590" s="1">
        <v>18234471</v>
      </c>
      <c r="E590" s="29">
        <f>Table15[[#This Row],[Ávöxtun]]*Table15[[#This Row],[Eignir]]/SUMIFS(Table15[Eignir],Table15[Year],Table15[[#This Row],[Year]])</f>
        <v>4.8838423190308118E-4</v>
      </c>
      <c r="F590" s="23">
        <f>IF(B590=1997, 100, IF(COUNTIF(A$1:A589,A590)=0, "NEW", F589*(1+Table15[[#This Row],[Ávöxtun]])))</f>
        <v>255.93554989507356</v>
      </c>
      <c r="G590" s="18" cm="1">
        <f t="array" ref="G590">IFERROR(_xlfn.IFS(ISNUMBER(Table15[[#This Row],[Column3]]),Table15[[#This Row],[Column3]],Table15[[#This Row],[Column3]]="NEW",Table15[[#This Row],[Column3]]),"")</f>
        <v>255.93554989507356</v>
      </c>
      <c r="H590" s="15" cm="1">
        <f t="array" ref="H590">_xlfn.IFS(Table15[[#This Row],[Column4]]="NEW",AVERAGEIFS(Table15[Column4],Table15[Year],Table15[[#This Row],[Year]]),ISNUMBER(Table15[[#This Row],[Column4]]),Table15[[#This Row],[Column4]],Table15[[#This Row],[Column4]]="",H589*(1+Table15[[#This Row],[Ávöxtun]]))</f>
        <v>255.93554989507356</v>
      </c>
      <c r="I590" s="30" cm="1">
        <f t="array" ref="I590">_xlfn.IFS(Table15[[#This Row],[Column4]]="NEW",_xlfn.XLOOKUP(Table15[[#This Row],[Year]]-1,$N$2:$N$27,$P$2:$P$27)*(1+Table15[[#This Row],[Ávöxtun]]),ISNUMBER(Table15[[#This Row],[Column4]]),Table15[[#This Row],[Column4]],Table15[[#This Row],[Column4]]="",I589*(1+Table15[[#This Row],[Ávöxtun]]))</f>
        <v>255.93554989507356</v>
      </c>
      <c r="L590" s="33">
        <v>255.93554989507356</v>
      </c>
      <c r="M590" s="33">
        <v>255.93554989507356</v>
      </c>
    </row>
    <row r="591" spans="1:13">
      <c r="A591" t="s">
        <v>114</v>
      </c>
      <c r="B591">
        <v>2013</v>
      </c>
      <c r="C591" s="16">
        <v>8.3000000000000004E-2</v>
      </c>
      <c r="D591" s="1">
        <v>19591955</v>
      </c>
      <c r="E591" s="29">
        <f>Table15[[#This Row],[Ávöxtun]]*Table15[[#This Row],[Eignir]]/SUMIFS(Table15[Eignir],Table15[Year],Table15[[#This Row],[Year]])</f>
        <v>6.6820592613366873E-4</v>
      </c>
      <c r="F591" s="23">
        <f>IF(B591=1997, 100, IF(COUNTIF(A$1:A590,A591)=0, "NEW", F590*(1+Table15[[#This Row],[Ávöxtun]])))</f>
        <v>277.17820053636467</v>
      </c>
      <c r="G591" s="18" cm="1">
        <f t="array" ref="G591">IFERROR(_xlfn.IFS(ISNUMBER(Table15[[#This Row],[Column3]]),Table15[[#This Row],[Column3]],Table15[[#This Row],[Column3]]="NEW",Table15[[#This Row],[Column3]]),"")</f>
        <v>277.17820053636467</v>
      </c>
      <c r="H591" s="15" cm="1">
        <f t="array" ref="H591">_xlfn.IFS(Table15[[#This Row],[Column4]]="NEW",AVERAGEIFS(Table15[Column4],Table15[Year],Table15[[#This Row],[Year]]),ISNUMBER(Table15[[#This Row],[Column4]]),Table15[[#This Row],[Column4]],Table15[[#This Row],[Column4]]="",H590*(1+Table15[[#This Row],[Ávöxtun]]))</f>
        <v>277.17820053636467</v>
      </c>
      <c r="I591" s="30" cm="1">
        <f t="array" ref="I591">_xlfn.IFS(Table15[[#This Row],[Column4]]="NEW",_xlfn.XLOOKUP(Table15[[#This Row],[Year]]-1,$N$2:$N$27,$P$2:$P$27)*(1+Table15[[#This Row],[Ávöxtun]]),ISNUMBER(Table15[[#This Row],[Column4]]),Table15[[#This Row],[Column4]],Table15[[#This Row],[Column4]]="",I590*(1+Table15[[#This Row],[Ávöxtun]]))</f>
        <v>277.17820053636467</v>
      </c>
      <c r="L591" s="33">
        <v>277.17820053636467</v>
      </c>
      <c r="M591" s="33">
        <v>277.17820053636467</v>
      </c>
    </row>
    <row r="592" spans="1:13">
      <c r="A592" t="s">
        <v>114</v>
      </c>
      <c r="B592">
        <v>2014</v>
      </c>
      <c r="C592" s="16">
        <v>5.4000000000000006E-2</v>
      </c>
      <c r="D592" s="1">
        <v>19894069</v>
      </c>
      <c r="E592" s="29">
        <f>Table15[[#This Row],[Ávöxtun]]*Table15[[#This Row],[Eignir]]/SUMIFS(Table15[Eignir],Table15[Year],Table15[[#This Row],[Year]])</f>
        <v>4.0492734557172333E-4</v>
      </c>
      <c r="F592" s="23">
        <f>IF(B592=1997, 100, IF(COUNTIF(A$1:A591,A592)=0, "NEW", F591*(1+Table15[[#This Row],[Ávöxtun]])))</f>
        <v>292.1458233653284</v>
      </c>
      <c r="G592" s="18" cm="1">
        <f t="array" ref="G592">IFERROR(_xlfn.IFS(ISNUMBER(Table15[[#This Row],[Column3]]),Table15[[#This Row],[Column3]],Table15[[#This Row],[Column3]]="NEW",Table15[[#This Row],[Column3]]),"")</f>
        <v>292.1458233653284</v>
      </c>
      <c r="H592" s="15" cm="1">
        <f t="array" ref="H592">_xlfn.IFS(Table15[[#This Row],[Column4]]="NEW",AVERAGEIFS(Table15[Column4],Table15[Year],Table15[[#This Row],[Year]]),ISNUMBER(Table15[[#This Row],[Column4]]),Table15[[#This Row],[Column4]],Table15[[#This Row],[Column4]]="",H591*(1+Table15[[#This Row],[Ávöxtun]]))</f>
        <v>292.1458233653284</v>
      </c>
      <c r="I592" s="30" cm="1">
        <f t="array" ref="I592">_xlfn.IFS(Table15[[#This Row],[Column4]]="NEW",_xlfn.XLOOKUP(Table15[[#This Row],[Year]]-1,$N$2:$N$27,$P$2:$P$27)*(1+Table15[[#This Row],[Ávöxtun]]),ISNUMBER(Table15[[#This Row],[Column4]]),Table15[[#This Row],[Column4]],Table15[[#This Row],[Column4]]="",I591*(1+Table15[[#This Row],[Ávöxtun]]))</f>
        <v>292.1458233653284</v>
      </c>
      <c r="L592" s="33">
        <v>292.1458233653284</v>
      </c>
      <c r="M592" s="33">
        <v>292.1458233653284</v>
      </c>
    </row>
    <row r="593" spans="1:13">
      <c r="A593" t="s">
        <v>114</v>
      </c>
      <c r="B593">
        <v>2015</v>
      </c>
      <c r="C593" s="16">
        <v>9.9000000000000005E-2</v>
      </c>
      <c r="D593" s="1">
        <v>21260118</v>
      </c>
      <c r="E593" s="29">
        <f>Table15[[#This Row],[Ávöxtun]]*Table15[[#This Row],[Eignir]]/SUMIFS(Table15[Eignir],Table15[Year],Table15[[#This Row],[Year]])</f>
        <v>7.1073382687338624E-4</v>
      </c>
      <c r="F593" s="23">
        <f>IF(B593=1997, 100, IF(COUNTIF(A$1:A592,A593)=0, "NEW", F592*(1+Table15[[#This Row],[Ávöxtun]])))</f>
        <v>321.06825987849589</v>
      </c>
      <c r="G593" s="18" cm="1">
        <f t="array" ref="G593">IFERROR(_xlfn.IFS(ISNUMBER(Table15[[#This Row],[Column3]]),Table15[[#This Row],[Column3]],Table15[[#This Row],[Column3]]="NEW",Table15[[#This Row],[Column3]]),"")</f>
        <v>321.06825987849589</v>
      </c>
      <c r="H593" s="15" cm="1">
        <f t="array" ref="H593">_xlfn.IFS(Table15[[#This Row],[Column4]]="NEW",AVERAGEIFS(Table15[Column4],Table15[Year],Table15[[#This Row],[Year]]),ISNUMBER(Table15[[#This Row],[Column4]]),Table15[[#This Row],[Column4]],Table15[[#This Row],[Column4]]="",H592*(1+Table15[[#This Row],[Ávöxtun]]))</f>
        <v>321.06825987849589</v>
      </c>
      <c r="I593" s="30" cm="1">
        <f t="array" ref="I593">_xlfn.IFS(Table15[[#This Row],[Column4]]="NEW",_xlfn.XLOOKUP(Table15[[#This Row],[Year]]-1,$N$2:$N$27,$P$2:$P$27)*(1+Table15[[#This Row],[Ávöxtun]]),ISNUMBER(Table15[[#This Row],[Column4]]),Table15[[#This Row],[Column4]],Table15[[#This Row],[Column4]]="",I592*(1+Table15[[#This Row],[Ávöxtun]]))</f>
        <v>321.06825987849589</v>
      </c>
      <c r="L593" s="33">
        <v>321.06825987849589</v>
      </c>
      <c r="M593" s="33">
        <v>321.06825987849589</v>
      </c>
    </row>
    <row r="594" spans="1:13">
      <c r="A594" t="s">
        <v>114</v>
      </c>
      <c r="B594">
        <v>2016</v>
      </c>
      <c r="C594" s="16">
        <v>4.8999999999999998E-3</v>
      </c>
      <c r="D594" s="1">
        <v>22254498</v>
      </c>
      <c r="E594" s="29">
        <f>Table15[[#This Row],[Ávöxtun]]*Table15[[#This Row],[Eignir]]/SUMIFS(Table15[Eignir],Table15[Year],Table15[[#This Row],[Year]])</f>
        <v>3.407670320510562E-5</v>
      </c>
      <c r="F594" s="23">
        <f>IF(B594=1997, 100, IF(COUNTIF(A$1:A593,A594)=0, "NEW", F593*(1+Table15[[#This Row],[Ávöxtun]])))</f>
        <v>322.64149435190052</v>
      </c>
      <c r="G594" s="18" cm="1">
        <f t="array" ref="G594">IFERROR(_xlfn.IFS(ISNUMBER(Table15[[#This Row],[Column3]]),Table15[[#This Row],[Column3]],Table15[[#This Row],[Column3]]="NEW",Table15[[#This Row],[Column3]]),"")</f>
        <v>322.64149435190052</v>
      </c>
      <c r="H594" s="15" cm="1">
        <f t="array" ref="H594">_xlfn.IFS(Table15[[#This Row],[Column4]]="NEW",AVERAGEIFS(Table15[Column4],Table15[Year],Table15[[#This Row],[Year]]),ISNUMBER(Table15[[#This Row],[Column4]]),Table15[[#This Row],[Column4]],Table15[[#This Row],[Column4]]="",H593*(1+Table15[[#This Row],[Ávöxtun]]))</f>
        <v>322.64149435190052</v>
      </c>
      <c r="I594" s="30" cm="1">
        <f t="array" ref="I594">_xlfn.IFS(Table15[[#This Row],[Column4]]="NEW",_xlfn.XLOOKUP(Table15[[#This Row],[Year]]-1,$N$2:$N$27,$P$2:$P$27)*(1+Table15[[#This Row],[Ávöxtun]]),ISNUMBER(Table15[[#This Row],[Column4]]),Table15[[#This Row],[Column4]],Table15[[#This Row],[Column4]]="",I593*(1+Table15[[#This Row],[Ávöxtun]]))</f>
        <v>322.64149435190052</v>
      </c>
      <c r="L594" s="33">
        <v>322.64149435190052</v>
      </c>
      <c r="M594" s="33">
        <v>322.64149435190052</v>
      </c>
    </row>
    <row r="595" spans="1:13">
      <c r="A595" t="s">
        <v>114</v>
      </c>
      <c r="B595">
        <v>2017</v>
      </c>
      <c r="C595" s="16">
        <v>7.2000000000000008E-2</v>
      </c>
      <c r="D595" s="1">
        <v>22978501</v>
      </c>
      <c r="E595" s="29">
        <f>Table15[[#This Row],[Ávöxtun]]*Table15[[#This Row],[Eignir]]/SUMIFS(Table15[Eignir],Table15[Year],Table15[[#This Row],[Year]])</f>
        <v>4.6484454689929415E-4</v>
      </c>
      <c r="F595" s="23">
        <f>IF(B595=1997, 100, IF(COUNTIF(A$1:A594,A595)=0, "NEW", F594*(1+Table15[[#This Row],[Ávöxtun]])))</f>
        <v>345.87168194523736</v>
      </c>
      <c r="G595" s="18" cm="1">
        <f t="array" ref="G595">IFERROR(_xlfn.IFS(ISNUMBER(Table15[[#This Row],[Column3]]),Table15[[#This Row],[Column3]],Table15[[#This Row],[Column3]]="NEW",Table15[[#This Row],[Column3]]),"")</f>
        <v>345.87168194523736</v>
      </c>
      <c r="H595" s="15" cm="1">
        <f t="array" ref="H595">_xlfn.IFS(Table15[[#This Row],[Column4]]="NEW",AVERAGEIFS(Table15[Column4],Table15[Year],Table15[[#This Row],[Year]]),ISNUMBER(Table15[[#This Row],[Column4]]),Table15[[#This Row],[Column4]],Table15[[#This Row],[Column4]]="",H594*(1+Table15[[#This Row],[Ávöxtun]]))</f>
        <v>345.87168194523736</v>
      </c>
      <c r="I595" s="30" cm="1">
        <f t="array" ref="I595">_xlfn.IFS(Table15[[#This Row],[Column4]]="NEW",_xlfn.XLOOKUP(Table15[[#This Row],[Year]]-1,$N$2:$N$27,$P$2:$P$27)*(1+Table15[[#This Row],[Ávöxtun]]),ISNUMBER(Table15[[#This Row],[Column4]]),Table15[[#This Row],[Column4]],Table15[[#This Row],[Column4]]="",I594*(1+Table15[[#This Row],[Ávöxtun]]))</f>
        <v>345.87168194523736</v>
      </c>
      <c r="L595" s="33">
        <v>345.87168194523736</v>
      </c>
      <c r="M595" s="33">
        <v>345.87168194523736</v>
      </c>
    </row>
    <row r="596" spans="1:13">
      <c r="A596" t="s">
        <v>114</v>
      </c>
      <c r="B596">
        <v>2018</v>
      </c>
      <c r="C596" s="16">
        <v>5.7000000000000002E-2</v>
      </c>
      <c r="D596" s="1">
        <v>23788914</v>
      </c>
      <c r="E596" s="29">
        <f>Table15[[#This Row],[Ávöxtun]]*Table15[[#This Row],[Eignir]]/SUMIFS(Table15[Eignir],Table15[Year],Table15[[#This Row],[Year]])</f>
        <v>3.5512179771304093E-4</v>
      </c>
      <c r="F596" s="23">
        <f>IF(B596=1997, 100, IF(COUNTIF(A$1:A595,A596)=0, "NEW", F595*(1+Table15[[#This Row],[Ávöxtun]])))</f>
        <v>365.58636781611585</v>
      </c>
      <c r="G596" s="18" cm="1">
        <f t="array" ref="G596">IFERROR(_xlfn.IFS(ISNUMBER(Table15[[#This Row],[Column3]]),Table15[[#This Row],[Column3]],Table15[[#This Row],[Column3]]="NEW",Table15[[#This Row],[Column3]]),"")</f>
        <v>365.58636781611585</v>
      </c>
      <c r="H596" s="15" cm="1">
        <f t="array" ref="H596">_xlfn.IFS(Table15[[#This Row],[Column4]]="NEW",AVERAGEIFS(Table15[Column4],Table15[Year],Table15[[#This Row],[Year]]),ISNUMBER(Table15[[#This Row],[Column4]]),Table15[[#This Row],[Column4]],Table15[[#This Row],[Column4]]="",H595*(1+Table15[[#This Row],[Ávöxtun]]))</f>
        <v>365.58636781611585</v>
      </c>
      <c r="I596" s="30" cm="1">
        <f t="array" ref="I596">_xlfn.IFS(Table15[[#This Row],[Column4]]="NEW",_xlfn.XLOOKUP(Table15[[#This Row],[Year]]-1,$N$2:$N$27,$P$2:$P$27)*(1+Table15[[#This Row],[Ávöxtun]]),ISNUMBER(Table15[[#This Row],[Column4]]),Table15[[#This Row],[Column4]],Table15[[#This Row],[Column4]]="",I595*(1+Table15[[#This Row],[Ávöxtun]]))</f>
        <v>365.58636781611585</v>
      </c>
      <c r="L596" s="33">
        <v>365.58636781611585</v>
      </c>
      <c r="M596" s="33">
        <v>365.58636781611585</v>
      </c>
    </row>
    <row r="597" spans="1:13">
      <c r="A597" t="s">
        <v>114</v>
      </c>
      <c r="B597">
        <v>2019</v>
      </c>
      <c r="C597" s="16">
        <v>8.43E-2</v>
      </c>
      <c r="D597" s="1">
        <v>25135579</v>
      </c>
      <c r="E597" s="29">
        <f>Table15[[#This Row],[Ávöxtun]]*Table15[[#This Row],[Eignir]]/SUMIFS(Table15[Eignir],Table15[Year],Table15[[#This Row],[Year]])</f>
        <v>4.7865082150199946E-4</v>
      </c>
      <c r="F597" s="23">
        <f>IF(B597=1997, 100, IF(COUNTIF(A$1:A596,A597)=0, "NEW", F596*(1+Table15[[#This Row],[Ávöxtun]])))</f>
        <v>396.40529862301446</v>
      </c>
      <c r="G597" s="18" cm="1">
        <f t="array" ref="G597">IFERROR(_xlfn.IFS(ISNUMBER(Table15[[#This Row],[Column3]]),Table15[[#This Row],[Column3]],Table15[[#This Row],[Column3]]="NEW",Table15[[#This Row],[Column3]]),"")</f>
        <v>396.40529862301446</v>
      </c>
      <c r="H597" s="15" cm="1">
        <f t="array" ref="H597">_xlfn.IFS(Table15[[#This Row],[Column4]]="NEW",AVERAGEIFS(Table15[Column4],Table15[Year],Table15[[#This Row],[Year]]),ISNUMBER(Table15[[#This Row],[Column4]]),Table15[[#This Row],[Column4]],Table15[[#This Row],[Column4]]="",H596*(1+Table15[[#This Row],[Ávöxtun]]))</f>
        <v>396.40529862301446</v>
      </c>
      <c r="I597" s="30" cm="1">
        <f t="array" ref="I597">_xlfn.IFS(Table15[[#This Row],[Column4]]="NEW",_xlfn.XLOOKUP(Table15[[#This Row],[Year]]-1,$N$2:$N$27,$P$2:$P$27)*(1+Table15[[#This Row],[Ávöxtun]]),ISNUMBER(Table15[[#This Row],[Column4]]),Table15[[#This Row],[Column4]],Table15[[#This Row],[Column4]]="",I596*(1+Table15[[#This Row],[Ávöxtun]]))</f>
        <v>396.40529862301446</v>
      </c>
      <c r="L597" s="33">
        <v>396.40529862301446</v>
      </c>
      <c r="M597" s="33">
        <v>396.40529862301446</v>
      </c>
    </row>
    <row r="598" spans="1:13">
      <c r="A598" t="s">
        <v>114</v>
      </c>
      <c r="B598">
        <v>2020</v>
      </c>
      <c r="C598" s="16">
        <v>5.67E-2</v>
      </c>
      <c r="D598" s="1">
        <v>26074050</v>
      </c>
      <c r="E598" s="29">
        <f>Table15[[#This Row],[Ávöxtun]]*Table15[[#This Row],[Eignir]]/SUMIFS(Table15[Eignir],Table15[Year],Table15[[#This Row],[Year]])</f>
        <v>2.8781581520655267E-4</v>
      </c>
      <c r="F598" s="23">
        <f>IF(B598=1997, 100, IF(COUNTIF(A$1:A597,A598)=0, "NEW", F597*(1+Table15[[#This Row],[Ávöxtun]])))</f>
        <v>418.88147905493935</v>
      </c>
      <c r="G598" s="18" cm="1">
        <f t="array" ref="G598">IFERROR(_xlfn.IFS(ISNUMBER(Table15[[#This Row],[Column3]]),Table15[[#This Row],[Column3]],Table15[[#This Row],[Column3]]="NEW",Table15[[#This Row],[Column3]]),"")</f>
        <v>418.88147905493935</v>
      </c>
      <c r="H598" s="15" cm="1">
        <f t="array" ref="H598">_xlfn.IFS(Table15[[#This Row],[Column4]]="NEW",AVERAGEIFS(Table15[Column4],Table15[Year],Table15[[#This Row],[Year]]),ISNUMBER(Table15[[#This Row],[Column4]]),Table15[[#This Row],[Column4]],Table15[[#This Row],[Column4]]="",H597*(1+Table15[[#This Row],[Ávöxtun]]))</f>
        <v>418.88147905493935</v>
      </c>
      <c r="I598" s="30" cm="1">
        <f t="array" ref="I598">_xlfn.IFS(Table15[[#This Row],[Column4]]="NEW",_xlfn.XLOOKUP(Table15[[#This Row],[Year]]-1,$N$2:$N$27,$P$2:$P$27)*(1+Table15[[#This Row],[Ávöxtun]]),ISNUMBER(Table15[[#This Row],[Column4]]),Table15[[#This Row],[Column4]],Table15[[#This Row],[Column4]]="",I597*(1+Table15[[#This Row],[Ávöxtun]]))</f>
        <v>418.88147905493935</v>
      </c>
      <c r="L598" s="33">
        <v>418.88147905493935</v>
      </c>
      <c r="M598" s="33">
        <v>418.88147905493935</v>
      </c>
    </row>
    <row r="599" spans="1:13">
      <c r="A599" t="s">
        <v>114</v>
      </c>
      <c r="B599">
        <v>2021</v>
      </c>
      <c r="C599" s="16">
        <v>8.2500000000000004E-2</v>
      </c>
      <c r="D599" s="1">
        <v>27981992</v>
      </c>
      <c r="E599" s="29">
        <f>Table15[[#This Row],[Ávöxtun]]*Table15[[#This Row],[Eignir]]/SUMIFS(Table15[Eignir],Table15[Year],Table15[[#This Row],[Year]])</f>
        <v>3.8223611615480029E-4</v>
      </c>
      <c r="F599" s="23">
        <f>IF(B599=1997, 100, IF(COUNTIF(A$1:A598,A599)=0, "NEW", F598*(1+Table15[[#This Row],[Ávöxtun]])))</f>
        <v>453.43920107697187</v>
      </c>
      <c r="G599" s="18" cm="1">
        <f t="array" ref="G599">IFERROR(_xlfn.IFS(ISNUMBER(Table15[[#This Row],[Column3]]),Table15[[#This Row],[Column3]],Table15[[#This Row],[Column3]]="NEW",Table15[[#This Row],[Column3]]),"")</f>
        <v>453.43920107697187</v>
      </c>
      <c r="H599" s="15" cm="1">
        <f t="array" ref="H599">_xlfn.IFS(Table15[[#This Row],[Column4]]="NEW",AVERAGEIFS(Table15[Column4],Table15[Year],Table15[[#This Row],[Year]]),ISNUMBER(Table15[[#This Row],[Column4]]),Table15[[#This Row],[Column4]],Table15[[#This Row],[Column4]]="",H598*(1+Table15[[#This Row],[Ávöxtun]]))</f>
        <v>453.43920107697187</v>
      </c>
      <c r="I599" s="30" cm="1">
        <f t="array" ref="I599">_xlfn.IFS(Table15[[#This Row],[Column4]]="NEW",_xlfn.XLOOKUP(Table15[[#This Row],[Year]]-1,$N$2:$N$27,$P$2:$P$27)*(1+Table15[[#This Row],[Ávöxtun]]),ISNUMBER(Table15[[#This Row],[Column4]]),Table15[[#This Row],[Column4]],Table15[[#This Row],[Column4]]="",I598*(1+Table15[[#This Row],[Ávöxtun]]))</f>
        <v>453.43920107697187</v>
      </c>
      <c r="L599" s="33">
        <v>453.43920107697187</v>
      </c>
      <c r="M599" s="33">
        <v>453.43920107697187</v>
      </c>
    </row>
    <row r="600" spans="1:13">
      <c r="A600" t="s">
        <v>115</v>
      </c>
      <c r="B600">
        <v>1997</v>
      </c>
      <c r="C600" s="16">
        <v>0.09</v>
      </c>
      <c r="D600" s="1">
        <v>975253.13</v>
      </c>
      <c r="E600" s="29">
        <f>Table15[[#This Row],[Ávöxtun]]*Table15[[#This Row],[Eignir]]/SUMIFS(Table15[Eignir],Table15[Year],Table15[[#This Row],[Year]])</f>
        <v>2.5889740656484295E-4</v>
      </c>
      <c r="F600" s="23">
        <f>IF(B600=1997, 100, IF(COUNTIF(A$1:A599,A600)=0, "NEW", F599*(1+Table15[[#This Row],[Ávöxtun]])))</f>
        <v>100</v>
      </c>
      <c r="G600" s="18" cm="1">
        <f t="array" ref="G600">IFERROR(_xlfn.IFS(ISNUMBER(Table15[[#This Row],[Column3]]),Table15[[#This Row],[Column3]],Table15[[#This Row],[Column3]]="NEW",Table15[[#This Row],[Column3]]),"")</f>
        <v>100</v>
      </c>
      <c r="H600" s="15" cm="1">
        <f t="array" ref="H600">_xlfn.IFS(Table15[[#This Row],[Column4]]="NEW",AVERAGEIFS(Table15[Column4],Table15[Year],Table15[[#This Row],[Year]]),ISNUMBER(Table15[[#This Row],[Column4]]),Table15[[#This Row],[Column4]],Table15[[#This Row],[Column4]]="",H599*(1+Table15[[#This Row],[Ávöxtun]]))</f>
        <v>100</v>
      </c>
      <c r="I600" s="30" cm="1">
        <f t="array" ref="I600">_xlfn.IFS(Table15[[#This Row],[Column4]]="NEW",_xlfn.XLOOKUP(Table15[[#This Row],[Year]]-1,$N$2:$N$27,$P$2:$P$27)*(1+Table15[[#This Row],[Ávöxtun]]),ISNUMBER(Table15[[#This Row],[Column4]]),Table15[[#This Row],[Column4]],Table15[[#This Row],[Column4]]="",I599*(1+Table15[[#This Row],[Ávöxtun]]))</f>
        <v>100</v>
      </c>
      <c r="L600" s="33">
        <v>100</v>
      </c>
      <c r="M600" s="33">
        <v>100</v>
      </c>
    </row>
    <row r="601" spans="1:13">
      <c r="A601" t="s">
        <v>115</v>
      </c>
      <c r="B601">
        <v>1998</v>
      </c>
      <c r="C601" s="16">
        <v>0.08</v>
      </c>
      <c r="D601" s="1">
        <v>1083974.23</v>
      </c>
      <c r="E601" s="29">
        <f>Table15[[#This Row],[Ávöxtun]]*Table15[[#This Row],[Eignir]]/SUMIFS(Table15[Eignir],Table15[Year],Table15[[#This Row],[Year]])</f>
        <v>2.214254551986469E-4</v>
      </c>
      <c r="F601" s="23">
        <f>IF(B601=1997, 100, IF(COUNTIF(A$1:A600,A601)=0, "NEW", F600*(1+Table15[[#This Row],[Ávöxtun]])))</f>
        <v>108</v>
      </c>
      <c r="G601" s="18" cm="1">
        <f t="array" ref="G601">IFERROR(_xlfn.IFS(ISNUMBER(Table15[[#This Row],[Column3]]),Table15[[#This Row],[Column3]],Table15[[#This Row],[Column3]]="NEW",Table15[[#This Row],[Column3]]),"")</f>
        <v>108</v>
      </c>
      <c r="H601" s="15" cm="1">
        <f t="array" ref="H601">_xlfn.IFS(Table15[[#This Row],[Column4]]="NEW",AVERAGEIFS(Table15[Column4],Table15[Year],Table15[[#This Row],[Year]]),ISNUMBER(Table15[[#This Row],[Column4]]),Table15[[#This Row],[Column4]],Table15[[#This Row],[Column4]]="",H600*(1+Table15[[#This Row],[Ávöxtun]]))</f>
        <v>108</v>
      </c>
      <c r="I601" s="30" cm="1">
        <f t="array" ref="I601">_xlfn.IFS(Table15[[#This Row],[Column4]]="NEW",_xlfn.XLOOKUP(Table15[[#This Row],[Year]]-1,$N$2:$N$27,$P$2:$P$27)*(1+Table15[[#This Row],[Ávöxtun]]),ISNUMBER(Table15[[#This Row],[Column4]]),Table15[[#This Row],[Column4]],Table15[[#This Row],[Column4]]="",I600*(1+Table15[[#This Row],[Ávöxtun]]))</f>
        <v>108</v>
      </c>
      <c r="L601" s="33">
        <v>108</v>
      </c>
      <c r="M601" s="33">
        <v>108</v>
      </c>
    </row>
    <row r="602" spans="1:13">
      <c r="A602" t="s">
        <v>115</v>
      </c>
      <c r="B602">
        <v>1999</v>
      </c>
      <c r="C602" s="16">
        <v>0.08</v>
      </c>
      <c r="D602" s="1">
        <v>1288151.7</v>
      </c>
      <c r="E602" s="29">
        <f>Table15[[#This Row],[Ávöxtun]]*Table15[[#This Row],[Eignir]]/SUMIFS(Table15[Eignir],Table15[Year],Table15[[#This Row],[Year]])</f>
        <v>1.9790442423562457E-4</v>
      </c>
      <c r="F602" s="23">
        <f>IF(B602=1997, 100, IF(COUNTIF(A$1:A601,A602)=0, "NEW", F601*(1+Table15[[#This Row],[Ávöxtun]])))</f>
        <v>116.64000000000001</v>
      </c>
      <c r="G602" s="18" cm="1">
        <f t="array" ref="G602">IFERROR(_xlfn.IFS(ISNUMBER(Table15[[#This Row],[Column3]]),Table15[[#This Row],[Column3]],Table15[[#This Row],[Column3]]="NEW",Table15[[#This Row],[Column3]]),"")</f>
        <v>116.64000000000001</v>
      </c>
      <c r="H602" s="15" cm="1">
        <f t="array" ref="H602">_xlfn.IFS(Table15[[#This Row],[Column4]]="NEW",AVERAGEIFS(Table15[Column4],Table15[Year],Table15[[#This Row],[Year]]),ISNUMBER(Table15[[#This Row],[Column4]]),Table15[[#This Row],[Column4]],Table15[[#This Row],[Column4]]="",H601*(1+Table15[[#This Row],[Ávöxtun]]))</f>
        <v>116.64000000000001</v>
      </c>
      <c r="I602" s="30" cm="1">
        <f t="array" ref="I602">_xlfn.IFS(Table15[[#This Row],[Column4]]="NEW",_xlfn.XLOOKUP(Table15[[#This Row],[Year]]-1,$N$2:$N$27,$P$2:$P$27)*(1+Table15[[#This Row],[Ávöxtun]]),ISNUMBER(Table15[[#This Row],[Column4]]),Table15[[#This Row],[Column4]],Table15[[#This Row],[Column4]]="",I601*(1+Table15[[#This Row],[Ávöxtun]]))</f>
        <v>116.64000000000001</v>
      </c>
      <c r="L602" s="33">
        <v>116.64000000000001</v>
      </c>
      <c r="M602" s="33">
        <v>116.64000000000001</v>
      </c>
    </row>
    <row r="603" spans="1:13">
      <c r="A603" t="s">
        <v>115</v>
      </c>
      <c r="B603">
        <v>2000</v>
      </c>
      <c r="C603" s="16">
        <v>0.02</v>
      </c>
      <c r="D603" s="1">
        <v>1378605.76</v>
      </c>
      <c r="E603" s="29">
        <f>Table15[[#This Row],[Ávöxtun]]*Table15[[#This Row],[Eignir]]/SUMIFS(Table15[Eignir],Table15[Year],Table15[[#This Row],[Year]])</f>
        <v>3.8785362594476778E-5</v>
      </c>
      <c r="F603" s="23">
        <f>IF(B603=1997, 100, IF(COUNTIF(A$1:A602,A603)=0, "NEW", F602*(1+Table15[[#This Row],[Ávöxtun]])))</f>
        <v>118.97280000000002</v>
      </c>
      <c r="G603" s="18" cm="1">
        <f t="array" ref="G603">IFERROR(_xlfn.IFS(ISNUMBER(Table15[[#This Row],[Column3]]),Table15[[#This Row],[Column3]],Table15[[#This Row],[Column3]]="NEW",Table15[[#This Row],[Column3]]),"")</f>
        <v>118.97280000000002</v>
      </c>
      <c r="H603" s="15" cm="1">
        <f t="array" ref="H603">_xlfn.IFS(Table15[[#This Row],[Column4]]="NEW",AVERAGEIFS(Table15[Column4],Table15[Year],Table15[[#This Row],[Year]]),ISNUMBER(Table15[[#This Row],[Column4]]),Table15[[#This Row],[Column4]],Table15[[#This Row],[Column4]]="",H602*(1+Table15[[#This Row],[Ávöxtun]]))</f>
        <v>118.97280000000002</v>
      </c>
      <c r="I603" s="30" cm="1">
        <f t="array" ref="I603">_xlfn.IFS(Table15[[#This Row],[Column4]]="NEW",_xlfn.XLOOKUP(Table15[[#This Row],[Year]]-1,$N$2:$N$27,$P$2:$P$27)*(1+Table15[[#This Row],[Ávöxtun]]),ISNUMBER(Table15[[#This Row],[Column4]]),Table15[[#This Row],[Column4]],Table15[[#This Row],[Column4]]="",I602*(1+Table15[[#This Row],[Ávöxtun]]))</f>
        <v>118.97280000000002</v>
      </c>
      <c r="L603" s="33">
        <v>118.97280000000002</v>
      </c>
      <c r="M603" s="33">
        <v>118.97280000000002</v>
      </c>
    </row>
    <row r="604" spans="1:13">
      <c r="A604" t="s">
        <v>115</v>
      </c>
      <c r="B604">
        <v>2001</v>
      </c>
      <c r="C604" s="16">
        <v>0.01</v>
      </c>
      <c r="D604" s="1">
        <v>1489801</v>
      </c>
      <c r="E604" s="29">
        <f>Table15[[#This Row],[Ávöxtun]]*Table15[[#This Row],[Eignir]]/SUMIFS(Table15[Eignir],Table15[Year],Table15[[#This Row],[Year]])</f>
        <v>1.286622998233548E-5</v>
      </c>
      <c r="F604" s="23">
        <f>IF(B604=1997, 100, IF(COUNTIF(A$1:A603,A604)=0, "NEW", F603*(1+Table15[[#This Row],[Ávöxtun]])))</f>
        <v>120.16252800000002</v>
      </c>
      <c r="G604" s="18" cm="1">
        <f t="array" ref="G604">IFERROR(_xlfn.IFS(ISNUMBER(Table15[[#This Row],[Column3]]),Table15[[#This Row],[Column3]],Table15[[#This Row],[Column3]]="NEW",Table15[[#This Row],[Column3]]),"")</f>
        <v>120.16252800000002</v>
      </c>
      <c r="H604" s="15" cm="1">
        <f t="array" ref="H604">_xlfn.IFS(Table15[[#This Row],[Column4]]="NEW",AVERAGEIFS(Table15[Column4],Table15[Year],Table15[[#This Row],[Year]]),ISNUMBER(Table15[[#This Row],[Column4]]),Table15[[#This Row],[Column4]],Table15[[#This Row],[Column4]]="",H603*(1+Table15[[#This Row],[Ávöxtun]]))</f>
        <v>120.16252800000002</v>
      </c>
      <c r="I604" s="30" cm="1">
        <f t="array" ref="I604">_xlfn.IFS(Table15[[#This Row],[Column4]]="NEW",_xlfn.XLOOKUP(Table15[[#This Row],[Year]]-1,$N$2:$N$27,$P$2:$P$27)*(1+Table15[[#This Row],[Ávöxtun]]),ISNUMBER(Table15[[#This Row],[Column4]]),Table15[[#This Row],[Column4]],Table15[[#This Row],[Column4]]="",I603*(1+Table15[[#This Row],[Ávöxtun]]))</f>
        <v>120.16252800000002</v>
      </c>
      <c r="L604" s="33">
        <v>120.16252800000002</v>
      </c>
      <c r="M604" s="33">
        <v>120.16252800000002</v>
      </c>
    </row>
    <row r="605" spans="1:13">
      <c r="A605" t="s">
        <v>115</v>
      </c>
      <c r="B605">
        <v>2002</v>
      </c>
      <c r="C605" s="16">
        <v>-0.08</v>
      </c>
      <c r="D605" s="1">
        <v>1410548.76</v>
      </c>
      <c r="E605" s="29">
        <f>Table15[[#This Row],[Ávöxtun]]*Table15[[#This Row],[Eignir]]/SUMIFS(Table15[Eignir],Table15[Year],Table15[[#This Row],[Year]])</f>
        <v>-1.7766100283098509E-4</v>
      </c>
      <c r="F605" s="23">
        <f>IF(B605=1997, 100, IF(COUNTIF(A$1:A604,A605)=0, "NEW", F604*(1+Table15[[#This Row],[Ávöxtun]])))</f>
        <v>110.54952576000002</v>
      </c>
      <c r="G605" s="18" cm="1">
        <f t="array" ref="G605">IFERROR(_xlfn.IFS(ISNUMBER(Table15[[#This Row],[Column3]]),Table15[[#This Row],[Column3]],Table15[[#This Row],[Column3]]="NEW",Table15[[#This Row],[Column3]]),"")</f>
        <v>110.54952576000002</v>
      </c>
      <c r="H605" s="15" cm="1">
        <f t="array" ref="H605">_xlfn.IFS(Table15[[#This Row],[Column4]]="NEW",AVERAGEIFS(Table15[Column4],Table15[Year],Table15[[#This Row],[Year]]),ISNUMBER(Table15[[#This Row],[Column4]]),Table15[[#This Row],[Column4]],Table15[[#This Row],[Column4]]="",H604*(1+Table15[[#This Row],[Ávöxtun]]))</f>
        <v>110.54952576000002</v>
      </c>
      <c r="I605" s="30" cm="1">
        <f t="array" ref="I605">_xlfn.IFS(Table15[[#This Row],[Column4]]="NEW",_xlfn.XLOOKUP(Table15[[#This Row],[Year]]-1,$N$2:$N$27,$P$2:$P$27)*(1+Table15[[#This Row],[Ávöxtun]]),ISNUMBER(Table15[[#This Row],[Column4]]),Table15[[#This Row],[Column4]],Table15[[#This Row],[Column4]]="",I604*(1+Table15[[#This Row],[Ávöxtun]]))</f>
        <v>110.54952576000002</v>
      </c>
      <c r="L605" s="33">
        <v>110.54952576000002</v>
      </c>
      <c r="M605" s="33">
        <v>110.54952576000002</v>
      </c>
    </row>
    <row r="606" spans="1:13">
      <c r="A606" t="s">
        <v>115</v>
      </c>
      <c r="B606">
        <v>2003</v>
      </c>
      <c r="C606" s="16">
        <v>0.11</v>
      </c>
      <c r="D606" s="1">
        <v>1605874</v>
      </c>
      <c r="E606" s="29">
        <f>Table15[[#This Row],[Ávöxtun]]*Table15[[#This Row],[Eignir]]/SUMIFS(Table15[Eignir],Table15[Year],Table15[[#This Row],[Year]])</f>
        <v>2.3246235079451072E-4</v>
      </c>
      <c r="F606" s="23">
        <f>IF(B606=1997, 100, IF(COUNTIF(A$1:A605,A606)=0, "NEW", F605*(1+Table15[[#This Row],[Ávöxtun]])))</f>
        <v>122.70997359360004</v>
      </c>
      <c r="G606" s="18" cm="1">
        <f t="array" ref="G606">IFERROR(_xlfn.IFS(ISNUMBER(Table15[[#This Row],[Column3]]),Table15[[#This Row],[Column3]],Table15[[#This Row],[Column3]]="NEW",Table15[[#This Row],[Column3]]),"")</f>
        <v>122.70997359360004</v>
      </c>
      <c r="H606" s="15" cm="1">
        <f t="array" ref="H606">_xlfn.IFS(Table15[[#This Row],[Column4]]="NEW",AVERAGEIFS(Table15[Column4],Table15[Year],Table15[[#This Row],[Year]]),ISNUMBER(Table15[[#This Row],[Column4]]),Table15[[#This Row],[Column4]],Table15[[#This Row],[Column4]]="",H605*(1+Table15[[#This Row],[Ávöxtun]]))</f>
        <v>122.70997359360004</v>
      </c>
      <c r="I606" s="30" cm="1">
        <f t="array" ref="I606">_xlfn.IFS(Table15[[#This Row],[Column4]]="NEW",_xlfn.XLOOKUP(Table15[[#This Row],[Year]]-1,$N$2:$N$27,$P$2:$P$27)*(1+Table15[[#This Row],[Ávöxtun]]),ISNUMBER(Table15[[#This Row],[Column4]]),Table15[[#This Row],[Column4]],Table15[[#This Row],[Column4]]="",I605*(1+Table15[[#This Row],[Ávöxtun]]))</f>
        <v>122.70997359360004</v>
      </c>
      <c r="L606" s="33">
        <v>122.70997359360004</v>
      </c>
      <c r="M606" s="33">
        <v>122.70997359360004</v>
      </c>
    </row>
    <row r="607" spans="1:13">
      <c r="A607" t="s">
        <v>115</v>
      </c>
      <c r="B607">
        <v>2004</v>
      </c>
      <c r="C607" s="16">
        <v>0.05</v>
      </c>
      <c r="D607" s="1">
        <v>1751356.54</v>
      </c>
      <c r="E607" s="29">
        <f>Table15[[#This Row],[Ávöxtun]]*Table15[[#This Row],[Eignir]]/SUMIFS(Table15[Eignir],Table15[Year],Table15[[#This Row],[Year]])</f>
        <v>9.6475355571100314E-5</v>
      </c>
      <c r="F607" s="23">
        <f>IF(B607=1997, 100, IF(COUNTIF(A$1:A606,A607)=0, "NEW", F606*(1+Table15[[#This Row],[Ávöxtun]])))</f>
        <v>128.84547227328005</v>
      </c>
      <c r="G607" s="18" cm="1">
        <f t="array" ref="G607">IFERROR(_xlfn.IFS(ISNUMBER(Table15[[#This Row],[Column3]]),Table15[[#This Row],[Column3]],Table15[[#This Row],[Column3]]="NEW",Table15[[#This Row],[Column3]]),"")</f>
        <v>128.84547227328005</v>
      </c>
      <c r="H607" s="15" cm="1">
        <f t="array" ref="H607">_xlfn.IFS(Table15[[#This Row],[Column4]]="NEW",AVERAGEIFS(Table15[Column4],Table15[Year],Table15[[#This Row],[Year]]),ISNUMBER(Table15[[#This Row],[Column4]]),Table15[[#This Row],[Column4]],Table15[[#This Row],[Column4]]="",H606*(1+Table15[[#This Row],[Ávöxtun]]))</f>
        <v>128.84547227328005</v>
      </c>
      <c r="I607" s="30" cm="1">
        <f t="array" ref="I607">_xlfn.IFS(Table15[[#This Row],[Column4]]="NEW",_xlfn.XLOOKUP(Table15[[#This Row],[Year]]-1,$N$2:$N$27,$P$2:$P$27)*(1+Table15[[#This Row],[Ávöxtun]]),ISNUMBER(Table15[[#This Row],[Column4]]),Table15[[#This Row],[Column4]],Table15[[#This Row],[Column4]]="",I606*(1+Table15[[#This Row],[Ávöxtun]]))</f>
        <v>128.84547227328005</v>
      </c>
      <c r="L607" s="33">
        <v>128.84547227328005</v>
      </c>
      <c r="M607" s="33">
        <v>128.84547227328005</v>
      </c>
    </row>
    <row r="608" spans="1:13">
      <c r="A608" t="s">
        <v>115</v>
      </c>
      <c r="B608">
        <v>2005</v>
      </c>
      <c r="C608" s="16">
        <v>0.15</v>
      </c>
      <c r="D608" s="1">
        <v>2080882</v>
      </c>
      <c r="E608" s="29">
        <f>Table15[[#This Row],[Ávöxtun]]*Table15[[#This Row],[Eignir]]/SUMIFS(Table15[Eignir],Table15[Year],Table15[[#This Row],[Year]])</f>
        <v>2.7835708064337774E-4</v>
      </c>
      <c r="F608" s="23">
        <f>IF(B608=1997, 100, IF(COUNTIF(A$1:A607,A608)=0, "NEW", F607*(1+Table15[[#This Row],[Ávöxtun]])))</f>
        <v>148.17229311427204</v>
      </c>
      <c r="G608" s="18" cm="1">
        <f t="array" ref="G608">IFERROR(_xlfn.IFS(ISNUMBER(Table15[[#This Row],[Column3]]),Table15[[#This Row],[Column3]],Table15[[#This Row],[Column3]]="NEW",Table15[[#This Row],[Column3]]),"")</f>
        <v>148.17229311427204</v>
      </c>
      <c r="H608" s="15" cm="1">
        <f t="array" ref="H608">_xlfn.IFS(Table15[[#This Row],[Column4]]="NEW",AVERAGEIFS(Table15[Column4],Table15[Year],Table15[[#This Row],[Year]]),ISNUMBER(Table15[[#This Row],[Column4]]),Table15[[#This Row],[Column4]],Table15[[#This Row],[Column4]]="",H607*(1+Table15[[#This Row],[Ávöxtun]]))</f>
        <v>148.17229311427204</v>
      </c>
      <c r="I608" s="30" cm="1">
        <f t="array" ref="I608">_xlfn.IFS(Table15[[#This Row],[Column4]]="NEW",_xlfn.XLOOKUP(Table15[[#This Row],[Year]]-1,$N$2:$N$27,$P$2:$P$27)*(1+Table15[[#This Row],[Ávöxtun]]),ISNUMBER(Table15[[#This Row],[Column4]]),Table15[[#This Row],[Column4]],Table15[[#This Row],[Column4]]="",I607*(1+Table15[[#This Row],[Ávöxtun]]))</f>
        <v>148.17229311427204</v>
      </c>
      <c r="L608" s="33">
        <v>148.17229311427204</v>
      </c>
      <c r="M608" s="33">
        <v>148.17229311427204</v>
      </c>
    </row>
    <row r="609" spans="1:13">
      <c r="A609" t="s">
        <v>115</v>
      </c>
      <c r="B609">
        <v>2006</v>
      </c>
      <c r="C609" s="16">
        <v>8.6500000000000007E-2</v>
      </c>
      <c r="D609" s="1">
        <v>2432593</v>
      </c>
      <c r="E609" s="29">
        <f>Table15[[#This Row],[Ávöxtun]]*Table15[[#This Row],[Eignir]]/SUMIFS(Table15[Eignir],Table15[Year],Table15[[#This Row],[Year]])</f>
        <v>1.5329134455973882E-4</v>
      </c>
      <c r="F609" s="23">
        <f>IF(B609=1997, 100, IF(COUNTIF(A$1:A608,A609)=0, "NEW", F608*(1+Table15[[#This Row],[Ávöxtun]])))</f>
        <v>160.98919646865656</v>
      </c>
      <c r="G609" s="18" cm="1">
        <f t="array" ref="G609">IFERROR(_xlfn.IFS(ISNUMBER(Table15[[#This Row],[Column3]]),Table15[[#This Row],[Column3]],Table15[[#This Row],[Column3]]="NEW",Table15[[#This Row],[Column3]]),"")</f>
        <v>160.98919646865656</v>
      </c>
      <c r="H609" s="15" cm="1">
        <f t="array" ref="H609">_xlfn.IFS(Table15[[#This Row],[Column4]]="NEW",AVERAGEIFS(Table15[Column4],Table15[Year],Table15[[#This Row],[Year]]),ISNUMBER(Table15[[#This Row],[Column4]]),Table15[[#This Row],[Column4]],Table15[[#This Row],[Column4]]="",H608*(1+Table15[[#This Row],[Ávöxtun]]))</f>
        <v>160.98919646865656</v>
      </c>
      <c r="I609" s="30" cm="1">
        <f t="array" ref="I609">_xlfn.IFS(Table15[[#This Row],[Column4]]="NEW",_xlfn.XLOOKUP(Table15[[#This Row],[Year]]-1,$N$2:$N$27,$P$2:$P$27)*(1+Table15[[#This Row],[Ávöxtun]]),ISNUMBER(Table15[[#This Row],[Column4]]),Table15[[#This Row],[Column4]],Table15[[#This Row],[Column4]]="",I608*(1+Table15[[#This Row],[Ávöxtun]]))</f>
        <v>160.98919646865656</v>
      </c>
      <c r="L609" s="33">
        <v>160.98919646865656</v>
      </c>
      <c r="M609" s="33">
        <v>160.98919646865656</v>
      </c>
    </row>
    <row r="610" spans="1:13">
      <c r="A610" t="s">
        <v>115</v>
      </c>
      <c r="B610">
        <v>2007</v>
      </c>
      <c r="C610" s="16">
        <v>-4.3E-3</v>
      </c>
      <c r="D610" s="1">
        <v>2526379</v>
      </c>
      <c r="E610" s="29">
        <f>Table15[[#This Row],[Ávöxtun]]*Table15[[#This Row],[Eignir]]/SUMIFS(Table15[Eignir],Table15[Year],Table15[[#This Row],[Year]])</f>
        <v>-7.0249440502927869E-6</v>
      </c>
      <c r="F610" s="23">
        <f>IF(B610=1997, 100, IF(COUNTIF(A$1:A609,A610)=0, "NEW", F609*(1+Table15[[#This Row],[Ávöxtun]])))</f>
        <v>160.29694292384133</v>
      </c>
      <c r="G610" s="18" cm="1">
        <f t="array" ref="G610">IFERROR(_xlfn.IFS(ISNUMBER(Table15[[#This Row],[Column3]]),Table15[[#This Row],[Column3]],Table15[[#This Row],[Column3]]="NEW",Table15[[#This Row],[Column3]]),"")</f>
        <v>160.29694292384133</v>
      </c>
      <c r="H610" s="15" cm="1">
        <f t="array" ref="H610">_xlfn.IFS(Table15[[#This Row],[Column4]]="NEW",AVERAGEIFS(Table15[Column4],Table15[Year],Table15[[#This Row],[Year]]),ISNUMBER(Table15[[#This Row],[Column4]]),Table15[[#This Row],[Column4]],Table15[[#This Row],[Column4]]="",H609*(1+Table15[[#This Row],[Ávöxtun]]))</f>
        <v>160.29694292384133</v>
      </c>
      <c r="I610" s="30" cm="1">
        <f t="array" ref="I610">_xlfn.IFS(Table15[[#This Row],[Column4]]="NEW",_xlfn.XLOOKUP(Table15[[#This Row],[Year]]-1,$N$2:$N$27,$P$2:$P$27)*(1+Table15[[#This Row],[Ávöxtun]]),ISNUMBER(Table15[[#This Row],[Column4]]),Table15[[#This Row],[Column4]],Table15[[#This Row],[Column4]]="",I609*(1+Table15[[#This Row],[Ávöxtun]]))</f>
        <v>160.29694292384133</v>
      </c>
      <c r="L610" s="33">
        <v>160.29694292384133</v>
      </c>
      <c r="M610" s="33">
        <v>160.29694292384133</v>
      </c>
    </row>
    <row r="611" spans="1:13">
      <c r="A611" t="s">
        <v>115</v>
      </c>
      <c r="B611">
        <v>2008</v>
      </c>
      <c r="C611" s="16">
        <v>-0.15720000000000001</v>
      </c>
      <c r="D611" s="1">
        <v>2463773</v>
      </c>
      <c r="E611" s="29">
        <f>Table15[[#This Row],[Ávöxtun]]*Table15[[#This Row],[Eignir]]/SUMIFS(Table15[Eignir],Table15[Year],Table15[[#This Row],[Year]])</f>
        <v>-2.5866592196798567E-4</v>
      </c>
      <c r="F611" s="23">
        <f>IF(B611=1997, 100, IF(COUNTIF(A$1:A610,A611)=0, "NEW", F610*(1+Table15[[#This Row],[Ávöxtun]])))</f>
        <v>135.09826349621346</v>
      </c>
      <c r="G611" s="18" cm="1">
        <f t="array" ref="G611">IFERROR(_xlfn.IFS(ISNUMBER(Table15[[#This Row],[Column3]]),Table15[[#This Row],[Column3]],Table15[[#This Row],[Column3]]="NEW",Table15[[#This Row],[Column3]]),"")</f>
        <v>135.09826349621346</v>
      </c>
      <c r="H611" s="15" cm="1">
        <f t="array" ref="H611">_xlfn.IFS(Table15[[#This Row],[Column4]]="NEW",AVERAGEIFS(Table15[Column4],Table15[Year],Table15[[#This Row],[Year]]),ISNUMBER(Table15[[#This Row],[Column4]]),Table15[[#This Row],[Column4]],Table15[[#This Row],[Column4]]="",H610*(1+Table15[[#This Row],[Ávöxtun]]))</f>
        <v>135.09826349621346</v>
      </c>
      <c r="I611" s="30" cm="1">
        <f t="array" ref="I611">_xlfn.IFS(Table15[[#This Row],[Column4]]="NEW",_xlfn.XLOOKUP(Table15[[#This Row],[Year]]-1,$N$2:$N$27,$P$2:$P$27)*(1+Table15[[#This Row],[Ávöxtun]]),ISNUMBER(Table15[[#This Row],[Column4]]),Table15[[#This Row],[Column4]],Table15[[#This Row],[Column4]]="",I610*(1+Table15[[#This Row],[Ávöxtun]]))</f>
        <v>135.09826349621346</v>
      </c>
      <c r="L611" s="33">
        <v>135.09826349621346</v>
      </c>
      <c r="M611" s="33">
        <v>135.09826349621346</v>
      </c>
    </row>
    <row r="612" spans="1:13">
      <c r="A612" t="s">
        <v>115</v>
      </c>
      <c r="B612">
        <v>2009</v>
      </c>
      <c r="C612" s="16">
        <v>6.8099999999999994E-2</v>
      </c>
      <c r="D612" s="1">
        <v>2836191</v>
      </c>
      <c r="E612" s="29">
        <f>Table15[[#This Row],[Ávöxtun]]*Table15[[#This Row],[Eignir]]/SUMIFS(Table15[Eignir],Table15[Year],Table15[[#This Row],[Year]])</f>
        <v>1.1577619634846522E-4</v>
      </c>
      <c r="F612" s="23">
        <f>IF(B612=1997, 100, IF(COUNTIF(A$1:A611,A612)=0, "NEW", F611*(1+Table15[[#This Row],[Ávöxtun]])))</f>
        <v>144.2984552403056</v>
      </c>
      <c r="G612" s="18" cm="1">
        <f t="array" ref="G612">IFERROR(_xlfn.IFS(ISNUMBER(Table15[[#This Row],[Column3]]),Table15[[#This Row],[Column3]],Table15[[#This Row],[Column3]]="NEW",Table15[[#This Row],[Column3]]),"")</f>
        <v>144.2984552403056</v>
      </c>
      <c r="H612" s="15" cm="1">
        <f t="array" ref="H612">_xlfn.IFS(Table15[[#This Row],[Column4]]="NEW",AVERAGEIFS(Table15[Column4],Table15[Year],Table15[[#This Row],[Year]]),ISNUMBER(Table15[[#This Row],[Column4]]),Table15[[#This Row],[Column4]],Table15[[#This Row],[Column4]]="",H611*(1+Table15[[#This Row],[Ávöxtun]]))</f>
        <v>144.2984552403056</v>
      </c>
      <c r="I612" s="30" cm="1">
        <f t="array" ref="I612">_xlfn.IFS(Table15[[#This Row],[Column4]]="NEW",_xlfn.XLOOKUP(Table15[[#This Row],[Year]]-1,$N$2:$N$27,$P$2:$P$27)*(1+Table15[[#This Row],[Ávöxtun]]),ISNUMBER(Table15[[#This Row],[Column4]]),Table15[[#This Row],[Column4]],Table15[[#This Row],[Column4]]="",I611*(1+Table15[[#This Row],[Ávöxtun]]))</f>
        <v>144.2984552403056</v>
      </c>
      <c r="L612" s="33">
        <v>144.2984552403056</v>
      </c>
      <c r="M612" s="33">
        <v>144.2984552403056</v>
      </c>
    </row>
    <row r="613" spans="1:13">
      <c r="A613" t="s">
        <v>115</v>
      </c>
      <c r="B613">
        <v>2010</v>
      </c>
      <c r="C613" s="16">
        <v>4.7E-2</v>
      </c>
      <c r="D613" s="1">
        <v>2978896</v>
      </c>
      <c r="E613" s="29">
        <f>Table15[[#This Row],[Ávöxtun]]*Table15[[#This Row],[Eignir]]/SUMIFS(Table15[Eignir],Table15[Year],Table15[[#This Row],[Year]])</f>
        <v>7.8313661826786334E-5</v>
      </c>
      <c r="F613" s="23">
        <f>IF(B613=1997, 100, IF(COUNTIF(A$1:A612,A613)=0, "NEW", F612*(1+Table15[[#This Row],[Ávöxtun]])))</f>
        <v>151.08048263659995</v>
      </c>
      <c r="G613" s="18" cm="1">
        <f t="array" ref="G613">IFERROR(_xlfn.IFS(ISNUMBER(Table15[[#This Row],[Column3]]),Table15[[#This Row],[Column3]],Table15[[#This Row],[Column3]]="NEW",Table15[[#This Row],[Column3]]),"")</f>
        <v>151.08048263659995</v>
      </c>
      <c r="H613" s="15" cm="1">
        <f t="array" ref="H613">_xlfn.IFS(Table15[[#This Row],[Column4]]="NEW",AVERAGEIFS(Table15[Column4],Table15[Year],Table15[[#This Row],[Year]]),ISNUMBER(Table15[[#This Row],[Column4]]),Table15[[#This Row],[Column4]],Table15[[#This Row],[Column4]]="",H612*(1+Table15[[#This Row],[Ávöxtun]]))</f>
        <v>151.08048263659995</v>
      </c>
      <c r="I613" s="30" cm="1">
        <f t="array" ref="I613">_xlfn.IFS(Table15[[#This Row],[Column4]]="NEW",_xlfn.XLOOKUP(Table15[[#This Row],[Year]]-1,$N$2:$N$27,$P$2:$P$27)*(1+Table15[[#This Row],[Ávöxtun]]),ISNUMBER(Table15[[#This Row],[Column4]]),Table15[[#This Row],[Column4]],Table15[[#This Row],[Column4]]="",I612*(1+Table15[[#This Row],[Ávöxtun]]))</f>
        <v>151.08048263659995</v>
      </c>
      <c r="L613" s="33">
        <v>151.08048263659995</v>
      </c>
      <c r="M613" s="33">
        <v>151.08048263659995</v>
      </c>
    </row>
    <row r="614" spans="1:13">
      <c r="A614" t="s">
        <v>115</v>
      </c>
      <c r="B614">
        <v>2011</v>
      </c>
      <c r="C614" s="16">
        <v>-1E-3</v>
      </c>
      <c r="D614" s="1">
        <v>3116577</v>
      </c>
      <c r="E614" s="29">
        <f>Table15[[#This Row],[Ávöxtun]]*Table15[[#This Row],[Eignir]]/SUMIFS(Table15[Eignir],Table15[Year],Table15[[#This Row],[Year]])</f>
        <v>-1.5977867159319192E-6</v>
      </c>
      <c r="F614" s="23">
        <f>IF(B614=1997, 100, IF(COUNTIF(A$1:A613,A614)=0, "NEW", F613*(1+Table15[[#This Row],[Ávöxtun]])))</f>
        <v>150.92940215396337</v>
      </c>
      <c r="G614" s="18" cm="1">
        <f t="array" ref="G614">IFERROR(_xlfn.IFS(ISNUMBER(Table15[[#This Row],[Column3]]),Table15[[#This Row],[Column3]],Table15[[#This Row],[Column3]]="NEW",Table15[[#This Row],[Column3]]),"")</f>
        <v>150.92940215396337</v>
      </c>
      <c r="H614" s="15" cm="1">
        <f t="array" ref="H614">_xlfn.IFS(Table15[[#This Row],[Column4]]="NEW",AVERAGEIFS(Table15[Column4],Table15[Year],Table15[[#This Row],[Year]]),ISNUMBER(Table15[[#This Row],[Column4]]),Table15[[#This Row],[Column4]],Table15[[#This Row],[Column4]]="",H613*(1+Table15[[#This Row],[Ávöxtun]]))</f>
        <v>150.92940215396337</v>
      </c>
      <c r="I614" s="30" cm="1">
        <f t="array" ref="I614">_xlfn.IFS(Table15[[#This Row],[Column4]]="NEW",_xlfn.XLOOKUP(Table15[[#This Row],[Year]]-1,$N$2:$N$27,$P$2:$P$27)*(1+Table15[[#This Row],[Ávöxtun]]),ISNUMBER(Table15[[#This Row],[Column4]]),Table15[[#This Row],[Column4]],Table15[[#This Row],[Column4]]="",I613*(1+Table15[[#This Row],[Ávöxtun]]))</f>
        <v>150.92940215396337</v>
      </c>
      <c r="L614" s="33">
        <v>150.92940215396337</v>
      </c>
      <c r="M614" s="33">
        <v>150.92940215396337</v>
      </c>
    </row>
    <row r="615" spans="1:13">
      <c r="A615" t="s">
        <v>115</v>
      </c>
      <c r="B615">
        <v>2012</v>
      </c>
      <c r="C615" s="16">
        <v>6.4000000000000001E-2</v>
      </c>
      <c r="D615" s="1">
        <v>3444445</v>
      </c>
      <c r="E615" s="29">
        <f>Table15[[#This Row],[Ávöxtun]]*Table15[[#This Row],[Eignir]]/SUMIFS(Table15[Eignir],Table15[Year],Table15[[#This Row],[Year]])</f>
        <v>1.0007271489599414E-4</v>
      </c>
      <c r="F615" s="23">
        <f>IF(B615=1997, 100, IF(COUNTIF(A$1:A614,A615)=0, "NEW", F614*(1+Table15[[#This Row],[Ávöxtun]])))</f>
        <v>160.58888389181703</v>
      </c>
      <c r="G615" s="18" cm="1">
        <f t="array" ref="G615">IFERROR(_xlfn.IFS(ISNUMBER(Table15[[#This Row],[Column3]]),Table15[[#This Row],[Column3]],Table15[[#This Row],[Column3]]="NEW",Table15[[#This Row],[Column3]]),"")</f>
        <v>160.58888389181703</v>
      </c>
      <c r="H615" s="15" cm="1">
        <f t="array" ref="H615">_xlfn.IFS(Table15[[#This Row],[Column4]]="NEW",AVERAGEIFS(Table15[Column4],Table15[Year],Table15[[#This Row],[Year]]),ISNUMBER(Table15[[#This Row],[Column4]]),Table15[[#This Row],[Column4]],Table15[[#This Row],[Column4]]="",H614*(1+Table15[[#This Row],[Ávöxtun]]))</f>
        <v>160.58888389181703</v>
      </c>
      <c r="I615" s="30" cm="1">
        <f t="array" ref="I615">_xlfn.IFS(Table15[[#This Row],[Column4]]="NEW",_xlfn.XLOOKUP(Table15[[#This Row],[Year]]-1,$N$2:$N$27,$P$2:$P$27)*(1+Table15[[#This Row],[Ávöxtun]]),ISNUMBER(Table15[[#This Row],[Column4]]),Table15[[#This Row],[Column4]],Table15[[#This Row],[Column4]]="",I614*(1+Table15[[#This Row],[Ávöxtun]]))</f>
        <v>160.58888389181703</v>
      </c>
      <c r="L615" s="33">
        <v>160.58888389181703</v>
      </c>
      <c r="M615" s="33">
        <v>160.58888389181703</v>
      </c>
    </row>
    <row r="616" spans="1:13">
      <c r="A616" t="s">
        <v>115</v>
      </c>
      <c r="B616">
        <v>2013</v>
      </c>
      <c r="C616" s="16">
        <v>6.5000000000000002E-2</v>
      </c>
      <c r="D616" s="1">
        <v>3765002</v>
      </c>
      <c r="E616" s="29">
        <f>Table15[[#This Row],[Ávöxtun]]*Table15[[#This Row],[Eignir]]/SUMIFS(Table15[Eignir],Table15[Year],Table15[[#This Row],[Year]])</f>
        <v>1.0056179663825345E-4</v>
      </c>
      <c r="F616" s="23">
        <f>IF(B616=1997, 100, IF(COUNTIF(A$1:A615,A616)=0, "NEW", F615*(1+Table15[[#This Row],[Ávöxtun]])))</f>
        <v>171.02716134478513</v>
      </c>
      <c r="G616" s="18" cm="1">
        <f t="array" ref="G616">IFERROR(_xlfn.IFS(ISNUMBER(Table15[[#This Row],[Column3]]),Table15[[#This Row],[Column3]],Table15[[#This Row],[Column3]]="NEW",Table15[[#This Row],[Column3]]),"")</f>
        <v>171.02716134478513</v>
      </c>
      <c r="H616" s="15" cm="1">
        <f t="array" ref="H616">_xlfn.IFS(Table15[[#This Row],[Column4]]="NEW",AVERAGEIFS(Table15[Column4],Table15[Year],Table15[[#This Row],[Year]]),ISNUMBER(Table15[[#This Row],[Column4]]),Table15[[#This Row],[Column4]],Table15[[#This Row],[Column4]]="",H615*(1+Table15[[#This Row],[Ávöxtun]]))</f>
        <v>171.02716134478513</v>
      </c>
      <c r="I616" s="30" cm="1">
        <f t="array" ref="I616">_xlfn.IFS(Table15[[#This Row],[Column4]]="NEW",_xlfn.XLOOKUP(Table15[[#This Row],[Year]]-1,$N$2:$N$27,$P$2:$P$27)*(1+Table15[[#This Row],[Ávöxtun]]),ISNUMBER(Table15[[#This Row],[Column4]]),Table15[[#This Row],[Column4]],Table15[[#This Row],[Column4]]="",I615*(1+Table15[[#This Row],[Ávöxtun]]))</f>
        <v>171.02716134478513</v>
      </c>
      <c r="L616" s="33">
        <v>171.02716134478513</v>
      </c>
      <c r="M616" s="33">
        <v>171.02716134478513</v>
      </c>
    </row>
    <row r="617" spans="1:13">
      <c r="A617" t="s">
        <v>115</v>
      </c>
      <c r="B617">
        <v>2014</v>
      </c>
      <c r="C617" s="16">
        <v>4.2999999999999997E-2</v>
      </c>
      <c r="D617" s="1">
        <v>3930260</v>
      </c>
      <c r="E617" s="29">
        <f>Table15[[#This Row],[Ávöxtun]]*Table15[[#This Row],[Eignir]]/SUMIFS(Table15[Eignir],Table15[Year],Table15[[#This Row],[Year]])</f>
        <v>6.3701471376263332E-5</v>
      </c>
      <c r="F617" s="23">
        <f>IF(B617=1997, 100, IF(COUNTIF(A$1:A616,A617)=0, "NEW", F616*(1+Table15[[#This Row],[Ávöxtun]])))</f>
        <v>178.38132928261086</v>
      </c>
      <c r="G617" s="18" cm="1">
        <f t="array" ref="G617">IFERROR(_xlfn.IFS(ISNUMBER(Table15[[#This Row],[Column3]]),Table15[[#This Row],[Column3]],Table15[[#This Row],[Column3]]="NEW",Table15[[#This Row],[Column3]]),"")</f>
        <v>178.38132928261086</v>
      </c>
      <c r="H617" s="15" cm="1">
        <f t="array" ref="H617">_xlfn.IFS(Table15[[#This Row],[Column4]]="NEW",AVERAGEIFS(Table15[Column4],Table15[Year],Table15[[#This Row],[Year]]),ISNUMBER(Table15[[#This Row],[Column4]]),Table15[[#This Row],[Column4]],Table15[[#This Row],[Column4]]="",H616*(1+Table15[[#This Row],[Ávöxtun]]))</f>
        <v>178.38132928261086</v>
      </c>
      <c r="I617" s="30" cm="1">
        <f t="array" ref="I617">_xlfn.IFS(Table15[[#This Row],[Column4]]="NEW",_xlfn.XLOOKUP(Table15[[#This Row],[Year]]-1,$N$2:$N$27,$P$2:$P$27)*(1+Table15[[#This Row],[Ávöxtun]]),ISNUMBER(Table15[[#This Row],[Column4]]),Table15[[#This Row],[Column4]],Table15[[#This Row],[Column4]]="",I616*(1+Table15[[#This Row],[Ávöxtun]]))</f>
        <v>178.38132928261086</v>
      </c>
      <c r="L617" s="33">
        <v>178.38132928261086</v>
      </c>
      <c r="M617" s="33">
        <v>178.38132928261086</v>
      </c>
    </row>
    <row r="618" spans="1:13">
      <c r="A618" t="s">
        <v>115</v>
      </c>
      <c r="B618">
        <v>2015</v>
      </c>
      <c r="C618" s="16">
        <v>5.9000000000000004E-2</v>
      </c>
      <c r="D618" s="1">
        <v>4186603</v>
      </c>
      <c r="E618" s="29">
        <f>Table15[[#This Row],[Ávöxtun]]*Table15[[#This Row],[Eignir]]/SUMIFS(Table15[Eignir],Table15[Year],Table15[[#This Row],[Year]])</f>
        <v>8.3410344050071354E-5</v>
      </c>
      <c r="F618" s="23">
        <f>IF(B618=1997, 100, IF(COUNTIF(A$1:A617,A618)=0, "NEW", F617*(1+Table15[[#This Row],[Ávöxtun]])))</f>
        <v>188.90582771028488</v>
      </c>
      <c r="G618" s="18" cm="1">
        <f t="array" ref="G618">IFERROR(_xlfn.IFS(ISNUMBER(Table15[[#This Row],[Column3]]),Table15[[#This Row],[Column3]],Table15[[#This Row],[Column3]]="NEW",Table15[[#This Row],[Column3]]),"")</f>
        <v>188.90582771028488</v>
      </c>
      <c r="H618" s="15" cm="1">
        <f t="array" ref="H618">_xlfn.IFS(Table15[[#This Row],[Column4]]="NEW",AVERAGEIFS(Table15[Column4],Table15[Year],Table15[[#This Row],[Year]]),ISNUMBER(Table15[[#This Row],[Column4]]),Table15[[#This Row],[Column4]],Table15[[#This Row],[Column4]]="",H617*(1+Table15[[#This Row],[Ávöxtun]]))</f>
        <v>188.90582771028488</v>
      </c>
      <c r="I618" s="30" cm="1">
        <f t="array" ref="I618">_xlfn.IFS(Table15[[#This Row],[Column4]]="NEW",_xlfn.XLOOKUP(Table15[[#This Row],[Year]]-1,$N$2:$N$27,$P$2:$P$27)*(1+Table15[[#This Row],[Ávöxtun]]),ISNUMBER(Table15[[#This Row],[Column4]]),Table15[[#This Row],[Column4]],Table15[[#This Row],[Column4]]="",I617*(1+Table15[[#This Row],[Ávöxtun]]))</f>
        <v>188.90582771028488</v>
      </c>
      <c r="L618" s="33">
        <v>188.90582771028488</v>
      </c>
      <c r="M618" s="33">
        <v>188.90582771028488</v>
      </c>
    </row>
    <row r="619" spans="1:13">
      <c r="A619" t="s">
        <v>115</v>
      </c>
      <c r="B619">
        <v>2016</v>
      </c>
      <c r="C619" s="16">
        <v>1E-3</v>
      </c>
      <c r="D619" s="1">
        <v>4393064.0599999996</v>
      </c>
      <c r="E619" s="29">
        <f>Table15[[#This Row],[Ávöxtun]]*Table15[[#This Row],[Eignir]]/SUMIFS(Table15[Eignir],Table15[Year],Table15[[#This Row],[Year]])</f>
        <v>1.3728125023757985E-6</v>
      </c>
      <c r="F619" s="23">
        <f>IF(B619=1997, 100, IF(COUNTIF(A$1:A618,A619)=0, "NEW", F618*(1+Table15[[#This Row],[Ávöxtun]])))</f>
        <v>189.09473353799515</v>
      </c>
      <c r="G619" s="18" cm="1">
        <f t="array" ref="G619">IFERROR(_xlfn.IFS(ISNUMBER(Table15[[#This Row],[Column3]]),Table15[[#This Row],[Column3]],Table15[[#This Row],[Column3]]="NEW",Table15[[#This Row],[Column3]]),"")</f>
        <v>189.09473353799515</v>
      </c>
      <c r="H619" s="15" cm="1">
        <f t="array" ref="H619">_xlfn.IFS(Table15[[#This Row],[Column4]]="NEW",AVERAGEIFS(Table15[Column4],Table15[Year],Table15[[#This Row],[Year]]),ISNUMBER(Table15[[#This Row],[Column4]]),Table15[[#This Row],[Column4]],Table15[[#This Row],[Column4]]="",H618*(1+Table15[[#This Row],[Ávöxtun]]))</f>
        <v>189.09473353799515</v>
      </c>
      <c r="I619" s="30" cm="1">
        <f t="array" ref="I619">_xlfn.IFS(Table15[[#This Row],[Column4]]="NEW",_xlfn.XLOOKUP(Table15[[#This Row],[Year]]-1,$N$2:$N$27,$P$2:$P$27)*(1+Table15[[#This Row],[Ávöxtun]]),ISNUMBER(Table15[[#This Row],[Column4]]),Table15[[#This Row],[Column4]],Table15[[#This Row],[Column4]]="",I618*(1+Table15[[#This Row],[Ávöxtun]]))</f>
        <v>189.09473353799515</v>
      </c>
      <c r="L619" s="33">
        <v>189.09473353799515</v>
      </c>
      <c r="M619" s="33">
        <v>189.09473353799515</v>
      </c>
    </row>
    <row r="620" spans="1:13">
      <c r="A620" t="s">
        <v>115</v>
      </c>
      <c r="B620">
        <v>2017</v>
      </c>
      <c r="C620" s="16">
        <v>4.9000000000000002E-2</v>
      </c>
      <c r="D620" s="1">
        <v>4576944</v>
      </c>
      <c r="E620" s="29">
        <f>Table15[[#This Row],[Ávöxtun]]*Table15[[#This Row],[Eignir]]/SUMIFS(Table15[Eignir],Table15[Year],Table15[[#This Row],[Year]])</f>
        <v>6.3012285032399971E-5</v>
      </c>
      <c r="F620" s="23">
        <f>IF(B620=1997, 100, IF(COUNTIF(A$1:A619,A620)=0, "NEW", F619*(1+Table15[[#This Row],[Ávöxtun]])))</f>
        <v>198.3603754813569</v>
      </c>
      <c r="G620" s="18" cm="1">
        <f t="array" ref="G620">IFERROR(_xlfn.IFS(ISNUMBER(Table15[[#This Row],[Column3]]),Table15[[#This Row],[Column3]],Table15[[#This Row],[Column3]]="NEW",Table15[[#This Row],[Column3]]),"")</f>
        <v>198.3603754813569</v>
      </c>
      <c r="H620" s="15" cm="1">
        <f t="array" ref="H620">_xlfn.IFS(Table15[[#This Row],[Column4]]="NEW",AVERAGEIFS(Table15[Column4],Table15[Year],Table15[[#This Row],[Year]]),ISNUMBER(Table15[[#This Row],[Column4]]),Table15[[#This Row],[Column4]],Table15[[#This Row],[Column4]]="",H619*(1+Table15[[#This Row],[Ávöxtun]]))</f>
        <v>198.3603754813569</v>
      </c>
      <c r="I620" s="30" cm="1">
        <f t="array" ref="I620">_xlfn.IFS(Table15[[#This Row],[Column4]]="NEW",_xlfn.XLOOKUP(Table15[[#This Row],[Year]]-1,$N$2:$N$27,$P$2:$P$27)*(1+Table15[[#This Row],[Ávöxtun]]),ISNUMBER(Table15[[#This Row],[Column4]]),Table15[[#This Row],[Column4]],Table15[[#This Row],[Column4]]="",I619*(1+Table15[[#This Row],[Ávöxtun]]))</f>
        <v>198.3603754813569</v>
      </c>
      <c r="L620" s="33">
        <v>198.3603754813569</v>
      </c>
      <c r="M620" s="33">
        <v>198.3603754813569</v>
      </c>
    </row>
    <row r="621" spans="1:13">
      <c r="A621" t="s">
        <v>116</v>
      </c>
      <c r="B621">
        <v>1997</v>
      </c>
      <c r="C621" s="16">
        <v>0.04</v>
      </c>
      <c r="D621" s="1">
        <v>2451806.02</v>
      </c>
      <c r="E621" s="29">
        <f>Table15[[#This Row],[Ávöxtun]]*Table15[[#This Row],[Eignir]]/SUMIFS(Table15[Eignir],Table15[Year],Table15[[#This Row],[Year]])</f>
        <v>2.8927702081843422E-4</v>
      </c>
      <c r="F621" s="23">
        <f>IF(B621=1997, 100, IF(COUNTIF(A$1:A620,A621)=0, "NEW", F620*(1+Table15[[#This Row],[Ávöxtun]])))</f>
        <v>100</v>
      </c>
      <c r="G621" s="18" cm="1">
        <f t="array" ref="G621">IFERROR(_xlfn.IFS(ISNUMBER(Table15[[#This Row],[Column3]]),Table15[[#This Row],[Column3]],Table15[[#This Row],[Column3]]="NEW",Table15[[#This Row],[Column3]]),"")</f>
        <v>100</v>
      </c>
      <c r="H621" s="15" cm="1">
        <f t="array" ref="H621">_xlfn.IFS(Table15[[#This Row],[Column4]]="NEW",AVERAGEIFS(Table15[Column4],Table15[Year],Table15[[#This Row],[Year]]),ISNUMBER(Table15[[#This Row],[Column4]]),Table15[[#This Row],[Column4]],Table15[[#This Row],[Column4]]="",H620*(1+Table15[[#This Row],[Ávöxtun]]))</f>
        <v>100</v>
      </c>
      <c r="I621" s="30" cm="1">
        <f t="array" ref="I621">_xlfn.IFS(Table15[[#This Row],[Column4]]="NEW",_xlfn.XLOOKUP(Table15[[#This Row],[Year]]-1,$N$2:$N$27,$P$2:$P$27)*(1+Table15[[#This Row],[Ávöxtun]]),ISNUMBER(Table15[[#This Row],[Column4]]),Table15[[#This Row],[Column4]],Table15[[#This Row],[Column4]]="",I620*(1+Table15[[#This Row],[Ávöxtun]]))</f>
        <v>100</v>
      </c>
      <c r="L621" s="33">
        <v>100</v>
      </c>
      <c r="M621" s="33">
        <v>100</v>
      </c>
    </row>
    <row r="622" spans="1:13">
      <c r="A622" t="s">
        <v>116</v>
      </c>
      <c r="B622">
        <v>1998</v>
      </c>
      <c r="C622" s="16">
        <v>0.05</v>
      </c>
      <c r="D622" s="1">
        <v>2688130.09</v>
      </c>
      <c r="E622" s="29">
        <f>Table15[[#This Row],[Ávöxtun]]*Table15[[#This Row],[Eignir]]/SUMIFS(Table15[Eignir],Table15[Year],Table15[[#This Row],[Year]])</f>
        <v>3.4319336909618563E-4</v>
      </c>
      <c r="F622" s="23">
        <f>IF(B622=1997, 100, IF(COUNTIF(A$1:A621,A622)=0, "NEW", F621*(1+Table15[[#This Row],[Ávöxtun]])))</f>
        <v>105</v>
      </c>
      <c r="G622" s="18" cm="1">
        <f t="array" ref="G622">IFERROR(_xlfn.IFS(ISNUMBER(Table15[[#This Row],[Column3]]),Table15[[#This Row],[Column3]],Table15[[#This Row],[Column3]]="NEW",Table15[[#This Row],[Column3]]),"")</f>
        <v>105</v>
      </c>
      <c r="H622" s="15" cm="1">
        <f t="array" ref="H622">_xlfn.IFS(Table15[[#This Row],[Column4]]="NEW",AVERAGEIFS(Table15[Column4],Table15[Year],Table15[[#This Row],[Year]]),ISNUMBER(Table15[[#This Row],[Column4]]),Table15[[#This Row],[Column4]],Table15[[#This Row],[Column4]]="",H621*(1+Table15[[#This Row],[Ávöxtun]]))</f>
        <v>105</v>
      </c>
      <c r="I622" s="30" cm="1">
        <f t="array" ref="I622">_xlfn.IFS(Table15[[#This Row],[Column4]]="NEW",_xlfn.XLOOKUP(Table15[[#This Row],[Year]]-1,$N$2:$N$27,$P$2:$P$27)*(1+Table15[[#This Row],[Ávöxtun]]),ISNUMBER(Table15[[#This Row],[Column4]]),Table15[[#This Row],[Column4]],Table15[[#This Row],[Column4]]="",I621*(1+Table15[[#This Row],[Ávöxtun]]))</f>
        <v>105</v>
      </c>
      <c r="L622" s="33">
        <v>105</v>
      </c>
      <c r="M622" s="33">
        <v>105</v>
      </c>
    </row>
    <row r="623" spans="1:13">
      <c r="A623" t="s">
        <v>116</v>
      </c>
      <c r="B623">
        <v>1999</v>
      </c>
      <c r="C623" s="16">
        <v>0.04</v>
      </c>
      <c r="D623" s="1">
        <v>3050516.32</v>
      </c>
      <c r="E623" s="29">
        <f>Table15[[#This Row],[Ávöxtun]]*Table15[[#This Row],[Eignir]]/SUMIFS(Table15[Eignir],Table15[Year],Table15[[#This Row],[Year]])</f>
        <v>2.3433213492284188E-4</v>
      </c>
      <c r="F623" s="23">
        <f>IF(B623=1997, 100, IF(COUNTIF(A$1:A622,A623)=0, "NEW", F622*(1+Table15[[#This Row],[Ávöxtun]])))</f>
        <v>109.2</v>
      </c>
      <c r="G623" s="18" cm="1">
        <f t="array" ref="G623">IFERROR(_xlfn.IFS(ISNUMBER(Table15[[#This Row],[Column3]]),Table15[[#This Row],[Column3]],Table15[[#This Row],[Column3]]="NEW",Table15[[#This Row],[Column3]]),"")</f>
        <v>109.2</v>
      </c>
      <c r="H623" s="15" cm="1">
        <f t="array" ref="H623">_xlfn.IFS(Table15[[#This Row],[Column4]]="NEW",AVERAGEIFS(Table15[Column4],Table15[Year],Table15[[#This Row],[Year]]),ISNUMBER(Table15[[#This Row],[Column4]]),Table15[[#This Row],[Column4]],Table15[[#This Row],[Column4]]="",H622*(1+Table15[[#This Row],[Ávöxtun]]))</f>
        <v>109.2</v>
      </c>
      <c r="I623" s="30" cm="1">
        <f t="array" ref="I623">_xlfn.IFS(Table15[[#This Row],[Column4]]="NEW",_xlfn.XLOOKUP(Table15[[#This Row],[Year]]-1,$N$2:$N$27,$P$2:$P$27)*(1+Table15[[#This Row],[Ávöxtun]]),ISNUMBER(Table15[[#This Row],[Column4]]),Table15[[#This Row],[Column4]],Table15[[#This Row],[Column4]]="",I622*(1+Table15[[#This Row],[Ávöxtun]]))</f>
        <v>109.2</v>
      </c>
      <c r="L623" s="33">
        <v>109.2</v>
      </c>
      <c r="M623" s="33">
        <v>109.2</v>
      </c>
    </row>
    <row r="624" spans="1:13">
      <c r="A624" t="s">
        <v>116</v>
      </c>
      <c r="B624">
        <v>2000</v>
      </c>
      <c r="C624" s="16">
        <v>0</v>
      </c>
      <c r="D624" s="1">
        <v>3034334.64</v>
      </c>
      <c r="E624" s="29">
        <f>Table15[[#This Row],[Ávöxtun]]*Table15[[#This Row],[Eignir]]/SUMIFS(Table15[Eignir],Table15[Year],Table15[[#This Row],[Year]])</f>
        <v>0</v>
      </c>
      <c r="F624" s="23">
        <f>IF(B624=1997, 100, IF(COUNTIF(A$1:A623,A624)=0, "NEW", F623*(1+Table15[[#This Row],[Ávöxtun]])))</f>
        <v>109.2</v>
      </c>
      <c r="G624" s="18" cm="1">
        <f t="array" ref="G624">IFERROR(_xlfn.IFS(ISNUMBER(Table15[[#This Row],[Column3]]),Table15[[#This Row],[Column3]],Table15[[#This Row],[Column3]]="NEW",Table15[[#This Row],[Column3]]),"")</f>
        <v>109.2</v>
      </c>
      <c r="H624" s="15" cm="1">
        <f t="array" ref="H624">_xlfn.IFS(Table15[[#This Row],[Column4]]="NEW",AVERAGEIFS(Table15[Column4],Table15[Year],Table15[[#This Row],[Year]]),ISNUMBER(Table15[[#This Row],[Column4]]),Table15[[#This Row],[Column4]],Table15[[#This Row],[Column4]]="",H623*(1+Table15[[#This Row],[Ávöxtun]]))</f>
        <v>109.2</v>
      </c>
      <c r="I624" s="30" cm="1">
        <f t="array" ref="I624">_xlfn.IFS(Table15[[#This Row],[Column4]]="NEW",_xlfn.XLOOKUP(Table15[[#This Row],[Year]]-1,$N$2:$N$27,$P$2:$P$27)*(1+Table15[[#This Row],[Ávöxtun]]),ISNUMBER(Table15[[#This Row],[Column4]]),Table15[[#This Row],[Column4]],Table15[[#This Row],[Column4]]="",I623*(1+Table15[[#This Row],[Ávöxtun]]))</f>
        <v>109.2</v>
      </c>
      <c r="L624" s="33">
        <v>109.2</v>
      </c>
      <c r="M624" s="33">
        <v>109.2</v>
      </c>
    </row>
    <row r="625" spans="1:13">
      <c r="A625" t="s">
        <v>116</v>
      </c>
      <c r="B625">
        <v>2001</v>
      </c>
      <c r="C625" s="16">
        <v>0.01</v>
      </c>
      <c r="D625" s="1">
        <v>3277978.02</v>
      </c>
      <c r="E625" s="29">
        <f>Table15[[#This Row],[Ávöxtun]]*Table15[[#This Row],[Eignir]]/SUMIFS(Table15[Eignir],Table15[Year],Table15[[#This Row],[Year]])</f>
        <v>2.8309297068776763E-5</v>
      </c>
      <c r="F625" s="23">
        <f>IF(B625=1997, 100, IF(COUNTIF(A$1:A624,A625)=0, "NEW", F624*(1+Table15[[#This Row],[Ávöxtun]])))</f>
        <v>110.292</v>
      </c>
      <c r="G625" s="18" cm="1">
        <f t="array" ref="G625">IFERROR(_xlfn.IFS(ISNUMBER(Table15[[#This Row],[Column3]]),Table15[[#This Row],[Column3]],Table15[[#This Row],[Column3]]="NEW",Table15[[#This Row],[Column3]]),"")</f>
        <v>110.292</v>
      </c>
      <c r="H625" s="15" cm="1">
        <f t="array" ref="H625">_xlfn.IFS(Table15[[#This Row],[Column4]]="NEW",AVERAGEIFS(Table15[Column4],Table15[Year],Table15[[#This Row],[Year]]),ISNUMBER(Table15[[#This Row],[Column4]]),Table15[[#This Row],[Column4]],Table15[[#This Row],[Column4]]="",H624*(1+Table15[[#This Row],[Ávöxtun]]))</f>
        <v>110.292</v>
      </c>
      <c r="I625" s="30" cm="1">
        <f t="array" ref="I625">_xlfn.IFS(Table15[[#This Row],[Column4]]="NEW",_xlfn.XLOOKUP(Table15[[#This Row],[Year]]-1,$N$2:$N$27,$P$2:$P$27)*(1+Table15[[#This Row],[Ávöxtun]]),ISNUMBER(Table15[[#This Row],[Column4]]),Table15[[#This Row],[Column4]],Table15[[#This Row],[Column4]]="",I624*(1+Table15[[#This Row],[Ávöxtun]]))</f>
        <v>110.292</v>
      </c>
      <c r="L625" s="33">
        <v>110.292</v>
      </c>
      <c r="M625" s="33">
        <v>110.292</v>
      </c>
    </row>
    <row r="626" spans="1:13">
      <c r="A626" t="s">
        <v>116</v>
      </c>
      <c r="B626">
        <v>2002</v>
      </c>
      <c r="C626" s="16">
        <v>0.03</v>
      </c>
      <c r="D626" s="1">
        <v>3592096</v>
      </c>
      <c r="E626" s="29">
        <f>Table15[[#This Row],[Ávöxtun]]*Table15[[#This Row],[Eignir]]/SUMIFS(Table15[Eignir],Table15[Year],Table15[[#This Row],[Year]])</f>
        <v>1.6966146325167719E-4</v>
      </c>
      <c r="F626" s="23">
        <f>IF(B626=1997, 100, IF(COUNTIF(A$1:A625,A626)=0, "NEW", F625*(1+Table15[[#This Row],[Ávöxtun]])))</f>
        <v>113.60076000000001</v>
      </c>
      <c r="G626" s="18" cm="1">
        <f t="array" ref="G626">IFERROR(_xlfn.IFS(ISNUMBER(Table15[[#This Row],[Column3]]),Table15[[#This Row],[Column3]],Table15[[#This Row],[Column3]]="NEW",Table15[[#This Row],[Column3]]),"")</f>
        <v>113.60076000000001</v>
      </c>
      <c r="H626" s="15" cm="1">
        <f t="array" ref="H626">_xlfn.IFS(Table15[[#This Row],[Column4]]="NEW",AVERAGEIFS(Table15[Column4],Table15[Year],Table15[[#This Row],[Year]]),ISNUMBER(Table15[[#This Row],[Column4]]),Table15[[#This Row],[Column4]],Table15[[#This Row],[Column4]]="",H625*(1+Table15[[#This Row],[Ávöxtun]]))</f>
        <v>113.60076000000001</v>
      </c>
      <c r="I626" s="30" cm="1">
        <f t="array" ref="I626">_xlfn.IFS(Table15[[#This Row],[Column4]]="NEW",_xlfn.XLOOKUP(Table15[[#This Row],[Year]]-1,$N$2:$N$27,$P$2:$P$27)*(1+Table15[[#This Row],[Ávöxtun]]),ISNUMBER(Table15[[#This Row],[Column4]]),Table15[[#This Row],[Column4]],Table15[[#This Row],[Column4]]="",I625*(1+Table15[[#This Row],[Ávöxtun]]))</f>
        <v>113.60076000000001</v>
      </c>
      <c r="L626" s="33">
        <v>113.60076000000001</v>
      </c>
      <c r="M626" s="33">
        <v>113.60076000000001</v>
      </c>
    </row>
    <row r="627" spans="1:13">
      <c r="A627" t="s">
        <v>116</v>
      </c>
      <c r="B627">
        <v>2003</v>
      </c>
      <c r="C627" s="16">
        <v>0.11</v>
      </c>
      <c r="D627" s="1">
        <v>10117276</v>
      </c>
      <c r="E627" s="29">
        <f>Table15[[#This Row],[Ávöxtun]]*Table15[[#This Row],[Eignir]]/SUMIFS(Table15[Eignir],Table15[Year],Table15[[#This Row],[Year]])</f>
        <v>1.4645518655865182E-3</v>
      </c>
      <c r="F627" s="23">
        <f>IF(B627=1997, 100, IF(COUNTIF(A$1:A626,A627)=0, "NEW", F626*(1+Table15[[#This Row],[Ávöxtun]])))</f>
        <v>126.09684360000001</v>
      </c>
      <c r="G627" s="18" cm="1">
        <f t="array" ref="G627">IFERROR(_xlfn.IFS(ISNUMBER(Table15[[#This Row],[Column3]]),Table15[[#This Row],[Column3]],Table15[[#This Row],[Column3]]="NEW",Table15[[#This Row],[Column3]]),"")</f>
        <v>126.09684360000001</v>
      </c>
      <c r="H627" s="15" cm="1">
        <f t="array" ref="H627">_xlfn.IFS(Table15[[#This Row],[Column4]]="NEW",AVERAGEIFS(Table15[Column4],Table15[Year],Table15[[#This Row],[Year]]),ISNUMBER(Table15[[#This Row],[Column4]]),Table15[[#This Row],[Column4]],Table15[[#This Row],[Column4]]="",H626*(1+Table15[[#This Row],[Ávöxtun]]))</f>
        <v>126.09684360000001</v>
      </c>
      <c r="I627" s="30" cm="1">
        <f t="array" ref="I627">_xlfn.IFS(Table15[[#This Row],[Column4]]="NEW",_xlfn.XLOOKUP(Table15[[#This Row],[Year]]-1,$N$2:$N$27,$P$2:$P$27)*(1+Table15[[#This Row],[Ávöxtun]]),ISNUMBER(Table15[[#This Row],[Column4]]),Table15[[#This Row],[Column4]],Table15[[#This Row],[Column4]]="",I626*(1+Table15[[#This Row],[Ávöxtun]]))</f>
        <v>126.09684360000001</v>
      </c>
      <c r="L627" s="33">
        <v>126.09684360000001</v>
      </c>
      <c r="M627" s="33">
        <v>126.09684360000001</v>
      </c>
    </row>
    <row r="628" spans="1:13">
      <c r="A628" t="s">
        <v>116</v>
      </c>
      <c r="B628">
        <v>2004</v>
      </c>
      <c r="C628" s="16">
        <v>0.03</v>
      </c>
      <c r="D628" s="1">
        <v>11048612.449999999</v>
      </c>
      <c r="E628" s="29">
        <f>Table15[[#This Row],[Ávöxtun]]*Table15[[#This Row],[Eignir]]/SUMIFS(Table15[Eignir],Table15[Year],Table15[[#This Row],[Year]])</f>
        <v>3.6517480832807544E-4</v>
      </c>
      <c r="F628" s="23">
        <f>IF(B628=1997, 100, IF(COUNTIF(A$1:A627,A628)=0, "NEW", F627*(1+Table15[[#This Row],[Ávöxtun]])))</f>
        <v>129.87974890800001</v>
      </c>
      <c r="G628" s="18" cm="1">
        <f t="array" ref="G628">IFERROR(_xlfn.IFS(ISNUMBER(Table15[[#This Row],[Column3]]),Table15[[#This Row],[Column3]],Table15[[#This Row],[Column3]]="NEW",Table15[[#This Row],[Column3]]),"")</f>
        <v>129.87974890800001</v>
      </c>
      <c r="H628" s="15" cm="1">
        <f t="array" ref="H628">_xlfn.IFS(Table15[[#This Row],[Column4]]="NEW",AVERAGEIFS(Table15[Column4],Table15[Year],Table15[[#This Row],[Year]]),ISNUMBER(Table15[[#This Row],[Column4]]),Table15[[#This Row],[Column4]],Table15[[#This Row],[Column4]]="",H627*(1+Table15[[#This Row],[Ávöxtun]]))</f>
        <v>129.87974890800001</v>
      </c>
      <c r="I628" s="30" cm="1">
        <f t="array" ref="I628">_xlfn.IFS(Table15[[#This Row],[Column4]]="NEW",_xlfn.XLOOKUP(Table15[[#This Row],[Year]]-1,$N$2:$N$27,$P$2:$P$27)*(1+Table15[[#This Row],[Ávöxtun]]),ISNUMBER(Table15[[#This Row],[Column4]]),Table15[[#This Row],[Column4]],Table15[[#This Row],[Column4]]="",I627*(1+Table15[[#This Row],[Ávöxtun]]))</f>
        <v>129.87974890800001</v>
      </c>
      <c r="L628" s="33">
        <v>129.87974890800001</v>
      </c>
      <c r="M628" s="33">
        <v>129.87974890800001</v>
      </c>
    </row>
    <row r="629" spans="1:13">
      <c r="A629" t="s">
        <v>116</v>
      </c>
      <c r="B629">
        <v>2005</v>
      </c>
      <c r="C629" s="16">
        <v>0.03</v>
      </c>
      <c r="D629" s="1">
        <v>11576018</v>
      </c>
      <c r="E629" s="29">
        <f>Table15[[#This Row],[Ávöxtun]]*Table15[[#This Row],[Eignir]]/SUMIFS(Table15[Eignir],Table15[Year],Table15[[#This Row],[Year]])</f>
        <v>3.0970199905186278E-4</v>
      </c>
      <c r="F629" s="23">
        <f>IF(B629=1997, 100, IF(COUNTIF(A$1:A628,A629)=0, "NEW", F628*(1+Table15[[#This Row],[Ávöxtun]])))</f>
        <v>133.77614137524</v>
      </c>
      <c r="G629" s="18" cm="1">
        <f t="array" ref="G629">IFERROR(_xlfn.IFS(ISNUMBER(Table15[[#This Row],[Column3]]),Table15[[#This Row],[Column3]],Table15[[#This Row],[Column3]]="NEW",Table15[[#This Row],[Column3]]),"")</f>
        <v>133.77614137524</v>
      </c>
      <c r="H629" s="15" cm="1">
        <f t="array" ref="H629">_xlfn.IFS(Table15[[#This Row],[Column4]]="NEW",AVERAGEIFS(Table15[Column4],Table15[Year],Table15[[#This Row],[Year]]),ISNUMBER(Table15[[#This Row],[Column4]]),Table15[[#This Row],[Column4]],Table15[[#This Row],[Column4]]="",H628*(1+Table15[[#This Row],[Ávöxtun]]))</f>
        <v>133.77614137524</v>
      </c>
      <c r="I629" s="30" cm="1">
        <f t="array" ref="I629">_xlfn.IFS(Table15[[#This Row],[Column4]]="NEW",_xlfn.XLOOKUP(Table15[[#This Row],[Year]]-1,$N$2:$N$27,$P$2:$P$27)*(1+Table15[[#This Row],[Ávöxtun]]),ISNUMBER(Table15[[#This Row],[Column4]]),Table15[[#This Row],[Column4]],Table15[[#This Row],[Column4]]="",I628*(1+Table15[[#This Row],[Ávöxtun]]))</f>
        <v>133.77614137524</v>
      </c>
      <c r="L629" s="33">
        <v>133.77614137524</v>
      </c>
      <c r="M629" s="33">
        <v>133.77614137524</v>
      </c>
    </row>
    <row r="630" spans="1:13">
      <c r="A630" t="s">
        <v>116</v>
      </c>
      <c r="B630">
        <v>2006</v>
      </c>
      <c r="C630" s="16">
        <v>3.8100000000000002E-2</v>
      </c>
      <c r="D630" s="1">
        <v>13262544</v>
      </c>
      <c r="E630" s="29">
        <f>Table15[[#This Row],[Ávöxtun]]*Table15[[#This Row],[Eignir]]/SUMIFS(Table15[Eignir],Table15[Year],Table15[[#This Row],[Year]])</f>
        <v>3.6811531557447906E-4</v>
      </c>
      <c r="F630" s="23">
        <f>IF(B630=1997, 100, IF(COUNTIF(A$1:A629,A630)=0, "NEW", F629*(1+Table15[[#This Row],[Ávöxtun]])))</f>
        <v>138.87301236163665</v>
      </c>
      <c r="G630" s="18" cm="1">
        <f t="array" ref="G630">IFERROR(_xlfn.IFS(ISNUMBER(Table15[[#This Row],[Column3]]),Table15[[#This Row],[Column3]],Table15[[#This Row],[Column3]]="NEW",Table15[[#This Row],[Column3]]),"")</f>
        <v>138.87301236163665</v>
      </c>
      <c r="H630" s="15" cm="1">
        <f t="array" ref="H630">_xlfn.IFS(Table15[[#This Row],[Column4]]="NEW",AVERAGEIFS(Table15[Column4],Table15[Year],Table15[[#This Row],[Year]]),ISNUMBER(Table15[[#This Row],[Column4]]),Table15[[#This Row],[Column4]],Table15[[#This Row],[Column4]]="",H629*(1+Table15[[#This Row],[Ávöxtun]]))</f>
        <v>138.87301236163665</v>
      </c>
      <c r="I630" s="30" cm="1">
        <f t="array" ref="I630">_xlfn.IFS(Table15[[#This Row],[Column4]]="NEW",_xlfn.XLOOKUP(Table15[[#This Row],[Year]]-1,$N$2:$N$27,$P$2:$P$27)*(1+Table15[[#This Row],[Ávöxtun]]),ISNUMBER(Table15[[#This Row],[Column4]]),Table15[[#This Row],[Column4]],Table15[[#This Row],[Column4]]="",I629*(1+Table15[[#This Row],[Ávöxtun]]))</f>
        <v>138.87301236163665</v>
      </c>
      <c r="L630" s="33">
        <v>138.87301236163665</v>
      </c>
      <c r="M630" s="33">
        <v>138.87301236163665</v>
      </c>
    </row>
    <row r="631" spans="1:13">
      <c r="A631" t="s">
        <v>116</v>
      </c>
      <c r="B631">
        <v>2007</v>
      </c>
      <c r="C631" s="16">
        <v>8.4900000000000003E-2</v>
      </c>
      <c r="D631" s="1">
        <v>40330382</v>
      </c>
      <c r="E631" s="29">
        <f>Table15[[#This Row],[Ávöxtun]]*Table15[[#This Row],[Eignir]]/SUMIFS(Table15[Eignir],Table15[Year],Table15[[#This Row],[Year]])</f>
        <v>2.2141953644558318E-3</v>
      </c>
      <c r="F631" s="23">
        <f>IF(B631=1997, 100, IF(COUNTIF(A$1:A630,A631)=0, "NEW", F630*(1+Table15[[#This Row],[Ávöxtun]])))</f>
        <v>150.6633311111396</v>
      </c>
      <c r="G631" s="18" cm="1">
        <f t="array" ref="G631">IFERROR(_xlfn.IFS(ISNUMBER(Table15[[#This Row],[Column3]]),Table15[[#This Row],[Column3]],Table15[[#This Row],[Column3]]="NEW",Table15[[#This Row],[Column3]]),"")</f>
        <v>150.6633311111396</v>
      </c>
      <c r="H631" s="15" cm="1">
        <f t="array" ref="H631">_xlfn.IFS(Table15[[#This Row],[Column4]]="NEW",AVERAGEIFS(Table15[Column4],Table15[Year],Table15[[#This Row],[Year]]),ISNUMBER(Table15[[#This Row],[Column4]]),Table15[[#This Row],[Column4]],Table15[[#This Row],[Column4]]="",H630*(1+Table15[[#This Row],[Ávöxtun]]))</f>
        <v>150.6633311111396</v>
      </c>
      <c r="I631" s="30" cm="1">
        <f t="array" ref="I631">_xlfn.IFS(Table15[[#This Row],[Column4]]="NEW",_xlfn.XLOOKUP(Table15[[#This Row],[Year]]-1,$N$2:$N$27,$P$2:$P$27)*(1+Table15[[#This Row],[Ávöxtun]]),ISNUMBER(Table15[[#This Row],[Column4]]),Table15[[#This Row],[Column4]],Table15[[#This Row],[Column4]]="",I630*(1+Table15[[#This Row],[Ávöxtun]]))</f>
        <v>150.6633311111396</v>
      </c>
      <c r="L631" s="33">
        <v>150.6633311111396</v>
      </c>
      <c r="M631" s="33">
        <v>150.6633311111396</v>
      </c>
    </row>
    <row r="632" spans="1:13">
      <c r="A632" t="s">
        <v>116</v>
      </c>
      <c r="B632">
        <v>2008</v>
      </c>
      <c r="C632" s="16">
        <v>2.29E-2</v>
      </c>
      <c r="D632" s="1">
        <v>47366446</v>
      </c>
      <c r="E632" s="29">
        <f>Table15[[#This Row],[Ávöxtun]]*Table15[[#This Row],[Eignir]]/SUMIFS(Table15[Eignir],Table15[Year],Table15[[#This Row],[Year]])</f>
        <v>7.2442305802338555E-4</v>
      </c>
      <c r="F632" s="23">
        <f>IF(B632=1997, 100, IF(COUNTIF(A$1:A631,A632)=0, "NEW", F631*(1+Table15[[#This Row],[Ávöxtun]])))</f>
        <v>154.11352139358468</v>
      </c>
      <c r="G632" s="18" cm="1">
        <f t="array" ref="G632">IFERROR(_xlfn.IFS(ISNUMBER(Table15[[#This Row],[Column3]]),Table15[[#This Row],[Column3]],Table15[[#This Row],[Column3]]="NEW",Table15[[#This Row],[Column3]]),"")</f>
        <v>154.11352139358468</v>
      </c>
      <c r="H632" s="15" cm="1">
        <f t="array" ref="H632">_xlfn.IFS(Table15[[#This Row],[Column4]]="NEW",AVERAGEIFS(Table15[Column4],Table15[Year],Table15[[#This Row],[Year]]),ISNUMBER(Table15[[#This Row],[Column4]]),Table15[[#This Row],[Column4]],Table15[[#This Row],[Column4]]="",H631*(1+Table15[[#This Row],[Ávöxtun]]))</f>
        <v>154.11352139358468</v>
      </c>
      <c r="I632" s="30" cm="1">
        <f t="array" ref="I632">_xlfn.IFS(Table15[[#This Row],[Column4]]="NEW",_xlfn.XLOOKUP(Table15[[#This Row],[Year]]-1,$N$2:$N$27,$P$2:$P$27)*(1+Table15[[#This Row],[Ávöxtun]]),ISNUMBER(Table15[[#This Row],[Column4]]),Table15[[#This Row],[Column4]],Table15[[#This Row],[Column4]]="",I631*(1+Table15[[#This Row],[Ávöxtun]]))</f>
        <v>154.11352139358468</v>
      </c>
      <c r="L632" s="33">
        <v>154.11352139358468</v>
      </c>
      <c r="M632" s="33">
        <v>154.11352139358468</v>
      </c>
    </row>
    <row r="633" spans="1:13">
      <c r="A633" t="s">
        <v>116</v>
      </c>
      <c r="B633">
        <v>2009</v>
      </c>
      <c r="C633" s="16">
        <v>3.5799999999999998E-2</v>
      </c>
      <c r="D633" s="1">
        <v>52548263</v>
      </c>
      <c r="E633" s="29">
        <f>Table15[[#This Row],[Ávöxtun]]*Table15[[#This Row],[Eignir]]/SUMIFS(Table15[Eignir],Table15[Year],Table15[[#This Row],[Year]])</f>
        <v>1.1276597581581903E-3</v>
      </c>
      <c r="F633" s="23">
        <f>IF(B633=1997, 100, IF(COUNTIF(A$1:A632,A633)=0, "NEW", F632*(1+Table15[[#This Row],[Ávöxtun]])))</f>
        <v>159.63078545947502</v>
      </c>
      <c r="G633" s="18" cm="1">
        <f t="array" ref="G633">IFERROR(_xlfn.IFS(ISNUMBER(Table15[[#This Row],[Column3]]),Table15[[#This Row],[Column3]],Table15[[#This Row],[Column3]]="NEW",Table15[[#This Row],[Column3]]),"")</f>
        <v>159.63078545947502</v>
      </c>
      <c r="H633" s="15" cm="1">
        <f t="array" ref="H633">_xlfn.IFS(Table15[[#This Row],[Column4]]="NEW",AVERAGEIFS(Table15[Column4],Table15[Year],Table15[[#This Row],[Year]]),ISNUMBER(Table15[[#This Row],[Column4]]),Table15[[#This Row],[Column4]],Table15[[#This Row],[Column4]]="",H632*(1+Table15[[#This Row],[Ávöxtun]]))</f>
        <v>159.63078545947502</v>
      </c>
      <c r="I633" s="30" cm="1">
        <f t="array" ref="I633">_xlfn.IFS(Table15[[#This Row],[Column4]]="NEW",_xlfn.XLOOKUP(Table15[[#This Row],[Year]]-1,$N$2:$N$27,$P$2:$P$27)*(1+Table15[[#This Row],[Ávöxtun]]),ISNUMBER(Table15[[#This Row],[Column4]]),Table15[[#This Row],[Column4]],Table15[[#This Row],[Column4]]="",I632*(1+Table15[[#This Row],[Ávöxtun]]))</f>
        <v>159.63078545947502</v>
      </c>
      <c r="L633" s="33">
        <v>159.63078545947502</v>
      </c>
      <c r="M633" s="33">
        <v>159.63078545947502</v>
      </c>
    </row>
    <row r="634" spans="1:13">
      <c r="A634" t="s">
        <v>116</v>
      </c>
      <c r="B634">
        <v>2010</v>
      </c>
      <c r="C634" s="16">
        <v>2.3900000000000001E-2</v>
      </c>
      <c r="D634" s="1">
        <v>54413020</v>
      </c>
      <c r="E634" s="29">
        <f>Table15[[#This Row],[Ávöxtun]]*Table15[[#This Row],[Eignir]]/SUMIFS(Table15[Eignir],Table15[Year],Table15[[#This Row],[Year]])</f>
        <v>7.2741970871926663E-4</v>
      </c>
      <c r="F634" s="23">
        <f>IF(B634=1997, 100, IF(COUNTIF(A$1:A633,A634)=0, "NEW", F633*(1+Table15[[#This Row],[Ávöxtun]])))</f>
        <v>163.44596123195649</v>
      </c>
      <c r="G634" s="18" cm="1">
        <f t="array" ref="G634">IFERROR(_xlfn.IFS(ISNUMBER(Table15[[#This Row],[Column3]]),Table15[[#This Row],[Column3]],Table15[[#This Row],[Column3]]="NEW",Table15[[#This Row],[Column3]]),"")</f>
        <v>163.44596123195649</v>
      </c>
      <c r="H634" s="15" cm="1">
        <f t="array" ref="H634">_xlfn.IFS(Table15[[#This Row],[Column4]]="NEW",AVERAGEIFS(Table15[Column4],Table15[Year],Table15[[#This Row],[Year]]),ISNUMBER(Table15[[#This Row],[Column4]]),Table15[[#This Row],[Column4]],Table15[[#This Row],[Column4]]="",H633*(1+Table15[[#This Row],[Ávöxtun]]))</f>
        <v>163.44596123195649</v>
      </c>
      <c r="I634" s="30" cm="1">
        <f t="array" ref="I634">_xlfn.IFS(Table15[[#This Row],[Column4]]="NEW",_xlfn.XLOOKUP(Table15[[#This Row],[Year]]-1,$N$2:$N$27,$P$2:$P$27)*(1+Table15[[#This Row],[Ávöxtun]]),ISNUMBER(Table15[[#This Row],[Column4]]),Table15[[#This Row],[Column4]],Table15[[#This Row],[Column4]]="",I633*(1+Table15[[#This Row],[Ávöxtun]]))</f>
        <v>163.44596123195649</v>
      </c>
      <c r="L634" s="33">
        <v>163.44596123195649</v>
      </c>
      <c r="M634" s="33">
        <v>163.44596123195649</v>
      </c>
    </row>
    <row r="635" spans="1:13">
      <c r="A635" t="s">
        <v>116</v>
      </c>
      <c r="B635">
        <v>2011</v>
      </c>
      <c r="C635" s="16">
        <v>3.2000000000000001E-2</v>
      </c>
      <c r="D635" s="1">
        <v>58321251</v>
      </c>
      <c r="E635" s="29">
        <f>Table15[[#This Row],[Ávöxtun]]*Table15[[#This Row],[Eignir]]/SUMIFS(Table15[Eignir],Table15[Year],Table15[[#This Row],[Year]])</f>
        <v>9.5679248205277675E-4</v>
      </c>
      <c r="F635" s="23">
        <f>IF(B635=1997, 100, IF(COUNTIF(A$1:A634,A635)=0, "NEW", F634*(1+Table15[[#This Row],[Ávöxtun]])))</f>
        <v>168.6762319913791</v>
      </c>
      <c r="G635" s="18" cm="1">
        <f t="array" ref="G635">IFERROR(_xlfn.IFS(ISNUMBER(Table15[[#This Row],[Column3]]),Table15[[#This Row],[Column3]],Table15[[#This Row],[Column3]]="NEW",Table15[[#This Row],[Column3]]),"")</f>
        <v>168.6762319913791</v>
      </c>
      <c r="H635" s="15" cm="1">
        <f t="array" ref="H635">_xlfn.IFS(Table15[[#This Row],[Column4]]="NEW",AVERAGEIFS(Table15[Column4],Table15[Year],Table15[[#This Row],[Year]]),ISNUMBER(Table15[[#This Row],[Column4]]),Table15[[#This Row],[Column4]],Table15[[#This Row],[Column4]]="",H634*(1+Table15[[#This Row],[Ávöxtun]]))</f>
        <v>168.6762319913791</v>
      </c>
      <c r="I635" s="30" cm="1">
        <f t="array" ref="I635">_xlfn.IFS(Table15[[#This Row],[Column4]]="NEW",_xlfn.XLOOKUP(Table15[[#This Row],[Year]]-1,$N$2:$N$27,$P$2:$P$27)*(1+Table15[[#This Row],[Ávöxtun]]),ISNUMBER(Table15[[#This Row],[Column4]]),Table15[[#This Row],[Column4]],Table15[[#This Row],[Column4]]="",I634*(1+Table15[[#This Row],[Ávöxtun]]))</f>
        <v>168.6762319913791</v>
      </c>
      <c r="L635" s="33">
        <v>168.6762319913791</v>
      </c>
      <c r="M635" s="33">
        <v>168.6762319913791</v>
      </c>
    </row>
    <row r="636" spans="1:13">
      <c r="A636" t="s">
        <v>116</v>
      </c>
      <c r="B636">
        <v>2012</v>
      </c>
      <c r="C636" s="16">
        <v>3.4000000000000002E-2</v>
      </c>
      <c r="D636" s="1">
        <v>62007525</v>
      </c>
      <c r="E636" s="29">
        <f>Table15[[#This Row],[Ávöxtun]]*Table15[[#This Row],[Eignir]]/SUMIFS(Table15[Eignir],Table15[Year],Table15[[#This Row],[Year]])</f>
        <v>9.5706132720974372E-4</v>
      </c>
      <c r="F636" s="23">
        <f>IF(B636=1997, 100, IF(COUNTIF(A$1:A635,A636)=0, "NEW", F635*(1+Table15[[#This Row],[Ávöxtun]])))</f>
        <v>174.41122387908598</v>
      </c>
      <c r="G636" s="18" cm="1">
        <f t="array" ref="G636">IFERROR(_xlfn.IFS(ISNUMBER(Table15[[#This Row],[Column3]]),Table15[[#This Row],[Column3]],Table15[[#This Row],[Column3]]="NEW",Table15[[#This Row],[Column3]]),"")</f>
        <v>174.41122387908598</v>
      </c>
      <c r="H636" s="15" cm="1">
        <f t="array" ref="H636">_xlfn.IFS(Table15[[#This Row],[Column4]]="NEW",AVERAGEIFS(Table15[Column4],Table15[Year],Table15[[#This Row],[Year]]),ISNUMBER(Table15[[#This Row],[Column4]]),Table15[[#This Row],[Column4]],Table15[[#This Row],[Column4]]="",H635*(1+Table15[[#This Row],[Ávöxtun]]))</f>
        <v>174.41122387908598</v>
      </c>
      <c r="I636" s="30" cm="1">
        <f t="array" ref="I636">_xlfn.IFS(Table15[[#This Row],[Column4]]="NEW",_xlfn.XLOOKUP(Table15[[#This Row],[Year]]-1,$N$2:$N$27,$P$2:$P$27)*(1+Table15[[#This Row],[Ávöxtun]]),ISNUMBER(Table15[[#This Row],[Column4]]),Table15[[#This Row],[Column4]],Table15[[#This Row],[Column4]]="",I635*(1+Table15[[#This Row],[Ávöxtun]]))</f>
        <v>174.41122387908598</v>
      </c>
      <c r="L636" s="33">
        <v>174.41122387908598</v>
      </c>
      <c r="M636" s="33">
        <v>174.41122387908598</v>
      </c>
    </row>
    <row r="637" spans="1:13">
      <c r="A637" t="s">
        <v>116</v>
      </c>
      <c r="B637">
        <v>2013</v>
      </c>
      <c r="C637" s="16">
        <v>4.2000000000000003E-2</v>
      </c>
      <c r="D637" s="1">
        <v>65939023</v>
      </c>
      <c r="E637" s="29">
        <f>Table15[[#This Row],[Ávöxtun]]*Table15[[#This Row],[Eignir]]/SUMIFS(Table15[Eignir],Table15[Year],Table15[[#This Row],[Year]])</f>
        <v>1.1380104613733248E-3</v>
      </c>
      <c r="F637" s="23">
        <f>IF(B637=1997, 100, IF(COUNTIF(A$1:A636,A637)=0, "NEW", F636*(1+Table15[[#This Row],[Ávöxtun]])))</f>
        <v>181.73649528200761</v>
      </c>
      <c r="G637" s="18" cm="1">
        <f t="array" ref="G637">IFERROR(_xlfn.IFS(ISNUMBER(Table15[[#This Row],[Column3]]),Table15[[#This Row],[Column3]],Table15[[#This Row],[Column3]]="NEW",Table15[[#This Row],[Column3]]),"")</f>
        <v>181.73649528200761</v>
      </c>
      <c r="H637" s="15" cm="1">
        <f t="array" ref="H637">_xlfn.IFS(Table15[[#This Row],[Column4]]="NEW",AVERAGEIFS(Table15[Column4],Table15[Year],Table15[[#This Row],[Year]]),ISNUMBER(Table15[[#This Row],[Column4]]),Table15[[#This Row],[Column4]],Table15[[#This Row],[Column4]]="",H636*(1+Table15[[#This Row],[Ávöxtun]]))</f>
        <v>181.73649528200761</v>
      </c>
      <c r="I637" s="30" cm="1">
        <f t="array" ref="I637">_xlfn.IFS(Table15[[#This Row],[Column4]]="NEW",_xlfn.XLOOKUP(Table15[[#This Row],[Year]]-1,$N$2:$N$27,$P$2:$P$27)*(1+Table15[[#This Row],[Ávöxtun]]),ISNUMBER(Table15[[#This Row],[Column4]]),Table15[[#This Row],[Column4]],Table15[[#This Row],[Column4]]="",I636*(1+Table15[[#This Row],[Ávöxtun]]))</f>
        <v>181.73649528200761</v>
      </c>
      <c r="L637" s="33">
        <v>181.73649528200761</v>
      </c>
      <c r="M637" s="33">
        <v>181.73649528200761</v>
      </c>
    </row>
    <row r="638" spans="1:13">
      <c r="A638" t="s">
        <v>116</v>
      </c>
      <c r="B638">
        <v>2014</v>
      </c>
      <c r="C638" s="16">
        <v>4.0999999999999995E-2</v>
      </c>
      <c r="D638" s="1">
        <v>68136259</v>
      </c>
      <c r="E638" s="29">
        <f>Table15[[#This Row],[Ávöxtun]]*Table15[[#This Row],[Eignir]]/SUMIFS(Table15[Eignir],Table15[Year],Table15[[#This Row],[Year]])</f>
        <v>1.05298423388133E-3</v>
      </c>
      <c r="F638" s="23">
        <f>IF(B638=1997, 100, IF(COUNTIF(A$1:A637,A638)=0, "NEW", F637*(1+Table15[[#This Row],[Ávöxtun]])))</f>
        <v>189.18769158856992</v>
      </c>
      <c r="G638" s="18" cm="1">
        <f t="array" ref="G638">IFERROR(_xlfn.IFS(ISNUMBER(Table15[[#This Row],[Column3]]),Table15[[#This Row],[Column3]],Table15[[#This Row],[Column3]]="NEW",Table15[[#This Row],[Column3]]),"")</f>
        <v>189.18769158856992</v>
      </c>
      <c r="H638" s="15" cm="1">
        <f t="array" ref="H638">_xlfn.IFS(Table15[[#This Row],[Column4]]="NEW",AVERAGEIFS(Table15[Column4],Table15[Year],Table15[[#This Row],[Year]]),ISNUMBER(Table15[[#This Row],[Column4]]),Table15[[#This Row],[Column4]],Table15[[#This Row],[Column4]]="",H637*(1+Table15[[#This Row],[Ávöxtun]]))</f>
        <v>189.18769158856992</v>
      </c>
      <c r="I638" s="30" cm="1">
        <f t="array" ref="I638">_xlfn.IFS(Table15[[#This Row],[Column4]]="NEW",_xlfn.XLOOKUP(Table15[[#This Row],[Year]]-1,$N$2:$N$27,$P$2:$P$27)*(1+Table15[[#This Row],[Ávöxtun]]),ISNUMBER(Table15[[#This Row],[Column4]]),Table15[[#This Row],[Column4]],Table15[[#This Row],[Column4]]="",I637*(1+Table15[[#This Row],[Ávöxtun]]))</f>
        <v>189.18769158856992</v>
      </c>
      <c r="L638" s="33">
        <v>189.18769158856992</v>
      </c>
      <c r="M638" s="33">
        <v>189.18769158856992</v>
      </c>
    </row>
    <row r="639" spans="1:13">
      <c r="A639" t="s">
        <v>116</v>
      </c>
      <c r="B639">
        <v>2015</v>
      </c>
      <c r="C639" s="16">
        <v>6.3E-2</v>
      </c>
      <c r="D639" s="1">
        <v>72406762</v>
      </c>
      <c r="E639" s="29">
        <f>Table15[[#This Row],[Ávöxtun]]*Table15[[#This Row],[Eignir]]/SUMIFS(Table15[Eignir],Table15[Year],Table15[[#This Row],[Year]])</f>
        <v>1.5403726414551645E-3</v>
      </c>
      <c r="F639" s="23">
        <f>IF(B639=1997, 100, IF(COUNTIF(A$1:A638,A639)=0, "NEW", F638*(1+Table15[[#This Row],[Ávöxtun]])))</f>
        <v>201.10651615864981</v>
      </c>
      <c r="G639" s="18" cm="1">
        <f t="array" ref="G639">IFERROR(_xlfn.IFS(ISNUMBER(Table15[[#This Row],[Column3]]),Table15[[#This Row],[Column3]],Table15[[#This Row],[Column3]]="NEW",Table15[[#This Row],[Column3]]),"")</f>
        <v>201.10651615864981</v>
      </c>
      <c r="H639" s="15" cm="1">
        <f t="array" ref="H639">_xlfn.IFS(Table15[[#This Row],[Column4]]="NEW",AVERAGEIFS(Table15[Column4],Table15[Year],Table15[[#This Row],[Year]]),ISNUMBER(Table15[[#This Row],[Column4]]),Table15[[#This Row],[Column4]],Table15[[#This Row],[Column4]]="",H638*(1+Table15[[#This Row],[Ávöxtun]]))</f>
        <v>201.10651615864981</v>
      </c>
      <c r="I639" s="30" cm="1">
        <f t="array" ref="I639">_xlfn.IFS(Table15[[#This Row],[Column4]]="NEW",_xlfn.XLOOKUP(Table15[[#This Row],[Year]]-1,$N$2:$N$27,$P$2:$P$27)*(1+Table15[[#This Row],[Ávöxtun]]),ISNUMBER(Table15[[#This Row],[Column4]]),Table15[[#This Row],[Column4]],Table15[[#This Row],[Column4]]="",I638*(1+Table15[[#This Row],[Ávöxtun]]))</f>
        <v>201.10651615864981</v>
      </c>
      <c r="L639" s="33">
        <v>201.10651615864981</v>
      </c>
      <c r="M639" s="33">
        <v>201.10651615864981</v>
      </c>
    </row>
    <row r="640" spans="1:13">
      <c r="A640" t="s">
        <v>116</v>
      </c>
      <c r="B640">
        <v>2016</v>
      </c>
      <c r="C640" s="16">
        <v>1.3000000000000001E-2</v>
      </c>
      <c r="D640" s="1">
        <v>74356941.659999996</v>
      </c>
      <c r="E640" s="29">
        <f>Table15[[#This Row],[Ávöxtun]]*Table15[[#This Row],[Eignir]]/SUMIFS(Table15[Eignir],Table15[Year],Table15[[#This Row],[Year]])</f>
        <v>3.0207067113439414E-4</v>
      </c>
      <c r="F640" s="23">
        <f>IF(B640=1997, 100, IF(COUNTIF(A$1:A639,A640)=0, "NEW", F639*(1+Table15[[#This Row],[Ávöxtun]])))</f>
        <v>203.72090086871225</v>
      </c>
      <c r="G640" s="18" cm="1">
        <f t="array" ref="G640">IFERROR(_xlfn.IFS(ISNUMBER(Table15[[#This Row],[Column3]]),Table15[[#This Row],[Column3]],Table15[[#This Row],[Column3]]="NEW",Table15[[#This Row],[Column3]]),"")</f>
        <v>203.72090086871225</v>
      </c>
      <c r="H640" s="15" cm="1">
        <f t="array" ref="H640">_xlfn.IFS(Table15[[#This Row],[Column4]]="NEW",AVERAGEIFS(Table15[Column4],Table15[Year],Table15[[#This Row],[Year]]),ISNUMBER(Table15[[#This Row],[Column4]]),Table15[[#This Row],[Column4]],Table15[[#This Row],[Column4]]="",H639*(1+Table15[[#This Row],[Ávöxtun]]))</f>
        <v>203.72090086871225</v>
      </c>
      <c r="I640" s="30" cm="1">
        <f t="array" ref="I640">_xlfn.IFS(Table15[[#This Row],[Column4]]="NEW",_xlfn.XLOOKUP(Table15[[#This Row],[Year]]-1,$N$2:$N$27,$P$2:$P$27)*(1+Table15[[#This Row],[Ávöxtun]]),ISNUMBER(Table15[[#This Row],[Column4]]),Table15[[#This Row],[Column4]],Table15[[#This Row],[Column4]]="",I639*(1+Table15[[#This Row],[Ávöxtun]]))</f>
        <v>203.72090086871225</v>
      </c>
      <c r="L640" s="33">
        <v>203.72090086871225</v>
      </c>
      <c r="M640" s="33">
        <v>203.72090086871225</v>
      </c>
    </row>
    <row r="641" spans="1:13">
      <c r="A641" t="s">
        <v>116</v>
      </c>
      <c r="B641">
        <v>2017</v>
      </c>
      <c r="C641" s="16">
        <v>4.2999999999999997E-2</v>
      </c>
      <c r="D641" s="1">
        <v>77204479</v>
      </c>
      <c r="E641" s="29">
        <f>Table15[[#This Row],[Ávöxtun]]*Table15[[#This Row],[Eignir]]/SUMIFS(Table15[Eignir],Table15[Year],Table15[[#This Row],[Year]])</f>
        <v>9.3274837734440925E-4</v>
      </c>
      <c r="F641" s="23">
        <f>IF(B641=1997, 100, IF(COUNTIF(A$1:A640,A641)=0, "NEW", F640*(1+Table15[[#This Row],[Ávöxtun]])))</f>
        <v>212.48089960606686</v>
      </c>
      <c r="G641" s="18" cm="1">
        <f t="array" ref="G641">IFERROR(_xlfn.IFS(ISNUMBER(Table15[[#This Row],[Column3]]),Table15[[#This Row],[Column3]],Table15[[#This Row],[Column3]]="NEW",Table15[[#This Row],[Column3]]),"")</f>
        <v>212.48089960606686</v>
      </c>
      <c r="H641" s="15" cm="1">
        <f t="array" ref="H641">_xlfn.IFS(Table15[[#This Row],[Column4]]="NEW",AVERAGEIFS(Table15[Column4],Table15[Year],Table15[[#This Row],[Year]]),ISNUMBER(Table15[[#This Row],[Column4]]),Table15[[#This Row],[Column4]],Table15[[#This Row],[Column4]]="",H640*(1+Table15[[#This Row],[Ávöxtun]]))</f>
        <v>212.48089960606686</v>
      </c>
      <c r="I641" s="30" cm="1">
        <f t="array" ref="I641">_xlfn.IFS(Table15[[#This Row],[Column4]]="NEW",_xlfn.XLOOKUP(Table15[[#This Row],[Year]]-1,$N$2:$N$27,$P$2:$P$27)*(1+Table15[[#This Row],[Ávöxtun]]),ISNUMBER(Table15[[#This Row],[Column4]]),Table15[[#This Row],[Column4]],Table15[[#This Row],[Column4]]="",I640*(1+Table15[[#This Row],[Ávöxtun]]))</f>
        <v>212.48089960606686</v>
      </c>
      <c r="L641" s="33">
        <v>212.48089960606686</v>
      </c>
      <c r="M641" s="33">
        <v>212.48089960606686</v>
      </c>
    </row>
    <row r="642" spans="1:13">
      <c r="A642" t="s">
        <v>116</v>
      </c>
      <c r="B642">
        <v>2018</v>
      </c>
      <c r="C642" s="16">
        <v>2.4E-2</v>
      </c>
      <c r="D642" s="1">
        <v>79156591</v>
      </c>
      <c r="E642" s="29">
        <f>Table15[[#This Row],[Ávöxtun]]*Table15[[#This Row],[Eignir]]/SUMIFS(Table15[Eignir],Table15[Year],Table15[[#This Row],[Year]])</f>
        <v>4.9753791591204677E-4</v>
      </c>
      <c r="F642" s="23">
        <f>IF(B642=1997, 100, IF(COUNTIF(A$1:A641,A642)=0, "NEW", F641*(1+Table15[[#This Row],[Ávöxtun]])))</f>
        <v>217.58044119661247</v>
      </c>
      <c r="G642" s="18" cm="1">
        <f t="array" ref="G642">IFERROR(_xlfn.IFS(ISNUMBER(Table15[[#This Row],[Column3]]),Table15[[#This Row],[Column3]],Table15[[#This Row],[Column3]]="NEW",Table15[[#This Row],[Column3]]),"")</f>
        <v>217.58044119661247</v>
      </c>
      <c r="H642" s="15" cm="1">
        <f t="array" ref="H642">_xlfn.IFS(Table15[[#This Row],[Column4]]="NEW",AVERAGEIFS(Table15[Column4],Table15[Year],Table15[[#This Row],[Year]]),ISNUMBER(Table15[[#This Row],[Column4]]),Table15[[#This Row],[Column4]],Table15[[#This Row],[Column4]]="",H641*(1+Table15[[#This Row],[Ávöxtun]]))</f>
        <v>217.58044119661247</v>
      </c>
      <c r="I642" s="30" cm="1">
        <f t="array" ref="I642">_xlfn.IFS(Table15[[#This Row],[Column4]]="NEW",_xlfn.XLOOKUP(Table15[[#This Row],[Year]]-1,$N$2:$N$27,$P$2:$P$27)*(1+Table15[[#This Row],[Ávöxtun]]),ISNUMBER(Table15[[#This Row],[Column4]]),Table15[[#This Row],[Column4]],Table15[[#This Row],[Column4]]="",I641*(1+Table15[[#This Row],[Ávöxtun]]))</f>
        <v>217.58044119661247</v>
      </c>
      <c r="L642" s="33">
        <v>217.58044119661247</v>
      </c>
      <c r="M642" s="33">
        <v>217.58044119661247</v>
      </c>
    </row>
    <row r="643" spans="1:13">
      <c r="A643" t="s">
        <v>116</v>
      </c>
      <c r="B643">
        <v>2019</v>
      </c>
      <c r="C643" s="16">
        <v>5.5E-2</v>
      </c>
      <c r="D643" s="1">
        <v>83215451.079999998</v>
      </c>
      <c r="E643" s="29">
        <f>Table15[[#This Row],[Ávöxtun]]*Table15[[#This Row],[Eignir]]/SUMIFS(Table15[Eignir],Table15[Year],Table15[[#This Row],[Year]])</f>
        <v>1.0338773035664614E-3</v>
      </c>
      <c r="F643" s="23">
        <f>IF(B643=1997, 100, IF(COUNTIF(A$1:A642,A643)=0, "NEW", F642*(1+Table15[[#This Row],[Ávöxtun]])))</f>
        <v>229.54736546242614</v>
      </c>
      <c r="G643" s="18" cm="1">
        <f t="array" ref="G643">IFERROR(_xlfn.IFS(ISNUMBER(Table15[[#This Row],[Column3]]),Table15[[#This Row],[Column3]],Table15[[#This Row],[Column3]]="NEW",Table15[[#This Row],[Column3]]),"")</f>
        <v>229.54736546242614</v>
      </c>
      <c r="H643" s="15" cm="1">
        <f t="array" ref="H643">_xlfn.IFS(Table15[[#This Row],[Column4]]="NEW",AVERAGEIFS(Table15[Column4],Table15[Year],Table15[[#This Row],[Year]]),ISNUMBER(Table15[[#This Row],[Column4]]),Table15[[#This Row],[Column4]],Table15[[#This Row],[Column4]]="",H642*(1+Table15[[#This Row],[Ávöxtun]]))</f>
        <v>229.54736546242614</v>
      </c>
      <c r="I643" s="30" cm="1">
        <f t="array" ref="I643">_xlfn.IFS(Table15[[#This Row],[Column4]]="NEW",_xlfn.XLOOKUP(Table15[[#This Row],[Year]]-1,$N$2:$N$27,$P$2:$P$27)*(1+Table15[[#This Row],[Ávöxtun]]),ISNUMBER(Table15[[#This Row],[Column4]]),Table15[[#This Row],[Column4]],Table15[[#This Row],[Column4]]="",I642*(1+Table15[[#This Row],[Ávöxtun]]))</f>
        <v>229.54736546242614</v>
      </c>
      <c r="L643" s="33">
        <v>229.54736546242614</v>
      </c>
      <c r="M643" s="33">
        <v>229.54736546242614</v>
      </c>
    </row>
    <row r="644" spans="1:13">
      <c r="A644" t="s">
        <v>116</v>
      </c>
      <c r="B644">
        <v>2020</v>
      </c>
      <c r="C644" s="16">
        <v>4.4000000000000004E-2</v>
      </c>
      <c r="D644" s="1">
        <v>87611246.790000007</v>
      </c>
      <c r="E644" s="29">
        <f>Table15[[#This Row],[Ávöxtun]]*Table15[[#This Row],[Eignir]]/SUMIFS(Table15[Eignir],Table15[Year],Table15[[#This Row],[Year]])</f>
        <v>7.5047397910344956E-4</v>
      </c>
      <c r="F644" s="23">
        <f>IF(B644=1997, 100, IF(COUNTIF(A$1:A643,A644)=0, "NEW", F643*(1+Table15[[#This Row],[Ávöxtun]])))</f>
        <v>239.6474495427729</v>
      </c>
      <c r="G644" s="18" cm="1">
        <f t="array" ref="G644">IFERROR(_xlfn.IFS(ISNUMBER(Table15[[#This Row],[Column3]]),Table15[[#This Row],[Column3]],Table15[[#This Row],[Column3]]="NEW",Table15[[#This Row],[Column3]]),"")</f>
        <v>239.6474495427729</v>
      </c>
      <c r="H644" s="15" cm="1">
        <f t="array" ref="H644">_xlfn.IFS(Table15[[#This Row],[Column4]]="NEW",AVERAGEIFS(Table15[Column4],Table15[Year],Table15[[#This Row],[Year]]),ISNUMBER(Table15[[#This Row],[Column4]]),Table15[[#This Row],[Column4]],Table15[[#This Row],[Column4]]="",H643*(1+Table15[[#This Row],[Ávöxtun]]))</f>
        <v>239.6474495427729</v>
      </c>
      <c r="I644" s="30" cm="1">
        <f t="array" ref="I644">_xlfn.IFS(Table15[[#This Row],[Column4]]="NEW",_xlfn.XLOOKUP(Table15[[#This Row],[Year]]-1,$N$2:$N$27,$P$2:$P$27)*(1+Table15[[#This Row],[Ávöxtun]]),ISNUMBER(Table15[[#This Row],[Column4]]),Table15[[#This Row],[Column4]],Table15[[#This Row],[Column4]]="",I643*(1+Table15[[#This Row],[Ávöxtun]]))</f>
        <v>239.6474495427729</v>
      </c>
      <c r="L644" s="33">
        <v>239.6474495427729</v>
      </c>
      <c r="M644" s="33">
        <v>239.6474495427729</v>
      </c>
    </row>
    <row r="645" spans="1:13">
      <c r="A645" t="s">
        <v>116</v>
      </c>
      <c r="B645">
        <v>2021</v>
      </c>
      <c r="C645" s="16">
        <v>5.2999999999999999E-2</v>
      </c>
      <c r="D645" s="1">
        <v>92769371.579999998</v>
      </c>
      <c r="E645" s="29">
        <f>Table15[[#This Row],[Ávöxtun]]*Table15[[#This Row],[Eignir]]/SUMIFS(Table15[Eignir],Table15[Year],Table15[[#This Row],[Year]])</f>
        <v>8.141035101456712E-4</v>
      </c>
      <c r="F645" s="23">
        <f>IF(B645=1997, 100, IF(COUNTIF(A$1:A644,A645)=0, "NEW", F644*(1+Table15[[#This Row],[Ávöxtun]])))</f>
        <v>252.34876436853986</v>
      </c>
      <c r="G645" s="18" cm="1">
        <f t="array" ref="G645">IFERROR(_xlfn.IFS(ISNUMBER(Table15[[#This Row],[Column3]]),Table15[[#This Row],[Column3]],Table15[[#This Row],[Column3]]="NEW",Table15[[#This Row],[Column3]]),"")</f>
        <v>252.34876436853986</v>
      </c>
      <c r="H645" s="15" cm="1">
        <f t="array" ref="H645">_xlfn.IFS(Table15[[#This Row],[Column4]]="NEW",AVERAGEIFS(Table15[Column4],Table15[Year],Table15[[#This Row],[Year]]),ISNUMBER(Table15[[#This Row],[Column4]]),Table15[[#This Row],[Column4]],Table15[[#This Row],[Column4]]="",H644*(1+Table15[[#This Row],[Ávöxtun]]))</f>
        <v>252.34876436853986</v>
      </c>
      <c r="I645" s="30" cm="1">
        <f t="array" ref="I645">_xlfn.IFS(Table15[[#This Row],[Column4]]="NEW",_xlfn.XLOOKUP(Table15[[#This Row],[Year]]-1,$N$2:$N$27,$P$2:$P$27)*(1+Table15[[#This Row],[Ávöxtun]]),ISNUMBER(Table15[[#This Row],[Column4]]),Table15[[#This Row],[Column4]],Table15[[#This Row],[Column4]]="",I644*(1+Table15[[#This Row],[Ávöxtun]]))</f>
        <v>252.34876436853986</v>
      </c>
      <c r="L645" s="33">
        <v>252.34876436853986</v>
      </c>
      <c r="M645" s="33">
        <v>252.34876436853986</v>
      </c>
    </row>
    <row r="646" spans="1:13">
      <c r="A646" t="s">
        <v>117</v>
      </c>
      <c r="B646">
        <v>1997</v>
      </c>
      <c r="C646" s="16">
        <v>0.03</v>
      </c>
      <c r="D646" s="1">
        <v>34593465.469999999</v>
      </c>
      <c r="E646" s="29">
        <f>Table15[[#This Row],[Ávöxtun]]*Table15[[#This Row],[Eignir]]/SUMIFS(Table15[Eignir],Table15[Year],Table15[[#This Row],[Year]])</f>
        <v>3.0611397932737892E-3</v>
      </c>
      <c r="F646" s="23">
        <f>IF(B646=1997, 100, IF(COUNTIF(A$1:A645,A646)=0, "NEW", F645*(1+Table15[[#This Row],[Ávöxtun]])))</f>
        <v>100</v>
      </c>
      <c r="G646" s="18" cm="1">
        <f t="array" ref="G646">IFERROR(_xlfn.IFS(ISNUMBER(Table15[[#This Row],[Column3]]),Table15[[#This Row],[Column3]],Table15[[#This Row],[Column3]]="NEW",Table15[[#This Row],[Column3]]),"")</f>
        <v>100</v>
      </c>
      <c r="H646" s="15" cm="1">
        <f t="array" ref="H646">_xlfn.IFS(Table15[[#This Row],[Column4]]="NEW",AVERAGEIFS(Table15[Column4],Table15[Year],Table15[[#This Row],[Year]]),ISNUMBER(Table15[[#This Row],[Column4]]),Table15[[#This Row],[Column4]],Table15[[#This Row],[Column4]]="",H645*(1+Table15[[#This Row],[Ávöxtun]]))</f>
        <v>100</v>
      </c>
      <c r="I646" s="30" cm="1">
        <f t="array" ref="I646">_xlfn.IFS(Table15[[#This Row],[Column4]]="NEW",_xlfn.XLOOKUP(Table15[[#This Row],[Year]]-1,$N$2:$N$27,$P$2:$P$27)*(1+Table15[[#This Row],[Ávöxtun]]),ISNUMBER(Table15[[#This Row],[Column4]]),Table15[[#This Row],[Column4]],Table15[[#This Row],[Column4]]="",I645*(1+Table15[[#This Row],[Ávöxtun]]))</f>
        <v>100</v>
      </c>
      <c r="L646" s="33">
        <v>100</v>
      </c>
      <c r="M646" s="33">
        <v>100</v>
      </c>
    </row>
    <row r="647" spans="1:13">
      <c r="A647" t="s">
        <v>117</v>
      </c>
      <c r="B647">
        <v>1998</v>
      </c>
      <c r="C647" s="16">
        <v>0.06</v>
      </c>
      <c r="D647" s="1">
        <v>40131611.18</v>
      </c>
      <c r="E647" s="29">
        <f>Table15[[#This Row],[Ávöxtun]]*Table15[[#This Row],[Eignir]]/SUMIFS(Table15[Eignir],Table15[Year],Table15[[#This Row],[Year]])</f>
        <v>6.1483197852775116E-3</v>
      </c>
      <c r="F647" s="23">
        <f>IF(B647=1997, 100, IF(COUNTIF(A$1:A646,A647)=0, "NEW", F646*(1+Table15[[#This Row],[Ávöxtun]])))</f>
        <v>106</v>
      </c>
      <c r="G647" s="18" cm="1">
        <f t="array" ref="G647">IFERROR(_xlfn.IFS(ISNUMBER(Table15[[#This Row],[Column3]]),Table15[[#This Row],[Column3]],Table15[[#This Row],[Column3]]="NEW",Table15[[#This Row],[Column3]]),"")</f>
        <v>106</v>
      </c>
      <c r="H647" s="15" cm="1">
        <f t="array" ref="H647">_xlfn.IFS(Table15[[#This Row],[Column4]]="NEW",AVERAGEIFS(Table15[Column4],Table15[Year],Table15[[#This Row],[Year]]),ISNUMBER(Table15[[#This Row],[Column4]]),Table15[[#This Row],[Column4]],Table15[[#This Row],[Column4]]="",H646*(1+Table15[[#This Row],[Ávöxtun]]))</f>
        <v>106</v>
      </c>
      <c r="I647" s="30" cm="1">
        <f t="array" ref="I647">_xlfn.IFS(Table15[[#This Row],[Column4]]="NEW",_xlfn.XLOOKUP(Table15[[#This Row],[Year]]-1,$N$2:$N$27,$P$2:$P$27)*(1+Table15[[#This Row],[Ávöxtun]]),ISNUMBER(Table15[[#This Row],[Column4]]),Table15[[#This Row],[Column4]],Table15[[#This Row],[Column4]]="",I646*(1+Table15[[#This Row],[Ávöxtun]]))</f>
        <v>106</v>
      </c>
      <c r="L647" s="33">
        <v>106</v>
      </c>
      <c r="M647" s="33">
        <v>106</v>
      </c>
    </row>
    <row r="648" spans="1:13">
      <c r="A648" t="s">
        <v>117</v>
      </c>
      <c r="B648">
        <v>1999</v>
      </c>
      <c r="C648" s="16">
        <v>0.08</v>
      </c>
      <c r="D648" s="1">
        <v>61317018.310000002</v>
      </c>
      <c r="E648" s="29">
        <f>Table15[[#This Row],[Ávöxtun]]*Table15[[#This Row],[Eignir]]/SUMIFS(Table15[Eignir],Table15[Year],Table15[[#This Row],[Year]])</f>
        <v>9.4204038270382286E-3</v>
      </c>
      <c r="F648" s="23">
        <f>IF(B648=1997, 100, IF(COUNTIF(A$1:A647,A648)=0, "NEW", F647*(1+Table15[[#This Row],[Ávöxtun]])))</f>
        <v>114.48</v>
      </c>
      <c r="G648" s="18" cm="1">
        <f t="array" ref="G648">IFERROR(_xlfn.IFS(ISNUMBER(Table15[[#This Row],[Column3]]),Table15[[#This Row],[Column3]],Table15[[#This Row],[Column3]]="NEW",Table15[[#This Row],[Column3]]),"")</f>
        <v>114.48</v>
      </c>
      <c r="H648" s="15" cm="1">
        <f t="array" ref="H648">_xlfn.IFS(Table15[[#This Row],[Column4]]="NEW",AVERAGEIFS(Table15[Column4],Table15[Year],Table15[[#This Row],[Year]]),ISNUMBER(Table15[[#This Row],[Column4]]),Table15[[#This Row],[Column4]],Table15[[#This Row],[Column4]]="",H647*(1+Table15[[#This Row],[Ávöxtun]]))</f>
        <v>114.48</v>
      </c>
      <c r="I648" s="30" cm="1">
        <f t="array" ref="I648">_xlfn.IFS(Table15[[#This Row],[Column4]]="NEW",_xlfn.XLOOKUP(Table15[[#This Row],[Year]]-1,$N$2:$N$27,$P$2:$P$27)*(1+Table15[[#This Row],[Ávöxtun]]),ISNUMBER(Table15[[#This Row],[Column4]]),Table15[[#This Row],[Column4]],Table15[[#This Row],[Column4]]="",I647*(1+Table15[[#This Row],[Ávöxtun]]))</f>
        <v>114.48</v>
      </c>
      <c r="L648" s="33">
        <v>114.48</v>
      </c>
      <c r="M648" s="33">
        <v>114.48</v>
      </c>
    </row>
    <row r="649" spans="1:13">
      <c r="A649" t="s">
        <v>117</v>
      </c>
      <c r="B649">
        <v>2000</v>
      </c>
      <c r="C649" s="16">
        <v>7.0000000000000007E-2</v>
      </c>
      <c r="D649" s="1">
        <v>153122200</v>
      </c>
      <c r="E649" s="29">
        <f>Table15[[#This Row],[Ávöxtun]]*Table15[[#This Row],[Eignir]]/SUMIFS(Table15[Eignir],Table15[Year],Table15[[#This Row],[Year]])</f>
        <v>1.5077660903523265E-2</v>
      </c>
      <c r="F649" s="23">
        <f>IF(B649=1997, 100, IF(COUNTIF(A$1:A648,A649)=0, "NEW", F648*(1+Table15[[#This Row],[Ávöxtun]])))</f>
        <v>122.49360000000001</v>
      </c>
      <c r="G649" s="18" cm="1">
        <f t="array" ref="G649">IFERROR(_xlfn.IFS(ISNUMBER(Table15[[#This Row],[Column3]]),Table15[[#This Row],[Column3]],Table15[[#This Row],[Column3]]="NEW",Table15[[#This Row],[Column3]]),"")</f>
        <v>122.49360000000001</v>
      </c>
      <c r="H649" s="15" cm="1">
        <f t="array" ref="H649">_xlfn.IFS(Table15[[#This Row],[Column4]]="NEW",AVERAGEIFS(Table15[Column4],Table15[Year],Table15[[#This Row],[Year]]),ISNUMBER(Table15[[#This Row],[Column4]]),Table15[[#This Row],[Column4]],Table15[[#This Row],[Column4]]="",H648*(1+Table15[[#This Row],[Ávöxtun]]))</f>
        <v>122.49360000000001</v>
      </c>
      <c r="I649" s="30" cm="1">
        <f t="array" ref="I649">_xlfn.IFS(Table15[[#This Row],[Column4]]="NEW",_xlfn.XLOOKUP(Table15[[#This Row],[Year]]-1,$N$2:$N$27,$P$2:$P$27)*(1+Table15[[#This Row],[Ávöxtun]]),ISNUMBER(Table15[[#This Row],[Column4]]),Table15[[#This Row],[Column4]],Table15[[#This Row],[Column4]]="",I648*(1+Table15[[#This Row],[Ávöxtun]]))</f>
        <v>122.49360000000001</v>
      </c>
      <c r="L649" s="33">
        <v>122.49360000000001</v>
      </c>
      <c r="M649" s="33">
        <v>122.49360000000001</v>
      </c>
    </row>
    <row r="650" spans="1:13">
      <c r="A650" t="s">
        <v>117</v>
      </c>
      <c r="B650">
        <v>2001</v>
      </c>
      <c r="C650" s="16">
        <v>0.01</v>
      </c>
      <c r="D650" s="1">
        <v>201429374</v>
      </c>
      <c r="E650" s="29">
        <f>Table15[[#This Row],[Ávöxtun]]*Table15[[#This Row],[Eignir]]/SUMIFS(Table15[Eignir],Table15[Year],Table15[[#This Row],[Year]])</f>
        <v>1.7395857910431436E-3</v>
      </c>
      <c r="F650" s="23">
        <f>IF(B650=1997, 100, IF(COUNTIF(A$1:A649,A650)=0, "NEW", F649*(1+Table15[[#This Row],[Ávöxtun]])))</f>
        <v>123.71853600000001</v>
      </c>
      <c r="G650" s="18" cm="1">
        <f t="array" ref="G650">IFERROR(_xlfn.IFS(ISNUMBER(Table15[[#This Row],[Column3]]),Table15[[#This Row],[Column3]],Table15[[#This Row],[Column3]]="NEW",Table15[[#This Row],[Column3]]),"")</f>
        <v>123.71853600000001</v>
      </c>
      <c r="H650" s="15" cm="1">
        <f t="array" ref="H650">_xlfn.IFS(Table15[[#This Row],[Column4]]="NEW",AVERAGEIFS(Table15[Column4],Table15[Year],Table15[[#This Row],[Year]]),ISNUMBER(Table15[[#This Row],[Column4]]),Table15[[#This Row],[Column4]],Table15[[#This Row],[Column4]]="",H649*(1+Table15[[#This Row],[Ávöxtun]]))</f>
        <v>123.71853600000001</v>
      </c>
      <c r="I650" s="30" cm="1">
        <f t="array" ref="I650">_xlfn.IFS(Table15[[#This Row],[Column4]]="NEW",_xlfn.XLOOKUP(Table15[[#This Row],[Year]]-1,$N$2:$N$27,$P$2:$P$27)*(1+Table15[[#This Row],[Ávöxtun]]),ISNUMBER(Table15[[#This Row],[Column4]]),Table15[[#This Row],[Column4]],Table15[[#This Row],[Column4]]="",I649*(1+Table15[[#This Row],[Ávöxtun]]))</f>
        <v>123.71853600000001</v>
      </c>
      <c r="L650" s="33">
        <v>123.71853600000001</v>
      </c>
      <c r="M650" s="33">
        <v>123.71853600000001</v>
      </c>
    </row>
    <row r="651" spans="1:13">
      <c r="A651" t="s">
        <v>117</v>
      </c>
      <c r="B651">
        <v>2002</v>
      </c>
      <c r="C651" s="16">
        <v>0.09</v>
      </c>
      <c r="D651" s="1">
        <v>115026886</v>
      </c>
      <c r="E651" s="29">
        <f>Table15[[#This Row],[Ávöxtun]]*Table15[[#This Row],[Eignir]]/SUMIFS(Table15[Eignir],Table15[Year],Table15[[#This Row],[Year]])</f>
        <v>1.6298809769040579E-2</v>
      </c>
      <c r="F651" s="23">
        <f>IF(B651=1997, 100, IF(COUNTIF(A$1:A650,A651)=0, "NEW", F650*(1+Table15[[#This Row],[Ávöxtun]])))</f>
        <v>134.85320424000003</v>
      </c>
      <c r="G651" s="18" cm="1">
        <f t="array" ref="G651">IFERROR(_xlfn.IFS(ISNUMBER(Table15[[#This Row],[Column3]]),Table15[[#This Row],[Column3]],Table15[[#This Row],[Column3]]="NEW",Table15[[#This Row],[Column3]]),"")</f>
        <v>134.85320424000003</v>
      </c>
      <c r="H651" s="15" cm="1">
        <f t="array" ref="H651">_xlfn.IFS(Table15[[#This Row],[Column4]]="NEW",AVERAGEIFS(Table15[Column4],Table15[Year],Table15[[#This Row],[Year]]),ISNUMBER(Table15[[#This Row],[Column4]]),Table15[[#This Row],[Column4]],Table15[[#This Row],[Column4]]="",H650*(1+Table15[[#This Row],[Ávöxtun]]))</f>
        <v>134.85320424000003</v>
      </c>
      <c r="I651" s="30" cm="1">
        <f t="array" ref="I651">_xlfn.IFS(Table15[[#This Row],[Column4]]="NEW",_xlfn.XLOOKUP(Table15[[#This Row],[Year]]-1,$N$2:$N$27,$P$2:$P$27)*(1+Table15[[#This Row],[Ávöxtun]]),ISNUMBER(Table15[[#This Row],[Column4]]),Table15[[#This Row],[Column4]],Table15[[#This Row],[Column4]]="",I650*(1+Table15[[#This Row],[Ávöxtun]]))</f>
        <v>134.85320424000003</v>
      </c>
      <c r="L651" s="33">
        <v>134.85320424000003</v>
      </c>
      <c r="M651" s="33">
        <v>134.85320424000003</v>
      </c>
    </row>
    <row r="652" spans="1:13">
      <c r="A652" t="s">
        <v>117</v>
      </c>
      <c r="B652">
        <v>2003</v>
      </c>
      <c r="C652" s="16">
        <v>0.26</v>
      </c>
      <c r="D652" s="1">
        <v>144417052</v>
      </c>
      <c r="E652" s="29">
        <f>Table15[[#This Row],[Ávöxtun]]*Table15[[#This Row],[Eignir]]/SUMIFS(Table15[Eignir],Table15[Year],Table15[[#This Row],[Year]])</f>
        <v>4.9412894755077048E-2</v>
      </c>
      <c r="F652" s="23">
        <f>IF(B652=1997, 100, IF(COUNTIF(A$1:A651,A652)=0, "NEW", F651*(1+Table15[[#This Row],[Ávöxtun]])))</f>
        <v>169.91503734240004</v>
      </c>
      <c r="G652" s="18" cm="1">
        <f t="array" ref="G652">IFERROR(_xlfn.IFS(ISNUMBER(Table15[[#This Row],[Column3]]),Table15[[#This Row],[Column3]],Table15[[#This Row],[Column3]]="NEW",Table15[[#This Row],[Column3]]),"")</f>
        <v>169.91503734240004</v>
      </c>
      <c r="H652" s="15" cm="1">
        <f t="array" ref="H652">_xlfn.IFS(Table15[[#This Row],[Column4]]="NEW",AVERAGEIFS(Table15[Column4],Table15[Year],Table15[[#This Row],[Year]]),ISNUMBER(Table15[[#This Row],[Column4]]),Table15[[#This Row],[Column4]],Table15[[#This Row],[Column4]]="",H651*(1+Table15[[#This Row],[Ávöxtun]]))</f>
        <v>169.91503734240004</v>
      </c>
      <c r="I652" s="30" cm="1">
        <f t="array" ref="I652">_xlfn.IFS(Table15[[#This Row],[Column4]]="NEW",_xlfn.XLOOKUP(Table15[[#This Row],[Year]]-1,$N$2:$N$27,$P$2:$P$27)*(1+Table15[[#This Row],[Ávöxtun]]),ISNUMBER(Table15[[#This Row],[Column4]]),Table15[[#This Row],[Column4]],Table15[[#This Row],[Column4]]="",I651*(1+Table15[[#This Row],[Ávöxtun]]))</f>
        <v>169.91503734240004</v>
      </c>
      <c r="L652" s="33">
        <v>169.91503734240004</v>
      </c>
      <c r="M652" s="33">
        <v>169.91503734240004</v>
      </c>
    </row>
    <row r="653" spans="1:13">
      <c r="A653" t="s">
        <v>117</v>
      </c>
      <c r="B653">
        <v>2004</v>
      </c>
      <c r="C653" s="16">
        <v>0.19</v>
      </c>
      <c r="D653" s="1">
        <v>177173461</v>
      </c>
      <c r="E653" s="29">
        <f>Table15[[#This Row],[Ávöxtun]]*Table15[[#This Row],[Eignir]]/SUMIFS(Table15[Eignir],Table15[Year],Table15[[#This Row],[Year]])</f>
        <v>3.7087203306645035E-2</v>
      </c>
      <c r="F653" s="23">
        <f>IF(B653=1997, 100, IF(COUNTIF(A$1:A652,A653)=0, "NEW", F652*(1+Table15[[#This Row],[Ávöxtun]])))</f>
        <v>202.19889443745603</v>
      </c>
      <c r="G653" s="18" cm="1">
        <f t="array" ref="G653">IFERROR(_xlfn.IFS(ISNUMBER(Table15[[#This Row],[Column3]]),Table15[[#This Row],[Column3]],Table15[[#This Row],[Column3]]="NEW",Table15[[#This Row],[Column3]]),"")</f>
        <v>202.19889443745603</v>
      </c>
      <c r="H653" s="15" cm="1">
        <f t="array" ref="H653">_xlfn.IFS(Table15[[#This Row],[Column4]]="NEW",AVERAGEIFS(Table15[Column4],Table15[Year],Table15[[#This Row],[Year]]),ISNUMBER(Table15[[#This Row],[Column4]]),Table15[[#This Row],[Column4]],Table15[[#This Row],[Column4]]="",H652*(1+Table15[[#This Row],[Ávöxtun]]))</f>
        <v>202.19889443745603</v>
      </c>
      <c r="I653" s="30" cm="1">
        <f t="array" ref="I653">_xlfn.IFS(Table15[[#This Row],[Column4]]="NEW",_xlfn.XLOOKUP(Table15[[#This Row],[Year]]-1,$N$2:$N$27,$P$2:$P$27)*(1+Table15[[#This Row],[Ávöxtun]]),ISNUMBER(Table15[[#This Row],[Column4]]),Table15[[#This Row],[Column4]],Table15[[#This Row],[Column4]]="",I652*(1+Table15[[#This Row],[Ávöxtun]]))</f>
        <v>202.19889443745603</v>
      </c>
      <c r="L653" s="33">
        <v>202.19889443745603</v>
      </c>
      <c r="M653" s="33">
        <v>202.19889443745603</v>
      </c>
    </row>
    <row r="654" spans="1:13">
      <c r="A654" t="s">
        <v>117</v>
      </c>
      <c r="B654">
        <v>2005</v>
      </c>
      <c r="C654" s="16">
        <v>0.28000000000000003</v>
      </c>
      <c r="D654" s="1">
        <v>224095981</v>
      </c>
      <c r="E654" s="29">
        <f>Table15[[#This Row],[Ávöxtun]]*Table15[[#This Row],[Eignir]]/SUMIFS(Table15[Eignir],Table15[Year],Table15[[#This Row],[Year]])</f>
        <v>5.5957159369346518E-2</v>
      </c>
      <c r="F654" s="23">
        <f>IF(B654=1997, 100, IF(COUNTIF(A$1:A653,A654)=0, "NEW", F653*(1+Table15[[#This Row],[Ávöxtun]])))</f>
        <v>258.81458487994371</v>
      </c>
      <c r="G654" s="18" cm="1">
        <f t="array" ref="G654">IFERROR(_xlfn.IFS(ISNUMBER(Table15[[#This Row],[Column3]]),Table15[[#This Row],[Column3]],Table15[[#This Row],[Column3]]="NEW",Table15[[#This Row],[Column3]]),"")</f>
        <v>258.81458487994371</v>
      </c>
      <c r="H654" s="15" cm="1">
        <f t="array" ref="H654">_xlfn.IFS(Table15[[#This Row],[Column4]]="NEW",AVERAGEIFS(Table15[Column4],Table15[Year],Table15[[#This Row],[Year]]),ISNUMBER(Table15[[#This Row],[Column4]]),Table15[[#This Row],[Column4]],Table15[[#This Row],[Column4]]="",H653*(1+Table15[[#This Row],[Ávöxtun]]))</f>
        <v>258.81458487994371</v>
      </c>
      <c r="I654" s="30" cm="1">
        <f t="array" ref="I654">_xlfn.IFS(Table15[[#This Row],[Column4]]="NEW",_xlfn.XLOOKUP(Table15[[#This Row],[Year]]-1,$N$2:$N$27,$P$2:$P$27)*(1+Table15[[#This Row],[Ávöxtun]]),ISNUMBER(Table15[[#This Row],[Column4]]),Table15[[#This Row],[Column4]],Table15[[#This Row],[Column4]]="",I653*(1+Table15[[#This Row],[Ávöxtun]]))</f>
        <v>258.81458487994371</v>
      </c>
      <c r="L654" s="33">
        <v>258.81458487994371</v>
      </c>
      <c r="M654" s="33">
        <v>258.81458487994371</v>
      </c>
    </row>
    <row r="655" spans="1:13">
      <c r="A655" t="s">
        <v>117</v>
      </c>
      <c r="B655">
        <v>2006</v>
      </c>
      <c r="C655" s="16">
        <v>0.21829999999999999</v>
      </c>
      <c r="D655" s="1">
        <v>278741335</v>
      </c>
      <c r="E655" s="29">
        <f>Table15[[#This Row],[Ávöxtun]]*Table15[[#This Row],[Eignir]]/SUMIFS(Table15[Eignir],Table15[Year],Table15[[#This Row],[Year]])</f>
        <v>4.4328923496085353E-2</v>
      </c>
      <c r="F655" s="23">
        <f>IF(B655=1997, 100, IF(COUNTIF(A$1:A654,A655)=0, "NEW", F654*(1+Table15[[#This Row],[Ávöxtun]])))</f>
        <v>315.31380875923543</v>
      </c>
      <c r="G655" s="18" cm="1">
        <f t="array" ref="G655">IFERROR(_xlfn.IFS(ISNUMBER(Table15[[#This Row],[Column3]]),Table15[[#This Row],[Column3]],Table15[[#This Row],[Column3]]="NEW",Table15[[#This Row],[Column3]]),"")</f>
        <v>315.31380875923543</v>
      </c>
      <c r="H655" s="15" cm="1">
        <f t="array" ref="H655">_xlfn.IFS(Table15[[#This Row],[Column4]]="NEW",AVERAGEIFS(Table15[Column4],Table15[Year],Table15[[#This Row],[Year]]),ISNUMBER(Table15[[#This Row],[Column4]]),Table15[[#This Row],[Column4]],Table15[[#This Row],[Column4]]="",H654*(1+Table15[[#This Row],[Ávöxtun]]))</f>
        <v>315.31380875923543</v>
      </c>
      <c r="I655" s="30" cm="1">
        <f t="array" ref="I655">_xlfn.IFS(Table15[[#This Row],[Column4]]="NEW",_xlfn.XLOOKUP(Table15[[#This Row],[Year]]-1,$N$2:$N$27,$P$2:$P$27)*(1+Table15[[#This Row],[Ávöxtun]]),ISNUMBER(Table15[[#This Row],[Column4]]),Table15[[#This Row],[Column4]],Table15[[#This Row],[Column4]]="",I654*(1+Table15[[#This Row],[Ávöxtun]]))</f>
        <v>315.31380875923543</v>
      </c>
      <c r="L655" s="33">
        <v>315.31380875923543</v>
      </c>
      <c r="M655" s="33">
        <v>315.31380875923543</v>
      </c>
    </row>
    <row r="656" spans="1:13">
      <c r="A656" t="s">
        <v>117</v>
      </c>
      <c r="B656">
        <v>2007</v>
      </c>
      <c r="C656" s="16">
        <v>-1.9099999999999999E-2</v>
      </c>
      <c r="D656" s="1">
        <v>311273522</v>
      </c>
      <c r="E656" s="29">
        <f>Table15[[#This Row],[Ávöxtun]]*Table15[[#This Row],[Eignir]]/SUMIFS(Table15[Eignir],Table15[Year],Table15[[#This Row],[Year]])</f>
        <v>-3.8446026266458731E-3</v>
      </c>
      <c r="F656" s="23">
        <f>IF(B656=1997, 100, IF(COUNTIF(A$1:A655,A656)=0, "NEW", F655*(1+Table15[[#This Row],[Ávöxtun]])))</f>
        <v>309.29131501193405</v>
      </c>
      <c r="G656" s="18" cm="1">
        <f t="array" ref="G656">IFERROR(_xlfn.IFS(ISNUMBER(Table15[[#This Row],[Column3]]),Table15[[#This Row],[Column3]],Table15[[#This Row],[Column3]]="NEW",Table15[[#This Row],[Column3]]),"")</f>
        <v>309.29131501193405</v>
      </c>
      <c r="H656" s="15" cm="1">
        <f t="array" ref="H656">_xlfn.IFS(Table15[[#This Row],[Column4]]="NEW",AVERAGEIFS(Table15[Column4],Table15[Year],Table15[[#This Row],[Year]]),ISNUMBER(Table15[[#This Row],[Column4]]),Table15[[#This Row],[Column4]],Table15[[#This Row],[Column4]]="",H655*(1+Table15[[#This Row],[Ávöxtun]]))</f>
        <v>309.29131501193405</v>
      </c>
      <c r="I656" s="30" cm="1">
        <f t="array" ref="I656">_xlfn.IFS(Table15[[#This Row],[Column4]]="NEW",_xlfn.XLOOKUP(Table15[[#This Row],[Year]]-1,$N$2:$N$27,$P$2:$P$27)*(1+Table15[[#This Row],[Ávöxtun]]),ISNUMBER(Table15[[#This Row],[Column4]]),Table15[[#This Row],[Column4]],Table15[[#This Row],[Column4]]="",I655*(1+Table15[[#This Row],[Ávöxtun]]))</f>
        <v>309.29131501193405</v>
      </c>
      <c r="L656" s="33">
        <v>309.29131501193405</v>
      </c>
      <c r="M656" s="33">
        <v>309.29131501193405</v>
      </c>
    </row>
    <row r="657" spans="1:13">
      <c r="A657" t="s">
        <v>117</v>
      </c>
      <c r="B657">
        <v>2008</v>
      </c>
      <c r="C657" s="16">
        <v>-0.50170000000000003</v>
      </c>
      <c r="D657" s="1">
        <v>297620141</v>
      </c>
      <c r="E657" s="29">
        <f>Table15[[#This Row],[Ávöxtun]]*Table15[[#This Row],[Eignir]]/SUMIFS(Table15[Eignir],Table15[Year],Table15[[#This Row],[Year]])</f>
        <v>-9.9722326528157698E-2</v>
      </c>
      <c r="F657" s="23">
        <f>IF(B657=1997, 100, IF(COUNTIF(A$1:A656,A657)=0, "NEW", F656*(1+Table15[[#This Row],[Ávöxtun]])))</f>
        <v>154.11986227044673</v>
      </c>
      <c r="G657" s="18" cm="1">
        <f t="array" ref="G657">IFERROR(_xlfn.IFS(ISNUMBER(Table15[[#This Row],[Column3]]),Table15[[#This Row],[Column3]],Table15[[#This Row],[Column3]]="NEW",Table15[[#This Row],[Column3]]),"")</f>
        <v>154.11986227044673</v>
      </c>
      <c r="H657" s="15" cm="1">
        <f t="array" ref="H657">_xlfn.IFS(Table15[[#This Row],[Column4]]="NEW",AVERAGEIFS(Table15[Column4],Table15[Year],Table15[[#This Row],[Year]]),ISNUMBER(Table15[[#This Row],[Column4]]),Table15[[#This Row],[Column4]],Table15[[#This Row],[Column4]]="",H656*(1+Table15[[#This Row],[Ávöxtun]]))</f>
        <v>154.11986227044673</v>
      </c>
      <c r="I657" s="30" cm="1">
        <f t="array" ref="I657">_xlfn.IFS(Table15[[#This Row],[Column4]]="NEW",_xlfn.XLOOKUP(Table15[[#This Row],[Year]]-1,$N$2:$N$27,$P$2:$P$27)*(1+Table15[[#This Row],[Ávöxtun]]),ISNUMBER(Table15[[#This Row],[Column4]]),Table15[[#This Row],[Column4]],Table15[[#This Row],[Column4]]="",I656*(1+Table15[[#This Row],[Ávöxtun]]))</f>
        <v>154.11986227044673</v>
      </c>
      <c r="L657" s="33">
        <v>154.11986227044673</v>
      </c>
      <c r="M657" s="33">
        <v>154.11986227044673</v>
      </c>
    </row>
    <row r="658" spans="1:13">
      <c r="A658" t="s">
        <v>117</v>
      </c>
      <c r="B658">
        <v>2009</v>
      </c>
      <c r="C658" s="16">
        <v>5.4800000000000008E-2</v>
      </c>
      <c r="D658" s="1">
        <v>339272113</v>
      </c>
      <c r="E658" s="29">
        <f>Table15[[#This Row],[Ávöxtun]]*Table15[[#This Row],[Eignir]]/SUMIFS(Table15[Eignir],Table15[Year],Table15[[#This Row],[Year]])</f>
        <v>1.1144623801455953E-2</v>
      </c>
      <c r="F658" s="23">
        <f>IF(B658=1997, 100, IF(COUNTIF(A$1:A657,A658)=0, "NEW", F657*(1+Table15[[#This Row],[Ávöxtun]])))</f>
        <v>162.56563072286721</v>
      </c>
      <c r="G658" s="18" cm="1">
        <f t="array" ref="G658">IFERROR(_xlfn.IFS(ISNUMBER(Table15[[#This Row],[Column3]]),Table15[[#This Row],[Column3]],Table15[[#This Row],[Column3]]="NEW",Table15[[#This Row],[Column3]]),"")</f>
        <v>162.56563072286721</v>
      </c>
      <c r="H658" s="15" cm="1">
        <f t="array" ref="H658">_xlfn.IFS(Table15[[#This Row],[Column4]]="NEW",AVERAGEIFS(Table15[Column4],Table15[Year],Table15[[#This Row],[Year]]),ISNUMBER(Table15[[#This Row],[Column4]]),Table15[[#This Row],[Column4]],Table15[[#This Row],[Column4]]="",H657*(1+Table15[[#This Row],[Ávöxtun]]))</f>
        <v>162.56563072286721</v>
      </c>
      <c r="I658" s="30" cm="1">
        <f t="array" ref="I658">_xlfn.IFS(Table15[[#This Row],[Column4]]="NEW",_xlfn.XLOOKUP(Table15[[#This Row],[Year]]-1,$N$2:$N$27,$P$2:$P$27)*(1+Table15[[#This Row],[Ávöxtun]]),ISNUMBER(Table15[[#This Row],[Column4]]),Table15[[#This Row],[Column4]],Table15[[#This Row],[Column4]]="",I657*(1+Table15[[#This Row],[Ávöxtun]]))</f>
        <v>162.56563072286721</v>
      </c>
      <c r="L658" s="33">
        <v>162.56563072286721</v>
      </c>
      <c r="M658" s="33">
        <v>162.56563072286721</v>
      </c>
    </row>
    <row r="659" spans="1:13">
      <c r="A659" t="s">
        <v>117</v>
      </c>
      <c r="B659">
        <v>2010</v>
      </c>
      <c r="C659" s="16">
        <v>4.1500000000000002E-2</v>
      </c>
      <c r="D659" s="1">
        <v>360678659</v>
      </c>
      <c r="E659" s="29">
        <f>Table15[[#This Row],[Ávöxtun]]*Table15[[#This Row],[Eignir]]/SUMIFS(Table15[Eignir],Table15[Year],Table15[[#This Row],[Year]])</f>
        <v>8.3724560256636313E-3</v>
      </c>
      <c r="F659" s="23">
        <f>IF(B659=1997, 100, IF(COUNTIF(A$1:A658,A659)=0, "NEW", F658*(1+Table15[[#This Row],[Ávöxtun]])))</f>
        <v>169.31210439786622</v>
      </c>
      <c r="G659" s="18" cm="1">
        <f t="array" ref="G659">IFERROR(_xlfn.IFS(ISNUMBER(Table15[[#This Row],[Column3]]),Table15[[#This Row],[Column3]],Table15[[#This Row],[Column3]]="NEW",Table15[[#This Row],[Column3]]),"")</f>
        <v>169.31210439786622</v>
      </c>
      <c r="H659" s="15" cm="1">
        <f t="array" ref="H659">_xlfn.IFS(Table15[[#This Row],[Column4]]="NEW",AVERAGEIFS(Table15[Column4],Table15[Year],Table15[[#This Row],[Year]]),ISNUMBER(Table15[[#This Row],[Column4]]),Table15[[#This Row],[Column4]],Table15[[#This Row],[Column4]]="",H658*(1+Table15[[#This Row],[Ávöxtun]]))</f>
        <v>169.31210439786622</v>
      </c>
      <c r="I659" s="30" cm="1">
        <f t="array" ref="I659">_xlfn.IFS(Table15[[#This Row],[Column4]]="NEW",_xlfn.XLOOKUP(Table15[[#This Row],[Year]]-1,$N$2:$N$27,$P$2:$P$27)*(1+Table15[[#This Row],[Ávöxtun]]),ISNUMBER(Table15[[#This Row],[Column4]]),Table15[[#This Row],[Column4]],Table15[[#This Row],[Column4]]="",I658*(1+Table15[[#This Row],[Ávöxtun]]))</f>
        <v>169.31210439786622</v>
      </c>
      <c r="L659" s="33">
        <v>169.31210439786622</v>
      </c>
      <c r="M659" s="33">
        <v>169.31210439786622</v>
      </c>
    </row>
    <row r="660" spans="1:13">
      <c r="A660" t="s">
        <v>117</v>
      </c>
      <c r="B660">
        <v>2011</v>
      </c>
      <c r="C660" s="16">
        <v>3.4000000000000002E-2</v>
      </c>
      <c r="D660" s="1">
        <v>387538863</v>
      </c>
      <c r="E660" s="29">
        <f>Table15[[#This Row],[Ávöxtun]]*Table15[[#This Row],[Eignir]]/SUMIFS(Table15[Eignir],Table15[Year],Table15[[#This Row],[Year]])</f>
        <v>6.7551519519966413E-3</v>
      </c>
      <c r="F660" s="23">
        <f>IF(B660=1997, 100, IF(COUNTIF(A$1:A659,A660)=0, "NEW", F659*(1+Table15[[#This Row],[Ávöxtun]])))</f>
        <v>175.06871594739368</v>
      </c>
      <c r="G660" s="18" cm="1">
        <f t="array" ref="G660">IFERROR(_xlfn.IFS(ISNUMBER(Table15[[#This Row],[Column3]]),Table15[[#This Row],[Column3]],Table15[[#This Row],[Column3]]="NEW",Table15[[#This Row],[Column3]]),"")</f>
        <v>175.06871594739368</v>
      </c>
      <c r="H660" s="15" cm="1">
        <f t="array" ref="H660">_xlfn.IFS(Table15[[#This Row],[Column4]]="NEW",AVERAGEIFS(Table15[Column4],Table15[Year],Table15[[#This Row],[Year]]),ISNUMBER(Table15[[#This Row],[Column4]]),Table15[[#This Row],[Column4]],Table15[[#This Row],[Column4]]="",H659*(1+Table15[[#This Row],[Ávöxtun]]))</f>
        <v>175.06871594739368</v>
      </c>
      <c r="I660" s="30" cm="1">
        <f t="array" ref="I660">_xlfn.IFS(Table15[[#This Row],[Column4]]="NEW",_xlfn.XLOOKUP(Table15[[#This Row],[Year]]-1,$N$2:$N$27,$P$2:$P$27)*(1+Table15[[#This Row],[Ávöxtun]]),ISNUMBER(Table15[[#This Row],[Column4]]),Table15[[#This Row],[Column4]],Table15[[#This Row],[Column4]]="",I659*(1+Table15[[#This Row],[Ávöxtun]]))</f>
        <v>175.06871594739368</v>
      </c>
      <c r="L660" s="33">
        <v>175.06871594739368</v>
      </c>
      <c r="M660" s="33">
        <v>175.06871594739368</v>
      </c>
    </row>
    <row r="661" spans="1:13">
      <c r="A661" t="s">
        <v>117</v>
      </c>
      <c r="B661">
        <v>2012</v>
      </c>
      <c r="C661" s="16">
        <v>0.185</v>
      </c>
      <c r="D661" s="1">
        <v>441374167</v>
      </c>
      <c r="E661" s="29">
        <f>Table15[[#This Row],[Ávöxtun]]*Table15[[#This Row],[Eignir]]/SUMIFS(Table15[Eignir],Table15[Year],Table15[[#This Row],[Year]])</f>
        <v>3.7067653350539159E-2</v>
      </c>
      <c r="F661" s="23">
        <f>IF(B661=1997, 100, IF(COUNTIF(A$1:A660,A661)=0, "NEW", F660*(1+Table15[[#This Row],[Ávöxtun]])))</f>
        <v>207.45642839766151</v>
      </c>
      <c r="G661" s="18" cm="1">
        <f t="array" ref="G661">IFERROR(_xlfn.IFS(ISNUMBER(Table15[[#This Row],[Column3]]),Table15[[#This Row],[Column3]],Table15[[#This Row],[Column3]]="NEW",Table15[[#This Row],[Column3]]),"")</f>
        <v>207.45642839766151</v>
      </c>
      <c r="H661" s="15" cm="1">
        <f t="array" ref="H661">_xlfn.IFS(Table15[[#This Row],[Column4]]="NEW",AVERAGEIFS(Table15[Column4],Table15[Year],Table15[[#This Row],[Year]]),ISNUMBER(Table15[[#This Row],[Column4]]),Table15[[#This Row],[Column4]],Table15[[#This Row],[Column4]]="",H660*(1+Table15[[#This Row],[Ávöxtun]]))</f>
        <v>207.45642839766151</v>
      </c>
      <c r="I661" s="30" cm="1">
        <f t="array" ref="I661">_xlfn.IFS(Table15[[#This Row],[Column4]]="NEW",_xlfn.XLOOKUP(Table15[[#This Row],[Year]]-1,$N$2:$N$27,$P$2:$P$27)*(1+Table15[[#This Row],[Ávöxtun]]),ISNUMBER(Table15[[#This Row],[Column4]]),Table15[[#This Row],[Column4]],Table15[[#This Row],[Column4]]="",I660*(1+Table15[[#This Row],[Ávöxtun]]))</f>
        <v>207.45642839766151</v>
      </c>
      <c r="L661" s="33">
        <v>207.45642839766151</v>
      </c>
      <c r="M661" s="33">
        <v>207.45642839766151</v>
      </c>
    </row>
    <row r="662" spans="1:13">
      <c r="A662" t="s">
        <v>117</v>
      </c>
      <c r="B662">
        <v>2013</v>
      </c>
      <c r="C662" s="16">
        <v>0.13200000000000001</v>
      </c>
      <c r="D662" s="1">
        <v>480015786</v>
      </c>
      <c r="E662" s="29">
        <f>Table15[[#This Row],[Ávöxtun]]*Table15[[#This Row],[Eignir]]/SUMIFS(Table15[Eignir],Table15[Year],Table15[[#This Row],[Year]])</f>
        <v>2.6036578184041041E-2</v>
      </c>
      <c r="F662" s="23">
        <f>IF(B662=1997, 100, IF(COUNTIF(A$1:A661,A662)=0, "NEW", F661*(1+Table15[[#This Row],[Ávöxtun]])))</f>
        <v>234.84067694615285</v>
      </c>
      <c r="G662" s="18" cm="1">
        <f t="array" ref="G662">IFERROR(_xlfn.IFS(ISNUMBER(Table15[[#This Row],[Column3]]),Table15[[#This Row],[Column3]],Table15[[#This Row],[Column3]]="NEW",Table15[[#This Row],[Column3]]),"")</f>
        <v>234.84067694615285</v>
      </c>
      <c r="H662" s="15" cm="1">
        <f t="array" ref="H662">_xlfn.IFS(Table15[[#This Row],[Column4]]="NEW",AVERAGEIFS(Table15[Column4],Table15[Year],Table15[[#This Row],[Year]]),ISNUMBER(Table15[[#This Row],[Column4]]),Table15[[#This Row],[Column4]],Table15[[#This Row],[Column4]]="",H661*(1+Table15[[#This Row],[Ávöxtun]]))</f>
        <v>234.84067694615285</v>
      </c>
      <c r="I662" s="30" cm="1">
        <f t="array" ref="I662">_xlfn.IFS(Table15[[#This Row],[Column4]]="NEW",_xlfn.XLOOKUP(Table15[[#This Row],[Year]]-1,$N$2:$N$27,$P$2:$P$27)*(1+Table15[[#This Row],[Ávöxtun]]),ISNUMBER(Table15[[#This Row],[Column4]]),Table15[[#This Row],[Column4]],Table15[[#This Row],[Column4]]="",I661*(1+Table15[[#This Row],[Ávöxtun]]))</f>
        <v>234.84067694615285</v>
      </c>
      <c r="L662" s="33">
        <v>234.84067694615285</v>
      </c>
      <c r="M662" s="33">
        <v>234.84067694615285</v>
      </c>
    </row>
    <row r="663" spans="1:13">
      <c r="A663" t="s">
        <v>117</v>
      </c>
      <c r="B663">
        <v>2014</v>
      </c>
      <c r="C663" s="16">
        <v>0.184</v>
      </c>
      <c r="D663" s="1">
        <v>525399497</v>
      </c>
      <c r="E663" s="29">
        <f>Table15[[#This Row],[Ávöxtun]]*Table15[[#This Row],[Eignir]]/SUMIFS(Table15[Eignir],Table15[Year],Table15[[#This Row],[Year]])</f>
        <v>3.6439063132823996E-2</v>
      </c>
      <c r="F663" s="23">
        <f>IF(B663=1997, 100, IF(COUNTIF(A$1:A662,A663)=0, "NEW", F662*(1+Table15[[#This Row],[Ávöxtun]])))</f>
        <v>278.05136150424494</v>
      </c>
      <c r="G663" s="18" cm="1">
        <f t="array" ref="G663">IFERROR(_xlfn.IFS(ISNUMBER(Table15[[#This Row],[Column3]]),Table15[[#This Row],[Column3]],Table15[[#This Row],[Column3]]="NEW",Table15[[#This Row],[Column3]]),"")</f>
        <v>278.05136150424494</v>
      </c>
      <c r="H663" s="15" cm="1">
        <f t="array" ref="H663">_xlfn.IFS(Table15[[#This Row],[Column4]]="NEW",AVERAGEIFS(Table15[Column4],Table15[Year],Table15[[#This Row],[Year]]),ISNUMBER(Table15[[#This Row],[Column4]]),Table15[[#This Row],[Column4]],Table15[[#This Row],[Column4]]="",H662*(1+Table15[[#This Row],[Ávöxtun]]))</f>
        <v>278.05136150424494</v>
      </c>
      <c r="I663" s="30" cm="1">
        <f t="array" ref="I663">_xlfn.IFS(Table15[[#This Row],[Column4]]="NEW",_xlfn.XLOOKUP(Table15[[#This Row],[Year]]-1,$N$2:$N$27,$P$2:$P$27)*(1+Table15[[#This Row],[Ávöxtun]]),ISNUMBER(Table15[[#This Row],[Column4]]),Table15[[#This Row],[Column4]],Table15[[#This Row],[Column4]]="",I662*(1+Table15[[#This Row],[Ávöxtun]]))</f>
        <v>278.05136150424494</v>
      </c>
      <c r="L663" s="33">
        <v>278.05136150424494</v>
      </c>
      <c r="M663" s="33">
        <v>278.05136150424494</v>
      </c>
    </row>
    <row r="664" spans="1:13">
      <c r="A664" t="s">
        <v>117</v>
      </c>
      <c r="B664">
        <v>2015</v>
      </c>
      <c r="C664" s="16">
        <v>0.126</v>
      </c>
      <c r="D664" s="1">
        <v>571490103</v>
      </c>
      <c r="E664" s="29">
        <f>Table15[[#This Row],[Ávöxtun]]*Table15[[#This Row],[Eignir]]/SUMIFS(Table15[Eignir],Table15[Year],Table15[[#This Row],[Year]])</f>
        <v>2.4315621779181177E-2</v>
      </c>
      <c r="F664" s="23">
        <f>IF(B664=1997, 100, IF(COUNTIF(A$1:A663,A664)=0, "NEW", F663*(1+Table15[[#This Row],[Ávöxtun]])))</f>
        <v>313.08583305377977</v>
      </c>
      <c r="G664" s="18" cm="1">
        <f t="array" ref="G664">IFERROR(_xlfn.IFS(ISNUMBER(Table15[[#This Row],[Column3]]),Table15[[#This Row],[Column3]],Table15[[#This Row],[Column3]]="NEW",Table15[[#This Row],[Column3]]),"")</f>
        <v>313.08583305377977</v>
      </c>
      <c r="H664" s="15" cm="1">
        <f t="array" ref="H664">_xlfn.IFS(Table15[[#This Row],[Column4]]="NEW",AVERAGEIFS(Table15[Column4],Table15[Year],Table15[[#This Row],[Year]]),ISNUMBER(Table15[[#This Row],[Column4]]),Table15[[#This Row],[Column4]],Table15[[#This Row],[Column4]]="",H663*(1+Table15[[#This Row],[Ávöxtun]]))</f>
        <v>313.08583305377977</v>
      </c>
      <c r="I664" s="30" cm="1">
        <f t="array" ref="I664">_xlfn.IFS(Table15[[#This Row],[Column4]]="NEW",_xlfn.XLOOKUP(Table15[[#This Row],[Year]]-1,$N$2:$N$27,$P$2:$P$27)*(1+Table15[[#This Row],[Ávöxtun]]),ISNUMBER(Table15[[#This Row],[Column4]]),Table15[[#This Row],[Column4]],Table15[[#This Row],[Column4]]="",I663*(1+Table15[[#This Row],[Ávöxtun]]))</f>
        <v>313.08583305377977</v>
      </c>
      <c r="L664" s="33">
        <v>313.08583305377977</v>
      </c>
      <c r="M664" s="33">
        <v>313.08583305377977</v>
      </c>
    </row>
    <row r="665" spans="1:13">
      <c r="A665" t="s">
        <v>117</v>
      </c>
      <c r="B665">
        <v>2016</v>
      </c>
      <c r="C665" s="16">
        <v>5.6999999999999993E-3</v>
      </c>
      <c r="D665" s="1">
        <v>708597735.10000002</v>
      </c>
      <c r="E665" s="29">
        <f>Table15[[#This Row],[Ávöxtun]]*Table15[[#This Row],[Eignir]]/SUMIFS(Table15[Eignir],Table15[Year],Table15[[#This Row],[Year]])</f>
        <v>1.262171312483112E-3</v>
      </c>
      <c r="F665" s="23">
        <f>IF(B665=1997, 100, IF(COUNTIF(A$1:A664,A665)=0, "NEW", F664*(1+Table15[[#This Row],[Ávöxtun]])))</f>
        <v>314.87042230218634</v>
      </c>
      <c r="G665" s="18" cm="1">
        <f t="array" ref="G665">IFERROR(_xlfn.IFS(ISNUMBER(Table15[[#This Row],[Column3]]),Table15[[#This Row],[Column3]],Table15[[#This Row],[Column3]]="NEW",Table15[[#This Row],[Column3]]),"")</f>
        <v>314.87042230218634</v>
      </c>
      <c r="H665" s="15" cm="1">
        <f t="array" ref="H665">_xlfn.IFS(Table15[[#This Row],[Column4]]="NEW",AVERAGEIFS(Table15[Column4],Table15[Year],Table15[[#This Row],[Year]]),ISNUMBER(Table15[[#This Row],[Column4]]),Table15[[#This Row],[Column4]],Table15[[#This Row],[Column4]]="",H664*(1+Table15[[#This Row],[Ávöxtun]]))</f>
        <v>314.87042230218634</v>
      </c>
      <c r="I665" s="30" cm="1">
        <f t="array" ref="I665">_xlfn.IFS(Table15[[#This Row],[Column4]]="NEW",_xlfn.XLOOKUP(Table15[[#This Row],[Year]]-1,$N$2:$N$27,$P$2:$P$27)*(1+Table15[[#This Row],[Ávöxtun]]),ISNUMBER(Table15[[#This Row],[Column4]]),Table15[[#This Row],[Column4]],Table15[[#This Row],[Column4]]="",I664*(1+Table15[[#This Row],[Ávöxtun]]))</f>
        <v>314.87042230218634</v>
      </c>
      <c r="L665" s="33">
        <v>314.87042230218634</v>
      </c>
      <c r="M665" s="33">
        <v>314.87042230218634</v>
      </c>
    </row>
    <row r="666" spans="1:13">
      <c r="A666" t="s">
        <v>117</v>
      </c>
      <c r="B666">
        <v>2017</v>
      </c>
      <c r="C666" s="16">
        <v>0.11800000000000001</v>
      </c>
      <c r="D666" s="1">
        <v>785956647</v>
      </c>
      <c r="E666" s="29">
        <f>Table15[[#This Row],[Ávöxtun]]*Table15[[#This Row],[Eignir]]/SUMIFS(Table15[Eignir],Table15[Year],Table15[[#This Row],[Year]])</f>
        <v>2.6057584128039948E-2</v>
      </c>
      <c r="F666" s="23">
        <f>IF(B666=1997, 100, IF(COUNTIF(A$1:A665,A666)=0, "NEW", F665*(1+Table15[[#This Row],[Ávöxtun]])))</f>
        <v>352.02513213384435</v>
      </c>
      <c r="G666" s="18" cm="1">
        <f t="array" ref="G666">IFERROR(_xlfn.IFS(ISNUMBER(Table15[[#This Row],[Column3]]),Table15[[#This Row],[Column3]],Table15[[#This Row],[Column3]]="NEW",Table15[[#This Row],[Column3]]),"")</f>
        <v>352.02513213384435</v>
      </c>
      <c r="H666" s="15" cm="1">
        <f t="array" ref="H666">_xlfn.IFS(Table15[[#This Row],[Column4]]="NEW",AVERAGEIFS(Table15[Column4],Table15[Year],Table15[[#This Row],[Year]]),ISNUMBER(Table15[[#This Row],[Column4]]),Table15[[#This Row],[Column4]],Table15[[#This Row],[Column4]]="",H665*(1+Table15[[#This Row],[Ávöxtun]]))</f>
        <v>352.02513213384435</v>
      </c>
      <c r="I666" s="30" cm="1">
        <f t="array" ref="I666">_xlfn.IFS(Table15[[#This Row],[Column4]]="NEW",_xlfn.XLOOKUP(Table15[[#This Row],[Year]]-1,$N$2:$N$27,$P$2:$P$27)*(1+Table15[[#This Row],[Ávöxtun]]),ISNUMBER(Table15[[#This Row],[Column4]]),Table15[[#This Row],[Column4]],Table15[[#This Row],[Column4]]="",I665*(1+Table15[[#This Row],[Ávöxtun]]))</f>
        <v>352.02513213384435</v>
      </c>
      <c r="L666" s="33">
        <v>352.02513213384435</v>
      </c>
      <c r="M666" s="33">
        <v>352.02513213384435</v>
      </c>
    </row>
    <row r="667" spans="1:13">
      <c r="A667" t="s">
        <v>117</v>
      </c>
      <c r="B667">
        <v>2018</v>
      </c>
      <c r="C667" s="16">
        <v>4.7E-2</v>
      </c>
      <c r="D667" s="1">
        <v>858037157</v>
      </c>
      <c r="E667" s="29">
        <f>Table15[[#This Row],[Ávöxtun]]*Table15[[#This Row],[Eignir]]/SUMIFS(Table15[Eignir],Table15[Year],Table15[[#This Row],[Year]])</f>
        <v>1.0561650980542505E-2</v>
      </c>
      <c r="F667" s="23">
        <f>IF(B667=1997, 100, IF(COUNTIF(A$1:A666,A667)=0, "NEW", F666*(1+Table15[[#This Row],[Ávöxtun]])))</f>
        <v>368.570313344135</v>
      </c>
      <c r="G667" s="18" cm="1">
        <f t="array" ref="G667">IFERROR(_xlfn.IFS(ISNUMBER(Table15[[#This Row],[Column3]]),Table15[[#This Row],[Column3]],Table15[[#This Row],[Column3]]="NEW",Table15[[#This Row],[Column3]]),"")</f>
        <v>368.570313344135</v>
      </c>
      <c r="H667" s="15" cm="1">
        <f t="array" ref="H667">_xlfn.IFS(Table15[[#This Row],[Column4]]="NEW",AVERAGEIFS(Table15[Column4],Table15[Year],Table15[[#This Row],[Year]]),ISNUMBER(Table15[[#This Row],[Column4]]),Table15[[#This Row],[Column4]],Table15[[#This Row],[Column4]]="",H666*(1+Table15[[#This Row],[Ávöxtun]]))</f>
        <v>368.570313344135</v>
      </c>
      <c r="I667" s="30" cm="1">
        <f t="array" ref="I667">_xlfn.IFS(Table15[[#This Row],[Column4]]="NEW",_xlfn.XLOOKUP(Table15[[#This Row],[Year]]-1,$N$2:$N$27,$P$2:$P$27)*(1+Table15[[#This Row],[Ávöxtun]]),ISNUMBER(Table15[[#This Row],[Column4]]),Table15[[#This Row],[Column4]],Table15[[#This Row],[Column4]]="",I666*(1+Table15[[#This Row],[Ávöxtun]]))</f>
        <v>368.570313344135</v>
      </c>
      <c r="L667" s="33">
        <v>368.570313344135</v>
      </c>
      <c r="M667" s="33">
        <v>368.570313344135</v>
      </c>
    </row>
    <row r="668" spans="1:13">
      <c r="A668" t="s">
        <v>117</v>
      </c>
      <c r="B668">
        <v>2019</v>
      </c>
      <c r="C668" s="16">
        <v>0.27800000000000002</v>
      </c>
      <c r="D668" s="1">
        <v>961852911.32799995</v>
      </c>
      <c r="E668" s="29">
        <f>Table15[[#This Row],[Ávöxtun]]*Table15[[#This Row],[Eignir]]/SUMIFS(Table15[Eignir],Table15[Year],Table15[[#This Row],[Year]])</f>
        <v>6.040262323509258E-2</v>
      </c>
      <c r="F668" s="23">
        <f>IF(B668=1997, 100, IF(COUNTIF(A$1:A667,A668)=0, "NEW", F667*(1+Table15[[#This Row],[Ávöxtun]])))</f>
        <v>471.03286045380452</v>
      </c>
      <c r="G668" s="18" cm="1">
        <f t="array" ref="G668">IFERROR(_xlfn.IFS(ISNUMBER(Table15[[#This Row],[Column3]]),Table15[[#This Row],[Column3]],Table15[[#This Row],[Column3]]="NEW",Table15[[#This Row],[Column3]]),"")</f>
        <v>471.03286045380452</v>
      </c>
      <c r="H668" s="15" cm="1">
        <f t="array" ref="H668">_xlfn.IFS(Table15[[#This Row],[Column4]]="NEW",AVERAGEIFS(Table15[Column4],Table15[Year],Table15[[#This Row],[Year]]),ISNUMBER(Table15[[#This Row],[Column4]]),Table15[[#This Row],[Column4]],Table15[[#This Row],[Column4]]="",H667*(1+Table15[[#This Row],[Ávöxtun]]))</f>
        <v>471.03286045380452</v>
      </c>
      <c r="I668" s="30" cm="1">
        <f t="array" ref="I668">_xlfn.IFS(Table15[[#This Row],[Column4]]="NEW",_xlfn.XLOOKUP(Table15[[#This Row],[Year]]-1,$N$2:$N$27,$P$2:$P$27)*(1+Table15[[#This Row],[Ávöxtun]]),ISNUMBER(Table15[[#This Row],[Column4]]),Table15[[#This Row],[Column4]],Table15[[#This Row],[Column4]]="",I667*(1+Table15[[#This Row],[Ávöxtun]]))</f>
        <v>471.03286045380452</v>
      </c>
      <c r="L668" s="33">
        <v>471.03286045380452</v>
      </c>
      <c r="M668" s="33">
        <v>471.03286045380452</v>
      </c>
    </row>
    <row r="669" spans="1:13">
      <c r="A669" t="s">
        <v>117</v>
      </c>
      <c r="B669">
        <v>2020</v>
      </c>
      <c r="C669" s="16">
        <v>0.22600000000000001</v>
      </c>
      <c r="D669" s="1">
        <v>1148398781.342</v>
      </c>
      <c r="E669" s="29">
        <f>Table15[[#This Row],[Ávöxtun]]*Table15[[#This Row],[Eignir]]/SUMIFS(Table15[Eignir],Table15[Year],Table15[[#This Row],[Year]])</f>
        <v>5.052708730627313E-2</v>
      </c>
      <c r="F669" s="23">
        <f>IF(B669=1997, 100, IF(COUNTIF(A$1:A668,A669)=0, "NEW", F668*(1+Table15[[#This Row],[Ávöxtun]])))</f>
        <v>577.48628691636429</v>
      </c>
      <c r="G669" s="18" cm="1">
        <f t="array" ref="G669">IFERROR(_xlfn.IFS(ISNUMBER(Table15[[#This Row],[Column3]]),Table15[[#This Row],[Column3]],Table15[[#This Row],[Column3]]="NEW",Table15[[#This Row],[Column3]]),"")</f>
        <v>577.48628691636429</v>
      </c>
      <c r="H669" s="15" cm="1">
        <f t="array" ref="H669">_xlfn.IFS(Table15[[#This Row],[Column4]]="NEW",AVERAGEIFS(Table15[Column4],Table15[Year],Table15[[#This Row],[Year]]),ISNUMBER(Table15[[#This Row],[Column4]]),Table15[[#This Row],[Column4]],Table15[[#This Row],[Column4]]="",H668*(1+Table15[[#This Row],[Ávöxtun]]))</f>
        <v>577.48628691636429</v>
      </c>
      <c r="I669" s="30" cm="1">
        <f t="array" ref="I669">_xlfn.IFS(Table15[[#This Row],[Column4]]="NEW",_xlfn.XLOOKUP(Table15[[#This Row],[Year]]-1,$N$2:$N$27,$P$2:$P$27)*(1+Table15[[#This Row],[Ávöxtun]]),ISNUMBER(Table15[[#This Row],[Column4]]),Table15[[#This Row],[Column4]],Table15[[#This Row],[Column4]]="",I668*(1+Table15[[#This Row],[Ávöxtun]]))</f>
        <v>577.48628691636429</v>
      </c>
      <c r="L669" s="33">
        <v>577.48628691636429</v>
      </c>
      <c r="M669" s="33">
        <v>577.48628691636429</v>
      </c>
    </row>
    <row r="670" spans="1:13">
      <c r="A670" t="s">
        <v>117</v>
      </c>
      <c r="B670">
        <v>2021</v>
      </c>
      <c r="C670" s="16">
        <v>0.19700000000000001</v>
      </c>
      <c r="D670" s="1">
        <v>1324570318.677</v>
      </c>
      <c r="E670" s="29">
        <f>Table15[[#This Row],[Ávöxtun]]*Table15[[#This Row],[Eignir]]/SUMIFS(Table15[Eignir],Table15[Year],Table15[[#This Row],[Year]])</f>
        <v>4.3205634579012171E-2</v>
      </c>
      <c r="F670" s="23">
        <f>IF(B670=1997, 100, IF(COUNTIF(A$1:A669,A670)=0, "NEW", F669*(1+Table15[[#This Row],[Ávöxtun]])))</f>
        <v>691.25108543888814</v>
      </c>
      <c r="G670" s="18" cm="1">
        <f t="array" ref="G670">IFERROR(_xlfn.IFS(ISNUMBER(Table15[[#This Row],[Column3]]),Table15[[#This Row],[Column3]],Table15[[#This Row],[Column3]]="NEW",Table15[[#This Row],[Column3]]),"")</f>
        <v>691.25108543888814</v>
      </c>
      <c r="H670" s="15" cm="1">
        <f t="array" ref="H670">_xlfn.IFS(Table15[[#This Row],[Column4]]="NEW",AVERAGEIFS(Table15[Column4],Table15[Year],Table15[[#This Row],[Year]]),ISNUMBER(Table15[[#This Row],[Column4]]),Table15[[#This Row],[Column4]],Table15[[#This Row],[Column4]]="",H669*(1+Table15[[#This Row],[Ávöxtun]]))</f>
        <v>691.25108543888814</v>
      </c>
      <c r="I670" s="30" cm="1">
        <f t="array" ref="I670">_xlfn.IFS(Table15[[#This Row],[Column4]]="NEW",_xlfn.XLOOKUP(Table15[[#This Row],[Year]]-1,$N$2:$N$27,$P$2:$P$27)*(1+Table15[[#This Row],[Ávöxtun]]),ISNUMBER(Table15[[#This Row],[Column4]]),Table15[[#This Row],[Column4]],Table15[[#This Row],[Column4]]="",I669*(1+Table15[[#This Row],[Ávöxtun]]))</f>
        <v>691.25108543888814</v>
      </c>
      <c r="L670" s="33">
        <v>691.25108543888814</v>
      </c>
      <c r="M670" s="33">
        <v>691.25108543888814</v>
      </c>
    </row>
    <row r="671" spans="1:13">
      <c r="A671" t="s">
        <v>118</v>
      </c>
      <c r="B671">
        <v>1998</v>
      </c>
      <c r="C671" s="16">
        <v>0</v>
      </c>
      <c r="D671" s="1">
        <v>58353.58</v>
      </c>
      <c r="E671" s="29">
        <f>Table15[[#This Row],[Ávöxtun]]*Table15[[#This Row],[Eignir]]/SUMIFS(Table15[Eignir],Table15[Year],Table15[[#This Row],[Year]])</f>
        <v>0</v>
      </c>
      <c r="F671" s="23" t="str">
        <f>IF(B671=1997, 100, IF(COUNTIF(A$1:A670,A671)=0, "NEW", F670*(1+Table15[[#This Row],[Ávöxtun]])))</f>
        <v>NEW</v>
      </c>
      <c r="G671" s="18" t="str" cm="1">
        <f t="array" ref="G671">IFERROR(_xlfn.IFS(ISNUMBER(Table15[[#This Row],[Column3]]),Table15[[#This Row],[Column3]],Table15[[#This Row],[Column3]]="NEW",Table15[[#This Row],[Column3]]),"")</f>
        <v>NEW</v>
      </c>
      <c r="H671" s="15" cm="1">
        <f t="array" ref="H671">_xlfn.IFS(Table15[[#This Row],[Column4]]="NEW",AVERAGEIFS(Table15[Column4],Table15[Year],Table15[[#This Row],[Year]]),ISNUMBER(Table15[[#This Row],[Column4]]),Table15[[#This Row],[Column4]],Table15[[#This Row],[Column4]]="",H670*(1+Table15[[#This Row],[Ávöxtun]]))</f>
        <v>106.70588235294117</v>
      </c>
      <c r="I671" s="30" cm="1">
        <f t="array" ref="I671">_xlfn.IFS(Table15[[#This Row],[Column4]]="NEW",_xlfn.XLOOKUP(Table15[[#This Row],[Year]]-1,$N$2:$N$27,$P$2:$P$27)*(1+Table15[[#This Row],[Ávöxtun]]),ISNUMBER(Table15[[#This Row],[Column4]]),Table15[[#This Row],[Column4]],Table15[[#This Row],[Column4]]="",I670*(1+Table15[[#This Row],[Ávöxtun]]))</f>
        <v>100</v>
      </c>
      <c r="L671" s="33">
        <v>106.70588235294117</v>
      </c>
      <c r="M671" s="33">
        <v>115.36660895196104</v>
      </c>
    </row>
    <row r="672" spans="1:13">
      <c r="A672" t="s">
        <v>118</v>
      </c>
      <c r="B672">
        <v>1999</v>
      </c>
      <c r="C672" s="16">
        <v>0</v>
      </c>
      <c r="D672" s="1">
        <v>578141.65</v>
      </c>
      <c r="E672" s="29">
        <f>Table15[[#This Row],[Ávöxtun]]*Table15[[#This Row],[Eignir]]/SUMIFS(Table15[Eignir],Table15[Year],Table15[[#This Row],[Year]])</f>
        <v>0</v>
      </c>
      <c r="F672" s="23" t="e">
        <f>IF(B672=1997, 100, IF(COUNTIF(A$1:A671,A672)=0, "NEW", F671*(1+Table15[[#This Row],[Ávöxtun]])))</f>
        <v>#VALUE!</v>
      </c>
      <c r="G672" s="18" t="str" cm="1">
        <f t="array" ref="G672">IFERROR(_xlfn.IFS(ISNUMBER(Table15[[#This Row],[Column3]]),Table15[[#This Row],[Column3]],Table15[[#This Row],[Column3]]="NEW",Table15[[#This Row],[Column3]]),"")</f>
        <v/>
      </c>
      <c r="H672" s="15" cm="1">
        <f t="array" ref="H672">_xlfn.IFS(Table15[[#This Row],[Column4]]="NEW",AVERAGEIFS(Table15[Column4],Table15[Year],Table15[[#This Row],[Year]]),ISNUMBER(Table15[[#This Row],[Column4]]),Table15[[#This Row],[Column4]],Table15[[#This Row],[Column4]]="",H671*(1+Table15[[#This Row],[Ávöxtun]]))</f>
        <v>106.70588235294117</v>
      </c>
      <c r="I672" s="30" cm="1">
        <f t="array" ref="I672">_xlfn.IFS(Table15[[#This Row],[Column4]]="NEW",_xlfn.XLOOKUP(Table15[[#This Row],[Year]]-1,$N$2:$N$27,$P$2:$P$27)*(1+Table15[[#This Row],[Ávöxtun]]),ISNUMBER(Table15[[#This Row],[Column4]]),Table15[[#This Row],[Column4]],Table15[[#This Row],[Column4]]="",I671*(1+Table15[[#This Row],[Ávöxtun]]))</f>
        <v>100</v>
      </c>
      <c r="L672" s="33">
        <v>106.70588235294117</v>
      </c>
      <c r="M672" s="33">
        <v>115.36660895196104</v>
      </c>
    </row>
    <row r="673" spans="1:13">
      <c r="A673" t="s">
        <v>118</v>
      </c>
      <c r="B673">
        <v>2000</v>
      </c>
      <c r="C673" s="16">
        <v>-0.28999999999999998</v>
      </c>
      <c r="D673" s="1">
        <v>2993088.46</v>
      </c>
      <c r="E673" s="29">
        <f>Table15[[#This Row],[Ávöxtun]]*Table15[[#This Row],[Eignir]]/SUMIFS(Table15[Eignir],Table15[Year],Table15[[#This Row],[Year]])</f>
        <v>-1.2209990384614666E-3</v>
      </c>
      <c r="F673" s="23" t="e">
        <f>IF(B673=1997, 100, IF(COUNTIF(A$1:A672,A673)=0, "NEW", F672*(1+Table15[[#This Row],[Ávöxtun]])))</f>
        <v>#VALUE!</v>
      </c>
      <c r="G673" s="18" t="str" cm="1">
        <f t="array" ref="G673">IFERROR(_xlfn.IFS(ISNUMBER(Table15[[#This Row],[Column3]]),Table15[[#This Row],[Column3]],Table15[[#This Row],[Column3]]="NEW",Table15[[#This Row],[Column3]]),"")</f>
        <v/>
      </c>
      <c r="H673" s="15" cm="1">
        <f t="array" ref="H673">_xlfn.IFS(Table15[[#This Row],[Column4]]="NEW",AVERAGEIFS(Table15[Column4],Table15[Year],Table15[[#This Row],[Year]]),ISNUMBER(Table15[[#This Row],[Column4]]),Table15[[#This Row],[Column4]],Table15[[#This Row],[Column4]]="",H672*(1+Table15[[#This Row],[Ávöxtun]]))</f>
        <v>75.761176470588225</v>
      </c>
      <c r="I673" s="30" cm="1">
        <f t="array" ref="I673">_xlfn.IFS(Table15[[#This Row],[Column4]]="NEW",_xlfn.XLOOKUP(Table15[[#This Row],[Year]]-1,$N$2:$N$27,$P$2:$P$27)*(1+Table15[[#This Row],[Ávöxtun]]),ISNUMBER(Table15[[#This Row],[Column4]]),Table15[[#This Row],[Column4]],Table15[[#This Row],[Column4]]="",I672*(1+Table15[[#This Row],[Ávöxtun]]))</f>
        <v>71</v>
      </c>
      <c r="L673" s="33">
        <v>75.761176470588225</v>
      </c>
      <c r="M673" s="33">
        <v>81.910292355892338</v>
      </c>
    </row>
    <row r="674" spans="1:13">
      <c r="A674" t="s">
        <v>118</v>
      </c>
      <c r="B674">
        <v>2001</v>
      </c>
      <c r="C674" s="16">
        <v>-0.12</v>
      </c>
      <c r="D674" s="1">
        <v>6073269.6200000001</v>
      </c>
      <c r="E674" s="29">
        <f>Table15[[#This Row],[Ávöxtun]]*Table15[[#This Row],[Eignir]]/SUMIFS(Table15[Eignir],Table15[Year],Table15[[#This Row],[Year]])</f>
        <v>-6.2940017096767579E-4</v>
      </c>
      <c r="F674" s="23" t="e">
        <f>IF(B674=1997, 100, IF(COUNTIF(A$1:A673,A674)=0, "NEW", F673*(1+Table15[[#This Row],[Ávöxtun]])))</f>
        <v>#VALUE!</v>
      </c>
      <c r="G674" s="18" t="str" cm="1">
        <f t="array" ref="G674">IFERROR(_xlfn.IFS(ISNUMBER(Table15[[#This Row],[Column3]]),Table15[[#This Row],[Column3]],Table15[[#This Row],[Column3]]="NEW",Table15[[#This Row],[Column3]]),"")</f>
        <v/>
      </c>
      <c r="H674" s="15" cm="1">
        <f t="array" ref="H674">_xlfn.IFS(Table15[[#This Row],[Column4]]="NEW",AVERAGEIFS(Table15[Column4],Table15[Year],Table15[[#This Row],[Year]]),ISNUMBER(Table15[[#This Row],[Column4]]),Table15[[#This Row],[Column4]],Table15[[#This Row],[Column4]]="",H673*(1+Table15[[#This Row],[Ávöxtun]]))</f>
        <v>66.669835294117632</v>
      </c>
      <c r="I674" s="30" cm="1">
        <f t="array" ref="I674">_xlfn.IFS(Table15[[#This Row],[Column4]]="NEW",_xlfn.XLOOKUP(Table15[[#This Row],[Year]]-1,$N$2:$N$27,$P$2:$P$27)*(1+Table15[[#This Row],[Ávöxtun]]),ISNUMBER(Table15[[#This Row],[Column4]]),Table15[[#This Row],[Column4]],Table15[[#This Row],[Column4]]="",I673*(1+Table15[[#This Row],[Ávöxtun]]))</f>
        <v>62.48</v>
      </c>
      <c r="L674" s="33">
        <v>66.669835294117632</v>
      </c>
      <c r="M674" s="33">
        <v>72.081057273185252</v>
      </c>
    </row>
    <row r="675" spans="1:13">
      <c r="A675" t="s">
        <v>118</v>
      </c>
      <c r="B675">
        <v>2002</v>
      </c>
      <c r="C675" s="16">
        <v>-0.05</v>
      </c>
      <c r="D675" s="1">
        <v>4642432</v>
      </c>
      <c r="E675" s="29">
        <f>Table15[[#This Row],[Ávöxtun]]*Table15[[#This Row],[Eignir]]/SUMIFS(Table15[Eignir],Table15[Year],Table15[[#This Row],[Year]])</f>
        <v>-3.6545135308485181E-4</v>
      </c>
      <c r="F675" s="23" t="e">
        <f>IF(B675=1997, 100, IF(COUNTIF(A$1:A674,A675)=0, "NEW", F674*(1+Table15[[#This Row],[Ávöxtun]])))</f>
        <v>#VALUE!</v>
      </c>
      <c r="G675" s="18" t="str" cm="1">
        <f t="array" ref="G675">IFERROR(_xlfn.IFS(ISNUMBER(Table15[[#This Row],[Column3]]),Table15[[#This Row],[Column3]],Table15[[#This Row],[Column3]]="NEW",Table15[[#This Row],[Column3]]),"")</f>
        <v/>
      </c>
      <c r="H675" s="15" cm="1">
        <f t="array" ref="H675">_xlfn.IFS(Table15[[#This Row],[Column4]]="NEW",AVERAGEIFS(Table15[Column4],Table15[Year],Table15[[#This Row],[Year]]),ISNUMBER(Table15[[#This Row],[Column4]]),Table15[[#This Row],[Column4]],Table15[[#This Row],[Column4]]="",H674*(1+Table15[[#This Row],[Ávöxtun]]))</f>
        <v>63.336343529411749</v>
      </c>
      <c r="I675" s="30" cm="1">
        <f t="array" ref="I675">_xlfn.IFS(Table15[[#This Row],[Column4]]="NEW",_xlfn.XLOOKUP(Table15[[#This Row],[Year]]-1,$N$2:$N$27,$P$2:$P$27)*(1+Table15[[#This Row],[Ávöxtun]]),ISNUMBER(Table15[[#This Row],[Column4]]),Table15[[#This Row],[Column4]],Table15[[#This Row],[Column4]]="",I674*(1+Table15[[#This Row],[Ávöxtun]]))</f>
        <v>59.355999999999995</v>
      </c>
      <c r="L675" s="33">
        <v>63.336343529411749</v>
      </c>
      <c r="M675" s="33">
        <v>68.477004409525989</v>
      </c>
    </row>
    <row r="676" spans="1:13">
      <c r="A676" t="s">
        <v>118</v>
      </c>
      <c r="B676">
        <v>2003</v>
      </c>
      <c r="C676" s="16">
        <v>0.19</v>
      </c>
      <c r="D676" s="1">
        <v>7354351</v>
      </c>
      <c r="E676" s="29">
        <f>Table15[[#This Row],[Ávöxtun]]*Table15[[#This Row],[Eignir]]/SUMIFS(Table15[Eignir],Table15[Year],Table15[[#This Row],[Year]])</f>
        <v>1.8388505244740277E-3</v>
      </c>
      <c r="F676" s="23" t="e">
        <f>IF(B676=1997, 100, IF(COUNTIF(A$1:A675,A676)=0, "NEW", F675*(1+Table15[[#This Row],[Ávöxtun]])))</f>
        <v>#VALUE!</v>
      </c>
      <c r="G676" s="18" t="str" cm="1">
        <f t="array" ref="G676">IFERROR(_xlfn.IFS(ISNUMBER(Table15[[#This Row],[Column3]]),Table15[[#This Row],[Column3]],Table15[[#This Row],[Column3]]="NEW",Table15[[#This Row],[Column3]]),"")</f>
        <v/>
      </c>
      <c r="H676" s="15" cm="1">
        <f t="array" ref="H676">_xlfn.IFS(Table15[[#This Row],[Column4]]="NEW",AVERAGEIFS(Table15[Column4],Table15[Year],Table15[[#This Row],[Year]]),ISNUMBER(Table15[[#This Row],[Column4]]),Table15[[#This Row],[Column4]],Table15[[#This Row],[Column4]]="",H675*(1+Table15[[#This Row],[Ávöxtun]]))</f>
        <v>75.370248799999985</v>
      </c>
      <c r="I676" s="30" cm="1">
        <f t="array" ref="I676">_xlfn.IFS(Table15[[#This Row],[Column4]]="NEW",_xlfn.XLOOKUP(Table15[[#This Row],[Year]]-1,$N$2:$N$27,$P$2:$P$27)*(1+Table15[[#This Row],[Ávöxtun]]),ISNUMBER(Table15[[#This Row],[Column4]]),Table15[[#This Row],[Column4]],Table15[[#This Row],[Column4]]="",I675*(1+Table15[[#This Row],[Ávöxtun]]))</f>
        <v>70.633639999999986</v>
      </c>
      <c r="L676" s="33">
        <v>75.370248799999985</v>
      </c>
      <c r="M676" s="33">
        <v>81.48763524733593</v>
      </c>
    </row>
    <row r="677" spans="1:13">
      <c r="A677" t="s">
        <v>118</v>
      </c>
      <c r="B677">
        <v>2004</v>
      </c>
      <c r="C677" s="16">
        <v>0.1</v>
      </c>
      <c r="D677" s="1">
        <v>12011566.029999999</v>
      </c>
      <c r="E677" s="29">
        <f>Table15[[#This Row],[Ávöxtun]]*Table15[[#This Row],[Eignir]]/SUMIFS(Table15[Eignir],Table15[Year],Table15[[#This Row],[Year]])</f>
        <v>1.3233400249957094E-3</v>
      </c>
      <c r="F677" s="23" t="e">
        <f>IF(B677=1997, 100, IF(COUNTIF(A$1:A676,A677)=0, "NEW", F676*(1+Table15[[#This Row],[Ávöxtun]])))</f>
        <v>#VALUE!</v>
      </c>
      <c r="G677" s="18" t="str" cm="1">
        <f t="array" ref="G677">IFERROR(_xlfn.IFS(ISNUMBER(Table15[[#This Row],[Column3]]),Table15[[#This Row],[Column3]],Table15[[#This Row],[Column3]]="NEW",Table15[[#This Row],[Column3]]),"")</f>
        <v/>
      </c>
      <c r="H677" s="15" cm="1">
        <f t="array" ref="H677">_xlfn.IFS(Table15[[#This Row],[Column4]]="NEW",AVERAGEIFS(Table15[Column4],Table15[Year],Table15[[#This Row],[Year]]),ISNUMBER(Table15[[#This Row],[Column4]]),Table15[[#This Row],[Column4]],Table15[[#This Row],[Column4]]="",H676*(1+Table15[[#This Row],[Ávöxtun]]))</f>
        <v>82.907273679999989</v>
      </c>
      <c r="I677" s="30" cm="1">
        <f t="array" ref="I677">_xlfn.IFS(Table15[[#This Row],[Column4]]="NEW",_xlfn.XLOOKUP(Table15[[#This Row],[Year]]-1,$N$2:$N$27,$P$2:$P$27)*(1+Table15[[#This Row],[Ávöxtun]]),ISNUMBER(Table15[[#This Row],[Column4]]),Table15[[#This Row],[Column4]],Table15[[#This Row],[Column4]]="",I676*(1+Table15[[#This Row],[Ávöxtun]]))</f>
        <v>77.697003999999993</v>
      </c>
      <c r="L677" s="33">
        <v>82.907273679999989</v>
      </c>
      <c r="M677" s="33">
        <v>89.636398772069526</v>
      </c>
    </row>
    <row r="678" spans="1:13">
      <c r="A678" t="s">
        <v>118</v>
      </c>
      <c r="B678">
        <v>2005</v>
      </c>
      <c r="C678" s="16">
        <v>0.14000000000000001</v>
      </c>
      <c r="D678" s="1">
        <v>16163013</v>
      </c>
      <c r="E678" s="29">
        <f>Table15[[#This Row],[Ávöxtun]]*Table15[[#This Row],[Eignir]]/SUMIFS(Table15[Eignir],Table15[Year],Table15[[#This Row],[Year]])</f>
        <v>2.0179663425776021E-3</v>
      </c>
      <c r="F678" s="23" t="e">
        <f>IF(B678=1997, 100, IF(COUNTIF(A$1:A677,A678)=0, "NEW", F677*(1+Table15[[#This Row],[Ávöxtun]])))</f>
        <v>#VALUE!</v>
      </c>
      <c r="G678" s="18" t="str" cm="1">
        <f t="array" ref="G678">IFERROR(_xlfn.IFS(ISNUMBER(Table15[[#This Row],[Column3]]),Table15[[#This Row],[Column3]],Table15[[#This Row],[Column3]]="NEW",Table15[[#This Row],[Column3]]),"")</f>
        <v/>
      </c>
      <c r="H678" s="15" cm="1">
        <f t="array" ref="H678">_xlfn.IFS(Table15[[#This Row],[Column4]]="NEW",AVERAGEIFS(Table15[Column4],Table15[Year],Table15[[#This Row],[Year]]),ISNUMBER(Table15[[#This Row],[Column4]]),Table15[[#This Row],[Column4]],Table15[[#This Row],[Column4]]="",H677*(1+Table15[[#This Row],[Ávöxtun]]))</f>
        <v>94.514291995199997</v>
      </c>
      <c r="I678" s="30" cm="1">
        <f t="array" ref="I678">_xlfn.IFS(Table15[[#This Row],[Column4]]="NEW",_xlfn.XLOOKUP(Table15[[#This Row],[Year]]-1,$N$2:$N$27,$P$2:$P$27)*(1+Table15[[#This Row],[Ávöxtun]]),ISNUMBER(Table15[[#This Row],[Column4]]),Table15[[#This Row],[Column4]],Table15[[#This Row],[Column4]]="",I677*(1+Table15[[#This Row],[Ávöxtun]]))</f>
        <v>88.574584560000005</v>
      </c>
      <c r="L678" s="33">
        <v>94.514291995199997</v>
      </c>
      <c r="M678" s="33">
        <v>102.18549460015927</v>
      </c>
    </row>
    <row r="679" spans="1:13">
      <c r="A679" t="s">
        <v>118</v>
      </c>
      <c r="B679">
        <v>2006</v>
      </c>
      <c r="C679" s="16">
        <v>0.15859999999999999</v>
      </c>
      <c r="D679" s="1">
        <v>22146893</v>
      </c>
      <c r="E679" s="29">
        <f>Table15[[#This Row],[Ávöxtun]]*Table15[[#This Row],[Eignir]]/SUMIFS(Table15[Eignir],Table15[Year],Table15[[#This Row],[Year]])</f>
        <v>2.5588690637796995E-3</v>
      </c>
      <c r="F679" s="23" t="e">
        <f>IF(B679=1997, 100, IF(COUNTIF(A$1:A678,A679)=0, "NEW", F678*(1+Table15[[#This Row],[Ávöxtun]])))</f>
        <v>#VALUE!</v>
      </c>
      <c r="G679" s="18" t="str" cm="1">
        <f t="array" ref="G679">IFERROR(_xlfn.IFS(ISNUMBER(Table15[[#This Row],[Column3]]),Table15[[#This Row],[Column3]],Table15[[#This Row],[Column3]]="NEW",Table15[[#This Row],[Column3]]),"")</f>
        <v/>
      </c>
      <c r="H679" s="15" cm="1">
        <f t="array" ref="H679">_xlfn.IFS(Table15[[#This Row],[Column4]]="NEW",AVERAGEIFS(Table15[Column4],Table15[Year],Table15[[#This Row],[Year]]),ISNUMBER(Table15[[#This Row],[Column4]]),Table15[[#This Row],[Column4]],Table15[[#This Row],[Column4]]="",H678*(1+Table15[[#This Row],[Ávöxtun]]))</f>
        <v>109.50425870563872</v>
      </c>
      <c r="I679" s="30" cm="1">
        <f t="array" ref="I679">_xlfn.IFS(Table15[[#This Row],[Column4]]="NEW",_xlfn.XLOOKUP(Table15[[#This Row],[Year]]-1,$N$2:$N$27,$P$2:$P$27)*(1+Table15[[#This Row],[Ávöxtun]]),ISNUMBER(Table15[[#This Row],[Column4]]),Table15[[#This Row],[Column4]],Table15[[#This Row],[Column4]]="",I678*(1+Table15[[#This Row],[Ávöxtun]]))</f>
        <v>102.62251367121601</v>
      </c>
      <c r="L679" s="33">
        <v>109.50425870563872</v>
      </c>
      <c r="M679" s="33">
        <v>118.39211404374454</v>
      </c>
    </row>
    <row r="680" spans="1:13">
      <c r="A680" t="s">
        <v>118</v>
      </c>
      <c r="B680">
        <v>2007</v>
      </c>
      <c r="C680" s="16">
        <v>1.95E-2</v>
      </c>
      <c r="D680" s="1">
        <v>27587433</v>
      </c>
      <c r="E680" s="29">
        <f>Table15[[#This Row],[Ávöxtun]]*Table15[[#This Row],[Eignir]]/SUMIFS(Table15[Eignir],Table15[Year],Table15[[#This Row],[Year]])</f>
        <v>3.4787387446028371E-4</v>
      </c>
      <c r="F680" s="23" t="e">
        <f>IF(B680=1997, 100, IF(COUNTIF(A$1:A679,A680)=0, "NEW", F679*(1+Table15[[#This Row],[Ávöxtun]])))</f>
        <v>#VALUE!</v>
      </c>
      <c r="G680" s="18" t="str" cm="1">
        <f t="array" ref="G680">IFERROR(_xlfn.IFS(ISNUMBER(Table15[[#This Row],[Column3]]),Table15[[#This Row],[Column3]],Table15[[#This Row],[Column3]]="NEW",Table15[[#This Row],[Column3]]),"")</f>
        <v/>
      </c>
      <c r="H680" s="15" cm="1">
        <f t="array" ref="H680">_xlfn.IFS(Table15[[#This Row],[Column4]]="NEW",AVERAGEIFS(Table15[Column4],Table15[Year],Table15[[#This Row],[Year]]),ISNUMBER(Table15[[#This Row],[Column4]]),Table15[[#This Row],[Column4]],Table15[[#This Row],[Column4]]="",H679*(1+Table15[[#This Row],[Ávöxtun]]))</f>
        <v>111.63959175039868</v>
      </c>
      <c r="I680" s="30" cm="1">
        <f t="array" ref="I680">_xlfn.IFS(Table15[[#This Row],[Column4]]="NEW",_xlfn.XLOOKUP(Table15[[#This Row],[Year]]-1,$N$2:$N$27,$P$2:$P$27)*(1+Table15[[#This Row],[Ávöxtun]]),ISNUMBER(Table15[[#This Row],[Column4]]),Table15[[#This Row],[Column4]],Table15[[#This Row],[Column4]]="",I679*(1+Table15[[#This Row],[Ávöxtun]]))</f>
        <v>104.62365268780474</v>
      </c>
      <c r="L680" s="33">
        <v>111.63959175039868</v>
      </c>
      <c r="M680" s="33">
        <v>120.70076026759757</v>
      </c>
    </row>
    <row r="681" spans="1:13">
      <c r="A681" t="s">
        <v>118</v>
      </c>
      <c r="B681">
        <v>2008</v>
      </c>
      <c r="C681" s="16">
        <v>-0.2389</v>
      </c>
      <c r="D681" s="1">
        <v>32677126</v>
      </c>
      <c r="E681" s="29">
        <f>Table15[[#This Row],[Ávöxtun]]*Table15[[#This Row],[Eignir]]/SUMIFS(Table15[Eignir],Table15[Year],Table15[[#This Row],[Year]])</f>
        <v>-5.2136993693674546E-3</v>
      </c>
      <c r="F681" s="23" t="e">
        <f>IF(B681=1997, 100, IF(COUNTIF(A$1:A680,A681)=0, "NEW", F680*(1+Table15[[#This Row],[Ávöxtun]])))</f>
        <v>#VALUE!</v>
      </c>
      <c r="G681" s="18" t="str" cm="1">
        <f t="array" ref="G681">IFERROR(_xlfn.IFS(ISNUMBER(Table15[[#This Row],[Column3]]),Table15[[#This Row],[Column3]],Table15[[#This Row],[Column3]]="NEW",Table15[[#This Row],[Column3]]),"")</f>
        <v/>
      </c>
      <c r="H681" s="15" cm="1">
        <f t="array" ref="H681">_xlfn.IFS(Table15[[#This Row],[Column4]]="NEW",AVERAGEIFS(Table15[Column4],Table15[Year],Table15[[#This Row],[Year]]),ISNUMBER(Table15[[#This Row],[Column4]]),Table15[[#This Row],[Column4]],Table15[[#This Row],[Column4]]="",H680*(1+Table15[[#This Row],[Ávöxtun]]))</f>
        <v>84.968893281228432</v>
      </c>
      <c r="I681" s="30" cm="1">
        <f t="array" ref="I681">_xlfn.IFS(Table15[[#This Row],[Column4]]="NEW",_xlfn.XLOOKUP(Table15[[#This Row],[Year]]-1,$N$2:$N$27,$P$2:$P$27)*(1+Table15[[#This Row],[Ávöxtun]]),ISNUMBER(Table15[[#This Row],[Column4]]),Table15[[#This Row],[Column4]],Table15[[#This Row],[Column4]]="",I680*(1+Table15[[#This Row],[Ávöxtun]]))</f>
        <v>79.629062060688184</v>
      </c>
      <c r="L681" s="33">
        <v>84.968893281228432</v>
      </c>
      <c r="M681" s="33">
        <v>91.865348639668511</v>
      </c>
    </row>
    <row r="682" spans="1:13">
      <c r="A682" t="s">
        <v>118</v>
      </c>
      <c r="B682">
        <v>2009</v>
      </c>
      <c r="C682" s="16">
        <v>2.5099999999999997E-2</v>
      </c>
      <c r="D682" s="1">
        <v>41028939</v>
      </c>
      <c r="E682" s="29">
        <f>Table15[[#This Row],[Ávöxtun]]*Table15[[#This Row],[Eignir]]/SUMIFS(Table15[Eignir],Table15[Year],Table15[[#This Row],[Year]])</f>
        <v>6.1730628507200688E-4</v>
      </c>
      <c r="F682" s="23" t="e">
        <f>IF(B682=1997, 100, IF(COUNTIF(A$1:A681,A682)=0, "NEW", F681*(1+Table15[[#This Row],[Ávöxtun]])))</f>
        <v>#VALUE!</v>
      </c>
      <c r="G682" s="18" t="str" cm="1">
        <f t="array" ref="G682">IFERROR(_xlfn.IFS(ISNUMBER(Table15[[#This Row],[Column3]]),Table15[[#This Row],[Column3]],Table15[[#This Row],[Column3]]="NEW",Table15[[#This Row],[Column3]]),"")</f>
        <v/>
      </c>
      <c r="H682" s="15" cm="1">
        <f t="array" ref="H682">_xlfn.IFS(Table15[[#This Row],[Column4]]="NEW",AVERAGEIFS(Table15[Column4],Table15[Year],Table15[[#This Row],[Year]]),ISNUMBER(Table15[[#This Row],[Column4]]),Table15[[#This Row],[Column4]],Table15[[#This Row],[Column4]]="",H681*(1+Table15[[#This Row],[Ávöxtun]]))</f>
        <v>87.101612502587258</v>
      </c>
      <c r="I682" s="30" cm="1">
        <f t="array" ref="I682">_xlfn.IFS(Table15[[#This Row],[Column4]]="NEW",_xlfn.XLOOKUP(Table15[[#This Row],[Year]]-1,$N$2:$N$27,$P$2:$P$27)*(1+Table15[[#This Row],[Ávöxtun]]),ISNUMBER(Table15[[#This Row],[Column4]]),Table15[[#This Row],[Column4]],Table15[[#This Row],[Column4]]="",I681*(1+Table15[[#This Row],[Ávöxtun]]))</f>
        <v>81.627751518411443</v>
      </c>
      <c r="L682" s="33">
        <v>87.101612502587258</v>
      </c>
      <c r="M682" s="33">
        <v>94.171168890524186</v>
      </c>
    </row>
    <row r="683" spans="1:13">
      <c r="A683" t="s">
        <v>118</v>
      </c>
      <c r="B683">
        <v>2010</v>
      </c>
      <c r="C683" s="16">
        <v>2.4300000000000002E-2</v>
      </c>
      <c r="D683" s="1">
        <v>47690511</v>
      </c>
      <c r="E683" s="29">
        <f>Table15[[#This Row],[Ávöxtun]]*Table15[[#This Row],[Eignir]]/SUMIFS(Table15[Eignir],Table15[Year],Table15[[#This Row],[Year]])</f>
        <v>6.4822023158526282E-4</v>
      </c>
      <c r="F683" s="23" t="e">
        <f>IF(B683=1997, 100, IF(COUNTIF(A$1:A682,A683)=0, "NEW", F682*(1+Table15[[#This Row],[Ávöxtun]])))</f>
        <v>#VALUE!</v>
      </c>
      <c r="G683" s="18" t="str" cm="1">
        <f t="array" ref="G683">IFERROR(_xlfn.IFS(ISNUMBER(Table15[[#This Row],[Column3]]),Table15[[#This Row],[Column3]],Table15[[#This Row],[Column3]]="NEW",Table15[[#This Row],[Column3]]),"")</f>
        <v/>
      </c>
      <c r="H683" s="15" cm="1">
        <f t="array" ref="H683">_xlfn.IFS(Table15[[#This Row],[Column4]]="NEW",AVERAGEIFS(Table15[Column4],Table15[Year],Table15[[#This Row],[Year]]),ISNUMBER(Table15[[#This Row],[Column4]]),Table15[[#This Row],[Column4]],Table15[[#This Row],[Column4]]="",H682*(1+Table15[[#This Row],[Ávöxtun]]))</f>
        <v>89.218181686400129</v>
      </c>
      <c r="I683" s="30" cm="1">
        <f t="array" ref="I683">_xlfn.IFS(Table15[[#This Row],[Column4]]="NEW",_xlfn.XLOOKUP(Table15[[#This Row],[Year]]-1,$N$2:$N$27,$P$2:$P$27)*(1+Table15[[#This Row],[Ávöxtun]]),ISNUMBER(Table15[[#This Row],[Column4]]),Table15[[#This Row],[Column4]],Table15[[#This Row],[Column4]]="",I682*(1+Table15[[#This Row],[Ávöxtun]]))</f>
        <v>83.611305880308834</v>
      </c>
      <c r="L683" s="33">
        <v>89.218181686400129</v>
      </c>
      <c r="M683" s="33">
        <v>96.459528294563924</v>
      </c>
    </row>
    <row r="684" spans="1:13">
      <c r="A684" t="s">
        <v>118</v>
      </c>
      <c r="B684">
        <v>2011</v>
      </c>
      <c r="C684" s="16">
        <v>7.2000000000000008E-2</v>
      </c>
      <c r="D684" s="1">
        <v>57425655</v>
      </c>
      <c r="E684" s="29">
        <f>Table15[[#This Row],[Ávöxtun]]*Table15[[#This Row],[Eignir]]/SUMIFS(Table15[Eignir],Table15[Year],Table15[[#This Row],[Year]])</f>
        <v>2.119724398695632E-3</v>
      </c>
      <c r="F684" s="23" t="e">
        <f>IF(B684=1997, 100, IF(COUNTIF(A$1:A683,A684)=0, "NEW", F683*(1+Table15[[#This Row],[Ávöxtun]])))</f>
        <v>#VALUE!</v>
      </c>
      <c r="G684" s="18" t="str" cm="1">
        <f t="array" ref="G684">IFERROR(_xlfn.IFS(ISNUMBER(Table15[[#This Row],[Column3]]),Table15[[#This Row],[Column3]],Table15[[#This Row],[Column3]]="NEW",Table15[[#This Row],[Column3]]),"")</f>
        <v/>
      </c>
      <c r="H684" s="15" cm="1">
        <f t="array" ref="H684">_xlfn.IFS(Table15[[#This Row],[Column4]]="NEW",AVERAGEIFS(Table15[Column4],Table15[Year],Table15[[#This Row],[Year]]),ISNUMBER(Table15[[#This Row],[Column4]]),Table15[[#This Row],[Column4]],Table15[[#This Row],[Column4]]="",H683*(1+Table15[[#This Row],[Ávöxtun]]))</f>
        <v>95.641890767820939</v>
      </c>
      <c r="I684" s="30" cm="1">
        <f t="array" ref="I684">_xlfn.IFS(Table15[[#This Row],[Column4]]="NEW",_xlfn.XLOOKUP(Table15[[#This Row],[Year]]-1,$N$2:$N$27,$P$2:$P$27)*(1+Table15[[#This Row],[Ávöxtun]]),ISNUMBER(Table15[[#This Row],[Column4]]),Table15[[#This Row],[Column4]],Table15[[#This Row],[Column4]]="",I683*(1+Table15[[#This Row],[Ávöxtun]]))</f>
        <v>89.631319903691079</v>
      </c>
      <c r="L684" s="33">
        <v>95.641890767820939</v>
      </c>
      <c r="M684" s="33">
        <v>103.40461433177254</v>
      </c>
    </row>
    <row r="685" spans="1:13">
      <c r="A685" t="s">
        <v>118</v>
      </c>
      <c r="B685">
        <v>2012</v>
      </c>
      <c r="C685" s="16">
        <v>8.199999999999999E-2</v>
      </c>
      <c r="D685" s="1">
        <v>68503666</v>
      </c>
      <c r="E685" s="29">
        <f>Table15[[#This Row],[Ávöxtun]]*Table15[[#This Row],[Eignir]]/SUMIFS(Table15[Eignir],Table15[Year],Table15[[#This Row],[Year]])</f>
        <v>2.5500231288611507E-3</v>
      </c>
      <c r="F685" s="23" t="e">
        <f>IF(B685=1997, 100, IF(COUNTIF(A$1:A684,A685)=0, "NEW", F684*(1+Table15[[#This Row],[Ávöxtun]])))</f>
        <v>#VALUE!</v>
      </c>
      <c r="G685" s="18" t="str" cm="1">
        <f t="array" ref="G685">IFERROR(_xlfn.IFS(ISNUMBER(Table15[[#This Row],[Column3]]),Table15[[#This Row],[Column3]],Table15[[#This Row],[Column3]]="NEW",Table15[[#This Row],[Column3]]),"")</f>
        <v/>
      </c>
      <c r="H685" s="15" cm="1">
        <f t="array" ref="H685">_xlfn.IFS(Table15[[#This Row],[Column4]]="NEW",AVERAGEIFS(Table15[Column4],Table15[Year],Table15[[#This Row],[Year]]),ISNUMBER(Table15[[#This Row],[Column4]]),Table15[[#This Row],[Column4]],Table15[[#This Row],[Column4]]="",H684*(1+Table15[[#This Row],[Ávöxtun]]))</f>
        <v>103.48452581078226</v>
      </c>
      <c r="I685" s="30" cm="1">
        <f t="array" ref="I685">_xlfn.IFS(Table15[[#This Row],[Column4]]="NEW",_xlfn.XLOOKUP(Table15[[#This Row],[Year]]-1,$N$2:$N$27,$P$2:$P$27)*(1+Table15[[#This Row],[Ávöxtun]]),ISNUMBER(Table15[[#This Row],[Column4]]),Table15[[#This Row],[Column4]],Table15[[#This Row],[Column4]]="",I684*(1+Table15[[#This Row],[Ávöxtun]]))</f>
        <v>96.981088135793755</v>
      </c>
      <c r="L685" s="33">
        <v>103.48452581078226</v>
      </c>
      <c r="M685" s="33">
        <v>111.88379270697789</v>
      </c>
    </row>
    <row r="686" spans="1:13">
      <c r="A686" t="s">
        <v>118</v>
      </c>
      <c r="B686">
        <v>2013</v>
      </c>
      <c r="C686" s="16">
        <v>0.11</v>
      </c>
      <c r="D686" s="1">
        <v>85374276</v>
      </c>
      <c r="E686" s="29">
        <f>Table15[[#This Row],[Ávöxtun]]*Table15[[#This Row],[Eignir]]/SUMIFS(Table15[Eignir],Table15[Year],Table15[[#This Row],[Year]])</f>
        <v>3.8589946358901245E-3</v>
      </c>
      <c r="F686" s="23" t="e">
        <f>IF(B686=1997, 100, IF(COUNTIF(A$1:A685,A686)=0, "NEW", F685*(1+Table15[[#This Row],[Ávöxtun]])))</f>
        <v>#VALUE!</v>
      </c>
      <c r="G686" s="18" t="str" cm="1">
        <f t="array" ref="G686">IFERROR(_xlfn.IFS(ISNUMBER(Table15[[#This Row],[Column3]]),Table15[[#This Row],[Column3]],Table15[[#This Row],[Column3]]="NEW",Table15[[#This Row],[Column3]]),"")</f>
        <v/>
      </c>
      <c r="H686" s="15" cm="1">
        <f t="array" ref="H686">_xlfn.IFS(Table15[[#This Row],[Column4]]="NEW",AVERAGEIFS(Table15[Column4],Table15[Year],Table15[[#This Row],[Year]]),ISNUMBER(Table15[[#This Row],[Column4]]),Table15[[#This Row],[Column4]],Table15[[#This Row],[Column4]]="",H685*(1+Table15[[#This Row],[Ávöxtun]]))</f>
        <v>114.86782364996832</v>
      </c>
      <c r="I686" s="30" cm="1">
        <f t="array" ref="I686">_xlfn.IFS(Table15[[#This Row],[Column4]]="NEW",_xlfn.XLOOKUP(Table15[[#This Row],[Year]]-1,$N$2:$N$27,$P$2:$P$27)*(1+Table15[[#This Row],[Ávöxtun]]),ISNUMBER(Table15[[#This Row],[Column4]]),Table15[[#This Row],[Column4]],Table15[[#This Row],[Column4]]="",I685*(1+Table15[[#This Row],[Ávöxtun]]))</f>
        <v>107.64900783073108</v>
      </c>
      <c r="L686" s="33">
        <v>114.86782364996832</v>
      </c>
      <c r="M686" s="33">
        <v>124.19100990474547</v>
      </c>
    </row>
    <row r="687" spans="1:13">
      <c r="A687" t="s">
        <v>118</v>
      </c>
      <c r="B687">
        <v>2014</v>
      </c>
      <c r="C687" s="16">
        <v>0.14599999999999999</v>
      </c>
      <c r="D687" s="1">
        <v>97109569</v>
      </c>
      <c r="E687" s="29">
        <f>Table15[[#This Row],[Ávöxtun]]*Table15[[#This Row],[Eignir]]/SUMIFS(Table15[Eignir],Table15[Year],Table15[[#This Row],[Year]])</f>
        <v>5.3441004067673152E-3</v>
      </c>
      <c r="F687" s="23" t="e">
        <f>IF(B687=1997, 100, IF(COUNTIF(A$1:A686,A687)=0, "NEW", F686*(1+Table15[[#This Row],[Ávöxtun]])))</f>
        <v>#VALUE!</v>
      </c>
      <c r="G687" s="18" t="str" cm="1">
        <f t="array" ref="G687">IFERROR(_xlfn.IFS(ISNUMBER(Table15[[#This Row],[Column3]]),Table15[[#This Row],[Column3]],Table15[[#This Row],[Column3]]="NEW",Table15[[#This Row],[Column3]]),"")</f>
        <v/>
      </c>
      <c r="H687" s="15" cm="1">
        <f t="array" ref="H687">_xlfn.IFS(Table15[[#This Row],[Column4]]="NEW",AVERAGEIFS(Table15[Column4],Table15[Year],Table15[[#This Row],[Year]]),ISNUMBER(Table15[[#This Row],[Column4]]),Table15[[#This Row],[Column4]],Table15[[#This Row],[Column4]]="",H686*(1+Table15[[#This Row],[Ávöxtun]]))</f>
        <v>131.63852590286368</v>
      </c>
      <c r="I687" s="30" cm="1">
        <f t="array" ref="I687">_xlfn.IFS(Table15[[#This Row],[Column4]]="NEW",_xlfn.XLOOKUP(Table15[[#This Row],[Year]]-1,$N$2:$N$27,$P$2:$P$27)*(1+Table15[[#This Row],[Ávöxtun]]),ISNUMBER(Table15[[#This Row],[Column4]]),Table15[[#This Row],[Column4]],Table15[[#This Row],[Column4]]="",I686*(1+Table15[[#This Row],[Ávöxtun]]))</f>
        <v>123.36576297401781</v>
      </c>
      <c r="L687" s="33">
        <v>131.63852590286368</v>
      </c>
      <c r="M687" s="33">
        <v>142.3228973508383</v>
      </c>
    </row>
    <row r="688" spans="1:13">
      <c r="A688" t="s">
        <v>118</v>
      </c>
      <c r="B688">
        <v>2015</v>
      </c>
      <c r="C688" s="16">
        <v>0.25</v>
      </c>
      <c r="D688" s="1">
        <v>114600024</v>
      </c>
      <c r="E688" s="29">
        <f>Table15[[#This Row],[Ávöxtun]]*Table15[[#This Row],[Eignir]]/SUMIFS(Table15[Eignir],Table15[Year],Table15[[#This Row],[Year]])</f>
        <v>9.6745514344838881E-3</v>
      </c>
      <c r="F688" s="23" t="e">
        <f>IF(B688=1997, 100, IF(COUNTIF(A$1:A687,A688)=0, "NEW", F687*(1+Table15[[#This Row],[Ávöxtun]])))</f>
        <v>#VALUE!</v>
      </c>
      <c r="G688" s="18" t="str" cm="1">
        <f t="array" ref="G688">IFERROR(_xlfn.IFS(ISNUMBER(Table15[[#This Row],[Column3]]),Table15[[#This Row],[Column3]],Table15[[#This Row],[Column3]]="NEW",Table15[[#This Row],[Column3]]),"")</f>
        <v/>
      </c>
      <c r="H688" s="15" cm="1">
        <f t="array" ref="H688">_xlfn.IFS(Table15[[#This Row],[Column4]]="NEW",AVERAGEIFS(Table15[Column4],Table15[Year],Table15[[#This Row],[Year]]),ISNUMBER(Table15[[#This Row],[Column4]]),Table15[[#This Row],[Column4]],Table15[[#This Row],[Column4]]="",H687*(1+Table15[[#This Row],[Ávöxtun]]))</f>
        <v>164.54815737857959</v>
      </c>
      <c r="I688" s="30" cm="1">
        <f t="array" ref="I688">_xlfn.IFS(Table15[[#This Row],[Column4]]="NEW",_xlfn.XLOOKUP(Table15[[#This Row],[Year]]-1,$N$2:$N$27,$P$2:$P$27)*(1+Table15[[#This Row],[Ávöxtun]]),ISNUMBER(Table15[[#This Row],[Column4]]),Table15[[#This Row],[Column4]],Table15[[#This Row],[Column4]]="",I687*(1+Table15[[#This Row],[Ávöxtun]]))</f>
        <v>154.20720371752228</v>
      </c>
      <c r="L688" s="33">
        <v>164.54815737857959</v>
      </c>
      <c r="M688" s="33">
        <v>177.90362168854787</v>
      </c>
    </row>
    <row r="689" spans="1:13">
      <c r="A689" t="s">
        <v>118</v>
      </c>
      <c r="B689">
        <v>2016</v>
      </c>
      <c r="C689" s="16">
        <v>-1.9E-2</v>
      </c>
      <c r="D689" s="1">
        <v>128617380.75</v>
      </c>
      <c r="E689" s="29">
        <f>Table15[[#This Row],[Ávöxtun]]*Table15[[#This Row],[Eignir]]/SUMIFS(Table15[Eignir],Table15[Year],Table15[[#This Row],[Year]])</f>
        <v>-7.6365456369241718E-4</v>
      </c>
      <c r="F689" s="23" t="e">
        <f>IF(B689=1997, 100, IF(COUNTIF(A$1:A688,A689)=0, "NEW", F688*(1+Table15[[#This Row],[Ávöxtun]])))</f>
        <v>#VALUE!</v>
      </c>
      <c r="G689" s="18" t="str" cm="1">
        <f t="array" ref="G689">IFERROR(_xlfn.IFS(ISNUMBER(Table15[[#This Row],[Column3]]),Table15[[#This Row],[Column3]],Table15[[#This Row],[Column3]]="NEW",Table15[[#This Row],[Column3]]),"")</f>
        <v/>
      </c>
      <c r="H689" s="15" cm="1">
        <f t="array" ref="H689">_xlfn.IFS(Table15[[#This Row],[Column4]]="NEW",AVERAGEIFS(Table15[Column4],Table15[Year],Table15[[#This Row],[Year]]),ISNUMBER(Table15[[#This Row],[Column4]]),Table15[[#This Row],[Column4]],Table15[[#This Row],[Column4]]="",H688*(1+Table15[[#This Row],[Ávöxtun]]))</f>
        <v>161.42174238838658</v>
      </c>
      <c r="I689" s="30" cm="1">
        <f t="array" ref="I689">_xlfn.IFS(Table15[[#This Row],[Column4]]="NEW",_xlfn.XLOOKUP(Table15[[#This Row],[Year]]-1,$N$2:$N$27,$P$2:$P$27)*(1+Table15[[#This Row],[Ávöxtun]]),ISNUMBER(Table15[[#This Row],[Column4]]),Table15[[#This Row],[Column4]],Table15[[#This Row],[Column4]]="",I688*(1+Table15[[#This Row],[Ávöxtun]]))</f>
        <v>151.27726684688935</v>
      </c>
      <c r="L689" s="33">
        <v>161.42174238838658</v>
      </c>
      <c r="M689" s="33">
        <v>174.52345287646546</v>
      </c>
    </row>
    <row r="690" spans="1:13">
      <c r="A690" t="s">
        <v>119</v>
      </c>
      <c r="B690">
        <v>1997</v>
      </c>
      <c r="C690" s="16">
        <v>0.06</v>
      </c>
      <c r="D690" s="1">
        <v>428707.49</v>
      </c>
      <c r="E690" s="29">
        <f>Table15[[#This Row],[Ávöxtun]]*Table15[[#This Row],[Eignir]]/SUMIFS(Table15[Eignir],Table15[Year],Table15[[#This Row],[Year]])</f>
        <v>7.5871760142192252E-5</v>
      </c>
      <c r="F690" s="23">
        <f>IF(B690=1997, 100, IF(COUNTIF(A$1:A689,A690)=0, "NEW", F689*(1+Table15[[#This Row],[Ávöxtun]])))</f>
        <v>100</v>
      </c>
      <c r="G690" s="18" cm="1">
        <f t="array" ref="G690">IFERROR(_xlfn.IFS(ISNUMBER(Table15[[#This Row],[Column3]]),Table15[[#This Row],[Column3]],Table15[[#This Row],[Column3]]="NEW",Table15[[#This Row],[Column3]]),"")</f>
        <v>100</v>
      </c>
      <c r="H690" s="15" cm="1">
        <f t="array" ref="H690">_xlfn.IFS(Table15[[#This Row],[Column4]]="NEW",AVERAGEIFS(Table15[Column4],Table15[Year],Table15[[#This Row],[Year]]),ISNUMBER(Table15[[#This Row],[Column4]]),Table15[[#This Row],[Column4]],Table15[[#This Row],[Column4]]="",H689*(1+Table15[[#This Row],[Ávöxtun]]))</f>
        <v>100</v>
      </c>
      <c r="I690" s="30" cm="1">
        <f t="array" ref="I690">_xlfn.IFS(Table15[[#This Row],[Column4]]="NEW",_xlfn.XLOOKUP(Table15[[#This Row],[Year]]-1,$N$2:$N$27,$P$2:$P$27)*(1+Table15[[#This Row],[Ávöxtun]]),ISNUMBER(Table15[[#This Row],[Column4]]),Table15[[#This Row],[Column4]],Table15[[#This Row],[Column4]]="",I689*(1+Table15[[#This Row],[Ávöxtun]]))</f>
        <v>100</v>
      </c>
      <c r="L690" s="33">
        <v>100</v>
      </c>
      <c r="M690" s="33">
        <v>100</v>
      </c>
    </row>
    <row r="691" spans="1:13">
      <c r="A691" t="s">
        <v>119</v>
      </c>
      <c r="B691">
        <v>1998</v>
      </c>
      <c r="C691" s="16">
        <v>7.0000000000000007E-2</v>
      </c>
      <c r="D691" s="1">
        <v>433461.99</v>
      </c>
      <c r="E691" s="29">
        <f>Table15[[#This Row],[Ávöxtun]]*Table15[[#This Row],[Eignir]]/SUMIFS(Table15[Eignir],Table15[Year],Table15[[#This Row],[Year]])</f>
        <v>7.7476084132718426E-5</v>
      </c>
      <c r="F691" s="23">
        <f>IF(B691=1997, 100, IF(COUNTIF(A$1:A690,A691)=0, "NEW", F690*(1+Table15[[#This Row],[Ávöxtun]])))</f>
        <v>107</v>
      </c>
      <c r="G691" s="18" cm="1">
        <f t="array" ref="G691">IFERROR(_xlfn.IFS(ISNUMBER(Table15[[#This Row],[Column3]]),Table15[[#This Row],[Column3]],Table15[[#This Row],[Column3]]="NEW",Table15[[#This Row],[Column3]]),"")</f>
        <v>107</v>
      </c>
      <c r="H691" s="15" cm="1">
        <f t="array" ref="H691">_xlfn.IFS(Table15[[#This Row],[Column4]]="NEW",AVERAGEIFS(Table15[Column4],Table15[Year],Table15[[#This Row],[Year]]),ISNUMBER(Table15[[#This Row],[Column4]]),Table15[[#This Row],[Column4]],Table15[[#This Row],[Column4]]="",H690*(1+Table15[[#This Row],[Ávöxtun]]))</f>
        <v>107</v>
      </c>
      <c r="I691" s="30" cm="1">
        <f t="array" ref="I691">_xlfn.IFS(Table15[[#This Row],[Column4]]="NEW",_xlfn.XLOOKUP(Table15[[#This Row],[Year]]-1,$N$2:$N$27,$P$2:$P$27)*(1+Table15[[#This Row],[Ávöxtun]]),ISNUMBER(Table15[[#This Row],[Column4]]),Table15[[#This Row],[Column4]],Table15[[#This Row],[Column4]]="",I690*(1+Table15[[#This Row],[Ávöxtun]]))</f>
        <v>107</v>
      </c>
      <c r="L691" s="33">
        <v>107</v>
      </c>
      <c r="M691" s="33">
        <v>107</v>
      </c>
    </row>
    <row r="692" spans="1:13">
      <c r="A692" t="s">
        <v>119</v>
      </c>
      <c r="B692">
        <v>1999</v>
      </c>
      <c r="C692" s="16">
        <v>0.06</v>
      </c>
      <c r="D692" s="1">
        <v>461300.28</v>
      </c>
      <c r="E692" s="29">
        <f>Table15[[#This Row],[Ávöxtun]]*Table15[[#This Row],[Eignir]]/SUMIFS(Table15[Eignir],Table15[Year],Table15[[#This Row],[Year]])</f>
        <v>5.3153696676291544E-5</v>
      </c>
      <c r="F692" s="23">
        <f>IF(B692=1997, 100, IF(COUNTIF(A$1:A691,A692)=0, "NEW", F691*(1+Table15[[#This Row],[Ávöxtun]])))</f>
        <v>113.42</v>
      </c>
      <c r="G692" s="18" cm="1">
        <f t="array" ref="G692">IFERROR(_xlfn.IFS(ISNUMBER(Table15[[#This Row],[Column3]]),Table15[[#This Row],[Column3]],Table15[[#This Row],[Column3]]="NEW",Table15[[#This Row],[Column3]]),"")</f>
        <v>113.42</v>
      </c>
      <c r="H692" s="15" cm="1">
        <f t="array" ref="H692">_xlfn.IFS(Table15[[#This Row],[Column4]]="NEW",AVERAGEIFS(Table15[Column4],Table15[Year],Table15[[#This Row],[Year]]),ISNUMBER(Table15[[#This Row],[Column4]]),Table15[[#This Row],[Column4]],Table15[[#This Row],[Column4]]="",H691*(1+Table15[[#This Row],[Ávöxtun]]))</f>
        <v>113.42</v>
      </c>
      <c r="I692" s="30" cm="1">
        <f t="array" ref="I692">_xlfn.IFS(Table15[[#This Row],[Column4]]="NEW",_xlfn.XLOOKUP(Table15[[#This Row],[Year]]-1,$N$2:$N$27,$P$2:$P$27)*(1+Table15[[#This Row],[Ávöxtun]]),ISNUMBER(Table15[[#This Row],[Column4]]),Table15[[#This Row],[Column4]],Table15[[#This Row],[Column4]]="",I691*(1+Table15[[#This Row],[Ávöxtun]]))</f>
        <v>113.42</v>
      </c>
      <c r="L692" s="33">
        <v>113.42</v>
      </c>
      <c r="M692" s="33">
        <v>113.42</v>
      </c>
    </row>
    <row r="693" spans="1:13">
      <c r="A693" t="s">
        <v>119</v>
      </c>
      <c r="B693">
        <v>2000</v>
      </c>
      <c r="C693" s="16">
        <v>0</v>
      </c>
      <c r="D693" s="1">
        <v>463041.65</v>
      </c>
      <c r="E693" s="29">
        <f>Table15[[#This Row],[Ávöxtun]]*Table15[[#This Row],[Eignir]]/SUMIFS(Table15[Eignir],Table15[Year],Table15[[#This Row],[Year]])</f>
        <v>0</v>
      </c>
      <c r="F693" s="23">
        <f>IF(B693=1997, 100, IF(COUNTIF(A$1:A692,A693)=0, "NEW", F692*(1+Table15[[#This Row],[Ávöxtun]])))</f>
        <v>113.42</v>
      </c>
      <c r="G693" s="18" cm="1">
        <f t="array" ref="G693">IFERROR(_xlfn.IFS(ISNUMBER(Table15[[#This Row],[Column3]]),Table15[[#This Row],[Column3]],Table15[[#This Row],[Column3]]="NEW",Table15[[#This Row],[Column3]]),"")</f>
        <v>113.42</v>
      </c>
      <c r="H693" s="15" cm="1">
        <f t="array" ref="H693">_xlfn.IFS(Table15[[#This Row],[Column4]]="NEW",AVERAGEIFS(Table15[Column4],Table15[Year],Table15[[#This Row],[Year]]),ISNUMBER(Table15[[#This Row],[Column4]]),Table15[[#This Row],[Column4]],Table15[[#This Row],[Column4]]="",H692*(1+Table15[[#This Row],[Ávöxtun]]))</f>
        <v>113.42</v>
      </c>
      <c r="I693" s="30" cm="1">
        <f t="array" ref="I693">_xlfn.IFS(Table15[[#This Row],[Column4]]="NEW",_xlfn.XLOOKUP(Table15[[#This Row],[Year]]-1,$N$2:$N$27,$P$2:$P$27)*(1+Table15[[#This Row],[Ávöxtun]]),ISNUMBER(Table15[[#This Row],[Column4]]),Table15[[#This Row],[Column4]],Table15[[#This Row],[Column4]]="",I692*(1+Table15[[#This Row],[Ávöxtun]]))</f>
        <v>113.42</v>
      </c>
      <c r="L693" s="33">
        <v>113.42</v>
      </c>
      <c r="M693" s="33">
        <v>113.42</v>
      </c>
    </row>
    <row r="694" spans="1:13">
      <c r="A694" t="s">
        <v>119</v>
      </c>
      <c r="B694">
        <v>2001</v>
      </c>
      <c r="C694" s="16">
        <v>0.02</v>
      </c>
      <c r="D694" s="1">
        <v>468899</v>
      </c>
      <c r="E694" s="29">
        <f>Table15[[#This Row],[Ávöxtun]]*Table15[[#This Row],[Eignir]]/SUMIFS(Table15[Eignir],Table15[Year],Table15[[#This Row],[Year]])</f>
        <v>8.0990177513468215E-6</v>
      </c>
      <c r="F694" s="23">
        <f>IF(B694=1997, 100, IF(COUNTIF(A$1:A693,A694)=0, "NEW", F693*(1+Table15[[#This Row],[Ávöxtun]])))</f>
        <v>115.6884</v>
      </c>
      <c r="G694" s="18" cm="1">
        <f t="array" ref="G694">IFERROR(_xlfn.IFS(ISNUMBER(Table15[[#This Row],[Column3]]),Table15[[#This Row],[Column3]],Table15[[#This Row],[Column3]]="NEW",Table15[[#This Row],[Column3]]),"")</f>
        <v>115.6884</v>
      </c>
      <c r="H694" s="15" cm="1">
        <f t="array" ref="H694">_xlfn.IFS(Table15[[#This Row],[Column4]]="NEW",AVERAGEIFS(Table15[Column4],Table15[Year],Table15[[#This Row],[Year]]),ISNUMBER(Table15[[#This Row],[Column4]]),Table15[[#This Row],[Column4]],Table15[[#This Row],[Column4]]="",H693*(1+Table15[[#This Row],[Ávöxtun]]))</f>
        <v>115.6884</v>
      </c>
      <c r="I694" s="30" cm="1">
        <f t="array" ref="I694">_xlfn.IFS(Table15[[#This Row],[Column4]]="NEW",_xlfn.XLOOKUP(Table15[[#This Row],[Year]]-1,$N$2:$N$27,$P$2:$P$27)*(1+Table15[[#This Row],[Ávöxtun]]),ISNUMBER(Table15[[#This Row],[Column4]]),Table15[[#This Row],[Column4]],Table15[[#This Row],[Column4]]="",I693*(1+Table15[[#This Row],[Ávöxtun]]))</f>
        <v>115.6884</v>
      </c>
      <c r="L694" s="33">
        <v>115.6884</v>
      </c>
      <c r="M694" s="33">
        <v>115.6884</v>
      </c>
    </row>
    <row r="695" spans="1:13">
      <c r="A695" t="s">
        <v>119</v>
      </c>
      <c r="B695">
        <v>2002</v>
      </c>
      <c r="C695" s="16">
        <v>7.0000000000000007E-2</v>
      </c>
      <c r="D695" s="1">
        <v>478231</v>
      </c>
      <c r="E695" s="29">
        <f>Table15[[#This Row],[Ávöxtun]]*Table15[[#This Row],[Eignir]]/SUMIFS(Table15[Eignir],Table15[Year],Table15[[#This Row],[Year]])</f>
        <v>5.2704753123356575E-5</v>
      </c>
      <c r="F695" s="23">
        <f>IF(B695=1997, 100, IF(COUNTIF(A$1:A694,A695)=0, "NEW", F694*(1+Table15[[#This Row],[Ávöxtun]])))</f>
        <v>123.78658800000001</v>
      </c>
      <c r="G695" s="18" cm="1">
        <f t="array" ref="G695">IFERROR(_xlfn.IFS(ISNUMBER(Table15[[#This Row],[Column3]]),Table15[[#This Row],[Column3]],Table15[[#This Row],[Column3]]="NEW",Table15[[#This Row],[Column3]]),"")</f>
        <v>123.78658800000001</v>
      </c>
      <c r="H695" s="15" cm="1">
        <f t="array" ref="H695">_xlfn.IFS(Table15[[#This Row],[Column4]]="NEW",AVERAGEIFS(Table15[Column4],Table15[Year],Table15[[#This Row],[Year]]),ISNUMBER(Table15[[#This Row],[Column4]]),Table15[[#This Row],[Column4]],Table15[[#This Row],[Column4]]="",H694*(1+Table15[[#This Row],[Ávöxtun]]))</f>
        <v>123.78658800000001</v>
      </c>
      <c r="I695" s="30" cm="1">
        <f t="array" ref="I695">_xlfn.IFS(Table15[[#This Row],[Column4]]="NEW",_xlfn.XLOOKUP(Table15[[#This Row],[Year]]-1,$N$2:$N$27,$P$2:$P$27)*(1+Table15[[#This Row],[Ávöxtun]]),ISNUMBER(Table15[[#This Row],[Column4]]),Table15[[#This Row],[Column4]],Table15[[#This Row],[Column4]]="",I694*(1+Table15[[#This Row],[Ávöxtun]]))</f>
        <v>123.78658800000001</v>
      </c>
      <c r="L695" s="33">
        <v>123.78658800000001</v>
      </c>
      <c r="M695" s="33">
        <v>123.78658800000001</v>
      </c>
    </row>
    <row r="696" spans="1:13">
      <c r="A696" t="s">
        <v>119</v>
      </c>
      <c r="B696">
        <v>2003</v>
      </c>
      <c r="C696" s="16">
        <v>0.09</v>
      </c>
      <c r="D696" s="1">
        <v>495586</v>
      </c>
      <c r="E696" s="29">
        <f>Table15[[#This Row],[Ávöxtun]]*Table15[[#This Row],[Eignir]]/SUMIFS(Table15[Eignir],Table15[Year],Table15[[#This Row],[Year]])</f>
        <v>5.8696203564234996E-5</v>
      </c>
      <c r="F696" s="23">
        <f>IF(B696=1997, 100, IF(COUNTIF(A$1:A695,A696)=0, "NEW", F695*(1+Table15[[#This Row],[Ávöxtun]])))</f>
        <v>134.92738092000002</v>
      </c>
      <c r="G696" s="18" cm="1">
        <f t="array" ref="G696">IFERROR(_xlfn.IFS(ISNUMBER(Table15[[#This Row],[Column3]]),Table15[[#This Row],[Column3]],Table15[[#This Row],[Column3]]="NEW",Table15[[#This Row],[Column3]]),"")</f>
        <v>134.92738092000002</v>
      </c>
      <c r="H696" s="15" cm="1">
        <f t="array" ref="H696">_xlfn.IFS(Table15[[#This Row],[Column4]]="NEW",AVERAGEIFS(Table15[Column4],Table15[Year],Table15[[#This Row],[Year]]),ISNUMBER(Table15[[#This Row],[Column4]]),Table15[[#This Row],[Column4]],Table15[[#This Row],[Column4]]="",H695*(1+Table15[[#This Row],[Ávöxtun]]))</f>
        <v>134.92738092000002</v>
      </c>
      <c r="I696" s="30" cm="1">
        <f t="array" ref="I696">_xlfn.IFS(Table15[[#This Row],[Column4]]="NEW",_xlfn.XLOOKUP(Table15[[#This Row],[Year]]-1,$N$2:$N$27,$P$2:$P$27)*(1+Table15[[#This Row],[Ávöxtun]]),ISNUMBER(Table15[[#This Row],[Column4]]),Table15[[#This Row],[Column4]],Table15[[#This Row],[Column4]]="",I695*(1+Table15[[#This Row],[Ávöxtun]]))</f>
        <v>134.92738092000002</v>
      </c>
      <c r="L696" s="33">
        <v>134.92738092000002</v>
      </c>
      <c r="M696" s="33">
        <v>134.92738092000002</v>
      </c>
    </row>
    <row r="697" spans="1:13">
      <c r="A697" t="s">
        <v>119</v>
      </c>
      <c r="B697">
        <v>2004</v>
      </c>
      <c r="C697" s="16">
        <v>7.0000000000000007E-2</v>
      </c>
      <c r="D697" s="1">
        <v>513782</v>
      </c>
      <c r="E697" s="29">
        <f>Table15[[#This Row],[Ávöxtun]]*Table15[[#This Row],[Eignir]]/SUMIFS(Table15[Eignir],Table15[Year],Table15[[#This Row],[Year]])</f>
        <v>3.9623126419731464E-5</v>
      </c>
      <c r="F697" s="23">
        <f>IF(B697=1997, 100, IF(COUNTIF(A$1:A696,A697)=0, "NEW", F696*(1+Table15[[#This Row],[Ávöxtun]])))</f>
        <v>144.37229758440003</v>
      </c>
      <c r="G697" s="18" cm="1">
        <f t="array" ref="G697">IFERROR(_xlfn.IFS(ISNUMBER(Table15[[#This Row],[Column3]]),Table15[[#This Row],[Column3]],Table15[[#This Row],[Column3]]="NEW",Table15[[#This Row],[Column3]]),"")</f>
        <v>144.37229758440003</v>
      </c>
      <c r="H697" s="15" cm="1">
        <f t="array" ref="H697">_xlfn.IFS(Table15[[#This Row],[Column4]]="NEW",AVERAGEIFS(Table15[Column4],Table15[Year],Table15[[#This Row],[Year]]),ISNUMBER(Table15[[#This Row],[Column4]]),Table15[[#This Row],[Column4]],Table15[[#This Row],[Column4]]="",H696*(1+Table15[[#This Row],[Ávöxtun]]))</f>
        <v>144.37229758440003</v>
      </c>
      <c r="I697" s="30" cm="1">
        <f t="array" ref="I697">_xlfn.IFS(Table15[[#This Row],[Column4]]="NEW",_xlfn.XLOOKUP(Table15[[#This Row],[Year]]-1,$N$2:$N$27,$P$2:$P$27)*(1+Table15[[#This Row],[Ávöxtun]]),ISNUMBER(Table15[[#This Row],[Column4]]),Table15[[#This Row],[Column4]],Table15[[#This Row],[Column4]]="",I696*(1+Table15[[#This Row],[Ávöxtun]]))</f>
        <v>144.37229758440003</v>
      </c>
      <c r="L697" s="33">
        <v>144.37229758440003</v>
      </c>
      <c r="M697" s="33">
        <v>144.37229758440003</v>
      </c>
    </row>
    <row r="698" spans="1:13">
      <c r="A698" t="s">
        <v>119</v>
      </c>
      <c r="B698">
        <v>2005</v>
      </c>
      <c r="C698" s="16">
        <v>0.05</v>
      </c>
      <c r="D698" s="1">
        <v>523379</v>
      </c>
      <c r="E698" s="29">
        <f>Table15[[#This Row],[Ávöxtun]]*Table15[[#This Row],[Eignir]]/SUMIFS(Table15[Eignir],Table15[Year],Table15[[#This Row],[Year]])</f>
        <v>2.3337259634784735E-5</v>
      </c>
      <c r="F698" s="23">
        <f>IF(B698=1997, 100, IF(COUNTIF(A$1:A697,A698)=0, "NEW", F697*(1+Table15[[#This Row],[Ávöxtun]])))</f>
        <v>151.59091246362004</v>
      </c>
      <c r="G698" s="18" cm="1">
        <f t="array" ref="G698">IFERROR(_xlfn.IFS(ISNUMBER(Table15[[#This Row],[Column3]]),Table15[[#This Row],[Column3]],Table15[[#This Row],[Column3]]="NEW",Table15[[#This Row],[Column3]]),"")</f>
        <v>151.59091246362004</v>
      </c>
      <c r="H698" s="15" cm="1">
        <f t="array" ref="H698">_xlfn.IFS(Table15[[#This Row],[Column4]]="NEW",AVERAGEIFS(Table15[Column4],Table15[Year],Table15[[#This Row],[Year]]),ISNUMBER(Table15[[#This Row],[Column4]]),Table15[[#This Row],[Column4]],Table15[[#This Row],[Column4]]="",H697*(1+Table15[[#This Row],[Ávöxtun]]))</f>
        <v>151.59091246362004</v>
      </c>
      <c r="I698" s="30" cm="1">
        <f t="array" ref="I698">_xlfn.IFS(Table15[[#This Row],[Column4]]="NEW",_xlfn.XLOOKUP(Table15[[#This Row],[Year]]-1,$N$2:$N$27,$P$2:$P$27)*(1+Table15[[#This Row],[Ávöxtun]]),ISNUMBER(Table15[[#This Row],[Column4]]),Table15[[#This Row],[Column4]],Table15[[#This Row],[Column4]]="",I697*(1+Table15[[#This Row],[Ávöxtun]]))</f>
        <v>151.59091246362004</v>
      </c>
      <c r="L698" s="33">
        <v>151.59091246362004</v>
      </c>
      <c r="M698" s="33">
        <v>151.59091246362004</v>
      </c>
    </row>
    <row r="699" spans="1:13">
      <c r="A699" t="s">
        <v>119</v>
      </c>
      <c r="B699">
        <v>2006</v>
      </c>
      <c r="C699" s="16">
        <v>5.0700000000000002E-2</v>
      </c>
      <c r="D699" s="1">
        <v>547160</v>
      </c>
      <c r="E699" s="29">
        <f>Table15[[#This Row],[Ávöxtun]]*Table15[[#This Row],[Eignir]]/SUMIFS(Table15[Eignir],Table15[Year],Table15[[#This Row],[Year]])</f>
        <v>2.020944438119409E-5</v>
      </c>
      <c r="F699" s="23">
        <f>IF(B699=1997, 100, IF(COUNTIF(A$1:A698,A699)=0, "NEW", F698*(1+Table15[[#This Row],[Ávöxtun]])))</f>
        <v>159.27657172552557</v>
      </c>
      <c r="G699" s="18" cm="1">
        <f t="array" ref="G699">IFERROR(_xlfn.IFS(ISNUMBER(Table15[[#This Row],[Column3]]),Table15[[#This Row],[Column3]],Table15[[#This Row],[Column3]]="NEW",Table15[[#This Row],[Column3]]),"")</f>
        <v>159.27657172552557</v>
      </c>
      <c r="H699" s="15" cm="1">
        <f t="array" ref="H699">_xlfn.IFS(Table15[[#This Row],[Column4]]="NEW",AVERAGEIFS(Table15[Column4],Table15[Year],Table15[[#This Row],[Year]]),ISNUMBER(Table15[[#This Row],[Column4]]),Table15[[#This Row],[Column4]],Table15[[#This Row],[Column4]]="",H698*(1+Table15[[#This Row],[Ávöxtun]]))</f>
        <v>159.27657172552557</v>
      </c>
      <c r="I699" s="30" cm="1">
        <f t="array" ref="I699">_xlfn.IFS(Table15[[#This Row],[Column4]]="NEW",_xlfn.XLOOKUP(Table15[[#This Row],[Year]]-1,$N$2:$N$27,$P$2:$P$27)*(1+Table15[[#This Row],[Ávöxtun]]),ISNUMBER(Table15[[#This Row],[Column4]]),Table15[[#This Row],[Column4]],Table15[[#This Row],[Column4]]="",I698*(1+Table15[[#This Row],[Ávöxtun]]))</f>
        <v>159.27657172552557</v>
      </c>
      <c r="L699" s="33">
        <v>159.27657172552557</v>
      </c>
      <c r="M699" s="33">
        <v>159.27657172552557</v>
      </c>
    </row>
    <row r="700" spans="1:13">
      <c r="A700" t="s">
        <v>100</v>
      </c>
      <c r="B700">
        <v>1997</v>
      </c>
      <c r="C700" s="16">
        <v>7.0000000000000007E-2</v>
      </c>
      <c r="D700" s="1">
        <v>7241571.3600000003</v>
      </c>
      <c r="E700" s="29">
        <f>Table15[[#This Row],[Ávöxtun]]*Table15[[#This Row],[Eignir]]/SUMIFS(Table15[Eignir],Table15[Year],Table15[[#This Row],[Year]])</f>
        <v>1.4951979483530146E-3</v>
      </c>
      <c r="F700" s="23">
        <f>IF(B700=1997, 100, IF(COUNTIF(A$1:A699,A700)=0, "NEW", F699*(1+Table15[[#This Row],[Ávöxtun]])))</f>
        <v>100</v>
      </c>
      <c r="G700" s="18" cm="1">
        <f t="array" ref="G700">IFERROR(_xlfn.IFS(ISNUMBER(Table15[[#This Row],[Column3]]),Table15[[#This Row],[Column3]],Table15[[#This Row],[Column3]]="NEW",Table15[[#This Row],[Column3]]),"")</f>
        <v>100</v>
      </c>
      <c r="H700" s="15" cm="1">
        <f t="array" ref="H700">_xlfn.IFS(Table15[[#This Row],[Column4]]="NEW",AVERAGEIFS(Table15[Column4],Table15[Year],Table15[[#This Row],[Year]]),ISNUMBER(Table15[[#This Row],[Column4]]),Table15[[#This Row],[Column4]],Table15[[#This Row],[Column4]]="",H699*(1+Table15[[#This Row],[Ávöxtun]]))</f>
        <v>100</v>
      </c>
      <c r="I700" s="30" cm="1">
        <f t="array" ref="I700">_xlfn.IFS(Table15[[#This Row],[Column4]]="NEW",_xlfn.XLOOKUP(Table15[[#This Row],[Year]]-1,$N$2:$N$27,$P$2:$P$27)*(1+Table15[[#This Row],[Ávöxtun]]),ISNUMBER(Table15[[#This Row],[Column4]]),Table15[[#This Row],[Column4]],Table15[[#This Row],[Column4]]="",I699*(1+Table15[[#This Row],[Ávöxtun]]))</f>
        <v>100</v>
      </c>
      <c r="L700" s="33">
        <v>100</v>
      </c>
      <c r="M700" s="33">
        <v>100</v>
      </c>
    </row>
    <row r="701" spans="1:13">
      <c r="A701" t="s">
        <v>100</v>
      </c>
      <c r="B701">
        <v>1998</v>
      </c>
      <c r="C701" s="16">
        <v>0.09</v>
      </c>
      <c r="D701" s="1">
        <v>8227564.0199999996</v>
      </c>
      <c r="E701" s="29">
        <f>Table15[[#This Row],[Ávöxtun]]*Table15[[#This Row],[Eignir]]/SUMIFS(Table15[Eignir],Table15[Year],Table15[[#This Row],[Year]])</f>
        <v>1.8907424781146069E-3</v>
      </c>
      <c r="F701" s="23">
        <f>IF(B701=1997, 100, IF(COUNTIF(A$1:A700,A701)=0, "NEW", F700*(1+Table15[[#This Row],[Ávöxtun]])))</f>
        <v>109.00000000000001</v>
      </c>
      <c r="G701" s="18" cm="1">
        <f t="array" ref="G701">IFERROR(_xlfn.IFS(ISNUMBER(Table15[[#This Row],[Column3]]),Table15[[#This Row],[Column3]],Table15[[#This Row],[Column3]]="NEW",Table15[[#This Row],[Column3]]),"")</f>
        <v>109.00000000000001</v>
      </c>
      <c r="H701" s="15" cm="1">
        <f t="array" ref="H701">_xlfn.IFS(Table15[[#This Row],[Column4]]="NEW",AVERAGEIFS(Table15[Column4],Table15[Year],Table15[[#This Row],[Year]]),ISNUMBER(Table15[[#This Row],[Column4]]),Table15[[#This Row],[Column4]],Table15[[#This Row],[Column4]]="",H700*(1+Table15[[#This Row],[Ávöxtun]]))</f>
        <v>109.00000000000001</v>
      </c>
      <c r="I701" s="30" cm="1">
        <f t="array" ref="I701">_xlfn.IFS(Table15[[#This Row],[Column4]]="NEW",_xlfn.XLOOKUP(Table15[[#This Row],[Year]]-1,$N$2:$N$27,$P$2:$P$27)*(1+Table15[[#This Row],[Ávöxtun]]),ISNUMBER(Table15[[#This Row],[Column4]]),Table15[[#This Row],[Column4]],Table15[[#This Row],[Column4]]="",I700*(1+Table15[[#This Row],[Ávöxtun]]))</f>
        <v>109.00000000000001</v>
      </c>
      <c r="L701" s="33">
        <v>109.00000000000001</v>
      </c>
      <c r="M701" s="33">
        <v>109.00000000000001</v>
      </c>
    </row>
    <row r="702" spans="1:13">
      <c r="A702" t="s">
        <v>100</v>
      </c>
      <c r="B702">
        <v>1999</v>
      </c>
      <c r="C702" s="16">
        <v>0.09</v>
      </c>
      <c r="D702" s="1">
        <v>9712070.5</v>
      </c>
      <c r="E702" s="29">
        <f>Table15[[#This Row],[Ávöxtun]]*Table15[[#This Row],[Eignir]]/SUMIFS(Table15[Eignir],Table15[Year],Table15[[#This Row],[Year]])</f>
        <v>1.6786217302613359E-3</v>
      </c>
      <c r="F702" s="23">
        <f>IF(B702=1997, 100, IF(COUNTIF(A$1:A701,A702)=0, "NEW", F701*(1+Table15[[#This Row],[Ávöxtun]])))</f>
        <v>118.81000000000003</v>
      </c>
      <c r="G702" s="18" cm="1">
        <f t="array" ref="G702">IFERROR(_xlfn.IFS(ISNUMBER(Table15[[#This Row],[Column3]]),Table15[[#This Row],[Column3]],Table15[[#This Row],[Column3]]="NEW",Table15[[#This Row],[Column3]]),"")</f>
        <v>118.81000000000003</v>
      </c>
      <c r="H702" s="15" cm="1">
        <f t="array" ref="H702">_xlfn.IFS(Table15[[#This Row],[Column4]]="NEW",AVERAGEIFS(Table15[Column4],Table15[Year],Table15[[#This Row],[Year]]),ISNUMBER(Table15[[#This Row],[Column4]]),Table15[[#This Row],[Column4]],Table15[[#This Row],[Column4]]="",H701*(1+Table15[[#This Row],[Ávöxtun]]))</f>
        <v>118.81000000000003</v>
      </c>
      <c r="I702" s="30" cm="1">
        <f t="array" ref="I702">_xlfn.IFS(Table15[[#This Row],[Column4]]="NEW",_xlfn.XLOOKUP(Table15[[#This Row],[Year]]-1,$N$2:$N$27,$P$2:$P$27)*(1+Table15[[#This Row],[Ávöxtun]]),ISNUMBER(Table15[[#This Row],[Column4]]),Table15[[#This Row],[Column4]],Table15[[#This Row],[Column4]]="",I701*(1+Table15[[#This Row],[Ávöxtun]]))</f>
        <v>118.81000000000003</v>
      </c>
      <c r="L702" s="33">
        <v>118.81000000000003</v>
      </c>
      <c r="M702" s="33">
        <v>118.81000000000003</v>
      </c>
    </row>
    <row r="703" spans="1:13">
      <c r="A703" t="s">
        <v>100</v>
      </c>
      <c r="B703">
        <v>2000</v>
      </c>
      <c r="C703" s="16">
        <v>-0.04</v>
      </c>
      <c r="D703" s="1">
        <v>11032896.970000001</v>
      </c>
      <c r="E703" s="29">
        <f>Table15[[#This Row],[Ávöxtun]]*Table15[[#This Row],[Eignir]]/SUMIFS(Table15[Eignir],Table15[Year],Table15[[#This Row],[Year]])</f>
        <v>-6.2079373503989171E-4</v>
      </c>
      <c r="F703" s="23">
        <f>IF(B703=1997, 100, IF(COUNTIF(A$1:A702,A703)=0, "NEW", F702*(1+Table15[[#This Row],[Ávöxtun]])))</f>
        <v>114.05760000000002</v>
      </c>
      <c r="G703" s="18" cm="1">
        <f t="array" ref="G703">IFERROR(_xlfn.IFS(ISNUMBER(Table15[[#This Row],[Column3]]),Table15[[#This Row],[Column3]],Table15[[#This Row],[Column3]]="NEW",Table15[[#This Row],[Column3]]),"")</f>
        <v>114.05760000000002</v>
      </c>
      <c r="H703" s="15" cm="1">
        <f t="array" ref="H703">_xlfn.IFS(Table15[[#This Row],[Column4]]="NEW",AVERAGEIFS(Table15[Column4],Table15[Year],Table15[[#This Row],[Year]]),ISNUMBER(Table15[[#This Row],[Column4]]),Table15[[#This Row],[Column4]],Table15[[#This Row],[Column4]]="",H702*(1+Table15[[#This Row],[Ávöxtun]]))</f>
        <v>114.05760000000002</v>
      </c>
      <c r="I703" s="30" cm="1">
        <f t="array" ref="I703">_xlfn.IFS(Table15[[#This Row],[Column4]]="NEW",_xlfn.XLOOKUP(Table15[[#This Row],[Year]]-1,$N$2:$N$27,$P$2:$P$27)*(1+Table15[[#This Row],[Ávöxtun]]),ISNUMBER(Table15[[#This Row],[Column4]]),Table15[[#This Row],[Column4]],Table15[[#This Row],[Column4]]="",I702*(1+Table15[[#This Row],[Ávöxtun]]))</f>
        <v>114.05760000000002</v>
      </c>
      <c r="L703" s="33">
        <v>114.05760000000002</v>
      </c>
      <c r="M703" s="33">
        <v>114.05760000000002</v>
      </c>
    </row>
    <row r="704" spans="1:13">
      <c r="A704" t="s">
        <v>100</v>
      </c>
      <c r="B704">
        <v>2001</v>
      </c>
      <c r="C704" s="16">
        <v>-0.05</v>
      </c>
      <c r="D704" s="1">
        <v>11755402</v>
      </c>
      <c r="E704" s="29">
        <f>Table15[[#This Row],[Ávöxtun]]*Table15[[#This Row],[Eignir]]/SUMIFS(Table15[Eignir],Table15[Year],Table15[[#This Row],[Year]])</f>
        <v>-5.0761043141602956E-4</v>
      </c>
      <c r="F704" s="23">
        <f>IF(B704=1997, 100, IF(COUNTIF(A$1:A703,A704)=0, "NEW", F703*(1+Table15[[#This Row],[Ávöxtun]])))</f>
        <v>108.35472000000001</v>
      </c>
      <c r="G704" s="18" cm="1">
        <f t="array" ref="G704">IFERROR(_xlfn.IFS(ISNUMBER(Table15[[#This Row],[Column3]]),Table15[[#This Row],[Column3]],Table15[[#This Row],[Column3]]="NEW",Table15[[#This Row],[Column3]]),"")</f>
        <v>108.35472000000001</v>
      </c>
      <c r="H704" s="15" cm="1">
        <f t="array" ref="H704">_xlfn.IFS(Table15[[#This Row],[Column4]]="NEW",AVERAGEIFS(Table15[Column4],Table15[Year],Table15[[#This Row],[Year]]),ISNUMBER(Table15[[#This Row],[Column4]]),Table15[[#This Row],[Column4]],Table15[[#This Row],[Column4]]="",H703*(1+Table15[[#This Row],[Ávöxtun]]))</f>
        <v>108.35472000000001</v>
      </c>
      <c r="I704" s="30" cm="1">
        <f t="array" ref="I704">_xlfn.IFS(Table15[[#This Row],[Column4]]="NEW",_xlfn.XLOOKUP(Table15[[#This Row],[Year]]-1,$N$2:$N$27,$P$2:$P$27)*(1+Table15[[#This Row],[Ávöxtun]]),ISNUMBER(Table15[[#This Row],[Column4]]),Table15[[#This Row],[Column4]],Table15[[#This Row],[Column4]]="",I703*(1+Table15[[#This Row],[Ávöxtun]]))</f>
        <v>108.35472000000001</v>
      </c>
      <c r="L704" s="33">
        <v>108.35472000000001</v>
      </c>
      <c r="M704" s="33">
        <v>108.35472000000001</v>
      </c>
    </row>
    <row r="705" spans="1:13">
      <c r="A705" t="s">
        <v>100</v>
      </c>
      <c r="B705">
        <v>2002</v>
      </c>
      <c r="C705" s="16">
        <v>-0.04</v>
      </c>
      <c r="D705" s="1">
        <v>11781559</v>
      </c>
      <c r="E705" s="29">
        <f>Table15[[#This Row],[Ávöxtun]]*Table15[[#This Row],[Eignir]]/SUMIFS(Table15[Eignir],Table15[Year],Table15[[#This Row],[Year]])</f>
        <v>-7.4195364464125927E-4</v>
      </c>
      <c r="F705" s="23">
        <f>IF(B705=1997, 100, IF(COUNTIF(A$1:A704,A705)=0, "NEW", F704*(1+Table15[[#This Row],[Ávöxtun]])))</f>
        <v>104.02053120000001</v>
      </c>
      <c r="G705" s="18" cm="1">
        <f t="array" ref="G705">IFERROR(_xlfn.IFS(ISNUMBER(Table15[[#This Row],[Column3]]),Table15[[#This Row],[Column3]],Table15[[#This Row],[Column3]]="NEW",Table15[[#This Row],[Column3]]),"")</f>
        <v>104.02053120000001</v>
      </c>
      <c r="H705" s="15" cm="1">
        <f t="array" ref="H705">_xlfn.IFS(Table15[[#This Row],[Column4]]="NEW",AVERAGEIFS(Table15[Column4],Table15[Year],Table15[[#This Row],[Year]]),ISNUMBER(Table15[[#This Row],[Column4]]),Table15[[#This Row],[Column4]],Table15[[#This Row],[Column4]]="",H704*(1+Table15[[#This Row],[Ávöxtun]]))</f>
        <v>104.02053120000001</v>
      </c>
      <c r="I705" s="30" cm="1">
        <f t="array" ref="I705">_xlfn.IFS(Table15[[#This Row],[Column4]]="NEW",_xlfn.XLOOKUP(Table15[[#This Row],[Year]]-1,$N$2:$N$27,$P$2:$P$27)*(1+Table15[[#This Row],[Ávöxtun]]),ISNUMBER(Table15[[#This Row],[Column4]]),Table15[[#This Row],[Column4]],Table15[[#This Row],[Column4]]="",I704*(1+Table15[[#This Row],[Ávöxtun]]))</f>
        <v>104.02053120000001</v>
      </c>
      <c r="L705" s="33">
        <v>104.02053120000001</v>
      </c>
      <c r="M705" s="33">
        <v>104.02053120000001</v>
      </c>
    </row>
    <row r="706" spans="1:13">
      <c r="A706" t="s">
        <v>100</v>
      </c>
      <c r="B706">
        <v>2003</v>
      </c>
      <c r="C706" s="16">
        <v>0.1</v>
      </c>
      <c r="D706" s="1">
        <v>13729431</v>
      </c>
      <c r="E706" s="29">
        <f>Table15[[#This Row],[Ávöxtun]]*Table15[[#This Row],[Eignir]]/SUMIFS(Table15[Eignir],Table15[Year],Table15[[#This Row],[Year]])</f>
        <v>1.8067622679618304E-3</v>
      </c>
      <c r="F706" s="23">
        <f>IF(B706=1997, 100, IF(COUNTIF(A$1:A705,A706)=0, "NEW", F705*(1+Table15[[#This Row],[Ávöxtun]])))</f>
        <v>114.42258432000001</v>
      </c>
      <c r="G706" s="18" cm="1">
        <f t="array" ref="G706">IFERROR(_xlfn.IFS(ISNUMBER(Table15[[#This Row],[Column3]]),Table15[[#This Row],[Column3]],Table15[[#This Row],[Column3]]="NEW",Table15[[#This Row],[Column3]]),"")</f>
        <v>114.42258432000001</v>
      </c>
      <c r="H706" s="15" cm="1">
        <f t="array" ref="H706">_xlfn.IFS(Table15[[#This Row],[Column4]]="NEW",AVERAGEIFS(Table15[Column4],Table15[Year],Table15[[#This Row],[Year]]),ISNUMBER(Table15[[#This Row],[Column4]]),Table15[[#This Row],[Column4]],Table15[[#This Row],[Column4]]="",H705*(1+Table15[[#This Row],[Ávöxtun]]))</f>
        <v>114.42258432000001</v>
      </c>
      <c r="I706" s="30" cm="1">
        <f t="array" ref="I706">_xlfn.IFS(Table15[[#This Row],[Column4]]="NEW",_xlfn.XLOOKUP(Table15[[#This Row],[Year]]-1,$N$2:$N$27,$P$2:$P$27)*(1+Table15[[#This Row],[Ávöxtun]]),ISNUMBER(Table15[[#This Row],[Column4]]),Table15[[#This Row],[Column4]],Table15[[#This Row],[Column4]]="",I705*(1+Table15[[#This Row],[Ávöxtun]]))</f>
        <v>114.42258432000001</v>
      </c>
      <c r="L706" s="33">
        <v>114.42258432000001</v>
      </c>
      <c r="M706" s="33">
        <v>114.42258432000001</v>
      </c>
    </row>
    <row r="707" spans="1:13">
      <c r="A707" t="s">
        <v>100</v>
      </c>
      <c r="B707">
        <v>2004</v>
      </c>
      <c r="C707" s="16">
        <v>0.06</v>
      </c>
      <c r="D707" s="1">
        <v>15438869</v>
      </c>
      <c r="E707" s="29">
        <f>Table15[[#This Row],[Ávöxtun]]*Table15[[#This Row],[Eignir]]/SUMIFS(Table15[Eignir],Table15[Year],Table15[[#This Row],[Year]])</f>
        <v>1.020560012108537E-3</v>
      </c>
      <c r="F707" s="23">
        <f>IF(B707=1997, 100, IF(COUNTIF(A$1:A706,A707)=0, "NEW", F706*(1+Table15[[#This Row],[Ávöxtun]])))</f>
        <v>121.28793937920003</v>
      </c>
      <c r="G707" s="18" cm="1">
        <f t="array" ref="G707">IFERROR(_xlfn.IFS(ISNUMBER(Table15[[#This Row],[Column3]]),Table15[[#This Row],[Column3]],Table15[[#This Row],[Column3]]="NEW",Table15[[#This Row],[Column3]]),"")</f>
        <v>121.28793937920003</v>
      </c>
      <c r="H707" s="15" cm="1">
        <f t="array" ref="H707">_xlfn.IFS(Table15[[#This Row],[Column4]]="NEW",AVERAGEIFS(Table15[Column4],Table15[Year],Table15[[#This Row],[Year]]),ISNUMBER(Table15[[#This Row],[Column4]]),Table15[[#This Row],[Column4]],Table15[[#This Row],[Column4]]="",H706*(1+Table15[[#This Row],[Ávöxtun]]))</f>
        <v>121.28793937920003</v>
      </c>
      <c r="I707" s="30" cm="1">
        <f t="array" ref="I707">_xlfn.IFS(Table15[[#This Row],[Column4]]="NEW",_xlfn.XLOOKUP(Table15[[#This Row],[Year]]-1,$N$2:$N$27,$P$2:$P$27)*(1+Table15[[#This Row],[Ávöxtun]]),ISNUMBER(Table15[[#This Row],[Column4]]),Table15[[#This Row],[Column4]],Table15[[#This Row],[Column4]]="",I706*(1+Table15[[#This Row],[Ávöxtun]]))</f>
        <v>121.28793937920003</v>
      </c>
      <c r="L707" s="33">
        <v>121.28793937920003</v>
      </c>
      <c r="M707" s="33">
        <v>121.28793937920003</v>
      </c>
    </row>
    <row r="708" spans="1:13">
      <c r="A708" t="s">
        <v>101</v>
      </c>
      <c r="B708">
        <v>1999</v>
      </c>
      <c r="C708" s="16">
        <v>0.12</v>
      </c>
      <c r="D708" s="1">
        <v>1083169.8700000001</v>
      </c>
      <c r="E708" s="29">
        <f>Table15[[#This Row],[Ávöxtun]]*Table15[[#This Row],[Eignir]]/SUMIFS(Table15[Eignir],Table15[Year],Table15[[#This Row],[Year]])</f>
        <v>2.4961824310567573E-4</v>
      </c>
      <c r="F708" s="23" t="str">
        <f>IF(B708=1997, 100, IF(COUNTIF(A$1:A707,A708)=0, "NEW", F707*(1+Table15[[#This Row],[Ávöxtun]])))</f>
        <v>NEW</v>
      </c>
      <c r="G708" s="18" t="str" cm="1">
        <f t="array" ref="G708">IFERROR(_xlfn.IFS(ISNUMBER(Table15[[#This Row],[Column3]]),Table15[[#This Row],[Column3]],Table15[[#This Row],[Column3]]="NEW",Table15[[#This Row],[Column3]]),"")</f>
        <v>NEW</v>
      </c>
      <c r="H708" s="15" cm="1">
        <f t="array" ref="H708">_xlfn.IFS(Table15[[#This Row],[Column4]]="NEW",AVERAGEIFS(Table15[Column4],Table15[Year],Table15[[#This Row],[Year]]),ISNUMBER(Table15[[#This Row],[Column4]]),Table15[[#This Row],[Column4]],Table15[[#This Row],[Column4]]="",H707*(1+Table15[[#This Row],[Ávöxtun]]))</f>
        <v>117.05306122448981</v>
      </c>
      <c r="I708" s="30" cm="1">
        <f t="array" ref="I708">_xlfn.IFS(Table15[[#This Row],[Column4]]="NEW",_xlfn.XLOOKUP(Table15[[#This Row],[Year]]-1,$N$2:$N$27,$P$2:$P$27)*(1+Table15[[#This Row],[Ávöxtun]]),ISNUMBER(Table15[[#This Row],[Column4]]),Table15[[#This Row],[Column4]],Table15[[#This Row],[Column4]]="",I707*(1+Table15[[#This Row],[Ávöxtun]]))</f>
        <v>119.96528953554541</v>
      </c>
      <c r="L708" s="33">
        <v>117.05306122448981</v>
      </c>
      <c r="M708" s="33">
        <v>129.26988390123572</v>
      </c>
    </row>
    <row r="709" spans="1:13">
      <c r="A709" t="s">
        <v>101</v>
      </c>
      <c r="B709">
        <v>2000</v>
      </c>
      <c r="C709" s="16">
        <v>-0.09</v>
      </c>
      <c r="D709" s="1">
        <v>1068173.6499999999</v>
      </c>
      <c r="E709" s="29">
        <f>Table15[[#This Row],[Ávöxtun]]*Table15[[#This Row],[Eignir]]/SUMIFS(Table15[Eignir],Table15[Year],Table15[[#This Row],[Year]])</f>
        <v>-1.3523283152467081E-4</v>
      </c>
      <c r="F709" s="23" t="e">
        <f>IF(B709=1997, 100, IF(COUNTIF(A$1:A708,A709)=0, "NEW", F708*(1+Table15[[#This Row],[Ávöxtun]])))</f>
        <v>#VALUE!</v>
      </c>
      <c r="G709" s="18" t="str" cm="1">
        <f t="array" ref="G709">IFERROR(_xlfn.IFS(ISNUMBER(Table15[[#This Row],[Column3]]),Table15[[#This Row],[Column3]],Table15[[#This Row],[Column3]]="NEW",Table15[[#This Row],[Column3]]),"")</f>
        <v/>
      </c>
      <c r="H709" s="15" cm="1">
        <f t="array" ref="H709">_xlfn.IFS(Table15[[#This Row],[Column4]]="NEW",AVERAGEIFS(Table15[Column4],Table15[Year],Table15[[#This Row],[Year]]),ISNUMBER(Table15[[#This Row],[Column4]]),Table15[[#This Row],[Column4]],Table15[[#This Row],[Column4]]="",H708*(1+Table15[[#This Row],[Ávöxtun]]))</f>
        <v>106.51828571428572</v>
      </c>
      <c r="I709" s="30" cm="1">
        <f t="array" ref="I709">_xlfn.IFS(Table15[[#This Row],[Column4]]="NEW",_xlfn.XLOOKUP(Table15[[#This Row],[Year]]-1,$N$2:$N$27,$P$2:$P$27)*(1+Table15[[#This Row],[Ávöxtun]]),ISNUMBER(Table15[[#This Row],[Column4]]),Table15[[#This Row],[Column4]],Table15[[#This Row],[Column4]]="",I708*(1+Table15[[#This Row],[Ávöxtun]]))</f>
        <v>109.16841347734632</v>
      </c>
      <c r="L709" s="33">
        <v>106.51828571428572</v>
      </c>
      <c r="M709" s="33">
        <v>117.63559435012451</v>
      </c>
    </row>
    <row r="710" spans="1:13">
      <c r="A710" t="s">
        <v>101</v>
      </c>
      <c r="B710">
        <v>2001</v>
      </c>
      <c r="C710" s="16">
        <v>-0.05</v>
      </c>
      <c r="D710" s="1">
        <v>1244818</v>
      </c>
      <c r="E710" s="29">
        <f>Table15[[#This Row],[Ávöxtun]]*Table15[[#This Row],[Eignir]]/SUMIFS(Table15[Eignir],Table15[Year],Table15[[#This Row],[Year]])</f>
        <v>-5.3752530284752412E-5</v>
      </c>
      <c r="F710" s="23" t="e">
        <f>IF(B710=1997, 100, IF(COUNTIF(A$1:A709,A710)=0, "NEW", F709*(1+Table15[[#This Row],[Ávöxtun]])))</f>
        <v>#VALUE!</v>
      </c>
      <c r="G710" s="18" t="str" cm="1">
        <f t="array" ref="G710">IFERROR(_xlfn.IFS(ISNUMBER(Table15[[#This Row],[Column3]]),Table15[[#This Row],[Column3]],Table15[[#This Row],[Column3]]="NEW",Table15[[#This Row],[Column3]]),"")</f>
        <v/>
      </c>
      <c r="H710" s="15" cm="1">
        <f t="array" ref="H710">_xlfn.IFS(Table15[[#This Row],[Column4]]="NEW",AVERAGEIFS(Table15[Column4],Table15[Year],Table15[[#This Row],[Year]]),ISNUMBER(Table15[[#This Row],[Column4]]),Table15[[#This Row],[Column4]],Table15[[#This Row],[Column4]]="",H709*(1+Table15[[#This Row],[Ávöxtun]]))</f>
        <v>101.19237142857143</v>
      </c>
      <c r="I710" s="30" cm="1">
        <f t="array" ref="I710">_xlfn.IFS(Table15[[#This Row],[Column4]]="NEW",_xlfn.XLOOKUP(Table15[[#This Row],[Year]]-1,$N$2:$N$27,$P$2:$P$27)*(1+Table15[[#This Row],[Ávöxtun]]),ISNUMBER(Table15[[#This Row],[Column4]]),Table15[[#This Row],[Column4]],Table15[[#This Row],[Column4]]="",I709*(1+Table15[[#This Row],[Ávöxtun]]))</f>
        <v>103.709992803479</v>
      </c>
      <c r="L710" s="33">
        <v>101.19237142857143</v>
      </c>
      <c r="M710" s="33">
        <v>111.75381463261827</v>
      </c>
    </row>
    <row r="711" spans="1:13">
      <c r="A711" t="s">
        <v>101</v>
      </c>
      <c r="B711">
        <v>2002</v>
      </c>
      <c r="C711" s="16">
        <v>0.01</v>
      </c>
      <c r="D711" s="1">
        <v>84637</v>
      </c>
      <c r="E711" s="29">
        <f>Table15[[#This Row],[Ávöxtun]]*Table15[[#This Row],[Eignir]]/SUMIFS(Table15[Eignir],Table15[Year],Table15[[#This Row],[Year]])</f>
        <v>1.3325216684290734E-6</v>
      </c>
      <c r="F711" s="23" t="e">
        <f>IF(B711=1997, 100, IF(COUNTIF(A$1:A710,A711)=0, "NEW", F710*(1+Table15[[#This Row],[Ávöxtun]])))</f>
        <v>#VALUE!</v>
      </c>
      <c r="G711" s="18" t="str" cm="1">
        <f t="array" ref="G711">IFERROR(_xlfn.IFS(ISNUMBER(Table15[[#This Row],[Column3]]),Table15[[#This Row],[Column3]],Table15[[#This Row],[Column3]]="NEW",Table15[[#This Row],[Column3]]),"")</f>
        <v/>
      </c>
      <c r="H711" s="15" cm="1">
        <f t="array" ref="H711">_xlfn.IFS(Table15[[#This Row],[Column4]]="NEW",AVERAGEIFS(Table15[Column4],Table15[Year],Table15[[#This Row],[Year]]),ISNUMBER(Table15[[#This Row],[Column4]]),Table15[[#This Row],[Column4]],Table15[[#This Row],[Column4]]="",H710*(1+Table15[[#This Row],[Ávöxtun]]))</f>
        <v>102.20429514285715</v>
      </c>
      <c r="I711" s="30" cm="1">
        <f t="array" ref="I711">_xlfn.IFS(Table15[[#This Row],[Column4]]="NEW",_xlfn.XLOOKUP(Table15[[#This Row],[Year]]-1,$N$2:$N$27,$P$2:$P$27)*(1+Table15[[#This Row],[Ávöxtun]]),ISNUMBER(Table15[[#This Row],[Column4]]),Table15[[#This Row],[Column4]],Table15[[#This Row],[Column4]]="",I710*(1+Table15[[#This Row],[Ávöxtun]]))</f>
        <v>104.74709273151379</v>
      </c>
      <c r="L711" s="33">
        <v>102.20429514285715</v>
      </c>
      <c r="M711" s="33">
        <v>112.87135277894446</v>
      </c>
    </row>
    <row r="712" spans="1:13">
      <c r="A712" t="s">
        <v>101</v>
      </c>
      <c r="B712">
        <v>2003</v>
      </c>
      <c r="C712" s="16">
        <v>0.13</v>
      </c>
      <c r="D712" s="1">
        <v>132481</v>
      </c>
      <c r="E712" s="29">
        <f>Table15[[#This Row],[Ávöxtun]]*Table15[[#This Row],[Eignir]]/SUMIFS(Table15[Eignir],Table15[Year],Table15[[#This Row],[Year]])</f>
        <v>2.2664462469595909E-5</v>
      </c>
      <c r="F712" s="23" t="e">
        <f>IF(B712=1997, 100, IF(COUNTIF(A$1:A711,A712)=0, "NEW", F711*(1+Table15[[#This Row],[Ávöxtun]])))</f>
        <v>#VALUE!</v>
      </c>
      <c r="G712" s="18" t="str" cm="1">
        <f t="array" ref="G712">IFERROR(_xlfn.IFS(ISNUMBER(Table15[[#This Row],[Column3]]),Table15[[#This Row],[Column3]],Table15[[#This Row],[Column3]]="NEW",Table15[[#This Row],[Column3]]),"")</f>
        <v/>
      </c>
      <c r="H712" s="15" cm="1">
        <f t="array" ref="H712">_xlfn.IFS(Table15[[#This Row],[Column4]]="NEW",AVERAGEIFS(Table15[Column4],Table15[Year],Table15[[#This Row],[Year]]),ISNUMBER(Table15[[#This Row],[Column4]]),Table15[[#This Row],[Column4]],Table15[[#This Row],[Column4]]="",H711*(1+Table15[[#This Row],[Ávöxtun]]))</f>
        <v>115.49085351142857</v>
      </c>
      <c r="I712" s="30" cm="1">
        <f t="array" ref="I712">_xlfn.IFS(Table15[[#This Row],[Column4]]="NEW",_xlfn.XLOOKUP(Table15[[#This Row],[Year]]-1,$N$2:$N$27,$P$2:$P$27)*(1+Table15[[#This Row],[Ávöxtun]]),ISNUMBER(Table15[[#This Row],[Column4]]),Table15[[#This Row],[Column4]],Table15[[#This Row],[Column4]]="",I711*(1+Table15[[#This Row],[Ávöxtun]]))</f>
        <v>118.36421478661057</v>
      </c>
      <c r="L712" s="33">
        <v>115.49085351142857</v>
      </c>
      <c r="M712" s="33">
        <v>127.54462864020722</v>
      </c>
    </row>
    <row r="713" spans="1:13">
      <c r="A713" t="s">
        <v>101</v>
      </c>
      <c r="B713">
        <v>2004</v>
      </c>
      <c r="C713" s="16">
        <v>0.08</v>
      </c>
      <c r="D713" s="1">
        <v>186713</v>
      </c>
      <c r="E713" s="29">
        <f>Table15[[#This Row],[Ávöxtun]]*Table15[[#This Row],[Eignir]]/SUMIFS(Table15[Eignir],Table15[Year],Table15[[#This Row],[Year]])</f>
        <v>1.6456457748800232E-5</v>
      </c>
      <c r="F713" s="23" t="e">
        <f>IF(B713=1997, 100, IF(COUNTIF(A$1:A712,A713)=0, "NEW", F712*(1+Table15[[#This Row],[Ávöxtun]])))</f>
        <v>#VALUE!</v>
      </c>
      <c r="G713" s="18" t="str" cm="1">
        <f t="array" ref="G713">IFERROR(_xlfn.IFS(ISNUMBER(Table15[[#This Row],[Column3]]),Table15[[#This Row],[Column3]],Table15[[#This Row],[Column3]]="NEW",Table15[[#This Row],[Column3]]),"")</f>
        <v/>
      </c>
      <c r="H713" s="15" cm="1">
        <f t="array" ref="H713">_xlfn.IFS(Table15[[#This Row],[Column4]]="NEW",AVERAGEIFS(Table15[Column4],Table15[Year],Table15[[#This Row],[Year]]),ISNUMBER(Table15[[#This Row],[Column4]]),Table15[[#This Row],[Column4]],Table15[[#This Row],[Column4]]="",H712*(1+Table15[[#This Row],[Ávöxtun]]))</f>
        <v>124.73012179234286</v>
      </c>
      <c r="I713" s="30" cm="1">
        <f t="array" ref="I713">_xlfn.IFS(Table15[[#This Row],[Column4]]="NEW",_xlfn.XLOOKUP(Table15[[#This Row],[Year]]-1,$N$2:$N$27,$P$2:$P$27)*(1+Table15[[#This Row],[Ávöxtun]]),ISNUMBER(Table15[[#This Row],[Column4]]),Table15[[#This Row],[Column4]],Table15[[#This Row],[Column4]]="",I712*(1+Table15[[#This Row],[Ávöxtun]]))</f>
        <v>127.83335196953944</v>
      </c>
      <c r="L713" s="33">
        <v>124.73012179234286</v>
      </c>
      <c r="M713" s="33">
        <v>137.74819893142381</v>
      </c>
    </row>
    <row r="714" spans="1:13">
      <c r="A714" t="s">
        <v>101</v>
      </c>
      <c r="B714">
        <v>2005</v>
      </c>
      <c r="C714" s="16">
        <v>7.0000000000000007E-2</v>
      </c>
      <c r="D714" s="1">
        <v>246645</v>
      </c>
      <c r="E714" s="29">
        <f>Table15[[#This Row],[Ávöxtun]]*Table15[[#This Row],[Eignir]]/SUMIFS(Table15[Eignir],Table15[Year],Table15[[#This Row],[Year]])</f>
        <v>1.5396922237365417E-5</v>
      </c>
      <c r="F714" s="23" t="e">
        <f>IF(B714=1997, 100, IF(COUNTIF(A$1:A713,A714)=0, "NEW", F713*(1+Table15[[#This Row],[Ávöxtun]])))</f>
        <v>#VALUE!</v>
      </c>
      <c r="G714" s="18" t="str" cm="1">
        <f t="array" ref="G714">IFERROR(_xlfn.IFS(ISNUMBER(Table15[[#This Row],[Column3]]),Table15[[#This Row],[Column3]],Table15[[#This Row],[Column3]]="NEW",Table15[[#This Row],[Column3]]),"")</f>
        <v/>
      </c>
      <c r="H714" s="15" cm="1">
        <f t="array" ref="H714">_xlfn.IFS(Table15[[#This Row],[Column4]]="NEW",AVERAGEIFS(Table15[Column4],Table15[Year],Table15[[#This Row],[Year]]),ISNUMBER(Table15[[#This Row],[Column4]]),Table15[[#This Row],[Column4]],Table15[[#This Row],[Column4]]="",H713*(1+Table15[[#This Row],[Ávöxtun]]))</f>
        <v>133.46123031780687</v>
      </c>
      <c r="I714" s="30" cm="1">
        <f t="array" ref="I714">_xlfn.IFS(Table15[[#This Row],[Column4]]="NEW",_xlfn.XLOOKUP(Table15[[#This Row],[Year]]-1,$N$2:$N$27,$P$2:$P$27)*(1+Table15[[#This Row],[Ávöxtun]]),ISNUMBER(Table15[[#This Row],[Column4]]),Table15[[#This Row],[Column4]],Table15[[#This Row],[Column4]]="",I713*(1+Table15[[#This Row],[Ávöxtun]]))</f>
        <v>136.78168660740721</v>
      </c>
      <c r="L714" s="33">
        <v>133.46123031780687</v>
      </c>
      <c r="M714" s="33">
        <v>147.39057285662349</v>
      </c>
    </row>
    <row r="715" spans="1:13">
      <c r="A715" t="s">
        <v>101</v>
      </c>
      <c r="B715">
        <v>2006</v>
      </c>
      <c r="C715" s="16">
        <v>7.6399999999999996E-2</v>
      </c>
      <c r="D715" s="1">
        <v>323153</v>
      </c>
      <c r="E715" s="29">
        <f>Table15[[#This Row],[Ávöxtun]]*Table15[[#This Row],[Eignir]]/SUMIFS(Table15[Eignir],Table15[Year],Table15[[#This Row],[Year]])</f>
        <v>1.7985960033500703E-5</v>
      </c>
      <c r="F715" s="23" t="e">
        <f>IF(B715=1997, 100, IF(COUNTIF(A$1:A714,A715)=0, "NEW", F714*(1+Table15[[#This Row],[Ávöxtun]])))</f>
        <v>#VALUE!</v>
      </c>
      <c r="G715" s="18" t="str" cm="1">
        <f t="array" ref="G715">IFERROR(_xlfn.IFS(ISNUMBER(Table15[[#This Row],[Column3]]),Table15[[#This Row],[Column3]],Table15[[#This Row],[Column3]]="NEW",Table15[[#This Row],[Column3]]),"")</f>
        <v/>
      </c>
      <c r="H715" s="15" cm="1">
        <f t="array" ref="H715">_xlfn.IFS(Table15[[#This Row],[Column4]]="NEW",AVERAGEIFS(Table15[Column4],Table15[Year],Table15[[#This Row],[Year]]),ISNUMBER(Table15[[#This Row],[Column4]]),Table15[[#This Row],[Column4]],Table15[[#This Row],[Column4]]="",H714*(1+Table15[[#This Row],[Ávöxtun]]))</f>
        <v>143.65766831408732</v>
      </c>
      <c r="I715" s="30" cm="1">
        <f t="array" ref="I715">_xlfn.IFS(Table15[[#This Row],[Column4]]="NEW",_xlfn.XLOOKUP(Table15[[#This Row],[Year]]-1,$N$2:$N$27,$P$2:$P$27)*(1+Table15[[#This Row],[Ávöxtun]]),ISNUMBER(Table15[[#This Row],[Column4]]),Table15[[#This Row],[Column4]],Table15[[#This Row],[Column4]]="",I714*(1+Table15[[#This Row],[Ávöxtun]]))</f>
        <v>147.23180746421312</v>
      </c>
      <c r="L715" s="33">
        <v>143.65766831408732</v>
      </c>
      <c r="M715" s="33">
        <v>158.65121262286954</v>
      </c>
    </row>
    <row r="716" spans="1:13">
      <c r="A716" t="s">
        <v>101</v>
      </c>
      <c r="B716">
        <v>2007</v>
      </c>
      <c r="C716" s="16">
        <v>5.3E-3</v>
      </c>
      <c r="D716" s="1">
        <v>306414</v>
      </c>
      <c r="E716" s="29">
        <f>Table15[[#This Row],[Ávöxtun]]*Table15[[#This Row],[Eignir]]/SUMIFS(Table15[Eignir],Table15[Year],Table15[[#This Row],[Year]])</f>
        <v>1.050171880156779E-6</v>
      </c>
      <c r="F716" s="23" t="e">
        <f>IF(B716=1997, 100, IF(COUNTIF(A$1:A715,A716)=0, "NEW", F715*(1+Table15[[#This Row],[Ávöxtun]])))</f>
        <v>#VALUE!</v>
      </c>
      <c r="G716" s="18" t="str" cm="1">
        <f t="array" ref="G716">IFERROR(_xlfn.IFS(ISNUMBER(Table15[[#This Row],[Column3]]),Table15[[#This Row],[Column3]],Table15[[#This Row],[Column3]]="NEW",Table15[[#This Row],[Column3]]),"")</f>
        <v/>
      </c>
      <c r="H716" s="15" cm="1">
        <f t="array" ref="H716">_xlfn.IFS(Table15[[#This Row],[Column4]]="NEW",AVERAGEIFS(Table15[Column4],Table15[Year],Table15[[#This Row],[Year]]),ISNUMBER(Table15[[#This Row],[Column4]]),Table15[[#This Row],[Column4]],Table15[[#This Row],[Column4]]="",H715*(1+Table15[[#This Row],[Ávöxtun]]))</f>
        <v>144.419053956152</v>
      </c>
      <c r="I716" s="30" cm="1">
        <f t="array" ref="I716">_xlfn.IFS(Table15[[#This Row],[Column4]]="NEW",_xlfn.XLOOKUP(Table15[[#This Row],[Year]]-1,$N$2:$N$27,$P$2:$P$27)*(1+Table15[[#This Row],[Ávöxtun]]),ISNUMBER(Table15[[#This Row],[Column4]]),Table15[[#This Row],[Column4]],Table15[[#This Row],[Column4]]="",I715*(1+Table15[[#This Row],[Ávöxtun]]))</f>
        <v>148.01213604377347</v>
      </c>
      <c r="L716" s="33">
        <v>144.419053956152</v>
      </c>
      <c r="M716" s="33">
        <v>159.49206404977076</v>
      </c>
    </row>
    <row r="717" spans="1:13">
      <c r="A717" t="s">
        <v>101</v>
      </c>
      <c r="B717">
        <v>2008</v>
      </c>
      <c r="C717" s="16">
        <v>-0.26700000000000002</v>
      </c>
      <c r="D717" s="1">
        <v>295679</v>
      </c>
      <c r="E717" s="29">
        <f>Table15[[#This Row],[Ávöxtun]]*Table15[[#This Row],[Eignir]]/SUMIFS(Table15[Eignir],Table15[Year],Table15[[#This Row],[Year]])</f>
        <v>-5.2725137991437708E-5</v>
      </c>
      <c r="F717" s="23" t="e">
        <f>IF(B717=1997, 100, IF(COUNTIF(A$1:A716,A717)=0, "NEW", F716*(1+Table15[[#This Row],[Ávöxtun]])))</f>
        <v>#VALUE!</v>
      </c>
      <c r="G717" s="18" t="str" cm="1">
        <f t="array" ref="G717">IFERROR(_xlfn.IFS(ISNUMBER(Table15[[#This Row],[Column3]]),Table15[[#This Row],[Column3]],Table15[[#This Row],[Column3]]="NEW",Table15[[#This Row],[Column3]]),"")</f>
        <v/>
      </c>
      <c r="H717" s="15" cm="1">
        <f t="array" ref="H717">_xlfn.IFS(Table15[[#This Row],[Column4]]="NEW",AVERAGEIFS(Table15[Column4],Table15[Year],Table15[[#This Row],[Year]]),ISNUMBER(Table15[[#This Row],[Column4]]),Table15[[#This Row],[Column4]],Table15[[#This Row],[Column4]]="",H716*(1+Table15[[#This Row],[Ávöxtun]]))</f>
        <v>105.85916654985941</v>
      </c>
      <c r="I717" s="30" cm="1">
        <f t="array" ref="I717">_xlfn.IFS(Table15[[#This Row],[Column4]]="NEW",_xlfn.XLOOKUP(Table15[[#This Row],[Year]]-1,$N$2:$N$27,$P$2:$P$27)*(1+Table15[[#This Row],[Ávöxtun]]),ISNUMBER(Table15[[#This Row],[Column4]]),Table15[[#This Row],[Column4]],Table15[[#This Row],[Column4]]="",I716*(1+Table15[[#This Row],[Ávöxtun]]))</f>
        <v>108.49289572008595</v>
      </c>
      <c r="L717" s="33">
        <v>105.85916654985941</v>
      </c>
      <c r="M717" s="33">
        <v>116.90768294848196</v>
      </c>
    </row>
    <row r="718" spans="1:13">
      <c r="A718" t="s">
        <v>101</v>
      </c>
      <c r="B718">
        <v>2009</v>
      </c>
      <c r="C718" s="16">
        <v>4.7500000000000001E-2</v>
      </c>
      <c r="D718" s="1">
        <v>379542</v>
      </c>
      <c r="E718" s="29">
        <f>Table15[[#This Row],[Ávöxtun]]*Table15[[#This Row],[Eignir]]/SUMIFS(Table15[Eignir],Table15[Year],Table15[[#This Row],[Year]])</f>
        <v>1.0806626518221002E-5</v>
      </c>
      <c r="F718" s="23" t="e">
        <f>IF(B718=1997, 100, IF(COUNTIF(A$1:A717,A718)=0, "NEW", F717*(1+Table15[[#This Row],[Ávöxtun]])))</f>
        <v>#VALUE!</v>
      </c>
      <c r="G718" s="18" t="str" cm="1">
        <f t="array" ref="G718">IFERROR(_xlfn.IFS(ISNUMBER(Table15[[#This Row],[Column3]]),Table15[[#This Row],[Column3]],Table15[[#This Row],[Column3]]="NEW",Table15[[#This Row],[Column3]]),"")</f>
        <v/>
      </c>
      <c r="H718" s="15" cm="1">
        <f t="array" ref="H718">_xlfn.IFS(Table15[[#This Row],[Column4]]="NEW",AVERAGEIFS(Table15[Column4],Table15[Year],Table15[[#This Row],[Year]]),ISNUMBER(Table15[[#This Row],[Column4]]),Table15[[#This Row],[Column4]],Table15[[#This Row],[Column4]]="",H717*(1+Table15[[#This Row],[Ávöxtun]]))</f>
        <v>110.88747696097774</v>
      </c>
      <c r="I718" s="30" cm="1">
        <f t="array" ref="I718">_xlfn.IFS(Table15[[#This Row],[Column4]]="NEW",_xlfn.XLOOKUP(Table15[[#This Row],[Year]]-1,$N$2:$N$27,$P$2:$P$27)*(1+Table15[[#This Row],[Ávöxtun]]),ISNUMBER(Table15[[#This Row],[Column4]]),Table15[[#This Row],[Column4]],Table15[[#This Row],[Column4]]="",I717*(1+Table15[[#This Row],[Ávöxtun]]))</f>
        <v>113.64630826679004</v>
      </c>
      <c r="L718" s="33">
        <v>110.88747696097774</v>
      </c>
      <c r="M718" s="33">
        <v>122.46079788853487</v>
      </c>
    </row>
    <row r="719" spans="1:13">
      <c r="A719" t="s">
        <v>101</v>
      </c>
      <c r="B719">
        <v>2010</v>
      </c>
      <c r="C719" s="16">
        <v>3.44E-2</v>
      </c>
      <c r="D719" s="1">
        <v>443571</v>
      </c>
      <c r="E719" s="29">
        <f>Table15[[#This Row],[Ávöxtun]]*Table15[[#This Row],[Eignir]]/SUMIFS(Table15[Eignir],Table15[Year],Table15[[#This Row],[Year]])</f>
        <v>8.5350470520010203E-6</v>
      </c>
      <c r="F719" s="23" t="e">
        <f>IF(B719=1997, 100, IF(COUNTIF(A$1:A718,A719)=0, "NEW", F718*(1+Table15[[#This Row],[Ávöxtun]])))</f>
        <v>#VALUE!</v>
      </c>
      <c r="G719" s="18" t="str" cm="1">
        <f t="array" ref="G719">IFERROR(_xlfn.IFS(ISNUMBER(Table15[[#This Row],[Column3]]),Table15[[#This Row],[Column3]],Table15[[#This Row],[Column3]]="NEW",Table15[[#This Row],[Column3]]),"")</f>
        <v/>
      </c>
      <c r="H719" s="15" cm="1">
        <f t="array" ref="H719">_xlfn.IFS(Table15[[#This Row],[Column4]]="NEW",AVERAGEIFS(Table15[Column4],Table15[Year],Table15[[#This Row],[Year]]),ISNUMBER(Table15[[#This Row],[Column4]]),Table15[[#This Row],[Column4]],Table15[[#This Row],[Column4]]="",H718*(1+Table15[[#This Row],[Ávöxtun]]))</f>
        <v>114.70200616843537</v>
      </c>
      <c r="I719" s="30" cm="1">
        <f t="array" ref="I719">_xlfn.IFS(Table15[[#This Row],[Column4]]="NEW",_xlfn.XLOOKUP(Table15[[#This Row],[Year]]-1,$N$2:$N$27,$P$2:$P$27)*(1+Table15[[#This Row],[Ávöxtun]]),ISNUMBER(Table15[[#This Row],[Column4]]),Table15[[#This Row],[Column4]],Table15[[#This Row],[Column4]]="",I718*(1+Table15[[#This Row],[Ávöxtun]]))</f>
        <v>117.55574127116762</v>
      </c>
      <c r="L719" s="33">
        <v>114.70200616843537</v>
      </c>
      <c r="M719" s="33">
        <v>126.67344933590047</v>
      </c>
    </row>
    <row r="720" spans="1:13">
      <c r="A720" t="s">
        <v>101</v>
      </c>
      <c r="B720">
        <v>2011</v>
      </c>
      <c r="C720" s="16">
        <v>2.2000000000000002E-2</v>
      </c>
      <c r="D720" s="1">
        <v>529702</v>
      </c>
      <c r="E720" s="29">
        <f>Table15[[#This Row],[Ávöxtun]]*Table15[[#This Row],[Eignir]]/SUMIFS(Table15[Eignir],Table15[Year],Table15[[#This Row],[Year]])</f>
        <v>5.974412959492587E-6</v>
      </c>
      <c r="F720" s="23" t="e">
        <f>IF(B720=1997, 100, IF(COUNTIF(A$1:A719,A720)=0, "NEW", F719*(1+Table15[[#This Row],[Ávöxtun]])))</f>
        <v>#VALUE!</v>
      </c>
      <c r="G720" s="18" t="str" cm="1">
        <f t="array" ref="G720">IFERROR(_xlfn.IFS(ISNUMBER(Table15[[#This Row],[Column3]]),Table15[[#This Row],[Column3]],Table15[[#This Row],[Column3]]="NEW",Table15[[#This Row],[Column3]]),"")</f>
        <v/>
      </c>
      <c r="H720" s="15" cm="1">
        <f t="array" ref="H720">_xlfn.IFS(Table15[[#This Row],[Column4]]="NEW",AVERAGEIFS(Table15[Column4],Table15[Year],Table15[[#This Row],[Year]]),ISNUMBER(Table15[[#This Row],[Column4]]),Table15[[#This Row],[Column4]],Table15[[#This Row],[Column4]]="",H719*(1+Table15[[#This Row],[Ávöxtun]]))</f>
        <v>117.22545030414095</v>
      </c>
      <c r="I720" s="30" cm="1">
        <f t="array" ref="I720">_xlfn.IFS(Table15[[#This Row],[Column4]]="NEW",_xlfn.XLOOKUP(Table15[[#This Row],[Year]]-1,$N$2:$N$27,$P$2:$P$27)*(1+Table15[[#This Row],[Ávöxtun]]),ISNUMBER(Table15[[#This Row],[Column4]]),Table15[[#This Row],[Column4]],Table15[[#This Row],[Column4]]="",I719*(1+Table15[[#This Row],[Ávöxtun]]))</f>
        <v>120.14196757913331</v>
      </c>
      <c r="L720" s="33">
        <v>117.22545030414095</v>
      </c>
      <c r="M720" s="33">
        <v>129.46026522129029</v>
      </c>
    </row>
    <row r="721" spans="1:13">
      <c r="A721" t="s">
        <v>101</v>
      </c>
      <c r="B721">
        <v>2012</v>
      </c>
      <c r="C721" s="16">
        <v>0.04</v>
      </c>
      <c r="D721" s="1">
        <v>632948</v>
      </c>
      <c r="E721" s="29">
        <f>Table15[[#This Row],[Ávöxtun]]*Table15[[#This Row],[Eignir]]/SUMIFS(Table15[Eignir],Table15[Year],Table15[[#This Row],[Year]])</f>
        <v>1.1493292959386364E-5</v>
      </c>
      <c r="F721" s="23" t="e">
        <f>IF(B721=1997, 100, IF(COUNTIF(A$1:A720,A721)=0, "NEW", F720*(1+Table15[[#This Row],[Ávöxtun]])))</f>
        <v>#VALUE!</v>
      </c>
      <c r="G721" s="18" t="str" cm="1">
        <f t="array" ref="G721">IFERROR(_xlfn.IFS(ISNUMBER(Table15[[#This Row],[Column3]]),Table15[[#This Row],[Column3]],Table15[[#This Row],[Column3]]="NEW",Table15[[#This Row],[Column3]]),"")</f>
        <v/>
      </c>
      <c r="H721" s="15" cm="1">
        <f t="array" ref="H721">_xlfn.IFS(Table15[[#This Row],[Column4]]="NEW",AVERAGEIFS(Table15[Column4],Table15[Year],Table15[[#This Row],[Year]]),ISNUMBER(Table15[[#This Row],[Column4]]),Table15[[#This Row],[Column4]],Table15[[#This Row],[Column4]]="",H720*(1+Table15[[#This Row],[Ávöxtun]]))</f>
        <v>121.9144683163066</v>
      </c>
      <c r="I721" s="30" cm="1">
        <f t="array" ref="I721">_xlfn.IFS(Table15[[#This Row],[Column4]]="NEW",_xlfn.XLOOKUP(Table15[[#This Row],[Year]]-1,$N$2:$N$27,$P$2:$P$27)*(1+Table15[[#This Row],[Ávöxtun]]),ISNUMBER(Table15[[#This Row],[Column4]]),Table15[[#This Row],[Column4]],Table15[[#This Row],[Column4]]="",I720*(1+Table15[[#This Row],[Ávöxtun]]))</f>
        <v>124.94764628229865</v>
      </c>
      <c r="L721" s="33">
        <v>121.9144683163066</v>
      </c>
      <c r="M721" s="33">
        <v>134.63867583014189</v>
      </c>
    </row>
    <row r="722" spans="1:13">
      <c r="A722" t="s">
        <v>101</v>
      </c>
      <c r="B722">
        <v>2013</v>
      </c>
      <c r="C722" s="16">
        <v>6.2000000000000006E-2</v>
      </c>
      <c r="D722" s="1">
        <v>729256</v>
      </c>
      <c r="E722" s="29">
        <f>Table15[[#This Row],[Ávöxtun]]*Table15[[#This Row],[Eignir]]/SUMIFS(Table15[Eignir],Table15[Year],Table15[[#This Row],[Year]])</f>
        <v>1.8579163493720576E-5</v>
      </c>
      <c r="F722" s="23" t="e">
        <f>IF(B722=1997, 100, IF(COUNTIF(A$1:A721,A722)=0, "NEW", F721*(1+Table15[[#This Row],[Ávöxtun]])))</f>
        <v>#VALUE!</v>
      </c>
      <c r="G722" s="18" t="str" cm="1">
        <f t="array" ref="G722">IFERROR(_xlfn.IFS(ISNUMBER(Table15[[#This Row],[Column3]]),Table15[[#This Row],[Column3]],Table15[[#This Row],[Column3]]="NEW",Table15[[#This Row],[Column3]]),"")</f>
        <v/>
      </c>
      <c r="H722" s="15" cm="1">
        <f t="array" ref="H722">_xlfn.IFS(Table15[[#This Row],[Column4]]="NEW",AVERAGEIFS(Table15[Column4],Table15[Year],Table15[[#This Row],[Year]]),ISNUMBER(Table15[[#This Row],[Column4]]),Table15[[#This Row],[Column4]],Table15[[#This Row],[Column4]]="",H721*(1+Table15[[#This Row],[Ávöxtun]]))</f>
        <v>129.4731653519176</v>
      </c>
      <c r="I722" s="30" cm="1">
        <f t="array" ref="I722">_xlfn.IFS(Table15[[#This Row],[Column4]]="NEW",_xlfn.XLOOKUP(Table15[[#This Row],[Year]]-1,$N$2:$N$27,$P$2:$P$27)*(1+Table15[[#This Row],[Ávöxtun]]),ISNUMBER(Table15[[#This Row],[Column4]]),Table15[[#This Row],[Column4]],Table15[[#This Row],[Column4]]="",I721*(1+Table15[[#This Row],[Ávöxtun]]))</f>
        <v>132.69440035180116</v>
      </c>
      <c r="L722" s="33">
        <v>129.4731653519176</v>
      </c>
      <c r="M722" s="33">
        <v>142.98627373161071</v>
      </c>
    </row>
    <row r="723" spans="1:13">
      <c r="A723" t="s">
        <v>101</v>
      </c>
      <c r="B723">
        <v>2014</v>
      </c>
      <c r="C723" s="16">
        <v>4.8000000000000001E-2</v>
      </c>
      <c r="D723" s="1">
        <v>822012</v>
      </c>
      <c r="E723" s="29">
        <f>Table15[[#This Row],[Ávöxtun]]*Table15[[#This Row],[Eignir]]/SUMIFS(Table15[Eignir],Table15[Year],Table15[[#This Row],[Year]])</f>
        <v>1.4872333711926501E-5</v>
      </c>
      <c r="F723" s="23" t="e">
        <f>IF(B723=1997, 100, IF(COUNTIF(A$1:A722,A723)=0, "NEW", F722*(1+Table15[[#This Row],[Ávöxtun]])))</f>
        <v>#VALUE!</v>
      </c>
      <c r="G723" s="18" t="str" cm="1">
        <f t="array" ref="G723">IFERROR(_xlfn.IFS(ISNUMBER(Table15[[#This Row],[Column3]]),Table15[[#This Row],[Column3]],Table15[[#This Row],[Column3]]="NEW",Table15[[#This Row],[Column3]]),"")</f>
        <v/>
      </c>
      <c r="H723" s="15" cm="1">
        <f t="array" ref="H723">_xlfn.IFS(Table15[[#This Row],[Column4]]="NEW",AVERAGEIFS(Table15[Column4],Table15[Year],Table15[[#This Row],[Year]]),ISNUMBER(Table15[[#This Row],[Column4]]),Table15[[#This Row],[Column4]],Table15[[#This Row],[Column4]]="",H722*(1+Table15[[#This Row],[Ávöxtun]]))</f>
        <v>135.68787728880966</v>
      </c>
      <c r="I723" s="30" cm="1">
        <f t="array" ref="I723">_xlfn.IFS(Table15[[#This Row],[Column4]]="NEW",_xlfn.XLOOKUP(Table15[[#This Row],[Year]]-1,$N$2:$N$27,$P$2:$P$27)*(1+Table15[[#This Row],[Ávöxtun]]),ISNUMBER(Table15[[#This Row],[Column4]]),Table15[[#This Row],[Column4]],Table15[[#This Row],[Column4]]="",I722*(1+Table15[[#This Row],[Ávöxtun]]))</f>
        <v>139.06373156868761</v>
      </c>
      <c r="L723" s="33">
        <v>135.68787728880966</v>
      </c>
      <c r="M723" s="33">
        <v>149.84961487072803</v>
      </c>
    </row>
    <row r="724" spans="1:13">
      <c r="A724" t="s">
        <v>101</v>
      </c>
      <c r="B724">
        <v>2015</v>
      </c>
      <c r="C724" s="16">
        <v>0.109</v>
      </c>
      <c r="D724" s="1">
        <v>982532</v>
      </c>
      <c r="E724" s="29">
        <f>Table15[[#This Row],[Ávöxtun]]*Table15[[#This Row],[Eignir]]/SUMIFS(Table15[Eignir],Table15[Year],Table15[[#This Row],[Year]])</f>
        <v>3.6164238301830351E-5</v>
      </c>
      <c r="F724" s="23" t="e">
        <f>IF(B724=1997, 100, IF(COUNTIF(A$1:A723,A724)=0, "NEW", F723*(1+Table15[[#This Row],[Ávöxtun]])))</f>
        <v>#VALUE!</v>
      </c>
      <c r="G724" s="18" t="str" cm="1">
        <f t="array" ref="G724">IFERROR(_xlfn.IFS(ISNUMBER(Table15[[#This Row],[Column3]]),Table15[[#This Row],[Column3]],Table15[[#This Row],[Column3]]="NEW",Table15[[#This Row],[Column3]]),"")</f>
        <v/>
      </c>
      <c r="H724" s="15" cm="1">
        <f t="array" ref="H724">_xlfn.IFS(Table15[[#This Row],[Column4]]="NEW",AVERAGEIFS(Table15[Column4],Table15[Year],Table15[[#This Row],[Year]]),ISNUMBER(Table15[[#This Row],[Column4]]),Table15[[#This Row],[Column4]],Table15[[#This Row],[Column4]]="",H723*(1+Table15[[#This Row],[Ávöxtun]]))</f>
        <v>150.47785591328991</v>
      </c>
      <c r="I724" s="30" cm="1">
        <f t="array" ref="I724">_xlfn.IFS(Table15[[#This Row],[Column4]]="NEW",_xlfn.XLOOKUP(Table15[[#This Row],[Year]]-1,$N$2:$N$27,$P$2:$P$27)*(1+Table15[[#This Row],[Ávöxtun]]),ISNUMBER(Table15[[#This Row],[Column4]]),Table15[[#This Row],[Column4]],Table15[[#This Row],[Column4]]="",I723*(1+Table15[[#This Row],[Ávöxtun]]))</f>
        <v>154.22167830967456</v>
      </c>
      <c r="L724" s="33">
        <v>150.47785591328991</v>
      </c>
      <c r="M724" s="33">
        <v>166.1832228916374</v>
      </c>
    </row>
    <row r="725" spans="1:13">
      <c r="A725" t="s">
        <v>101</v>
      </c>
      <c r="B725">
        <v>2016</v>
      </c>
      <c r="C725" s="16">
        <v>1.38E-2</v>
      </c>
      <c r="D725" s="1">
        <v>1122960.21</v>
      </c>
      <c r="E725" s="29">
        <f>Table15[[#This Row],[Ávöxtun]]*Table15[[#This Row],[Eignir]]/SUMIFS(Table15[Eignir],Table15[Year],Table15[[#This Row],[Year]])</f>
        <v>4.8426952964186961E-6</v>
      </c>
      <c r="F725" s="23" t="e">
        <f>IF(B725=1997, 100, IF(COUNTIF(A$1:A724,A725)=0, "NEW", F724*(1+Table15[[#This Row],[Ávöxtun]])))</f>
        <v>#VALUE!</v>
      </c>
      <c r="G725" s="18" t="str" cm="1">
        <f t="array" ref="G725">IFERROR(_xlfn.IFS(ISNUMBER(Table15[[#This Row],[Column3]]),Table15[[#This Row],[Column3]],Table15[[#This Row],[Column3]]="NEW",Table15[[#This Row],[Column3]]),"")</f>
        <v/>
      </c>
      <c r="H725" s="15" cm="1">
        <f t="array" ref="H725">_xlfn.IFS(Table15[[#This Row],[Column4]]="NEW",AVERAGEIFS(Table15[Column4],Table15[Year],Table15[[#This Row],[Year]]),ISNUMBER(Table15[[#This Row],[Column4]]),Table15[[#This Row],[Column4]],Table15[[#This Row],[Column4]]="",H724*(1+Table15[[#This Row],[Ávöxtun]]))</f>
        <v>152.55445032489331</v>
      </c>
      <c r="I725" s="30" cm="1">
        <f t="array" ref="I725">_xlfn.IFS(Table15[[#This Row],[Column4]]="NEW",_xlfn.XLOOKUP(Table15[[#This Row],[Year]]-1,$N$2:$N$27,$P$2:$P$27)*(1+Table15[[#This Row],[Ávöxtun]]),ISNUMBER(Table15[[#This Row],[Column4]]),Table15[[#This Row],[Column4]],Table15[[#This Row],[Column4]]="",I724*(1+Table15[[#This Row],[Ávöxtun]]))</f>
        <v>156.34993747034807</v>
      </c>
      <c r="L725" s="33">
        <v>152.55445032489331</v>
      </c>
      <c r="M725" s="33">
        <v>168.47655136754202</v>
      </c>
    </row>
    <row r="726" spans="1:13">
      <c r="A726" t="s">
        <v>101</v>
      </c>
      <c r="B726">
        <v>2017</v>
      </c>
      <c r="C726" s="16">
        <v>5.2000000000000005E-2</v>
      </c>
      <c r="D726" s="1">
        <v>1274111</v>
      </c>
      <c r="E726" s="29">
        <f>Table15[[#This Row],[Ávöxtun]]*Table15[[#This Row],[Eignir]]/SUMIFS(Table15[Eignir],Table15[Year],Table15[[#This Row],[Year]])</f>
        <v>1.8615047934558206E-5</v>
      </c>
      <c r="F726" s="23" t="e">
        <f>IF(B726=1997, 100, IF(COUNTIF(A$1:A725,A726)=0, "NEW", F725*(1+Table15[[#This Row],[Ávöxtun]])))</f>
        <v>#VALUE!</v>
      </c>
      <c r="G726" s="18" t="str" cm="1">
        <f t="array" ref="G726">IFERROR(_xlfn.IFS(ISNUMBER(Table15[[#This Row],[Column3]]),Table15[[#This Row],[Column3]],Table15[[#This Row],[Column3]]="NEW",Table15[[#This Row],[Column3]]),"")</f>
        <v/>
      </c>
      <c r="H726" s="15" cm="1">
        <f t="array" ref="H726">_xlfn.IFS(Table15[[#This Row],[Column4]]="NEW",AVERAGEIFS(Table15[Column4],Table15[Year],Table15[[#This Row],[Year]]),ISNUMBER(Table15[[#This Row],[Column4]]),Table15[[#This Row],[Column4]],Table15[[#This Row],[Column4]]="",H725*(1+Table15[[#This Row],[Ávöxtun]]))</f>
        <v>160.48728174178777</v>
      </c>
      <c r="I726" s="30" cm="1">
        <f t="array" ref="I726">_xlfn.IFS(Table15[[#This Row],[Column4]]="NEW",_xlfn.XLOOKUP(Table15[[#This Row],[Year]]-1,$N$2:$N$27,$P$2:$P$27)*(1+Table15[[#This Row],[Ávöxtun]]),ISNUMBER(Table15[[#This Row],[Column4]]),Table15[[#This Row],[Column4]],Table15[[#This Row],[Column4]]="",I725*(1+Table15[[#This Row],[Ávöxtun]]))</f>
        <v>164.48013421880617</v>
      </c>
      <c r="L726" s="33">
        <v>160.48728174178777</v>
      </c>
      <c r="M726" s="33">
        <v>177.23733203865422</v>
      </c>
    </row>
    <row r="727" spans="1:13">
      <c r="A727" t="s">
        <v>101</v>
      </c>
      <c r="B727">
        <v>2018</v>
      </c>
      <c r="C727" s="16">
        <v>1.2E-2</v>
      </c>
      <c r="D727" s="1">
        <v>1402953</v>
      </c>
      <c r="E727" s="29">
        <f>Table15[[#This Row],[Ávöxtun]]*Table15[[#This Row],[Eignir]]/SUMIFS(Table15[Eignir],Table15[Year],Table15[[#This Row],[Year]])</f>
        <v>4.4091231249622272E-6</v>
      </c>
      <c r="F727" s="23" t="e">
        <f>IF(B727=1997, 100, IF(COUNTIF(A$1:A726,A727)=0, "NEW", F726*(1+Table15[[#This Row],[Ávöxtun]])))</f>
        <v>#VALUE!</v>
      </c>
      <c r="G727" s="18" t="str" cm="1">
        <f t="array" ref="G727">IFERROR(_xlfn.IFS(ISNUMBER(Table15[[#This Row],[Column3]]),Table15[[#This Row],[Column3]],Table15[[#This Row],[Column3]]="NEW",Table15[[#This Row],[Column3]]),"")</f>
        <v/>
      </c>
      <c r="H727" s="15" cm="1">
        <f t="array" ref="H727">_xlfn.IFS(Table15[[#This Row],[Column4]]="NEW",AVERAGEIFS(Table15[Column4],Table15[Year],Table15[[#This Row],[Year]]),ISNUMBER(Table15[[#This Row],[Column4]]),Table15[[#This Row],[Column4]],Table15[[#This Row],[Column4]]="",H726*(1+Table15[[#This Row],[Ávöxtun]]))</f>
        <v>162.41312912268921</v>
      </c>
      <c r="I727" s="30" cm="1">
        <f t="array" ref="I727">_xlfn.IFS(Table15[[#This Row],[Column4]]="NEW",_xlfn.XLOOKUP(Table15[[#This Row],[Year]]-1,$N$2:$N$27,$P$2:$P$27)*(1+Table15[[#This Row],[Ávöxtun]]),ISNUMBER(Table15[[#This Row],[Column4]]),Table15[[#This Row],[Column4]],Table15[[#This Row],[Column4]]="",I726*(1+Table15[[#This Row],[Ávöxtun]]))</f>
        <v>166.45389582943184</v>
      </c>
      <c r="L727" s="33">
        <v>162.41312912268921</v>
      </c>
      <c r="M727" s="33">
        <v>179.36418002311808</v>
      </c>
    </row>
    <row r="728" spans="1:13">
      <c r="A728" t="s">
        <v>101</v>
      </c>
      <c r="B728">
        <v>2019</v>
      </c>
      <c r="C728" s="16">
        <v>9.7200000000000009E-2</v>
      </c>
      <c r="D728" s="1">
        <v>1645723.11</v>
      </c>
      <c r="E728" s="29">
        <f>Table15[[#This Row],[Ávöxtun]]*Table15[[#This Row],[Eignir]]/SUMIFS(Table15[Eignir],Table15[Year],Table15[[#This Row],[Year]])</f>
        <v>3.6134776509126337E-5</v>
      </c>
      <c r="F728" s="23" t="e">
        <f>IF(B728=1997, 100, IF(COUNTIF(A$1:A727,A728)=0, "NEW", F727*(1+Table15[[#This Row],[Ávöxtun]])))</f>
        <v>#VALUE!</v>
      </c>
      <c r="G728" s="18" t="str" cm="1">
        <f t="array" ref="G728">IFERROR(_xlfn.IFS(ISNUMBER(Table15[[#This Row],[Column3]]),Table15[[#This Row],[Column3]],Table15[[#This Row],[Column3]]="NEW",Table15[[#This Row],[Column3]]),"")</f>
        <v/>
      </c>
      <c r="H728" s="15" cm="1">
        <f t="array" ref="H728">_xlfn.IFS(Table15[[#This Row],[Column4]]="NEW",AVERAGEIFS(Table15[Column4],Table15[Year],Table15[[#This Row],[Year]]),ISNUMBER(Table15[[#This Row],[Column4]]),Table15[[#This Row],[Column4]],Table15[[#This Row],[Column4]]="",H727*(1+Table15[[#This Row],[Ávöxtun]]))</f>
        <v>178.19968527341459</v>
      </c>
      <c r="I728" s="30" cm="1">
        <f t="array" ref="I728">_xlfn.IFS(Table15[[#This Row],[Column4]]="NEW",_xlfn.XLOOKUP(Table15[[#This Row],[Year]]-1,$N$2:$N$27,$P$2:$P$27)*(1+Table15[[#This Row],[Ávöxtun]]),ISNUMBER(Table15[[#This Row],[Column4]]),Table15[[#This Row],[Column4]],Table15[[#This Row],[Column4]]="",I727*(1+Table15[[#This Row],[Ávöxtun]]))</f>
        <v>182.6332145040526</v>
      </c>
      <c r="L728" s="33">
        <v>178.19968527341459</v>
      </c>
      <c r="M728" s="33">
        <v>196.79837832136516</v>
      </c>
    </row>
    <row r="729" spans="1:13">
      <c r="A729" t="s">
        <v>101</v>
      </c>
      <c r="B729">
        <v>2020</v>
      </c>
      <c r="C729" s="16">
        <v>8.0299999999999996E-2</v>
      </c>
      <c r="D729" s="1">
        <v>1922226.04</v>
      </c>
      <c r="E729" s="29">
        <f>Table15[[#This Row],[Ávöxtun]]*Table15[[#This Row],[Eignir]]/SUMIFS(Table15[Eignir],Table15[Year],Table15[[#This Row],[Year]])</f>
        <v>3.0049904972702604E-5</v>
      </c>
      <c r="F729" s="23" t="e">
        <f>IF(B729=1997, 100, IF(COUNTIF(A$1:A728,A729)=0, "NEW", F728*(1+Table15[[#This Row],[Ávöxtun]])))</f>
        <v>#VALUE!</v>
      </c>
      <c r="G729" s="18" t="str" cm="1">
        <f t="array" ref="G729">IFERROR(_xlfn.IFS(ISNUMBER(Table15[[#This Row],[Column3]]),Table15[[#This Row],[Column3]],Table15[[#This Row],[Column3]]="NEW",Table15[[#This Row],[Column3]]),"")</f>
        <v/>
      </c>
      <c r="H729" s="15" cm="1">
        <f t="array" ref="H729">_xlfn.IFS(Table15[[#This Row],[Column4]]="NEW",AVERAGEIFS(Table15[Column4],Table15[Year],Table15[[#This Row],[Year]]),ISNUMBER(Table15[[#This Row],[Column4]]),Table15[[#This Row],[Column4]],Table15[[#This Row],[Column4]]="",H728*(1+Table15[[#This Row],[Ávöxtun]]))</f>
        <v>192.50912000086979</v>
      </c>
      <c r="I729" s="30" cm="1">
        <f t="array" ref="I729">_xlfn.IFS(Table15[[#This Row],[Column4]]="NEW",_xlfn.XLOOKUP(Table15[[#This Row],[Year]]-1,$N$2:$N$27,$P$2:$P$27)*(1+Table15[[#This Row],[Ávöxtun]]),ISNUMBER(Table15[[#This Row],[Column4]]),Table15[[#This Row],[Column4]],Table15[[#This Row],[Column4]]="",I728*(1+Table15[[#This Row],[Ávöxtun]]))</f>
        <v>197.29866162872804</v>
      </c>
      <c r="L729" s="33">
        <v>192.50912000086979</v>
      </c>
      <c r="M729" s="33">
        <v>212.6012881005708</v>
      </c>
    </row>
    <row r="730" spans="1:13">
      <c r="A730" t="s">
        <v>101</v>
      </c>
      <c r="B730">
        <v>2021</v>
      </c>
      <c r="C730" s="16">
        <v>6.2699999999999992E-2</v>
      </c>
      <c r="D730" s="1">
        <v>2241434.46</v>
      </c>
      <c r="E730" s="29">
        <f>Table15[[#This Row],[Ávöxtun]]*Table15[[#This Row],[Eignir]]/SUMIFS(Table15[Eignir],Table15[Year],Table15[[#This Row],[Year]])</f>
        <v>2.3269804164782413E-5</v>
      </c>
      <c r="F730" s="23" t="e">
        <f>IF(B730=1997, 100, IF(COUNTIF(A$1:A729,A730)=0, "NEW", F729*(1+Table15[[#This Row],[Ávöxtun]])))</f>
        <v>#VALUE!</v>
      </c>
      <c r="G730" s="18" t="str" cm="1">
        <f t="array" ref="G730">IFERROR(_xlfn.IFS(ISNUMBER(Table15[[#This Row],[Column3]]),Table15[[#This Row],[Column3]],Table15[[#This Row],[Column3]]="NEW",Table15[[#This Row],[Column3]]),"")</f>
        <v/>
      </c>
      <c r="H730" s="15" cm="1">
        <f t="array" ref="H730">_xlfn.IFS(Table15[[#This Row],[Column4]]="NEW",AVERAGEIFS(Table15[Column4],Table15[Year],Table15[[#This Row],[Year]]),ISNUMBER(Table15[[#This Row],[Column4]]),Table15[[#This Row],[Column4]],Table15[[#This Row],[Column4]]="",H729*(1+Table15[[#This Row],[Ávöxtun]]))</f>
        <v>204.57944182492432</v>
      </c>
      <c r="I730" s="30" cm="1">
        <f t="array" ref="I730">_xlfn.IFS(Table15[[#This Row],[Column4]]="NEW",_xlfn.XLOOKUP(Table15[[#This Row],[Year]]-1,$N$2:$N$27,$P$2:$P$27)*(1+Table15[[#This Row],[Ávöxtun]]),ISNUMBER(Table15[[#This Row],[Column4]]),Table15[[#This Row],[Column4]],Table15[[#This Row],[Column4]]="",I729*(1+Table15[[#This Row],[Ávöxtun]]))</f>
        <v>209.6692877128493</v>
      </c>
      <c r="L730" s="33">
        <v>204.57944182492432</v>
      </c>
      <c r="M730" s="33">
        <v>225.93138886447659</v>
      </c>
    </row>
    <row r="731" spans="1:13">
      <c r="A731" t="s">
        <v>120</v>
      </c>
      <c r="B731">
        <v>1997</v>
      </c>
      <c r="C731" s="16">
        <v>0.05</v>
      </c>
      <c r="D731" s="1">
        <v>750043.87</v>
      </c>
      <c r="E731" s="29">
        <f>Table15[[#This Row],[Ávöxtun]]*Table15[[#This Row],[Eignir]]/SUMIFS(Table15[Eignir],Table15[Year],Table15[[#This Row],[Year]])</f>
        <v>1.1061767041664708E-4</v>
      </c>
      <c r="F731" s="23">
        <f>IF(B731=1997, 100, IF(COUNTIF(A$1:A730,A731)=0, "NEW", F730*(1+Table15[[#This Row],[Ávöxtun]])))</f>
        <v>100</v>
      </c>
      <c r="G731" s="18" cm="1">
        <f t="array" ref="G731">IFERROR(_xlfn.IFS(ISNUMBER(Table15[[#This Row],[Column3]]),Table15[[#This Row],[Column3]],Table15[[#This Row],[Column3]]="NEW",Table15[[#This Row],[Column3]]),"")</f>
        <v>100</v>
      </c>
      <c r="H731" s="15" cm="1">
        <f t="array" ref="H731">_xlfn.IFS(Table15[[#This Row],[Column4]]="NEW",AVERAGEIFS(Table15[Column4],Table15[Year],Table15[[#This Row],[Year]]),ISNUMBER(Table15[[#This Row],[Column4]]),Table15[[#This Row],[Column4]],Table15[[#This Row],[Column4]]="",H730*(1+Table15[[#This Row],[Ávöxtun]]))</f>
        <v>100</v>
      </c>
      <c r="I731" s="30" cm="1">
        <f t="array" ref="I731">_xlfn.IFS(Table15[[#This Row],[Column4]]="NEW",_xlfn.XLOOKUP(Table15[[#This Row],[Year]]-1,$N$2:$N$27,$P$2:$P$27)*(1+Table15[[#This Row],[Ávöxtun]]),ISNUMBER(Table15[[#This Row],[Column4]]),Table15[[#This Row],[Column4]],Table15[[#This Row],[Column4]]="",I730*(1+Table15[[#This Row],[Ávöxtun]]))</f>
        <v>100</v>
      </c>
      <c r="L731" s="33">
        <v>100</v>
      </c>
      <c r="M731" s="33">
        <v>100</v>
      </c>
    </row>
    <row r="732" spans="1:13">
      <c r="A732" t="s">
        <v>120</v>
      </c>
      <c r="B732">
        <v>1998</v>
      </c>
      <c r="C732" s="16">
        <v>0.05</v>
      </c>
      <c r="D732" s="1">
        <v>825193.66</v>
      </c>
      <c r="E732" s="29">
        <f>Table15[[#This Row],[Ávöxtun]]*Table15[[#This Row],[Eignir]]/SUMIFS(Table15[Eignir],Table15[Year],Table15[[#This Row],[Year]])</f>
        <v>1.0535241333212869E-4</v>
      </c>
      <c r="F732" s="23">
        <f>IF(B732=1997, 100, IF(COUNTIF(A$1:A731,A732)=0, "NEW", F731*(1+Table15[[#This Row],[Ávöxtun]])))</f>
        <v>105</v>
      </c>
      <c r="G732" s="18" cm="1">
        <f t="array" ref="G732">IFERROR(_xlfn.IFS(ISNUMBER(Table15[[#This Row],[Column3]]),Table15[[#This Row],[Column3]],Table15[[#This Row],[Column3]]="NEW",Table15[[#This Row],[Column3]]),"")</f>
        <v>105</v>
      </c>
      <c r="H732" s="15" cm="1">
        <f t="array" ref="H732">_xlfn.IFS(Table15[[#This Row],[Column4]]="NEW",AVERAGEIFS(Table15[Column4],Table15[Year],Table15[[#This Row],[Year]]),ISNUMBER(Table15[[#This Row],[Column4]]),Table15[[#This Row],[Column4]],Table15[[#This Row],[Column4]]="",H731*(1+Table15[[#This Row],[Ávöxtun]]))</f>
        <v>105</v>
      </c>
      <c r="I732" s="30" cm="1">
        <f t="array" ref="I732">_xlfn.IFS(Table15[[#This Row],[Column4]]="NEW",_xlfn.XLOOKUP(Table15[[#This Row],[Year]]-1,$N$2:$N$27,$P$2:$P$27)*(1+Table15[[#This Row],[Ávöxtun]]),ISNUMBER(Table15[[#This Row],[Column4]]),Table15[[#This Row],[Column4]],Table15[[#This Row],[Column4]]="",I731*(1+Table15[[#This Row],[Ávöxtun]]))</f>
        <v>105</v>
      </c>
      <c r="L732" s="33">
        <v>105</v>
      </c>
      <c r="M732" s="33">
        <v>105</v>
      </c>
    </row>
    <row r="733" spans="1:13">
      <c r="A733" t="s">
        <v>120</v>
      </c>
      <c r="B733">
        <v>1999</v>
      </c>
      <c r="C733" s="16">
        <v>0.05</v>
      </c>
      <c r="D733" s="1">
        <v>963234.35</v>
      </c>
      <c r="E733" s="29">
        <f>Table15[[#This Row],[Ávöxtun]]*Table15[[#This Row],[Eignir]]/SUMIFS(Table15[Eignir],Table15[Year],Table15[[#This Row],[Year]])</f>
        <v>9.2491212137866836E-5</v>
      </c>
      <c r="F733" s="23">
        <f>IF(B733=1997, 100, IF(COUNTIF(A$1:A732,A733)=0, "NEW", F732*(1+Table15[[#This Row],[Ávöxtun]])))</f>
        <v>110.25</v>
      </c>
      <c r="G733" s="18" cm="1">
        <f t="array" ref="G733">IFERROR(_xlfn.IFS(ISNUMBER(Table15[[#This Row],[Column3]]),Table15[[#This Row],[Column3]],Table15[[#This Row],[Column3]]="NEW",Table15[[#This Row],[Column3]]),"")</f>
        <v>110.25</v>
      </c>
      <c r="H733" s="15" cm="1">
        <f t="array" ref="H733">_xlfn.IFS(Table15[[#This Row],[Column4]]="NEW",AVERAGEIFS(Table15[Column4],Table15[Year],Table15[[#This Row],[Year]]),ISNUMBER(Table15[[#This Row],[Column4]]),Table15[[#This Row],[Column4]],Table15[[#This Row],[Column4]]="",H732*(1+Table15[[#This Row],[Ávöxtun]]))</f>
        <v>110.25</v>
      </c>
      <c r="I733" s="30" cm="1">
        <f t="array" ref="I733">_xlfn.IFS(Table15[[#This Row],[Column4]]="NEW",_xlfn.XLOOKUP(Table15[[#This Row],[Year]]-1,$N$2:$N$27,$P$2:$P$27)*(1+Table15[[#This Row],[Ávöxtun]]),ISNUMBER(Table15[[#This Row],[Column4]]),Table15[[#This Row],[Column4]],Table15[[#This Row],[Column4]]="",I732*(1+Table15[[#This Row],[Ávöxtun]]))</f>
        <v>110.25</v>
      </c>
      <c r="L733" s="33">
        <v>110.25</v>
      </c>
      <c r="M733" s="33">
        <v>110.25</v>
      </c>
    </row>
    <row r="734" spans="1:13">
      <c r="A734" t="s">
        <v>121</v>
      </c>
      <c r="B734">
        <v>1997</v>
      </c>
      <c r="C734" s="16">
        <v>0.06</v>
      </c>
      <c r="D734" s="1">
        <v>3442571.01</v>
      </c>
      <c r="E734" s="29">
        <f>Table15[[#This Row],[Ávöxtun]]*Table15[[#This Row],[Eignir]]/SUMIFS(Table15[Eignir],Table15[Year],Table15[[#This Row],[Year]])</f>
        <v>6.0925905899890972E-4</v>
      </c>
      <c r="F734" s="23">
        <f>IF(B734=1997, 100, IF(COUNTIF(A$1:A733,A734)=0, "NEW", F733*(1+Table15[[#This Row],[Ávöxtun]])))</f>
        <v>100</v>
      </c>
      <c r="G734" s="18" cm="1">
        <f t="array" ref="G734">IFERROR(_xlfn.IFS(ISNUMBER(Table15[[#This Row],[Column3]]),Table15[[#This Row],[Column3]],Table15[[#This Row],[Column3]]="NEW",Table15[[#This Row],[Column3]]),"")</f>
        <v>100</v>
      </c>
      <c r="H734" s="15" cm="1">
        <f t="array" ref="H734">_xlfn.IFS(Table15[[#This Row],[Column4]]="NEW",AVERAGEIFS(Table15[Column4],Table15[Year],Table15[[#This Row],[Year]]),ISNUMBER(Table15[[#This Row],[Column4]]),Table15[[#This Row],[Column4]],Table15[[#This Row],[Column4]]="",H733*(1+Table15[[#This Row],[Ávöxtun]]))</f>
        <v>100</v>
      </c>
      <c r="I734" s="30" cm="1">
        <f t="array" ref="I734">_xlfn.IFS(Table15[[#This Row],[Column4]]="NEW",_xlfn.XLOOKUP(Table15[[#This Row],[Year]]-1,$N$2:$N$27,$P$2:$P$27)*(1+Table15[[#This Row],[Ávöxtun]]),ISNUMBER(Table15[[#This Row],[Column4]]),Table15[[#This Row],[Column4]],Table15[[#This Row],[Column4]]="",I733*(1+Table15[[#This Row],[Ávöxtun]]))</f>
        <v>100</v>
      </c>
      <c r="L734" s="33">
        <v>100</v>
      </c>
      <c r="M734" s="33">
        <v>100</v>
      </c>
    </row>
    <row r="735" spans="1:13">
      <c r="A735" t="s">
        <v>122</v>
      </c>
      <c r="B735">
        <v>1997</v>
      </c>
      <c r="C735" s="16">
        <v>7.0000000000000007E-2</v>
      </c>
      <c r="D735" s="1">
        <v>6095064.8600000003</v>
      </c>
      <c r="E735" s="29">
        <f>Table15[[#This Row],[Ávöxtun]]*Table15[[#This Row],[Eignir]]/SUMIFS(Table15[Eignir],Table15[Year],Table15[[#This Row],[Year]])</f>
        <v>1.2584738892568966E-3</v>
      </c>
      <c r="F735" s="23">
        <f>IF(B735=1997, 100, IF(COUNTIF(A$1:A734,A735)=0, "NEW", F734*(1+Table15[[#This Row],[Ávöxtun]])))</f>
        <v>100</v>
      </c>
      <c r="G735" s="18" cm="1">
        <f t="array" ref="G735">IFERROR(_xlfn.IFS(ISNUMBER(Table15[[#This Row],[Column3]]),Table15[[#This Row],[Column3]],Table15[[#This Row],[Column3]]="NEW",Table15[[#This Row],[Column3]]),"")</f>
        <v>100</v>
      </c>
      <c r="H735" s="15" cm="1">
        <f t="array" ref="H735">_xlfn.IFS(Table15[[#This Row],[Column4]]="NEW",AVERAGEIFS(Table15[Column4],Table15[Year],Table15[[#This Row],[Year]]),ISNUMBER(Table15[[#This Row],[Column4]]),Table15[[#This Row],[Column4]],Table15[[#This Row],[Column4]]="",H734*(1+Table15[[#This Row],[Ávöxtun]]))</f>
        <v>100</v>
      </c>
      <c r="I735" s="30" cm="1">
        <f t="array" ref="I735">_xlfn.IFS(Table15[[#This Row],[Column4]]="NEW",_xlfn.XLOOKUP(Table15[[#This Row],[Year]]-1,$N$2:$N$27,$P$2:$P$27)*(1+Table15[[#This Row],[Ávöxtun]]),ISNUMBER(Table15[[#This Row],[Column4]]),Table15[[#This Row],[Column4]],Table15[[#This Row],[Column4]]="",I734*(1+Table15[[#This Row],[Ávöxtun]]))</f>
        <v>100</v>
      </c>
      <c r="L735" s="33">
        <v>100</v>
      </c>
      <c r="M735" s="33">
        <v>100</v>
      </c>
    </row>
    <row r="736" spans="1:13">
      <c r="A736" t="s">
        <v>122</v>
      </c>
      <c r="B736">
        <v>1998</v>
      </c>
      <c r="C736" s="16">
        <v>0.11</v>
      </c>
      <c r="D736" s="1">
        <v>7452913.1200000001</v>
      </c>
      <c r="E736" s="29">
        <f>Table15[[#This Row],[Ávöxtun]]*Table15[[#This Row],[Eignir]]/SUMIFS(Table15[Eignir],Table15[Year],Table15[[#This Row],[Year]])</f>
        <v>2.0933283028407011E-3</v>
      </c>
      <c r="F736" s="23">
        <f>IF(B736=1997, 100, IF(COUNTIF(A$1:A735,A736)=0, "NEW", F735*(1+Table15[[#This Row],[Ávöxtun]])))</f>
        <v>111.00000000000001</v>
      </c>
      <c r="G736" s="18" cm="1">
        <f t="array" ref="G736">IFERROR(_xlfn.IFS(ISNUMBER(Table15[[#This Row],[Column3]]),Table15[[#This Row],[Column3]],Table15[[#This Row],[Column3]]="NEW",Table15[[#This Row],[Column3]]),"")</f>
        <v>111.00000000000001</v>
      </c>
      <c r="H736" s="15" cm="1">
        <f t="array" ref="H736">_xlfn.IFS(Table15[[#This Row],[Column4]]="NEW",AVERAGEIFS(Table15[Column4],Table15[Year],Table15[[#This Row],[Year]]),ISNUMBER(Table15[[#This Row],[Column4]]),Table15[[#This Row],[Column4]],Table15[[#This Row],[Column4]]="",H735*(1+Table15[[#This Row],[Ávöxtun]]))</f>
        <v>111.00000000000001</v>
      </c>
      <c r="I736" s="30" cm="1">
        <f t="array" ref="I736">_xlfn.IFS(Table15[[#This Row],[Column4]]="NEW",_xlfn.XLOOKUP(Table15[[#This Row],[Year]]-1,$N$2:$N$27,$P$2:$P$27)*(1+Table15[[#This Row],[Ávöxtun]]),ISNUMBER(Table15[[#This Row],[Column4]]),Table15[[#This Row],[Column4]],Table15[[#This Row],[Column4]]="",I735*(1+Table15[[#This Row],[Ávöxtun]]))</f>
        <v>111.00000000000001</v>
      </c>
      <c r="L736" s="33">
        <v>111.00000000000001</v>
      </c>
      <c r="M736" s="33">
        <v>111.00000000000001</v>
      </c>
    </row>
    <row r="737" spans="1:13">
      <c r="A737" t="s">
        <v>122</v>
      </c>
      <c r="B737">
        <v>1999</v>
      </c>
      <c r="C737" s="16">
        <v>0.22</v>
      </c>
      <c r="D737" s="1">
        <v>10352635.789999999</v>
      </c>
      <c r="E737" s="29">
        <f>Table15[[#This Row],[Ávöxtun]]*Table15[[#This Row],[Eignir]]/SUMIFS(Table15[Eignir],Table15[Year],Table15[[#This Row],[Year]])</f>
        <v>4.3739329534618811E-3</v>
      </c>
      <c r="F737" s="23">
        <f>IF(B737=1997, 100, IF(COUNTIF(A$1:A736,A737)=0, "NEW", F736*(1+Table15[[#This Row],[Ávöxtun]])))</f>
        <v>135.42000000000002</v>
      </c>
      <c r="G737" s="18" cm="1">
        <f t="array" ref="G737">IFERROR(_xlfn.IFS(ISNUMBER(Table15[[#This Row],[Column3]]),Table15[[#This Row],[Column3]],Table15[[#This Row],[Column3]]="NEW",Table15[[#This Row],[Column3]]),"")</f>
        <v>135.42000000000002</v>
      </c>
      <c r="H737" s="15" cm="1">
        <f t="array" ref="H737">_xlfn.IFS(Table15[[#This Row],[Column4]]="NEW",AVERAGEIFS(Table15[Column4],Table15[Year],Table15[[#This Row],[Year]]),ISNUMBER(Table15[[#This Row],[Column4]]),Table15[[#This Row],[Column4]],Table15[[#This Row],[Column4]]="",H736*(1+Table15[[#This Row],[Ávöxtun]]))</f>
        <v>135.42000000000002</v>
      </c>
      <c r="I737" s="30" cm="1">
        <f t="array" ref="I737">_xlfn.IFS(Table15[[#This Row],[Column4]]="NEW",_xlfn.XLOOKUP(Table15[[#This Row],[Year]]-1,$N$2:$N$27,$P$2:$P$27)*(1+Table15[[#This Row],[Ávöxtun]]),ISNUMBER(Table15[[#This Row],[Column4]]),Table15[[#This Row],[Column4]],Table15[[#This Row],[Column4]]="",I736*(1+Table15[[#This Row],[Ávöxtun]]))</f>
        <v>135.42000000000002</v>
      </c>
      <c r="L737" s="33">
        <v>135.42000000000002</v>
      </c>
      <c r="M737" s="33">
        <v>135.42000000000002</v>
      </c>
    </row>
    <row r="738" spans="1:13">
      <c r="A738" t="s">
        <v>122</v>
      </c>
      <c r="B738">
        <v>2000</v>
      </c>
      <c r="C738" s="16">
        <v>-0.08</v>
      </c>
      <c r="D738" s="1">
        <v>10653925.210000001</v>
      </c>
      <c r="E738" s="29">
        <f>Table15[[#This Row],[Ávöxtun]]*Table15[[#This Row],[Eignir]]/SUMIFS(Table15[Eignir],Table15[Year],Table15[[#This Row],[Year]])</f>
        <v>-1.198939869000075E-3</v>
      </c>
      <c r="F738" s="23">
        <f>IF(B738=1997, 100, IF(COUNTIF(A$1:A737,A738)=0, "NEW", F737*(1+Table15[[#This Row],[Ávöxtun]])))</f>
        <v>124.58640000000003</v>
      </c>
      <c r="G738" s="18" cm="1">
        <f t="array" ref="G738">IFERROR(_xlfn.IFS(ISNUMBER(Table15[[#This Row],[Column3]]),Table15[[#This Row],[Column3]],Table15[[#This Row],[Column3]]="NEW",Table15[[#This Row],[Column3]]),"")</f>
        <v>124.58640000000003</v>
      </c>
      <c r="H738" s="15" cm="1">
        <f t="array" ref="H738">_xlfn.IFS(Table15[[#This Row],[Column4]]="NEW",AVERAGEIFS(Table15[Column4],Table15[Year],Table15[[#This Row],[Year]]),ISNUMBER(Table15[[#This Row],[Column4]]),Table15[[#This Row],[Column4]],Table15[[#This Row],[Column4]]="",H737*(1+Table15[[#This Row],[Ávöxtun]]))</f>
        <v>124.58640000000003</v>
      </c>
      <c r="I738" s="30" cm="1">
        <f t="array" ref="I738">_xlfn.IFS(Table15[[#This Row],[Column4]]="NEW",_xlfn.XLOOKUP(Table15[[#This Row],[Year]]-1,$N$2:$N$27,$P$2:$P$27)*(1+Table15[[#This Row],[Ávöxtun]]),ISNUMBER(Table15[[#This Row],[Column4]]),Table15[[#This Row],[Column4]],Table15[[#This Row],[Column4]]="",I737*(1+Table15[[#This Row],[Ávöxtun]]))</f>
        <v>124.58640000000003</v>
      </c>
      <c r="L738" s="33">
        <v>124.58640000000003</v>
      </c>
      <c r="M738" s="33">
        <v>124.58640000000003</v>
      </c>
    </row>
    <row r="739" spans="1:13">
      <c r="A739" t="s">
        <v>122</v>
      </c>
      <c r="B739">
        <v>2001</v>
      </c>
      <c r="C739" s="16">
        <v>-0.1</v>
      </c>
      <c r="D739" s="1">
        <v>23781169</v>
      </c>
      <c r="E739" s="29">
        <f>Table15[[#This Row],[Ávöxtun]]*Table15[[#This Row],[Eignir]]/SUMIFS(Table15[Eignir],Table15[Year],Table15[[#This Row],[Year]])</f>
        <v>-2.0537910070055464E-3</v>
      </c>
      <c r="F739" s="23">
        <f>IF(B739=1997, 100, IF(COUNTIF(A$1:A738,A739)=0, "NEW", F738*(1+Table15[[#This Row],[Ávöxtun]])))</f>
        <v>112.12776000000002</v>
      </c>
      <c r="G739" s="18" cm="1">
        <f t="array" ref="G739">IFERROR(_xlfn.IFS(ISNUMBER(Table15[[#This Row],[Column3]]),Table15[[#This Row],[Column3]],Table15[[#This Row],[Column3]]="NEW",Table15[[#This Row],[Column3]]),"")</f>
        <v>112.12776000000002</v>
      </c>
      <c r="H739" s="15" cm="1">
        <f t="array" ref="H739">_xlfn.IFS(Table15[[#This Row],[Column4]]="NEW",AVERAGEIFS(Table15[Column4],Table15[Year],Table15[[#This Row],[Year]]),ISNUMBER(Table15[[#This Row],[Column4]]),Table15[[#This Row],[Column4]],Table15[[#This Row],[Column4]]="",H738*(1+Table15[[#This Row],[Ávöxtun]]))</f>
        <v>112.12776000000002</v>
      </c>
      <c r="I739" s="30" cm="1">
        <f t="array" ref="I739">_xlfn.IFS(Table15[[#This Row],[Column4]]="NEW",_xlfn.XLOOKUP(Table15[[#This Row],[Year]]-1,$N$2:$N$27,$P$2:$P$27)*(1+Table15[[#This Row],[Ávöxtun]]),ISNUMBER(Table15[[#This Row],[Column4]]),Table15[[#This Row],[Column4]],Table15[[#This Row],[Column4]]="",I738*(1+Table15[[#This Row],[Ávöxtun]]))</f>
        <v>112.12776000000002</v>
      </c>
      <c r="L739" s="33">
        <v>112.12776000000002</v>
      </c>
      <c r="M739" s="33">
        <v>112.12776000000002</v>
      </c>
    </row>
    <row r="740" spans="1:13">
      <c r="A740" t="s">
        <v>122</v>
      </c>
      <c r="B740">
        <v>2002</v>
      </c>
      <c r="C740" s="16">
        <v>-0.11</v>
      </c>
      <c r="D740" s="1">
        <v>11655680.23</v>
      </c>
      <c r="E740" s="29">
        <f>Table15[[#This Row],[Ávöxtun]]*Table15[[#This Row],[Eignir]]/SUMIFS(Table15[Eignir],Table15[Year],Table15[[#This Row],[Year]])</f>
        <v>-2.0185723871865621E-3</v>
      </c>
      <c r="F740" s="23">
        <f>IF(B740=1997, 100, IF(COUNTIF(A$1:A739,A740)=0, "NEW", F739*(1+Table15[[#This Row],[Ávöxtun]])))</f>
        <v>99.793706400000019</v>
      </c>
      <c r="G740" s="18" cm="1">
        <f t="array" ref="G740">IFERROR(_xlfn.IFS(ISNUMBER(Table15[[#This Row],[Column3]]),Table15[[#This Row],[Column3]],Table15[[#This Row],[Column3]]="NEW",Table15[[#This Row],[Column3]]),"")</f>
        <v>99.793706400000019</v>
      </c>
      <c r="H740" s="15" cm="1">
        <f t="array" ref="H740">_xlfn.IFS(Table15[[#This Row],[Column4]]="NEW",AVERAGEIFS(Table15[Column4],Table15[Year],Table15[[#This Row],[Year]]),ISNUMBER(Table15[[#This Row],[Column4]]),Table15[[#This Row],[Column4]],Table15[[#This Row],[Column4]]="",H739*(1+Table15[[#This Row],[Ávöxtun]]))</f>
        <v>99.793706400000019</v>
      </c>
      <c r="I740" s="30" cm="1">
        <f t="array" ref="I740">_xlfn.IFS(Table15[[#This Row],[Column4]]="NEW",_xlfn.XLOOKUP(Table15[[#This Row],[Year]]-1,$N$2:$N$27,$P$2:$P$27)*(1+Table15[[#This Row],[Ávöxtun]]),ISNUMBER(Table15[[#This Row],[Column4]]),Table15[[#This Row],[Column4]],Table15[[#This Row],[Column4]]="",I739*(1+Table15[[#This Row],[Ávöxtun]]))</f>
        <v>99.793706400000019</v>
      </c>
      <c r="L740" s="33">
        <v>99.793706400000019</v>
      </c>
      <c r="M740" s="33">
        <v>99.793706400000019</v>
      </c>
    </row>
    <row r="741" spans="1:13">
      <c r="A741" t="s">
        <v>122</v>
      </c>
      <c r="B741">
        <v>2003</v>
      </c>
      <c r="C741" s="16">
        <v>0.1</v>
      </c>
      <c r="D741" s="1">
        <v>14195768</v>
      </c>
      <c r="E741" s="29">
        <f>Table15[[#This Row],[Ávöxtun]]*Table15[[#This Row],[Eignir]]/SUMIFS(Table15[Eignir],Table15[Year],Table15[[#This Row],[Year]])</f>
        <v>1.8681311692480174E-3</v>
      </c>
      <c r="F741" s="23">
        <f>IF(B741=1997, 100, IF(COUNTIF(A$1:A740,A741)=0, "NEW", F740*(1+Table15[[#This Row],[Ávöxtun]])))</f>
        <v>109.77307704000003</v>
      </c>
      <c r="G741" s="18" cm="1">
        <f t="array" ref="G741">IFERROR(_xlfn.IFS(ISNUMBER(Table15[[#This Row],[Column3]]),Table15[[#This Row],[Column3]],Table15[[#This Row],[Column3]]="NEW",Table15[[#This Row],[Column3]]),"")</f>
        <v>109.77307704000003</v>
      </c>
      <c r="H741" s="15" cm="1">
        <f t="array" ref="H741">_xlfn.IFS(Table15[[#This Row],[Column4]]="NEW",AVERAGEIFS(Table15[Column4],Table15[Year],Table15[[#This Row],[Year]]),ISNUMBER(Table15[[#This Row],[Column4]]),Table15[[#This Row],[Column4]],Table15[[#This Row],[Column4]]="",H740*(1+Table15[[#This Row],[Ávöxtun]]))</f>
        <v>109.77307704000003</v>
      </c>
      <c r="I741" s="30" cm="1">
        <f t="array" ref="I741">_xlfn.IFS(Table15[[#This Row],[Column4]]="NEW",_xlfn.XLOOKUP(Table15[[#This Row],[Year]]-1,$N$2:$N$27,$P$2:$P$27)*(1+Table15[[#This Row],[Ávöxtun]]),ISNUMBER(Table15[[#This Row],[Column4]]),Table15[[#This Row],[Column4]],Table15[[#This Row],[Column4]]="",I740*(1+Table15[[#This Row],[Ávöxtun]]))</f>
        <v>109.77307704000003</v>
      </c>
      <c r="L741" s="33">
        <v>109.77307704000003</v>
      </c>
      <c r="M741" s="33">
        <v>109.77307704000003</v>
      </c>
    </row>
    <row r="742" spans="1:13">
      <c r="A742" t="s">
        <v>122</v>
      </c>
      <c r="B742">
        <v>2004</v>
      </c>
      <c r="C742" s="16">
        <v>0.06</v>
      </c>
      <c r="D742" s="1">
        <v>16811540</v>
      </c>
      <c r="E742" s="29">
        <f>Table15[[#This Row],[Ávöxtun]]*Table15[[#This Row],[Eignir]]/SUMIFS(Table15[Eignir],Table15[Year],Table15[[#This Row],[Year]])</f>
        <v>1.1112980792804933E-3</v>
      </c>
      <c r="F742" s="23">
        <f>IF(B742=1997, 100, IF(COUNTIF(A$1:A741,A742)=0, "NEW", F741*(1+Table15[[#This Row],[Ávöxtun]])))</f>
        <v>116.35946166240004</v>
      </c>
      <c r="G742" s="18" cm="1">
        <f t="array" ref="G742">IFERROR(_xlfn.IFS(ISNUMBER(Table15[[#This Row],[Column3]]),Table15[[#This Row],[Column3]],Table15[[#This Row],[Column3]]="NEW",Table15[[#This Row],[Column3]]),"")</f>
        <v>116.35946166240004</v>
      </c>
      <c r="H742" s="15" cm="1">
        <f t="array" ref="H742">_xlfn.IFS(Table15[[#This Row],[Column4]]="NEW",AVERAGEIFS(Table15[Column4],Table15[Year],Table15[[#This Row],[Year]]),ISNUMBER(Table15[[#This Row],[Column4]]),Table15[[#This Row],[Column4]],Table15[[#This Row],[Column4]]="",H741*(1+Table15[[#This Row],[Ávöxtun]]))</f>
        <v>116.35946166240004</v>
      </c>
      <c r="I742" s="30" cm="1">
        <f t="array" ref="I742">_xlfn.IFS(Table15[[#This Row],[Column4]]="NEW",_xlfn.XLOOKUP(Table15[[#This Row],[Year]]-1,$N$2:$N$27,$P$2:$P$27)*(1+Table15[[#This Row],[Ávöxtun]]),ISNUMBER(Table15[[#This Row],[Column4]]),Table15[[#This Row],[Column4]],Table15[[#This Row],[Column4]]="",I741*(1+Table15[[#This Row],[Ávöxtun]]))</f>
        <v>116.35946166240004</v>
      </c>
      <c r="L742" s="33">
        <v>116.35946166240004</v>
      </c>
      <c r="M742" s="33">
        <v>116.35946166240004</v>
      </c>
    </row>
    <row r="743" spans="1:13">
      <c r="A743" t="s">
        <v>122</v>
      </c>
      <c r="B743">
        <v>2005</v>
      </c>
      <c r="C743" s="16">
        <v>0.11</v>
      </c>
      <c r="D743" s="1">
        <v>20678257</v>
      </c>
      <c r="E743" s="29">
        <f>Table15[[#This Row],[Ávöxtun]]*Table15[[#This Row],[Eignir]]/SUMIFS(Table15[Eignir],Table15[Year],Table15[[#This Row],[Year]])</f>
        <v>2.0284774041151267E-3</v>
      </c>
      <c r="F743" s="23">
        <f>IF(B743=1997, 100, IF(COUNTIF(A$1:A742,A743)=0, "NEW", F742*(1+Table15[[#This Row],[Ávöxtun]])))</f>
        <v>129.15900244526406</v>
      </c>
      <c r="G743" s="18" cm="1">
        <f t="array" ref="G743">IFERROR(_xlfn.IFS(ISNUMBER(Table15[[#This Row],[Column3]]),Table15[[#This Row],[Column3]],Table15[[#This Row],[Column3]]="NEW",Table15[[#This Row],[Column3]]),"")</f>
        <v>129.15900244526406</v>
      </c>
      <c r="H743" s="15" cm="1">
        <f t="array" ref="H743">_xlfn.IFS(Table15[[#This Row],[Column4]]="NEW",AVERAGEIFS(Table15[Column4],Table15[Year],Table15[[#This Row],[Year]]),ISNUMBER(Table15[[#This Row],[Column4]]),Table15[[#This Row],[Column4]],Table15[[#This Row],[Column4]]="",H742*(1+Table15[[#This Row],[Ávöxtun]]))</f>
        <v>129.15900244526406</v>
      </c>
      <c r="I743" s="30" cm="1">
        <f t="array" ref="I743">_xlfn.IFS(Table15[[#This Row],[Column4]]="NEW",_xlfn.XLOOKUP(Table15[[#This Row],[Year]]-1,$N$2:$N$27,$P$2:$P$27)*(1+Table15[[#This Row],[Ávöxtun]]),ISNUMBER(Table15[[#This Row],[Column4]]),Table15[[#This Row],[Column4]],Table15[[#This Row],[Column4]]="",I742*(1+Table15[[#This Row],[Ávöxtun]]))</f>
        <v>129.15900244526406</v>
      </c>
      <c r="L743" s="33">
        <v>129.15900244526406</v>
      </c>
      <c r="M743" s="33">
        <v>129.15900244526406</v>
      </c>
    </row>
    <row r="744" spans="1:13">
      <c r="A744" t="s">
        <v>122</v>
      </c>
      <c r="B744">
        <v>2006</v>
      </c>
      <c r="C744" s="16">
        <v>9.6199999999999994E-2</v>
      </c>
      <c r="D744" s="1">
        <v>25794255</v>
      </c>
      <c r="E744" s="29">
        <f>Table15[[#This Row],[Ávöxtun]]*Table15[[#This Row],[Eignir]]/SUMIFS(Table15[Eignir],Table15[Year],Table15[[#This Row],[Year]])</f>
        <v>1.8077157186238112E-3</v>
      </c>
      <c r="F744" s="23">
        <f>IF(B744=1997, 100, IF(COUNTIF(A$1:A743,A744)=0, "NEW", F743*(1+Table15[[#This Row],[Ávöxtun]])))</f>
        <v>141.58409848049848</v>
      </c>
      <c r="G744" s="18" cm="1">
        <f t="array" ref="G744">IFERROR(_xlfn.IFS(ISNUMBER(Table15[[#This Row],[Column3]]),Table15[[#This Row],[Column3]],Table15[[#This Row],[Column3]]="NEW",Table15[[#This Row],[Column3]]),"")</f>
        <v>141.58409848049848</v>
      </c>
      <c r="H744" s="15" cm="1">
        <f t="array" ref="H744">_xlfn.IFS(Table15[[#This Row],[Column4]]="NEW",AVERAGEIFS(Table15[Column4],Table15[Year],Table15[[#This Row],[Year]]),ISNUMBER(Table15[[#This Row],[Column4]]),Table15[[#This Row],[Column4]],Table15[[#This Row],[Column4]]="",H743*(1+Table15[[#This Row],[Ávöxtun]]))</f>
        <v>141.58409848049848</v>
      </c>
      <c r="I744" s="30" cm="1">
        <f t="array" ref="I744">_xlfn.IFS(Table15[[#This Row],[Column4]]="NEW",_xlfn.XLOOKUP(Table15[[#This Row],[Year]]-1,$N$2:$N$27,$P$2:$P$27)*(1+Table15[[#This Row],[Ávöxtun]]),ISNUMBER(Table15[[#This Row],[Column4]]),Table15[[#This Row],[Column4]],Table15[[#This Row],[Column4]]="",I743*(1+Table15[[#This Row],[Ávöxtun]]))</f>
        <v>141.58409848049848</v>
      </c>
      <c r="L744" s="33">
        <v>141.58409848049848</v>
      </c>
      <c r="M744" s="33">
        <v>141.58409848049848</v>
      </c>
    </row>
    <row r="745" spans="1:13">
      <c r="A745" t="s">
        <v>122</v>
      </c>
      <c r="B745">
        <v>2007</v>
      </c>
      <c r="C745" s="16">
        <v>-7.3000000000000001E-3</v>
      </c>
      <c r="D745" s="1">
        <v>28665140</v>
      </c>
      <c r="E745" s="29">
        <f>Table15[[#This Row],[Ávöxtun]]*Table15[[#This Row],[Eignir]]/SUMIFS(Table15[Eignir],Table15[Year],Table15[[#This Row],[Year]])</f>
        <v>-1.353171488986403E-4</v>
      </c>
      <c r="F745" s="23">
        <f>IF(B745=1997, 100, IF(COUNTIF(A$1:A744,A745)=0, "NEW", F744*(1+Table15[[#This Row],[Ávöxtun]])))</f>
        <v>140.55053456159084</v>
      </c>
      <c r="G745" s="18" cm="1">
        <f t="array" ref="G745">IFERROR(_xlfn.IFS(ISNUMBER(Table15[[#This Row],[Column3]]),Table15[[#This Row],[Column3]],Table15[[#This Row],[Column3]]="NEW",Table15[[#This Row],[Column3]]),"")</f>
        <v>140.55053456159084</v>
      </c>
      <c r="H745" s="15" cm="1">
        <f t="array" ref="H745">_xlfn.IFS(Table15[[#This Row],[Column4]]="NEW",AVERAGEIFS(Table15[Column4],Table15[Year],Table15[[#This Row],[Year]]),ISNUMBER(Table15[[#This Row],[Column4]]),Table15[[#This Row],[Column4]],Table15[[#This Row],[Column4]]="",H744*(1+Table15[[#This Row],[Ávöxtun]]))</f>
        <v>140.55053456159084</v>
      </c>
      <c r="I745" s="30" cm="1">
        <f t="array" ref="I745">_xlfn.IFS(Table15[[#This Row],[Column4]]="NEW",_xlfn.XLOOKUP(Table15[[#This Row],[Year]]-1,$N$2:$N$27,$P$2:$P$27)*(1+Table15[[#This Row],[Ávöxtun]]),ISNUMBER(Table15[[#This Row],[Column4]]),Table15[[#This Row],[Column4]],Table15[[#This Row],[Column4]]="",I744*(1+Table15[[#This Row],[Ávöxtun]]))</f>
        <v>140.55053456159084</v>
      </c>
      <c r="L745" s="33">
        <v>140.55053456159084</v>
      </c>
      <c r="M745" s="33">
        <v>140.55053456159084</v>
      </c>
    </row>
    <row r="746" spans="1:13">
      <c r="A746" t="s">
        <v>122</v>
      </c>
      <c r="B746">
        <v>2008</v>
      </c>
      <c r="C746" s="16">
        <v>-0.31409999999999999</v>
      </c>
      <c r="D746" s="1">
        <v>24599372</v>
      </c>
      <c r="E746" s="29">
        <f>Table15[[#This Row],[Ávöxtun]]*Table15[[#This Row],[Eignir]]/SUMIFS(Table15[Eignir],Table15[Year],Table15[[#This Row],[Year]])</f>
        <v>-5.1603355138406673E-3</v>
      </c>
      <c r="F746" s="23">
        <f>IF(B746=1997, 100, IF(COUNTIF(A$1:A745,A746)=0, "NEW", F745*(1+Table15[[#This Row],[Ávöxtun]])))</f>
        <v>96.403611655795146</v>
      </c>
      <c r="G746" s="18" cm="1">
        <f t="array" ref="G746">IFERROR(_xlfn.IFS(ISNUMBER(Table15[[#This Row],[Column3]]),Table15[[#This Row],[Column3]],Table15[[#This Row],[Column3]]="NEW",Table15[[#This Row],[Column3]]),"")</f>
        <v>96.403611655795146</v>
      </c>
      <c r="H746" s="15" cm="1">
        <f t="array" ref="H746">_xlfn.IFS(Table15[[#This Row],[Column4]]="NEW",AVERAGEIFS(Table15[Column4],Table15[Year],Table15[[#This Row],[Year]]),ISNUMBER(Table15[[#This Row],[Column4]]),Table15[[#This Row],[Column4]],Table15[[#This Row],[Column4]]="",H745*(1+Table15[[#This Row],[Ávöxtun]]))</f>
        <v>96.403611655795146</v>
      </c>
      <c r="I746" s="30" cm="1">
        <f t="array" ref="I746">_xlfn.IFS(Table15[[#This Row],[Column4]]="NEW",_xlfn.XLOOKUP(Table15[[#This Row],[Year]]-1,$N$2:$N$27,$P$2:$P$27)*(1+Table15[[#This Row],[Ávöxtun]]),ISNUMBER(Table15[[#This Row],[Column4]]),Table15[[#This Row],[Column4]],Table15[[#This Row],[Column4]]="",I745*(1+Table15[[#This Row],[Ávöxtun]]))</f>
        <v>96.403611655795146</v>
      </c>
      <c r="L746" s="33">
        <v>96.403611655795146</v>
      </c>
      <c r="M746" s="33">
        <v>96.403611655795146</v>
      </c>
    </row>
    <row r="747" spans="1:13">
      <c r="A747" t="s">
        <v>122</v>
      </c>
      <c r="B747">
        <v>2009</v>
      </c>
      <c r="C747" s="16">
        <v>-4.0000000000000001E-3</v>
      </c>
      <c r="D747" s="1">
        <v>29080106</v>
      </c>
      <c r="E747" s="29">
        <f>Table15[[#This Row],[Ávöxtun]]*Table15[[#This Row],[Eignir]]/SUMIFS(Table15[Eignir],Table15[Year],Table15[[#This Row],[Year]])</f>
        <v>-6.9725665399439081E-5</v>
      </c>
      <c r="F747" s="23">
        <f>IF(B747=1997, 100, IF(COUNTIF(A$1:A746,A747)=0, "NEW", F746*(1+Table15[[#This Row],[Ávöxtun]])))</f>
        <v>96.017997209171966</v>
      </c>
      <c r="G747" s="18" cm="1">
        <f t="array" ref="G747">IFERROR(_xlfn.IFS(ISNUMBER(Table15[[#This Row],[Column3]]),Table15[[#This Row],[Column3]],Table15[[#This Row],[Column3]]="NEW",Table15[[#This Row],[Column3]]),"")</f>
        <v>96.017997209171966</v>
      </c>
      <c r="H747" s="15" cm="1">
        <f t="array" ref="H747">_xlfn.IFS(Table15[[#This Row],[Column4]]="NEW",AVERAGEIFS(Table15[Column4],Table15[Year],Table15[[#This Row],[Year]]),ISNUMBER(Table15[[#This Row],[Column4]]),Table15[[#This Row],[Column4]],Table15[[#This Row],[Column4]]="",H746*(1+Table15[[#This Row],[Ávöxtun]]))</f>
        <v>96.017997209171966</v>
      </c>
      <c r="I747" s="30" cm="1">
        <f t="array" ref="I747">_xlfn.IFS(Table15[[#This Row],[Column4]]="NEW",_xlfn.XLOOKUP(Table15[[#This Row],[Year]]-1,$N$2:$N$27,$P$2:$P$27)*(1+Table15[[#This Row],[Ávöxtun]]),ISNUMBER(Table15[[#This Row],[Column4]]),Table15[[#This Row],[Column4]],Table15[[#This Row],[Column4]]="",I746*(1+Table15[[#This Row],[Ávöxtun]]))</f>
        <v>96.017997209171966</v>
      </c>
      <c r="L747" s="33">
        <v>96.017997209171966</v>
      </c>
      <c r="M747" s="33">
        <v>96.017997209171966</v>
      </c>
    </row>
    <row r="748" spans="1:13">
      <c r="A748" t="s">
        <v>122</v>
      </c>
      <c r="B748">
        <v>2010</v>
      </c>
      <c r="C748" s="16">
        <v>-2.3900000000000001E-2</v>
      </c>
      <c r="D748" s="1">
        <v>30805708</v>
      </c>
      <c r="E748" s="29">
        <f>Table15[[#This Row],[Ávöxtun]]*Table15[[#This Row],[Eignir]]/SUMIFS(Table15[Eignir],Table15[Year],Table15[[#This Row],[Year]])</f>
        <v>-4.1182568326938627E-4</v>
      </c>
      <c r="F748" s="23">
        <f>IF(B748=1997, 100, IF(COUNTIF(A$1:A747,A748)=0, "NEW", F747*(1+Table15[[#This Row],[Ávöxtun]])))</f>
        <v>93.723167075872752</v>
      </c>
      <c r="G748" s="18" cm="1">
        <f t="array" ref="G748">IFERROR(_xlfn.IFS(ISNUMBER(Table15[[#This Row],[Column3]]),Table15[[#This Row],[Column3]],Table15[[#This Row],[Column3]]="NEW",Table15[[#This Row],[Column3]]),"")</f>
        <v>93.723167075872752</v>
      </c>
      <c r="H748" s="15" cm="1">
        <f t="array" ref="H748">_xlfn.IFS(Table15[[#This Row],[Column4]]="NEW",AVERAGEIFS(Table15[Column4],Table15[Year],Table15[[#This Row],[Year]]),ISNUMBER(Table15[[#This Row],[Column4]]),Table15[[#This Row],[Column4]],Table15[[#This Row],[Column4]]="",H747*(1+Table15[[#This Row],[Ávöxtun]]))</f>
        <v>93.723167075872752</v>
      </c>
      <c r="I748" s="30" cm="1">
        <f t="array" ref="I748">_xlfn.IFS(Table15[[#This Row],[Column4]]="NEW",_xlfn.XLOOKUP(Table15[[#This Row],[Year]]-1,$N$2:$N$27,$P$2:$P$27)*(1+Table15[[#This Row],[Ávöxtun]]),ISNUMBER(Table15[[#This Row],[Column4]]),Table15[[#This Row],[Column4]],Table15[[#This Row],[Column4]]="",I747*(1+Table15[[#This Row],[Ávöxtun]]))</f>
        <v>93.723167075872752</v>
      </c>
      <c r="L748" s="33">
        <v>93.723167075872752</v>
      </c>
      <c r="M748" s="33">
        <v>93.723167075872752</v>
      </c>
    </row>
    <row r="749" spans="1:13">
      <c r="A749" t="s">
        <v>122</v>
      </c>
      <c r="B749">
        <v>2011</v>
      </c>
      <c r="C749" s="16">
        <v>9.0000000000000011E-3</v>
      </c>
      <c r="D749" s="1">
        <v>33813827</v>
      </c>
      <c r="E749" s="29">
        <f>Table15[[#This Row],[Ávöxtun]]*Table15[[#This Row],[Eignir]]/SUMIFS(Table15[Eignir],Table15[Year],Table15[[#This Row],[Year]])</f>
        <v>1.560191044080671E-4</v>
      </c>
      <c r="F749" s="23">
        <f>IF(B749=1997, 100, IF(COUNTIF(A$1:A748,A749)=0, "NEW", F748*(1+Table15[[#This Row],[Ávöxtun]])))</f>
        <v>94.566675579555593</v>
      </c>
      <c r="G749" s="18" cm="1">
        <f t="array" ref="G749">IFERROR(_xlfn.IFS(ISNUMBER(Table15[[#This Row],[Column3]]),Table15[[#This Row],[Column3]],Table15[[#This Row],[Column3]]="NEW",Table15[[#This Row],[Column3]]),"")</f>
        <v>94.566675579555593</v>
      </c>
      <c r="H749" s="15" cm="1">
        <f t="array" ref="H749">_xlfn.IFS(Table15[[#This Row],[Column4]]="NEW",AVERAGEIFS(Table15[Column4],Table15[Year],Table15[[#This Row],[Year]]),ISNUMBER(Table15[[#This Row],[Column4]]),Table15[[#This Row],[Column4]],Table15[[#This Row],[Column4]]="",H748*(1+Table15[[#This Row],[Ávöxtun]]))</f>
        <v>94.566675579555593</v>
      </c>
      <c r="I749" s="30" cm="1">
        <f t="array" ref="I749">_xlfn.IFS(Table15[[#This Row],[Column4]]="NEW",_xlfn.XLOOKUP(Table15[[#This Row],[Year]]-1,$N$2:$N$27,$P$2:$P$27)*(1+Table15[[#This Row],[Ávöxtun]]),ISNUMBER(Table15[[#This Row],[Column4]]),Table15[[#This Row],[Column4]],Table15[[#This Row],[Column4]]="",I748*(1+Table15[[#This Row],[Ávöxtun]]))</f>
        <v>94.566675579555593</v>
      </c>
      <c r="L749" s="33">
        <v>94.566675579555593</v>
      </c>
      <c r="M749" s="33">
        <v>94.566675579555593</v>
      </c>
    </row>
    <row r="750" spans="1:13">
      <c r="A750" t="s">
        <v>122</v>
      </c>
      <c r="B750">
        <v>2012</v>
      </c>
      <c r="C750" s="16">
        <v>5.5E-2</v>
      </c>
      <c r="D750" s="1">
        <v>39163120</v>
      </c>
      <c r="E750" s="29">
        <f>Table15[[#This Row],[Ávöxtun]]*Table15[[#This Row],[Eignir]]/SUMIFS(Table15[Eignir],Table15[Year],Table15[[#This Row],[Year]])</f>
        <v>9.7781439490282705E-4</v>
      </c>
      <c r="F750" s="23">
        <f>IF(B750=1997, 100, IF(COUNTIF(A$1:A749,A750)=0, "NEW", F749*(1+Table15[[#This Row],[Ávöxtun]])))</f>
        <v>99.767842736431149</v>
      </c>
      <c r="G750" s="18" cm="1">
        <f t="array" ref="G750">IFERROR(_xlfn.IFS(ISNUMBER(Table15[[#This Row],[Column3]]),Table15[[#This Row],[Column3]],Table15[[#This Row],[Column3]]="NEW",Table15[[#This Row],[Column3]]),"")</f>
        <v>99.767842736431149</v>
      </c>
      <c r="H750" s="15" cm="1">
        <f t="array" ref="H750">_xlfn.IFS(Table15[[#This Row],[Column4]]="NEW",AVERAGEIFS(Table15[Column4],Table15[Year],Table15[[#This Row],[Year]]),ISNUMBER(Table15[[#This Row],[Column4]]),Table15[[#This Row],[Column4]],Table15[[#This Row],[Column4]]="",H749*(1+Table15[[#This Row],[Ávöxtun]]))</f>
        <v>99.767842736431149</v>
      </c>
      <c r="I750" s="30" cm="1">
        <f t="array" ref="I750">_xlfn.IFS(Table15[[#This Row],[Column4]]="NEW",_xlfn.XLOOKUP(Table15[[#This Row],[Year]]-1,$N$2:$N$27,$P$2:$P$27)*(1+Table15[[#This Row],[Ávöxtun]]),ISNUMBER(Table15[[#This Row],[Column4]]),Table15[[#This Row],[Column4]],Table15[[#This Row],[Column4]]="",I749*(1+Table15[[#This Row],[Ávöxtun]]))</f>
        <v>99.767842736431149</v>
      </c>
      <c r="L750" s="33">
        <v>99.767842736431149</v>
      </c>
      <c r="M750" s="33">
        <v>99.767842736431149</v>
      </c>
    </row>
    <row r="751" spans="1:13">
      <c r="A751" t="s">
        <v>122</v>
      </c>
      <c r="B751">
        <v>2013</v>
      </c>
      <c r="C751" s="16">
        <v>4.5999999999999999E-2</v>
      </c>
      <c r="D751" s="1">
        <v>44634884</v>
      </c>
      <c r="E751" s="29">
        <f>Table15[[#This Row],[Ávöxtun]]*Table15[[#This Row],[Eignir]]/SUMIFS(Table15[Eignir],Table15[Year],Table15[[#This Row],[Year]])</f>
        <v>8.4369737541004259E-4</v>
      </c>
      <c r="F751" s="23">
        <f>IF(B751=1997, 100, IF(COUNTIF(A$1:A750,A751)=0, "NEW", F750*(1+Table15[[#This Row],[Ávöxtun]])))</f>
        <v>104.35716350230699</v>
      </c>
      <c r="G751" s="18" cm="1">
        <f t="array" ref="G751">IFERROR(_xlfn.IFS(ISNUMBER(Table15[[#This Row],[Column3]]),Table15[[#This Row],[Column3]],Table15[[#This Row],[Column3]]="NEW",Table15[[#This Row],[Column3]]),"")</f>
        <v>104.35716350230699</v>
      </c>
      <c r="H751" s="15" cm="1">
        <f t="array" ref="H751">_xlfn.IFS(Table15[[#This Row],[Column4]]="NEW",AVERAGEIFS(Table15[Column4],Table15[Year],Table15[[#This Row],[Year]]),ISNUMBER(Table15[[#This Row],[Column4]]),Table15[[#This Row],[Column4]],Table15[[#This Row],[Column4]]="",H750*(1+Table15[[#This Row],[Ávöxtun]]))</f>
        <v>104.35716350230699</v>
      </c>
      <c r="I751" s="30" cm="1">
        <f t="array" ref="I751">_xlfn.IFS(Table15[[#This Row],[Column4]]="NEW",_xlfn.XLOOKUP(Table15[[#This Row],[Year]]-1,$N$2:$N$27,$P$2:$P$27)*(1+Table15[[#This Row],[Ávöxtun]]),ISNUMBER(Table15[[#This Row],[Column4]]),Table15[[#This Row],[Column4]],Table15[[#This Row],[Column4]]="",I750*(1+Table15[[#This Row],[Ávöxtun]]))</f>
        <v>104.35716350230699</v>
      </c>
      <c r="L751" s="33">
        <v>104.35716350230699</v>
      </c>
      <c r="M751" s="33">
        <v>104.35716350230699</v>
      </c>
    </row>
    <row r="752" spans="1:13">
      <c r="A752" t="s">
        <v>123</v>
      </c>
      <c r="B752">
        <v>1997</v>
      </c>
      <c r="C752" s="16">
        <v>0.1</v>
      </c>
      <c r="D752" s="1">
        <v>53487624.140000001</v>
      </c>
      <c r="E752" s="29">
        <f>Table15[[#This Row],[Ávöxtun]]*Table15[[#This Row],[Eignir]]/SUMIFS(Table15[Eignir],Table15[Year],Table15[[#This Row],[Year]])</f>
        <v>1.5776880833618483E-2</v>
      </c>
      <c r="F752" s="23">
        <f>IF(B752=1997, 100, IF(COUNTIF(A$1:A751,A752)=0, "NEW", F751*(1+Table15[[#This Row],[Ávöxtun]])))</f>
        <v>100</v>
      </c>
      <c r="G752" s="18" cm="1">
        <f t="array" ref="G752">IFERROR(_xlfn.IFS(ISNUMBER(Table15[[#This Row],[Column3]]),Table15[[#This Row],[Column3]],Table15[[#This Row],[Column3]]="NEW",Table15[[#This Row],[Column3]]),"")</f>
        <v>100</v>
      </c>
      <c r="H752" s="15" cm="1">
        <f t="array" ref="H752">_xlfn.IFS(Table15[[#This Row],[Column4]]="NEW",AVERAGEIFS(Table15[Column4],Table15[Year],Table15[[#This Row],[Year]]),ISNUMBER(Table15[[#This Row],[Column4]]),Table15[[#This Row],[Column4]],Table15[[#This Row],[Column4]]="",H751*(1+Table15[[#This Row],[Ávöxtun]]))</f>
        <v>100</v>
      </c>
      <c r="I752" s="30" cm="1">
        <f t="array" ref="I752">_xlfn.IFS(Table15[[#This Row],[Column4]]="NEW",_xlfn.XLOOKUP(Table15[[#This Row],[Year]]-1,$N$2:$N$27,$P$2:$P$27)*(1+Table15[[#This Row],[Ávöxtun]]),ISNUMBER(Table15[[#This Row],[Column4]]),Table15[[#This Row],[Column4]],Table15[[#This Row],[Column4]]="",I751*(1+Table15[[#This Row],[Ávöxtun]]))</f>
        <v>100</v>
      </c>
      <c r="L752" s="33">
        <v>100</v>
      </c>
      <c r="M752" s="33">
        <v>100</v>
      </c>
    </row>
    <row r="753" spans="1:13">
      <c r="A753" t="s">
        <v>123</v>
      </c>
      <c r="B753">
        <v>1998</v>
      </c>
      <c r="C753" s="16">
        <v>0.08</v>
      </c>
      <c r="D753" s="1">
        <v>60934619.640000001</v>
      </c>
      <c r="E753" s="29">
        <f>Table15[[#This Row],[Ávöxtun]]*Table15[[#This Row],[Eignir]]/SUMIFS(Table15[Eignir],Table15[Year],Table15[[#This Row],[Year]])</f>
        <v>1.2447229387679641E-2</v>
      </c>
      <c r="F753" s="23">
        <f>IF(B753=1997, 100, IF(COUNTIF(A$1:A752,A753)=0, "NEW", F752*(1+Table15[[#This Row],[Ávöxtun]])))</f>
        <v>108</v>
      </c>
      <c r="G753" s="18" cm="1">
        <f t="array" ref="G753">IFERROR(_xlfn.IFS(ISNUMBER(Table15[[#This Row],[Column3]]),Table15[[#This Row],[Column3]],Table15[[#This Row],[Column3]]="NEW",Table15[[#This Row],[Column3]]),"")</f>
        <v>108</v>
      </c>
      <c r="H753" s="15" cm="1">
        <f t="array" ref="H753">_xlfn.IFS(Table15[[#This Row],[Column4]]="NEW",AVERAGEIFS(Table15[Column4],Table15[Year],Table15[[#This Row],[Year]]),ISNUMBER(Table15[[#This Row],[Column4]]),Table15[[#This Row],[Column4]],Table15[[#This Row],[Column4]]="",H752*(1+Table15[[#This Row],[Ávöxtun]]))</f>
        <v>108</v>
      </c>
      <c r="I753" s="30" cm="1">
        <f t="array" ref="I753">_xlfn.IFS(Table15[[#This Row],[Column4]]="NEW",_xlfn.XLOOKUP(Table15[[#This Row],[Year]]-1,$N$2:$N$27,$P$2:$P$27)*(1+Table15[[#This Row],[Ávöxtun]]),ISNUMBER(Table15[[#This Row],[Column4]]),Table15[[#This Row],[Column4]],Table15[[#This Row],[Column4]]="",I752*(1+Table15[[#This Row],[Ávöxtun]]))</f>
        <v>108</v>
      </c>
      <c r="L753" s="33">
        <v>108</v>
      </c>
      <c r="M753" s="33">
        <v>108</v>
      </c>
    </row>
    <row r="754" spans="1:13">
      <c r="A754" t="s">
        <v>123</v>
      </c>
      <c r="B754">
        <v>1999</v>
      </c>
      <c r="C754" s="16">
        <v>0.12</v>
      </c>
      <c r="D754" s="1">
        <v>76658047.469999999</v>
      </c>
      <c r="E754" s="29">
        <f>Table15[[#This Row],[Ávöxtun]]*Table15[[#This Row],[Eignir]]/SUMIFS(Table15[Eignir],Table15[Year],Table15[[#This Row],[Year]])</f>
        <v>1.7665970647219805E-2</v>
      </c>
      <c r="F754" s="23">
        <f>IF(B754=1997, 100, IF(COUNTIF(A$1:A753,A754)=0, "NEW", F753*(1+Table15[[#This Row],[Ávöxtun]])))</f>
        <v>120.96000000000001</v>
      </c>
      <c r="G754" s="18" cm="1">
        <f t="array" ref="G754">IFERROR(_xlfn.IFS(ISNUMBER(Table15[[#This Row],[Column3]]),Table15[[#This Row],[Column3]],Table15[[#This Row],[Column3]]="NEW",Table15[[#This Row],[Column3]]),"")</f>
        <v>120.96000000000001</v>
      </c>
      <c r="H754" s="15" cm="1">
        <f t="array" ref="H754">_xlfn.IFS(Table15[[#This Row],[Column4]]="NEW",AVERAGEIFS(Table15[Column4],Table15[Year],Table15[[#This Row],[Year]]),ISNUMBER(Table15[[#This Row],[Column4]]),Table15[[#This Row],[Column4]],Table15[[#This Row],[Column4]]="",H753*(1+Table15[[#This Row],[Ávöxtun]]))</f>
        <v>120.96000000000001</v>
      </c>
      <c r="I754" s="30" cm="1">
        <f t="array" ref="I754">_xlfn.IFS(Table15[[#This Row],[Column4]]="NEW",_xlfn.XLOOKUP(Table15[[#This Row],[Year]]-1,$N$2:$N$27,$P$2:$P$27)*(1+Table15[[#This Row],[Ávöxtun]]),ISNUMBER(Table15[[#This Row],[Column4]]),Table15[[#This Row],[Column4]],Table15[[#This Row],[Column4]]="",I753*(1+Table15[[#This Row],[Ávöxtun]]))</f>
        <v>120.96000000000001</v>
      </c>
      <c r="L754" s="33">
        <v>120.96000000000001</v>
      </c>
      <c r="M754" s="33">
        <v>120.96000000000001</v>
      </c>
    </row>
    <row r="755" spans="1:13">
      <c r="A755" t="s">
        <v>123</v>
      </c>
      <c r="B755">
        <v>2000</v>
      </c>
      <c r="C755" s="16">
        <v>0.01</v>
      </c>
      <c r="D755" s="1">
        <v>86298797.840000004</v>
      </c>
      <c r="E755" s="29">
        <f>Table15[[#This Row],[Ávöxtun]]*Table15[[#This Row],[Eignir]]/SUMIFS(Table15[Eignir],Table15[Year],Table15[[#This Row],[Year]])</f>
        <v>1.2139548023112313E-3</v>
      </c>
      <c r="F755" s="23">
        <f>IF(B755=1997, 100, IF(COUNTIF(A$1:A754,A755)=0, "NEW", F754*(1+Table15[[#This Row],[Ávöxtun]])))</f>
        <v>122.1696</v>
      </c>
      <c r="G755" s="18" cm="1">
        <f t="array" ref="G755">IFERROR(_xlfn.IFS(ISNUMBER(Table15[[#This Row],[Column3]]),Table15[[#This Row],[Column3]],Table15[[#This Row],[Column3]]="NEW",Table15[[#This Row],[Column3]]),"")</f>
        <v>122.1696</v>
      </c>
      <c r="H755" s="15" cm="1">
        <f t="array" ref="H755">_xlfn.IFS(Table15[[#This Row],[Column4]]="NEW",AVERAGEIFS(Table15[Column4],Table15[Year],Table15[[#This Row],[Year]]),ISNUMBER(Table15[[#This Row],[Column4]]),Table15[[#This Row],[Column4]],Table15[[#This Row],[Column4]]="",H754*(1+Table15[[#This Row],[Ávöxtun]]))</f>
        <v>122.1696</v>
      </c>
      <c r="I755" s="30" cm="1">
        <f t="array" ref="I755">_xlfn.IFS(Table15[[#This Row],[Column4]]="NEW",_xlfn.XLOOKUP(Table15[[#This Row],[Year]]-1,$N$2:$N$27,$P$2:$P$27)*(1+Table15[[#This Row],[Ávöxtun]]),ISNUMBER(Table15[[#This Row],[Column4]]),Table15[[#This Row],[Column4]],Table15[[#This Row],[Column4]]="",I754*(1+Table15[[#This Row],[Ávöxtun]]))</f>
        <v>122.1696</v>
      </c>
      <c r="L755" s="33">
        <v>122.1696</v>
      </c>
      <c r="M755" s="33">
        <v>122.1696</v>
      </c>
    </row>
    <row r="756" spans="1:13">
      <c r="A756" t="s">
        <v>123</v>
      </c>
      <c r="B756">
        <v>2001</v>
      </c>
      <c r="C756" s="16">
        <v>-0.02</v>
      </c>
      <c r="D756" s="1">
        <v>196771470</v>
      </c>
      <c r="E756" s="29">
        <f>Table15[[#This Row],[Ávöxtun]]*Table15[[#This Row],[Eignir]]/SUMIFS(Table15[Eignir],Table15[Year],Table15[[#This Row],[Year]])</f>
        <v>-3.3987183348409972E-3</v>
      </c>
      <c r="F756" s="23">
        <f>IF(B756=1997, 100, IF(COUNTIF(A$1:A755,A756)=0, "NEW", F755*(1+Table15[[#This Row],[Ávöxtun]])))</f>
        <v>119.726208</v>
      </c>
      <c r="G756" s="18" cm="1">
        <f t="array" ref="G756">IFERROR(_xlfn.IFS(ISNUMBER(Table15[[#This Row],[Column3]]),Table15[[#This Row],[Column3]],Table15[[#This Row],[Column3]]="NEW",Table15[[#This Row],[Column3]]),"")</f>
        <v>119.726208</v>
      </c>
      <c r="H756" s="15" cm="1">
        <f t="array" ref="H756">_xlfn.IFS(Table15[[#This Row],[Column4]]="NEW",AVERAGEIFS(Table15[Column4],Table15[Year],Table15[[#This Row],[Year]]),ISNUMBER(Table15[[#This Row],[Column4]]),Table15[[#This Row],[Column4]],Table15[[#This Row],[Column4]]="",H755*(1+Table15[[#This Row],[Ávöxtun]]))</f>
        <v>119.726208</v>
      </c>
      <c r="I756" s="30" cm="1">
        <f t="array" ref="I756">_xlfn.IFS(Table15[[#This Row],[Column4]]="NEW",_xlfn.XLOOKUP(Table15[[#This Row],[Year]]-1,$N$2:$N$27,$P$2:$P$27)*(1+Table15[[#This Row],[Ávöxtun]]),ISNUMBER(Table15[[#This Row],[Column4]]),Table15[[#This Row],[Column4]],Table15[[#This Row],[Column4]]="",I755*(1+Table15[[#This Row],[Ávöxtun]]))</f>
        <v>119.726208</v>
      </c>
      <c r="L756" s="33">
        <v>119.726208</v>
      </c>
      <c r="M756" s="33">
        <v>119.726208</v>
      </c>
    </row>
    <row r="757" spans="1:13">
      <c r="A757" t="s">
        <v>123</v>
      </c>
      <c r="B757">
        <v>2002</v>
      </c>
      <c r="C757" s="16">
        <v>-0.03</v>
      </c>
      <c r="D757" s="1">
        <v>102177838</v>
      </c>
      <c r="E757" s="29">
        <f>Table15[[#This Row],[Ávöxtun]]*Table15[[#This Row],[Eignir]]/SUMIFS(Table15[Eignir],Table15[Year],Table15[[#This Row],[Year]])</f>
        <v>-4.8260518390858213E-3</v>
      </c>
      <c r="F757" s="23">
        <f>IF(B757=1997, 100, IF(COUNTIF(A$1:A756,A757)=0, "NEW", F756*(1+Table15[[#This Row],[Ávöxtun]])))</f>
        <v>116.13442176</v>
      </c>
      <c r="G757" s="18" cm="1">
        <f t="array" ref="G757">IFERROR(_xlfn.IFS(ISNUMBER(Table15[[#This Row],[Column3]]),Table15[[#This Row],[Column3]],Table15[[#This Row],[Column3]]="NEW",Table15[[#This Row],[Column3]]),"")</f>
        <v>116.13442176</v>
      </c>
      <c r="H757" s="15" cm="1">
        <f t="array" ref="H757">_xlfn.IFS(Table15[[#This Row],[Column4]]="NEW",AVERAGEIFS(Table15[Column4],Table15[Year],Table15[[#This Row],[Year]]),ISNUMBER(Table15[[#This Row],[Column4]]),Table15[[#This Row],[Column4]],Table15[[#This Row],[Column4]]="",H756*(1+Table15[[#This Row],[Ávöxtun]]))</f>
        <v>116.13442176</v>
      </c>
      <c r="I757" s="30" cm="1">
        <f t="array" ref="I757">_xlfn.IFS(Table15[[#This Row],[Column4]]="NEW",_xlfn.XLOOKUP(Table15[[#This Row],[Year]]-1,$N$2:$N$27,$P$2:$P$27)*(1+Table15[[#This Row],[Ávöxtun]]),ISNUMBER(Table15[[#This Row],[Column4]]),Table15[[#This Row],[Column4]],Table15[[#This Row],[Column4]]="",I756*(1+Table15[[#This Row],[Ávöxtun]]))</f>
        <v>116.13442176</v>
      </c>
      <c r="L757" s="33">
        <v>116.13442176</v>
      </c>
      <c r="M757" s="33">
        <v>116.13442176</v>
      </c>
    </row>
    <row r="758" spans="1:13">
      <c r="A758" t="s">
        <v>123</v>
      </c>
      <c r="B758">
        <v>2003</v>
      </c>
      <c r="C758" s="16">
        <v>0.12</v>
      </c>
      <c r="D758" s="1">
        <v>122001974</v>
      </c>
      <c r="E758" s="29">
        <f>Table15[[#This Row],[Ávöxtun]]*Table15[[#This Row],[Eignir]]/SUMIFS(Table15[Eignir],Table15[Year],Table15[[#This Row],[Year]])</f>
        <v>1.9266222750824291E-2</v>
      </c>
      <c r="F758" s="23">
        <f>IF(B758=1997, 100, IF(COUNTIF(A$1:A757,A758)=0, "NEW", F757*(1+Table15[[#This Row],[Ávöxtun]])))</f>
        <v>130.07055237119999</v>
      </c>
      <c r="G758" s="18" cm="1">
        <f t="array" ref="G758">IFERROR(_xlfn.IFS(ISNUMBER(Table15[[#This Row],[Column3]]),Table15[[#This Row],[Column3]],Table15[[#This Row],[Column3]]="NEW",Table15[[#This Row],[Column3]]),"")</f>
        <v>130.07055237119999</v>
      </c>
      <c r="H758" s="15" cm="1">
        <f t="array" ref="H758">_xlfn.IFS(Table15[[#This Row],[Column4]]="NEW",AVERAGEIFS(Table15[Column4],Table15[Year],Table15[[#This Row],[Year]]),ISNUMBER(Table15[[#This Row],[Column4]]),Table15[[#This Row],[Column4]],Table15[[#This Row],[Column4]]="",H757*(1+Table15[[#This Row],[Ávöxtun]]))</f>
        <v>130.07055237119999</v>
      </c>
      <c r="I758" s="30" cm="1">
        <f t="array" ref="I758">_xlfn.IFS(Table15[[#This Row],[Column4]]="NEW",_xlfn.XLOOKUP(Table15[[#This Row],[Year]]-1,$N$2:$N$27,$P$2:$P$27)*(1+Table15[[#This Row],[Ávöxtun]]),ISNUMBER(Table15[[#This Row],[Column4]]),Table15[[#This Row],[Column4]],Table15[[#This Row],[Column4]]="",I757*(1+Table15[[#This Row],[Ávöxtun]]))</f>
        <v>130.07055237119999</v>
      </c>
      <c r="L758" s="33">
        <v>130.07055237119999</v>
      </c>
      <c r="M758" s="33">
        <v>130.07055237119999</v>
      </c>
    </row>
    <row r="759" spans="1:13">
      <c r="A759" t="s">
        <v>123</v>
      </c>
      <c r="B759">
        <v>2004</v>
      </c>
      <c r="C759" s="16">
        <v>0.12</v>
      </c>
      <c r="D759" s="1">
        <v>147947805</v>
      </c>
      <c r="E759" s="29">
        <f>Table15[[#This Row],[Ávöxtun]]*Table15[[#This Row],[Eignir]]/SUMIFS(Table15[Eignir],Table15[Year],Table15[[#This Row],[Year]])</f>
        <v>1.955967288306306E-2</v>
      </c>
      <c r="F759" s="23">
        <f>IF(B759=1997, 100, IF(COUNTIF(A$1:A758,A759)=0, "NEW", F758*(1+Table15[[#This Row],[Ávöxtun]])))</f>
        <v>145.67901865574402</v>
      </c>
      <c r="G759" s="18" cm="1">
        <f t="array" ref="G759">IFERROR(_xlfn.IFS(ISNUMBER(Table15[[#This Row],[Column3]]),Table15[[#This Row],[Column3]],Table15[[#This Row],[Column3]]="NEW",Table15[[#This Row],[Column3]]),"")</f>
        <v>145.67901865574402</v>
      </c>
      <c r="H759" s="15" cm="1">
        <f t="array" ref="H759">_xlfn.IFS(Table15[[#This Row],[Column4]]="NEW",AVERAGEIFS(Table15[Column4],Table15[Year],Table15[[#This Row],[Year]]),ISNUMBER(Table15[[#This Row],[Column4]]),Table15[[#This Row],[Column4]],Table15[[#This Row],[Column4]]="",H758*(1+Table15[[#This Row],[Ávöxtun]]))</f>
        <v>145.67901865574402</v>
      </c>
      <c r="I759" s="30" cm="1">
        <f t="array" ref="I759">_xlfn.IFS(Table15[[#This Row],[Column4]]="NEW",_xlfn.XLOOKUP(Table15[[#This Row],[Year]]-1,$N$2:$N$27,$P$2:$P$27)*(1+Table15[[#This Row],[Ávöxtun]]),ISNUMBER(Table15[[#This Row],[Column4]]),Table15[[#This Row],[Column4]],Table15[[#This Row],[Column4]]="",I758*(1+Table15[[#This Row],[Ávöxtun]]))</f>
        <v>145.67901865574402</v>
      </c>
      <c r="L759" s="33">
        <v>145.67901865574402</v>
      </c>
      <c r="M759" s="33">
        <v>145.67901865574402</v>
      </c>
    </row>
    <row r="760" spans="1:13">
      <c r="A760" t="s">
        <v>123</v>
      </c>
      <c r="B760">
        <v>2005</v>
      </c>
      <c r="C760" s="16">
        <v>0.16</v>
      </c>
      <c r="D760" s="1">
        <v>187856735</v>
      </c>
      <c r="E760" s="29">
        <f>Table15[[#This Row],[Ávöxtun]]*Table15[[#This Row],[Eignir]]/SUMIFS(Table15[Eignir],Table15[Year],Table15[[#This Row],[Year]])</f>
        <v>2.6804660630788492E-2</v>
      </c>
      <c r="F760" s="23">
        <f>IF(B760=1997, 100, IF(COUNTIF(A$1:A759,A760)=0, "NEW", F759*(1+Table15[[#This Row],[Ávöxtun]])))</f>
        <v>168.98766164066305</v>
      </c>
      <c r="G760" s="18" cm="1">
        <f t="array" ref="G760">IFERROR(_xlfn.IFS(ISNUMBER(Table15[[#This Row],[Column3]]),Table15[[#This Row],[Column3]],Table15[[#This Row],[Column3]]="NEW",Table15[[#This Row],[Column3]]),"")</f>
        <v>168.98766164066305</v>
      </c>
      <c r="H760" s="15" cm="1">
        <f t="array" ref="H760">_xlfn.IFS(Table15[[#This Row],[Column4]]="NEW",AVERAGEIFS(Table15[Column4],Table15[Year],Table15[[#This Row],[Year]]),ISNUMBER(Table15[[#This Row],[Column4]]),Table15[[#This Row],[Column4]],Table15[[#This Row],[Column4]]="",H759*(1+Table15[[#This Row],[Ávöxtun]]))</f>
        <v>168.98766164066305</v>
      </c>
      <c r="I760" s="30" cm="1">
        <f t="array" ref="I760">_xlfn.IFS(Table15[[#This Row],[Column4]]="NEW",_xlfn.XLOOKUP(Table15[[#This Row],[Year]]-1,$N$2:$N$27,$P$2:$P$27)*(1+Table15[[#This Row],[Ávöxtun]]),ISNUMBER(Table15[[#This Row],[Column4]]),Table15[[#This Row],[Column4]],Table15[[#This Row],[Column4]]="",I759*(1+Table15[[#This Row],[Ávöxtun]]))</f>
        <v>168.98766164066305</v>
      </c>
      <c r="L760" s="33">
        <v>168.98766164066305</v>
      </c>
      <c r="M760" s="33">
        <v>168.98766164066305</v>
      </c>
    </row>
    <row r="761" spans="1:13">
      <c r="A761" t="s">
        <v>123</v>
      </c>
      <c r="B761">
        <v>2006</v>
      </c>
      <c r="C761" s="16">
        <v>0.12620000000000001</v>
      </c>
      <c r="D761" s="1">
        <v>235020727</v>
      </c>
      <c r="E761" s="29">
        <f>Table15[[#This Row],[Ávöxtun]]*Table15[[#This Row],[Eignir]]/SUMIFS(Table15[Eignir],Table15[Year],Table15[[#This Row],[Year]])</f>
        <v>2.1607155312670955E-2</v>
      </c>
      <c r="F761" s="23">
        <f>IF(B761=1997, 100, IF(COUNTIF(A$1:A760,A761)=0, "NEW", F760*(1+Table15[[#This Row],[Ávöxtun]])))</f>
        <v>190.31390453971474</v>
      </c>
      <c r="G761" s="18" cm="1">
        <f t="array" ref="G761">IFERROR(_xlfn.IFS(ISNUMBER(Table15[[#This Row],[Column3]]),Table15[[#This Row],[Column3]],Table15[[#This Row],[Column3]]="NEW",Table15[[#This Row],[Column3]]),"")</f>
        <v>190.31390453971474</v>
      </c>
      <c r="H761" s="15" cm="1">
        <f t="array" ref="H761">_xlfn.IFS(Table15[[#This Row],[Column4]]="NEW",AVERAGEIFS(Table15[Column4],Table15[Year],Table15[[#This Row],[Year]]),ISNUMBER(Table15[[#This Row],[Column4]]),Table15[[#This Row],[Column4]],Table15[[#This Row],[Column4]]="",H760*(1+Table15[[#This Row],[Ávöxtun]]))</f>
        <v>190.31390453971474</v>
      </c>
      <c r="I761" s="30" cm="1">
        <f t="array" ref="I761">_xlfn.IFS(Table15[[#This Row],[Column4]]="NEW",_xlfn.XLOOKUP(Table15[[#This Row],[Year]]-1,$N$2:$N$27,$P$2:$P$27)*(1+Table15[[#This Row],[Ávöxtun]]),ISNUMBER(Table15[[#This Row],[Column4]]),Table15[[#This Row],[Column4]],Table15[[#This Row],[Column4]]="",I760*(1+Table15[[#This Row],[Ávöxtun]]))</f>
        <v>190.31390453971474</v>
      </c>
      <c r="L761" s="33">
        <v>190.31390453971474</v>
      </c>
      <c r="M761" s="33">
        <v>190.31390453971474</v>
      </c>
    </row>
    <row r="762" spans="1:13">
      <c r="A762" t="s">
        <v>123</v>
      </c>
      <c r="B762">
        <v>2007</v>
      </c>
      <c r="C762" s="16">
        <v>1.0500000000000001E-2</v>
      </c>
      <c r="D762" s="1">
        <v>262908922</v>
      </c>
      <c r="E762" s="29">
        <f>Table15[[#This Row],[Ávöxtun]]*Table15[[#This Row],[Eignir]]/SUMIFS(Table15[Eignir],Table15[Year],Table15[[#This Row],[Year]])</f>
        <v>1.7851328211213352E-3</v>
      </c>
      <c r="F762" s="23">
        <f>IF(B762=1997, 100, IF(COUNTIF(A$1:A761,A762)=0, "NEW", F761*(1+Table15[[#This Row],[Ávöxtun]])))</f>
        <v>192.31220053738173</v>
      </c>
      <c r="G762" s="18" cm="1">
        <f t="array" ref="G762">IFERROR(_xlfn.IFS(ISNUMBER(Table15[[#This Row],[Column3]]),Table15[[#This Row],[Column3]],Table15[[#This Row],[Column3]]="NEW",Table15[[#This Row],[Column3]]),"")</f>
        <v>192.31220053738173</v>
      </c>
      <c r="H762" s="15" cm="1">
        <f t="array" ref="H762">_xlfn.IFS(Table15[[#This Row],[Column4]]="NEW",AVERAGEIFS(Table15[Column4],Table15[Year],Table15[[#This Row],[Year]]),ISNUMBER(Table15[[#This Row],[Column4]]),Table15[[#This Row],[Column4]],Table15[[#This Row],[Column4]]="",H761*(1+Table15[[#This Row],[Ávöxtun]]))</f>
        <v>192.31220053738173</v>
      </c>
      <c r="I762" s="30" cm="1">
        <f t="array" ref="I762">_xlfn.IFS(Table15[[#This Row],[Column4]]="NEW",_xlfn.XLOOKUP(Table15[[#This Row],[Year]]-1,$N$2:$N$27,$P$2:$P$27)*(1+Table15[[#This Row],[Ávöxtun]]),ISNUMBER(Table15[[#This Row],[Column4]]),Table15[[#This Row],[Column4]],Table15[[#This Row],[Column4]]="",I761*(1+Table15[[#This Row],[Ávöxtun]]))</f>
        <v>192.31220053738173</v>
      </c>
      <c r="L762" s="33">
        <v>192.31220053738173</v>
      </c>
      <c r="M762" s="33">
        <v>192.31220053738173</v>
      </c>
    </row>
    <row r="763" spans="1:13">
      <c r="A763" t="s">
        <v>123</v>
      </c>
      <c r="B763">
        <v>2008</v>
      </c>
      <c r="C763" s="16">
        <v>-0.24170000000000003</v>
      </c>
      <c r="D763" s="1">
        <v>258300154</v>
      </c>
      <c r="E763" s="29">
        <f>Table15[[#This Row],[Ávöxtun]]*Table15[[#This Row],[Eignir]]/SUMIFS(Table15[Eignir],Table15[Year],Table15[[#This Row],[Year]])</f>
        <v>-4.1695318768585732E-2</v>
      </c>
      <c r="F763" s="23">
        <f>IF(B763=1997, 100, IF(COUNTIF(A$1:A762,A763)=0, "NEW", F762*(1+Table15[[#This Row],[Ávöxtun]])))</f>
        <v>145.83034166749655</v>
      </c>
      <c r="G763" s="18" cm="1">
        <f t="array" ref="G763">IFERROR(_xlfn.IFS(ISNUMBER(Table15[[#This Row],[Column3]]),Table15[[#This Row],[Column3]],Table15[[#This Row],[Column3]]="NEW",Table15[[#This Row],[Column3]]),"")</f>
        <v>145.83034166749655</v>
      </c>
      <c r="H763" s="15" cm="1">
        <f t="array" ref="H763">_xlfn.IFS(Table15[[#This Row],[Column4]]="NEW",AVERAGEIFS(Table15[Column4],Table15[Year],Table15[[#This Row],[Year]]),ISNUMBER(Table15[[#This Row],[Column4]]),Table15[[#This Row],[Column4]],Table15[[#This Row],[Column4]]="",H762*(1+Table15[[#This Row],[Ávöxtun]]))</f>
        <v>145.83034166749655</v>
      </c>
      <c r="I763" s="30" cm="1">
        <f t="array" ref="I763">_xlfn.IFS(Table15[[#This Row],[Column4]]="NEW",_xlfn.XLOOKUP(Table15[[#This Row],[Year]]-1,$N$2:$N$27,$P$2:$P$27)*(1+Table15[[#This Row],[Ávöxtun]]),ISNUMBER(Table15[[#This Row],[Column4]]),Table15[[#This Row],[Column4]],Table15[[#This Row],[Column4]]="",I762*(1+Table15[[#This Row],[Ávöxtun]]))</f>
        <v>145.83034166749655</v>
      </c>
      <c r="L763" s="33">
        <v>145.83034166749655</v>
      </c>
      <c r="M763" s="33">
        <v>145.83034166749655</v>
      </c>
    </row>
    <row r="764" spans="1:13">
      <c r="A764" t="s">
        <v>123</v>
      </c>
      <c r="B764">
        <v>2009</v>
      </c>
      <c r="C764" s="16">
        <v>1.15E-2</v>
      </c>
      <c r="D764" s="1">
        <v>295119276</v>
      </c>
      <c r="E764" s="29">
        <f>Table15[[#This Row],[Ávöxtun]]*Table15[[#This Row],[Eignir]]/SUMIFS(Table15[Eignir],Table15[Year],Table15[[#This Row],[Year]])</f>
        <v>2.0343801424757375E-3</v>
      </c>
      <c r="F764" s="23">
        <f>IF(B764=1997, 100, IF(COUNTIF(A$1:A763,A764)=0, "NEW", F763*(1+Table15[[#This Row],[Ávöxtun]])))</f>
        <v>147.50739059667276</v>
      </c>
      <c r="G764" s="18" cm="1">
        <f t="array" ref="G764">IFERROR(_xlfn.IFS(ISNUMBER(Table15[[#This Row],[Column3]]),Table15[[#This Row],[Column3]],Table15[[#This Row],[Column3]]="NEW",Table15[[#This Row],[Column3]]),"")</f>
        <v>147.50739059667276</v>
      </c>
      <c r="H764" s="15" cm="1">
        <f t="array" ref="H764">_xlfn.IFS(Table15[[#This Row],[Column4]]="NEW",AVERAGEIFS(Table15[Column4],Table15[Year],Table15[[#This Row],[Year]]),ISNUMBER(Table15[[#This Row],[Column4]]),Table15[[#This Row],[Column4]],Table15[[#This Row],[Column4]]="",H763*(1+Table15[[#This Row],[Ávöxtun]]))</f>
        <v>147.50739059667276</v>
      </c>
      <c r="I764" s="30" cm="1">
        <f t="array" ref="I764">_xlfn.IFS(Table15[[#This Row],[Column4]]="NEW",_xlfn.XLOOKUP(Table15[[#This Row],[Year]]-1,$N$2:$N$27,$P$2:$P$27)*(1+Table15[[#This Row],[Ávöxtun]]),ISNUMBER(Table15[[#This Row],[Column4]]),Table15[[#This Row],[Column4]],Table15[[#This Row],[Column4]]="",I763*(1+Table15[[#This Row],[Ávöxtun]]))</f>
        <v>147.50739059667276</v>
      </c>
      <c r="L764" s="33">
        <v>147.50739059667276</v>
      </c>
      <c r="M764" s="33">
        <v>147.50739059667276</v>
      </c>
    </row>
    <row r="765" spans="1:13">
      <c r="A765" t="s">
        <v>123</v>
      </c>
      <c r="B765">
        <v>2010</v>
      </c>
      <c r="C765" s="16">
        <v>3.4500000000000003E-2</v>
      </c>
      <c r="D765" s="1">
        <v>323005716</v>
      </c>
      <c r="E765" s="29">
        <f>Table15[[#This Row],[Ávöxtun]]*Table15[[#This Row],[Eignir]]/SUMIFS(Table15[Eignir],Table15[Year],Table15[[#This Row],[Year]])</f>
        <v>6.2332369297111384E-3</v>
      </c>
      <c r="F765" s="23">
        <f>IF(B765=1997, 100, IF(COUNTIF(A$1:A764,A765)=0, "NEW", F764*(1+Table15[[#This Row],[Ávöxtun]])))</f>
        <v>152.59639557225796</v>
      </c>
      <c r="G765" s="18" cm="1">
        <f t="array" ref="G765">IFERROR(_xlfn.IFS(ISNUMBER(Table15[[#This Row],[Column3]]),Table15[[#This Row],[Column3]],Table15[[#This Row],[Column3]]="NEW",Table15[[#This Row],[Column3]]),"")</f>
        <v>152.59639557225796</v>
      </c>
      <c r="H765" s="15" cm="1">
        <f t="array" ref="H765">_xlfn.IFS(Table15[[#This Row],[Column4]]="NEW",AVERAGEIFS(Table15[Column4],Table15[Year],Table15[[#This Row],[Year]]),ISNUMBER(Table15[[#This Row],[Column4]]),Table15[[#This Row],[Column4]],Table15[[#This Row],[Column4]]="",H764*(1+Table15[[#This Row],[Ávöxtun]]))</f>
        <v>152.59639557225796</v>
      </c>
      <c r="I765" s="30" cm="1">
        <f t="array" ref="I765">_xlfn.IFS(Table15[[#This Row],[Column4]]="NEW",_xlfn.XLOOKUP(Table15[[#This Row],[Year]]-1,$N$2:$N$27,$P$2:$P$27)*(1+Table15[[#This Row],[Ávöxtun]]),ISNUMBER(Table15[[#This Row],[Column4]]),Table15[[#This Row],[Column4]],Table15[[#This Row],[Column4]]="",I764*(1+Table15[[#This Row],[Ávöxtun]]))</f>
        <v>152.59639557225796</v>
      </c>
      <c r="L765" s="33">
        <v>152.59639557225796</v>
      </c>
      <c r="M765" s="33">
        <v>152.59639557225796</v>
      </c>
    </row>
    <row r="766" spans="1:13">
      <c r="A766" t="s">
        <v>123</v>
      </c>
      <c r="B766">
        <v>2011</v>
      </c>
      <c r="C766" s="16">
        <v>2.7999999999999997E-2</v>
      </c>
      <c r="D766" s="1">
        <v>362654454</v>
      </c>
      <c r="E766" s="29">
        <f>Table15[[#This Row],[Ávöxtun]]*Table15[[#This Row],[Eignir]]/SUMIFS(Table15[Eignir],Table15[Year],Table15[[#This Row],[Year]])</f>
        <v>5.2058540937999637E-3</v>
      </c>
      <c r="F766" s="23">
        <f>IF(B766=1997, 100, IF(COUNTIF(A$1:A765,A766)=0, "NEW", F765*(1+Table15[[#This Row],[Ávöxtun]])))</f>
        <v>156.86909464828119</v>
      </c>
      <c r="G766" s="18" cm="1">
        <f t="array" ref="G766">IFERROR(_xlfn.IFS(ISNUMBER(Table15[[#This Row],[Column3]]),Table15[[#This Row],[Column3]],Table15[[#This Row],[Column3]]="NEW",Table15[[#This Row],[Column3]]),"")</f>
        <v>156.86909464828119</v>
      </c>
      <c r="H766" s="15" cm="1">
        <f t="array" ref="H766">_xlfn.IFS(Table15[[#This Row],[Column4]]="NEW",AVERAGEIFS(Table15[Column4],Table15[Year],Table15[[#This Row],[Year]]),ISNUMBER(Table15[[#This Row],[Column4]]),Table15[[#This Row],[Column4]],Table15[[#This Row],[Column4]]="",H765*(1+Table15[[#This Row],[Ávöxtun]]))</f>
        <v>156.86909464828119</v>
      </c>
      <c r="I766" s="30" cm="1">
        <f t="array" ref="I766">_xlfn.IFS(Table15[[#This Row],[Column4]]="NEW",_xlfn.XLOOKUP(Table15[[#This Row],[Year]]-1,$N$2:$N$27,$P$2:$P$27)*(1+Table15[[#This Row],[Ávöxtun]]),ISNUMBER(Table15[[#This Row],[Column4]]),Table15[[#This Row],[Column4]],Table15[[#This Row],[Column4]]="",I765*(1+Table15[[#This Row],[Ávöxtun]]))</f>
        <v>156.86909464828119</v>
      </c>
      <c r="L766" s="33">
        <v>156.86909464828119</v>
      </c>
      <c r="M766" s="33">
        <v>156.86909464828119</v>
      </c>
    </row>
    <row r="767" spans="1:13">
      <c r="A767" t="s">
        <v>123</v>
      </c>
      <c r="B767">
        <v>2012</v>
      </c>
      <c r="C767" s="16">
        <v>8.5000000000000006E-2</v>
      </c>
      <c r="D767" s="1">
        <v>407954953</v>
      </c>
      <c r="E767" s="29">
        <f>Table15[[#This Row],[Ávöxtun]]*Table15[[#This Row],[Eignir]]/SUMIFS(Table15[Eignir],Table15[Year],Table15[[#This Row],[Year]])</f>
        <v>1.5741553495320474E-2</v>
      </c>
      <c r="F767" s="23">
        <f>IF(B767=1997, 100, IF(COUNTIF(A$1:A766,A767)=0, "NEW", F766*(1+Table15[[#This Row],[Ávöxtun]])))</f>
        <v>170.20296769338509</v>
      </c>
      <c r="G767" s="18" cm="1">
        <f t="array" ref="G767">IFERROR(_xlfn.IFS(ISNUMBER(Table15[[#This Row],[Column3]]),Table15[[#This Row],[Column3]],Table15[[#This Row],[Column3]]="NEW",Table15[[#This Row],[Column3]]),"")</f>
        <v>170.20296769338509</v>
      </c>
      <c r="H767" s="15" cm="1">
        <f t="array" ref="H767">_xlfn.IFS(Table15[[#This Row],[Column4]]="NEW",AVERAGEIFS(Table15[Column4],Table15[Year],Table15[[#This Row],[Year]]),ISNUMBER(Table15[[#This Row],[Column4]]),Table15[[#This Row],[Column4]],Table15[[#This Row],[Column4]]="",H766*(1+Table15[[#This Row],[Ávöxtun]]))</f>
        <v>170.20296769338509</v>
      </c>
      <c r="I767" s="30" cm="1">
        <f t="array" ref="I767">_xlfn.IFS(Table15[[#This Row],[Column4]]="NEW",_xlfn.XLOOKUP(Table15[[#This Row],[Year]]-1,$N$2:$N$27,$P$2:$P$27)*(1+Table15[[#This Row],[Ávöxtun]]),ISNUMBER(Table15[[#This Row],[Column4]]),Table15[[#This Row],[Column4]],Table15[[#This Row],[Column4]]="",I766*(1+Table15[[#This Row],[Ávöxtun]]))</f>
        <v>170.20296769338509</v>
      </c>
      <c r="L767" s="33">
        <v>170.20296769338509</v>
      </c>
      <c r="M767" s="33">
        <v>170.20296769338509</v>
      </c>
    </row>
    <row r="768" spans="1:13">
      <c r="A768" t="s">
        <v>123</v>
      </c>
      <c r="B768">
        <v>2013</v>
      </c>
      <c r="C768" s="16">
        <v>6.3E-2</v>
      </c>
      <c r="D768" s="1">
        <v>459656722</v>
      </c>
      <c r="E768" s="29">
        <f>Table15[[#This Row],[Ávöxtun]]*Table15[[#This Row],[Eignir]]/SUMIFS(Table15[Eignir],Table15[Year],Table15[[#This Row],[Year]])</f>
        <v>1.1899497470789873E-2</v>
      </c>
      <c r="F768" s="23">
        <f>IF(B768=1997, 100, IF(COUNTIF(A$1:A767,A768)=0, "NEW", F767*(1+Table15[[#This Row],[Ávöxtun]])))</f>
        <v>180.92575465806834</v>
      </c>
      <c r="G768" s="18" cm="1">
        <f t="array" ref="G768">IFERROR(_xlfn.IFS(ISNUMBER(Table15[[#This Row],[Column3]]),Table15[[#This Row],[Column3]],Table15[[#This Row],[Column3]]="NEW",Table15[[#This Row],[Column3]]),"")</f>
        <v>180.92575465806834</v>
      </c>
      <c r="H768" s="15" cm="1">
        <f t="array" ref="H768">_xlfn.IFS(Table15[[#This Row],[Column4]]="NEW",AVERAGEIFS(Table15[Column4],Table15[Year],Table15[[#This Row],[Year]]),ISNUMBER(Table15[[#This Row],[Column4]]),Table15[[#This Row],[Column4]],Table15[[#This Row],[Column4]]="",H767*(1+Table15[[#This Row],[Ávöxtun]]))</f>
        <v>180.92575465806834</v>
      </c>
      <c r="I768" s="30" cm="1">
        <f t="array" ref="I768">_xlfn.IFS(Table15[[#This Row],[Column4]]="NEW",_xlfn.XLOOKUP(Table15[[#This Row],[Year]]-1,$N$2:$N$27,$P$2:$P$27)*(1+Table15[[#This Row],[Ávöxtun]]),ISNUMBER(Table15[[#This Row],[Column4]]),Table15[[#This Row],[Column4]],Table15[[#This Row],[Column4]]="",I767*(1+Table15[[#This Row],[Ávöxtun]]))</f>
        <v>180.92575465806834</v>
      </c>
      <c r="L768" s="33">
        <v>180.92575465806834</v>
      </c>
      <c r="M768" s="33">
        <v>180.92575465806834</v>
      </c>
    </row>
    <row r="769" spans="1:13">
      <c r="A769" t="s">
        <v>123</v>
      </c>
      <c r="B769">
        <v>2014</v>
      </c>
      <c r="C769" s="16">
        <v>8.6999999999999994E-2</v>
      </c>
      <c r="D769" s="1">
        <v>500484862</v>
      </c>
      <c r="E769" s="29">
        <f>Table15[[#This Row],[Ávöxtun]]*Table15[[#This Row],[Eignir]]/SUMIFS(Table15[Eignir],Table15[Year],Table15[[#This Row],[Year]])</f>
        <v>1.6412318089449499E-2</v>
      </c>
      <c r="F769" s="23">
        <f>IF(B769=1997, 100, IF(COUNTIF(A$1:A768,A769)=0, "NEW", F768*(1+Table15[[#This Row],[Ávöxtun]])))</f>
        <v>196.66629531332029</v>
      </c>
      <c r="G769" s="18" cm="1">
        <f t="array" ref="G769">IFERROR(_xlfn.IFS(ISNUMBER(Table15[[#This Row],[Column3]]),Table15[[#This Row],[Column3]],Table15[[#This Row],[Column3]]="NEW",Table15[[#This Row],[Column3]]),"")</f>
        <v>196.66629531332029</v>
      </c>
      <c r="H769" s="15" cm="1">
        <f t="array" ref="H769">_xlfn.IFS(Table15[[#This Row],[Column4]]="NEW",AVERAGEIFS(Table15[Column4],Table15[Year],Table15[[#This Row],[Year]]),ISNUMBER(Table15[[#This Row],[Column4]]),Table15[[#This Row],[Column4]],Table15[[#This Row],[Column4]]="",H768*(1+Table15[[#This Row],[Ávöxtun]]))</f>
        <v>196.66629531332029</v>
      </c>
      <c r="I769" s="30" cm="1">
        <f t="array" ref="I769">_xlfn.IFS(Table15[[#This Row],[Column4]]="NEW",_xlfn.XLOOKUP(Table15[[#This Row],[Year]]-1,$N$2:$N$27,$P$2:$P$27)*(1+Table15[[#This Row],[Ávöxtun]]),ISNUMBER(Table15[[#This Row],[Column4]]),Table15[[#This Row],[Column4]],Table15[[#This Row],[Column4]]="",I768*(1+Table15[[#This Row],[Ávöxtun]]))</f>
        <v>196.66629531332029</v>
      </c>
      <c r="L769" s="33">
        <v>196.66629531332029</v>
      </c>
      <c r="M769" s="33">
        <v>196.66629531332029</v>
      </c>
    </row>
    <row r="770" spans="1:13">
      <c r="A770" t="s">
        <v>123</v>
      </c>
      <c r="B770">
        <v>2015</v>
      </c>
      <c r="C770" s="16">
        <v>0.10199999999999999</v>
      </c>
      <c r="D770" s="1">
        <v>573581173.80999994</v>
      </c>
      <c r="E770" s="29">
        <f>Table15[[#This Row],[Ávöxtun]]*Table15[[#This Row],[Eignir]]/SUMIFS(Table15[Eignir],Table15[Year],Table15[[#This Row],[Year]])</f>
        <v>1.9756098407916624E-2</v>
      </c>
      <c r="F770" s="23">
        <f>IF(B770=1997, 100, IF(COUNTIF(A$1:A769,A770)=0, "NEW", F769*(1+Table15[[#This Row],[Ávöxtun]])))</f>
        <v>216.72625743527897</v>
      </c>
      <c r="G770" s="18" cm="1">
        <f t="array" ref="G770">IFERROR(_xlfn.IFS(ISNUMBER(Table15[[#This Row],[Column3]]),Table15[[#This Row],[Column3]],Table15[[#This Row],[Column3]]="NEW",Table15[[#This Row],[Column3]]),"")</f>
        <v>216.72625743527897</v>
      </c>
      <c r="H770" s="15" cm="1">
        <f t="array" ref="H770">_xlfn.IFS(Table15[[#This Row],[Column4]]="NEW",AVERAGEIFS(Table15[Column4],Table15[Year],Table15[[#This Row],[Year]]),ISNUMBER(Table15[[#This Row],[Column4]]),Table15[[#This Row],[Column4]],Table15[[#This Row],[Column4]]="",H769*(1+Table15[[#This Row],[Ávöxtun]]))</f>
        <v>216.72625743527897</v>
      </c>
      <c r="I770" s="30" cm="1">
        <f t="array" ref="I770">_xlfn.IFS(Table15[[#This Row],[Column4]]="NEW",_xlfn.XLOOKUP(Table15[[#This Row],[Year]]-1,$N$2:$N$27,$P$2:$P$27)*(1+Table15[[#This Row],[Ávöxtun]]),ISNUMBER(Table15[[#This Row],[Column4]]),Table15[[#This Row],[Column4]],Table15[[#This Row],[Column4]]="",I769*(1+Table15[[#This Row],[Ávöxtun]]))</f>
        <v>216.72625743527897</v>
      </c>
      <c r="L770" s="33">
        <v>216.72625743527897</v>
      </c>
      <c r="M770" s="33">
        <v>216.72625743527897</v>
      </c>
    </row>
    <row r="771" spans="1:13">
      <c r="A771" t="s">
        <v>123</v>
      </c>
      <c r="B771">
        <v>2016</v>
      </c>
      <c r="C771" s="16">
        <v>-1.2E-2</v>
      </c>
      <c r="D771" s="1">
        <v>592058238.17999995</v>
      </c>
      <c r="E771" s="29">
        <f>Table15[[#This Row],[Ávöxtun]]*Table15[[#This Row],[Eignir]]/SUMIFS(Table15[Eignir],Table15[Year],Table15[[#This Row],[Year]])</f>
        <v>-2.2201860216208885E-3</v>
      </c>
      <c r="F771" s="23">
        <f>IF(B771=1997, 100, IF(COUNTIF(A$1:A770,A771)=0, "NEW", F770*(1+Table15[[#This Row],[Ávöxtun]])))</f>
        <v>214.12554234605562</v>
      </c>
      <c r="G771" s="18" cm="1">
        <f t="array" ref="G771">IFERROR(_xlfn.IFS(ISNUMBER(Table15[[#This Row],[Column3]]),Table15[[#This Row],[Column3]],Table15[[#This Row],[Column3]]="NEW",Table15[[#This Row],[Column3]]),"")</f>
        <v>214.12554234605562</v>
      </c>
      <c r="H771" s="15" cm="1">
        <f t="array" ref="H771">_xlfn.IFS(Table15[[#This Row],[Column4]]="NEW",AVERAGEIFS(Table15[Column4],Table15[Year],Table15[[#This Row],[Year]]),ISNUMBER(Table15[[#This Row],[Column4]]),Table15[[#This Row],[Column4]],Table15[[#This Row],[Column4]]="",H770*(1+Table15[[#This Row],[Ávöxtun]]))</f>
        <v>214.12554234605562</v>
      </c>
      <c r="I771" s="30" cm="1">
        <f t="array" ref="I771">_xlfn.IFS(Table15[[#This Row],[Column4]]="NEW",_xlfn.XLOOKUP(Table15[[#This Row],[Year]]-1,$N$2:$N$27,$P$2:$P$27)*(1+Table15[[#This Row],[Ávöxtun]]),ISNUMBER(Table15[[#This Row],[Column4]]),Table15[[#This Row],[Column4]],Table15[[#This Row],[Column4]]="",I770*(1+Table15[[#This Row],[Ávöxtun]]))</f>
        <v>214.12554234605562</v>
      </c>
      <c r="L771" s="33">
        <v>214.12554234605562</v>
      </c>
      <c r="M771" s="33">
        <v>214.12554234605562</v>
      </c>
    </row>
    <row r="772" spans="1:13">
      <c r="A772" t="s">
        <v>123</v>
      </c>
      <c r="B772">
        <v>2017</v>
      </c>
      <c r="C772" s="16">
        <v>5.7000000000000002E-2</v>
      </c>
      <c r="D772" s="1">
        <v>653001256</v>
      </c>
      <c r="E772" s="29">
        <f>Table15[[#This Row],[Ávöxtun]]*Table15[[#This Row],[Eignir]]/SUMIFS(Table15[Eignir],Table15[Year],Table15[[#This Row],[Year]])</f>
        <v>1.045785033734687E-2</v>
      </c>
      <c r="F772" s="23">
        <f>IF(B772=1997, 100, IF(COUNTIF(A$1:A771,A772)=0, "NEW", F771*(1+Table15[[#This Row],[Ávöxtun]])))</f>
        <v>226.33069825978077</v>
      </c>
      <c r="G772" s="18" cm="1">
        <f t="array" ref="G772">IFERROR(_xlfn.IFS(ISNUMBER(Table15[[#This Row],[Column3]]),Table15[[#This Row],[Column3]],Table15[[#This Row],[Column3]]="NEW",Table15[[#This Row],[Column3]]),"")</f>
        <v>226.33069825978077</v>
      </c>
      <c r="H772" s="15" cm="1">
        <f t="array" ref="H772">_xlfn.IFS(Table15[[#This Row],[Column4]]="NEW",AVERAGEIFS(Table15[Column4],Table15[Year],Table15[[#This Row],[Year]]),ISNUMBER(Table15[[#This Row],[Column4]]),Table15[[#This Row],[Column4]],Table15[[#This Row],[Column4]]="",H771*(1+Table15[[#This Row],[Ávöxtun]]))</f>
        <v>226.33069825978077</v>
      </c>
      <c r="I772" s="30" cm="1">
        <f t="array" ref="I772">_xlfn.IFS(Table15[[#This Row],[Column4]]="NEW",_xlfn.XLOOKUP(Table15[[#This Row],[Year]]-1,$N$2:$N$27,$P$2:$P$27)*(1+Table15[[#This Row],[Ávöxtun]]),ISNUMBER(Table15[[#This Row],[Column4]]),Table15[[#This Row],[Column4]],Table15[[#This Row],[Column4]]="",I771*(1+Table15[[#This Row],[Ávöxtun]]))</f>
        <v>226.33069825978077</v>
      </c>
      <c r="L772" s="33">
        <v>226.33069825978077</v>
      </c>
      <c r="M772" s="33">
        <v>226.33069825978077</v>
      </c>
    </row>
    <row r="773" spans="1:13">
      <c r="A773" t="s">
        <v>123</v>
      </c>
      <c r="B773">
        <v>2018</v>
      </c>
      <c r="C773" s="16">
        <v>0.01</v>
      </c>
      <c r="D773" s="1">
        <v>699398274</v>
      </c>
      <c r="E773" s="29">
        <f>Table15[[#This Row],[Ávöxtun]]*Table15[[#This Row],[Eignir]]/SUMIFS(Table15[Eignir],Table15[Year],Table15[[#This Row],[Year]])</f>
        <v>1.8316918572539895E-3</v>
      </c>
      <c r="F773" s="23">
        <f>IF(B773=1997, 100, IF(COUNTIF(A$1:A772,A773)=0, "NEW", F772*(1+Table15[[#This Row],[Ávöxtun]])))</f>
        <v>228.59400524237859</v>
      </c>
      <c r="G773" s="18" cm="1">
        <f t="array" ref="G773">IFERROR(_xlfn.IFS(ISNUMBER(Table15[[#This Row],[Column3]]),Table15[[#This Row],[Column3]],Table15[[#This Row],[Column3]]="NEW",Table15[[#This Row],[Column3]]),"")</f>
        <v>228.59400524237859</v>
      </c>
      <c r="H773" s="15" cm="1">
        <f t="array" ref="H773">_xlfn.IFS(Table15[[#This Row],[Column4]]="NEW",AVERAGEIFS(Table15[Column4],Table15[Year],Table15[[#This Row],[Year]]),ISNUMBER(Table15[[#This Row],[Column4]]),Table15[[#This Row],[Column4]],Table15[[#This Row],[Column4]]="",H772*(1+Table15[[#This Row],[Ávöxtun]]))</f>
        <v>228.59400524237859</v>
      </c>
      <c r="I773" s="30" cm="1">
        <f t="array" ref="I773">_xlfn.IFS(Table15[[#This Row],[Column4]]="NEW",_xlfn.XLOOKUP(Table15[[#This Row],[Year]]-1,$N$2:$N$27,$P$2:$P$27)*(1+Table15[[#This Row],[Ávöxtun]]),ISNUMBER(Table15[[#This Row],[Column4]]),Table15[[#This Row],[Column4]],Table15[[#This Row],[Column4]]="",I772*(1+Table15[[#This Row],[Ávöxtun]]))</f>
        <v>228.59400524237859</v>
      </c>
      <c r="L773" s="33">
        <v>228.59400524237859</v>
      </c>
      <c r="M773" s="33">
        <v>228.59400524237859</v>
      </c>
    </row>
    <row r="774" spans="1:13">
      <c r="A774" t="s">
        <v>123</v>
      </c>
      <c r="B774">
        <v>2019</v>
      </c>
      <c r="C774" s="16">
        <v>0.156</v>
      </c>
      <c r="D774" s="1">
        <v>850453088.38</v>
      </c>
      <c r="E774" s="29">
        <f>Table15[[#This Row],[Ávöxtun]]*Table15[[#This Row],[Eignir]]/SUMIFS(Table15[Eignir],Table15[Year],Table15[[#This Row],[Year]])</f>
        <v>2.9969348451602065E-2</v>
      </c>
      <c r="F774" s="23">
        <f>IF(B774=1997, 100, IF(COUNTIF(A$1:A773,A774)=0, "NEW", F773*(1+Table15[[#This Row],[Ávöxtun]])))</f>
        <v>264.25467006018965</v>
      </c>
      <c r="G774" s="18" cm="1">
        <f t="array" ref="G774">IFERROR(_xlfn.IFS(ISNUMBER(Table15[[#This Row],[Column3]]),Table15[[#This Row],[Column3]],Table15[[#This Row],[Column3]]="NEW",Table15[[#This Row],[Column3]]),"")</f>
        <v>264.25467006018965</v>
      </c>
      <c r="H774" s="15" cm="1">
        <f t="array" ref="H774">_xlfn.IFS(Table15[[#This Row],[Column4]]="NEW",AVERAGEIFS(Table15[Column4],Table15[Year],Table15[[#This Row],[Year]]),ISNUMBER(Table15[[#This Row],[Column4]]),Table15[[#This Row],[Column4]],Table15[[#This Row],[Column4]]="",H773*(1+Table15[[#This Row],[Ávöxtun]]))</f>
        <v>264.25467006018965</v>
      </c>
      <c r="I774" s="30" cm="1">
        <f t="array" ref="I774">_xlfn.IFS(Table15[[#This Row],[Column4]]="NEW",_xlfn.XLOOKUP(Table15[[#This Row],[Year]]-1,$N$2:$N$27,$P$2:$P$27)*(1+Table15[[#This Row],[Ávöxtun]]),ISNUMBER(Table15[[#This Row],[Column4]]),Table15[[#This Row],[Column4]],Table15[[#This Row],[Column4]]="",I773*(1+Table15[[#This Row],[Ávöxtun]]))</f>
        <v>264.25467006018965</v>
      </c>
      <c r="L774" s="33">
        <v>264.25467006018965</v>
      </c>
      <c r="M774" s="33">
        <v>264.25467006018965</v>
      </c>
    </row>
    <row r="775" spans="1:13">
      <c r="A775" t="s">
        <v>123</v>
      </c>
      <c r="B775">
        <v>2020</v>
      </c>
      <c r="C775" s="16">
        <v>0.10800000000000001</v>
      </c>
      <c r="D775" s="1">
        <v>992465107.03999996</v>
      </c>
      <c r="E775" s="29">
        <f>Table15[[#This Row],[Ávöxtun]]*Table15[[#This Row],[Eignir]]/SUMIFS(Table15[Eignir],Table15[Year],Table15[[#This Row],[Year]])</f>
        <v>2.0867100310500375E-2</v>
      </c>
      <c r="F775" s="23">
        <f>IF(B775=1997, 100, IF(COUNTIF(A$1:A774,A775)=0, "NEW", F774*(1+Table15[[#This Row],[Ávöxtun]])))</f>
        <v>292.79417442669018</v>
      </c>
      <c r="G775" s="18" cm="1">
        <f t="array" ref="G775">IFERROR(_xlfn.IFS(ISNUMBER(Table15[[#This Row],[Column3]]),Table15[[#This Row],[Column3]],Table15[[#This Row],[Column3]]="NEW",Table15[[#This Row],[Column3]]),"")</f>
        <v>292.79417442669018</v>
      </c>
      <c r="H775" s="15" cm="1">
        <f t="array" ref="H775">_xlfn.IFS(Table15[[#This Row],[Column4]]="NEW",AVERAGEIFS(Table15[Column4],Table15[Year],Table15[[#This Row],[Year]]),ISNUMBER(Table15[[#This Row],[Column4]]),Table15[[#This Row],[Column4]],Table15[[#This Row],[Column4]]="",H774*(1+Table15[[#This Row],[Ávöxtun]]))</f>
        <v>292.79417442669018</v>
      </c>
      <c r="I775" s="30" cm="1">
        <f t="array" ref="I775">_xlfn.IFS(Table15[[#This Row],[Column4]]="NEW",_xlfn.XLOOKUP(Table15[[#This Row],[Year]]-1,$N$2:$N$27,$P$2:$P$27)*(1+Table15[[#This Row],[Ávöxtun]]),ISNUMBER(Table15[[#This Row],[Column4]]),Table15[[#This Row],[Column4]],Table15[[#This Row],[Column4]]="",I774*(1+Table15[[#This Row],[Ávöxtun]]))</f>
        <v>292.79417442669018</v>
      </c>
      <c r="L775" s="33">
        <v>292.79417442669018</v>
      </c>
      <c r="M775" s="33">
        <v>292.79417442669018</v>
      </c>
    </row>
    <row r="776" spans="1:13">
      <c r="A776" t="s">
        <v>123</v>
      </c>
      <c r="B776">
        <v>2021</v>
      </c>
      <c r="C776" s="16">
        <v>0.115</v>
      </c>
      <c r="D776" s="1">
        <v>1175702937.8770001</v>
      </c>
      <c r="E776" s="29">
        <f>Table15[[#This Row],[Ávöxtun]]*Table15[[#This Row],[Eignir]]/SUMIFS(Table15[Eignir],Table15[Year],Table15[[#This Row],[Year]])</f>
        <v>2.2386932343455873E-2</v>
      </c>
      <c r="F776" s="23">
        <f>IF(B776=1997, 100, IF(COUNTIF(A$1:A775,A776)=0, "NEW", F775*(1+Table15[[#This Row],[Ávöxtun]])))</f>
        <v>326.46550448575954</v>
      </c>
      <c r="G776" s="18" cm="1">
        <f t="array" ref="G776">IFERROR(_xlfn.IFS(ISNUMBER(Table15[[#This Row],[Column3]]),Table15[[#This Row],[Column3]],Table15[[#This Row],[Column3]]="NEW",Table15[[#This Row],[Column3]]),"")</f>
        <v>326.46550448575954</v>
      </c>
      <c r="H776" s="15" cm="1">
        <f t="array" ref="H776">_xlfn.IFS(Table15[[#This Row],[Column4]]="NEW",AVERAGEIFS(Table15[Column4],Table15[Year],Table15[[#This Row],[Year]]),ISNUMBER(Table15[[#This Row],[Column4]]),Table15[[#This Row],[Column4]],Table15[[#This Row],[Column4]]="",H775*(1+Table15[[#This Row],[Ávöxtun]]))</f>
        <v>326.46550448575954</v>
      </c>
      <c r="I776" s="30" cm="1">
        <f t="array" ref="I776">_xlfn.IFS(Table15[[#This Row],[Column4]]="NEW",_xlfn.XLOOKUP(Table15[[#This Row],[Year]]-1,$N$2:$N$27,$P$2:$P$27)*(1+Table15[[#This Row],[Ávöxtun]]),ISNUMBER(Table15[[#This Row],[Column4]]),Table15[[#This Row],[Column4]],Table15[[#This Row],[Column4]]="",I775*(1+Table15[[#This Row],[Ávöxtun]]))</f>
        <v>326.46550448575954</v>
      </c>
      <c r="L776" s="33">
        <v>326.46550448575954</v>
      </c>
      <c r="M776" s="33">
        <v>326.46550448575954</v>
      </c>
    </row>
    <row r="777" spans="1:13">
      <c r="A777" t="s">
        <v>103</v>
      </c>
      <c r="B777">
        <v>1997</v>
      </c>
      <c r="C777" s="16">
        <v>0.06</v>
      </c>
      <c r="D777" s="1">
        <v>8772602.2200000007</v>
      </c>
      <c r="E777" s="29">
        <f>Table15[[#This Row],[Ávöxtun]]*Table15[[#This Row],[Eignir]]/SUMIFS(Table15[Eignir],Table15[Year],Table15[[#This Row],[Year]])</f>
        <v>1.5525568994810503E-3</v>
      </c>
      <c r="F777" s="23">
        <f>IF(B777=1997, 100, IF(COUNTIF(A$1:A776,A777)=0, "NEW", F776*(1+Table15[[#This Row],[Ávöxtun]])))</f>
        <v>100</v>
      </c>
      <c r="G777" s="18" cm="1">
        <f t="array" ref="G777">IFERROR(_xlfn.IFS(ISNUMBER(Table15[[#This Row],[Column3]]),Table15[[#This Row],[Column3]],Table15[[#This Row],[Column3]]="NEW",Table15[[#This Row],[Column3]]),"")</f>
        <v>100</v>
      </c>
      <c r="H777" s="15" cm="1">
        <f t="array" ref="H777">_xlfn.IFS(Table15[[#This Row],[Column4]]="NEW",AVERAGEIFS(Table15[Column4],Table15[Year],Table15[[#This Row],[Year]]),ISNUMBER(Table15[[#This Row],[Column4]]),Table15[[#This Row],[Column4]],Table15[[#This Row],[Column4]]="",H776*(1+Table15[[#This Row],[Ávöxtun]]))</f>
        <v>100</v>
      </c>
      <c r="I777" s="30" cm="1">
        <f t="array" ref="I777">_xlfn.IFS(Table15[[#This Row],[Column4]]="NEW",_xlfn.XLOOKUP(Table15[[#This Row],[Year]]-1,$N$2:$N$27,$P$2:$P$27)*(1+Table15[[#This Row],[Ávöxtun]]),ISNUMBER(Table15[[#This Row],[Column4]]),Table15[[#This Row],[Column4]],Table15[[#This Row],[Column4]]="",I776*(1+Table15[[#This Row],[Ávöxtun]]))</f>
        <v>100</v>
      </c>
      <c r="L777" s="33">
        <v>100</v>
      </c>
      <c r="M777" s="33">
        <v>100</v>
      </c>
    </row>
    <row r="778" spans="1:13">
      <c r="A778" t="s">
        <v>103</v>
      </c>
      <c r="B778">
        <v>1998</v>
      </c>
      <c r="C778" s="16">
        <v>0.08</v>
      </c>
      <c r="D778" s="1">
        <v>9943439.0899999999</v>
      </c>
      <c r="E778" s="29">
        <f>Table15[[#This Row],[Ávöxtun]]*Table15[[#This Row],[Eignir]]/SUMIFS(Table15[Eignir],Table15[Year],Table15[[#This Row],[Year]])</f>
        <v>2.0311650091010647E-3</v>
      </c>
      <c r="F778" s="23">
        <f>IF(B778=1997, 100, IF(COUNTIF(A$1:A777,A778)=0, "NEW", F777*(1+Table15[[#This Row],[Ávöxtun]])))</f>
        <v>108</v>
      </c>
      <c r="G778" s="18" cm="1">
        <f t="array" ref="G778">IFERROR(_xlfn.IFS(ISNUMBER(Table15[[#This Row],[Column3]]),Table15[[#This Row],[Column3]],Table15[[#This Row],[Column3]]="NEW",Table15[[#This Row],[Column3]]),"")</f>
        <v>108</v>
      </c>
      <c r="H778" s="15" cm="1">
        <f t="array" ref="H778">_xlfn.IFS(Table15[[#This Row],[Column4]]="NEW",AVERAGEIFS(Table15[Column4],Table15[Year],Table15[[#This Row],[Year]]),ISNUMBER(Table15[[#This Row],[Column4]]),Table15[[#This Row],[Column4]],Table15[[#This Row],[Column4]]="",H777*(1+Table15[[#This Row],[Ávöxtun]]))</f>
        <v>108</v>
      </c>
      <c r="I778" s="30" cm="1">
        <f t="array" ref="I778">_xlfn.IFS(Table15[[#This Row],[Column4]]="NEW",_xlfn.XLOOKUP(Table15[[#This Row],[Year]]-1,$N$2:$N$27,$P$2:$P$27)*(1+Table15[[#This Row],[Ávöxtun]]),ISNUMBER(Table15[[#This Row],[Column4]]),Table15[[#This Row],[Column4]],Table15[[#This Row],[Column4]]="",I777*(1+Table15[[#This Row],[Ávöxtun]]))</f>
        <v>108</v>
      </c>
      <c r="L778" s="33">
        <v>108</v>
      </c>
      <c r="M778" s="33">
        <v>108</v>
      </c>
    </row>
    <row r="779" spans="1:13">
      <c r="A779" t="s">
        <v>103</v>
      </c>
      <c r="B779">
        <v>1999</v>
      </c>
      <c r="C779" s="16">
        <v>0.14000000000000001</v>
      </c>
      <c r="D779" s="1">
        <v>12306473.34</v>
      </c>
      <c r="E779" s="29">
        <f>Table15[[#This Row],[Ávöxtun]]*Table15[[#This Row],[Eignir]]/SUMIFS(Table15[Eignir],Table15[Year],Table15[[#This Row],[Year]])</f>
        <v>3.3087210623303038E-3</v>
      </c>
      <c r="F779" s="23">
        <f>IF(B779=1997, 100, IF(COUNTIF(A$1:A778,A779)=0, "NEW", F778*(1+Table15[[#This Row],[Ávöxtun]])))</f>
        <v>123.12000000000002</v>
      </c>
      <c r="G779" s="18" cm="1">
        <f t="array" ref="G779">IFERROR(_xlfn.IFS(ISNUMBER(Table15[[#This Row],[Column3]]),Table15[[#This Row],[Column3]],Table15[[#This Row],[Column3]]="NEW",Table15[[#This Row],[Column3]]),"")</f>
        <v>123.12000000000002</v>
      </c>
      <c r="H779" s="15" cm="1">
        <f t="array" ref="H779">_xlfn.IFS(Table15[[#This Row],[Column4]]="NEW",AVERAGEIFS(Table15[Column4],Table15[Year],Table15[[#This Row],[Year]]),ISNUMBER(Table15[[#This Row],[Column4]]),Table15[[#This Row],[Column4]],Table15[[#This Row],[Column4]]="",H778*(1+Table15[[#This Row],[Ávöxtun]]))</f>
        <v>123.12000000000002</v>
      </c>
      <c r="I779" s="30" cm="1">
        <f t="array" ref="I779">_xlfn.IFS(Table15[[#This Row],[Column4]]="NEW",_xlfn.XLOOKUP(Table15[[#This Row],[Year]]-1,$N$2:$N$27,$P$2:$P$27)*(1+Table15[[#This Row],[Ávöxtun]]),ISNUMBER(Table15[[#This Row],[Column4]]),Table15[[#This Row],[Column4]],Table15[[#This Row],[Column4]]="",I778*(1+Table15[[#This Row],[Ávöxtun]]))</f>
        <v>123.12000000000002</v>
      </c>
      <c r="L779" s="33">
        <v>123.12000000000002</v>
      </c>
      <c r="M779" s="33">
        <v>123.12000000000002</v>
      </c>
    </row>
    <row r="780" spans="1:13">
      <c r="A780" t="s">
        <v>103</v>
      </c>
      <c r="B780">
        <v>2000</v>
      </c>
      <c r="C780" s="16">
        <v>-0.05</v>
      </c>
      <c r="D780" s="1">
        <v>12283009.130000001</v>
      </c>
      <c r="E780" s="29">
        <f>Table15[[#This Row],[Ávöxtun]]*Table15[[#This Row],[Eignir]]/SUMIFS(Table15[Eignir],Table15[Year],Table15[[#This Row],[Year]])</f>
        <v>-8.6391805525736171E-4</v>
      </c>
      <c r="F780" s="23">
        <f>IF(B780=1997, 100, IF(COUNTIF(A$1:A779,A780)=0, "NEW", F779*(1+Table15[[#This Row],[Ávöxtun]])))</f>
        <v>116.96400000000001</v>
      </c>
      <c r="G780" s="18" cm="1">
        <f t="array" ref="G780">IFERROR(_xlfn.IFS(ISNUMBER(Table15[[#This Row],[Column3]]),Table15[[#This Row],[Column3]],Table15[[#This Row],[Column3]]="NEW",Table15[[#This Row],[Column3]]),"")</f>
        <v>116.96400000000001</v>
      </c>
      <c r="H780" s="15" cm="1">
        <f t="array" ref="H780">_xlfn.IFS(Table15[[#This Row],[Column4]]="NEW",AVERAGEIFS(Table15[Column4],Table15[Year],Table15[[#This Row],[Year]]),ISNUMBER(Table15[[#This Row],[Column4]]),Table15[[#This Row],[Column4]],Table15[[#This Row],[Column4]]="",H779*(1+Table15[[#This Row],[Ávöxtun]]))</f>
        <v>116.96400000000001</v>
      </c>
      <c r="I780" s="30" cm="1">
        <f t="array" ref="I780">_xlfn.IFS(Table15[[#This Row],[Column4]]="NEW",_xlfn.XLOOKUP(Table15[[#This Row],[Year]]-1,$N$2:$N$27,$P$2:$P$27)*(1+Table15[[#This Row],[Ávöxtun]]),ISNUMBER(Table15[[#This Row],[Column4]]),Table15[[#This Row],[Column4]],Table15[[#This Row],[Column4]]="",I779*(1+Table15[[#This Row],[Ávöxtun]]))</f>
        <v>116.96400000000001</v>
      </c>
      <c r="L780" s="33">
        <v>116.96400000000001</v>
      </c>
      <c r="M780" s="33">
        <v>116.96400000000001</v>
      </c>
    </row>
    <row r="781" spans="1:13">
      <c r="A781" t="s">
        <v>103</v>
      </c>
      <c r="B781">
        <v>2001</v>
      </c>
      <c r="C781" s="16">
        <v>-0.08</v>
      </c>
      <c r="D781" s="1">
        <v>26445491</v>
      </c>
      <c r="E781" s="29">
        <f>Table15[[#This Row],[Ávöxtun]]*Table15[[#This Row],[Eignir]]/SUMIFS(Table15[Eignir],Table15[Year],Table15[[#This Row],[Year]])</f>
        <v>-1.8271098983114287E-3</v>
      </c>
      <c r="F781" s="23">
        <f>IF(B781=1997, 100, IF(COUNTIF(A$1:A780,A781)=0, "NEW", F780*(1+Table15[[#This Row],[Ávöxtun]])))</f>
        <v>107.60688000000002</v>
      </c>
      <c r="G781" s="18" cm="1">
        <f t="array" ref="G781">IFERROR(_xlfn.IFS(ISNUMBER(Table15[[#This Row],[Column3]]),Table15[[#This Row],[Column3]],Table15[[#This Row],[Column3]]="NEW",Table15[[#This Row],[Column3]]),"")</f>
        <v>107.60688000000002</v>
      </c>
      <c r="H781" s="15" cm="1">
        <f t="array" ref="H781">_xlfn.IFS(Table15[[#This Row],[Column4]]="NEW",AVERAGEIFS(Table15[Column4],Table15[Year],Table15[[#This Row],[Year]]),ISNUMBER(Table15[[#This Row],[Column4]]),Table15[[#This Row],[Column4]],Table15[[#This Row],[Column4]]="",H780*(1+Table15[[#This Row],[Ávöxtun]]))</f>
        <v>107.60688000000002</v>
      </c>
      <c r="I781" s="30" cm="1">
        <f t="array" ref="I781">_xlfn.IFS(Table15[[#This Row],[Column4]]="NEW",_xlfn.XLOOKUP(Table15[[#This Row],[Year]]-1,$N$2:$N$27,$P$2:$P$27)*(1+Table15[[#This Row],[Ávöxtun]]),ISNUMBER(Table15[[#This Row],[Column4]]),Table15[[#This Row],[Column4]],Table15[[#This Row],[Column4]]="",I780*(1+Table15[[#This Row],[Ávöxtun]]))</f>
        <v>107.60688000000002</v>
      </c>
      <c r="L781" s="33">
        <v>107.60688000000002</v>
      </c>
      <c r="M781" s="33">
        <v>107.60688000000002</v>
      </c>
    </row>
    <row r="782" spans="1:13">
      <c r="A782" t="s">
        <v>103</v>
      </c>
      <c r="B782">
        <v>2002</v>
      </c>
      <c r="C782" s="16">
        <v>0.02</v>
      </c>
      <c r="D782" s="1">
        <v>12891022</v>
      </c>
      <c r="E782" s="29">
        <f>Table15[[#This Row],[Ávöxtun]]*Table15[[#This Row],[Eignir]]/SUMIFS(Table15[Eignir],Table15[Year],Table15[[#This Row],[Year]])</f>
        <v>4.0591150780854452E-4</v>
      </c>
      <c r="F782" s="23">
        <f>IF(B782=1997, 100, IF(COUNTIF(A$1:A781,A782)=0, "NEW", F781*(1+Table15[[#This Row],[Ávöxtun]])))</f>
        <v>109.75901760000002</v>
      </c>
      <c r="G782" s="18" cm="1">
        <f t="array" ref="G782">IFERROR(_xlfn.IFS(ISNUMBER(Table15[[#This Row],[Column3]]),Table15[[#This Row],[Column3]],Table15[[#This Row],[Column3]]="NEW",Table15[[#This Row],[Column3]]),"")</f>
        <v>109.75901760000002</v>
      </c>
      <c r="H782" s="15" cm="1">
        <f t="array" ref="H782">_xlfn.IFS(Table15[[#This Row],[Column4]]="NEW",AVERAGEIFS(Table15[Column4],Table15[Year],Table15[[#This Row],[Year]]),ISNUMBER(Table15[[#This Row],[Column4]]),Table15[[#This Row],[Column4]],Table15[[#This Row],[Column4]]="",H781*(1+Table15[[#This Row],[Ávöxtun]]))</f>
        <v>109.75901760000002</v>
      </c>
      <c r="I782" s="30" cm="1">
        <f t="array" ref="I782">_xlfn.IFS(Table15[[#This Row],[Column4]]="NEW",_xlfn.XLOOKUP(Table15[[#This Row],[Year]]-1,$N$2:$N$27,$P$2:$P$27)*(1+Table15[[#This Row],[Ávöxtun]]),ISNUMBER(Table15[[#This Row],[Column4]]),Table15[[#This Row],[Column4]],Table15[[#This Row],[Column4]]="",I781*(1+Table15[[#This Row],[Ávöxtun]]))</f>
        <v>109.75901760000002</v>
      </c>
      <c r="L782" s="33">
        <v>109.75901760000002</v>
      </c>
      <c r="M782" s="33">
        <v>109.75901760000002</v>
      </c>
    </row>
    <row r="783" spans="1:13">
      <c r="A783" t="s">
        <v>103</v>
      </c>
      <c r="B783">
        <v>2003</v>
      </c>
      <c r="C783" s="16">
        <v>0.23</v>
      </c>
      <c r="D783" s="1">
        <v>15142950</v>
      </c>
      <c r="E783" s="29">
        <f>Table15[[#This Row],[Ávöxtun]]*Table15[[#This Row],[Eignir]]/SUMIFS(Table15[Eignir],Table15[Year],Table15[[#This Row],[Year]])</f>
        <v>4.5833898416442007E-3</v>
      </c>
      <c r="F783" s="23">
        <f>IF(B783=1997, 100, IF(COUNTIF(A$1:A782,A783)=0, "NEW", F782*(1+Table15[[#This Row],[Ávöxtun]])))</f>
        <v>135.00359164800003</v>
      </c>
      <c r="G783" s="18" cm="1">
        <f t="array" ref="G783">IFERROR(_xlfn.IFS(ISNUMBER(Table15[[#This Row],[Column3]]),Table15[[#This Row],[Column3]],Table15[[#This Row],[Column3]]="NEW",Table15[[#This Row],[Column3]]),"")</f>
        <v>135.00359164800003</v>
      </c>
      <c r="H783" s="15" cm="1">
        <f t="array" ref="H783">_xlfn.IFS(Table15[[#This Row],[Column4]]="NEW",AVERAGEIFS(Table15[Column4],Table15[Year],Table15[[#This Row],[Year]]),ISNUMBER(Table15[[#This Row],[Column4]]),Table15[[#This Row],[Column4]],Table15[[#This Row],[Column4]]="",H782*(1+Table15[[#This Row],[Ávöxtun]]))</f>
        <v>135.00359164800003</v>
      </c>
      <c r="I783" s="30" cm="1">
        <f t="array" ref="I783">_xlfn.IFS(Table15[[#This Row],[Column4]]="NEW",_xlfn.XLOOKUP(Table15[[#This Row],[Year]]-1,$N$2:$N$27,$P$2:$P$27)*(1+Table15[[#This Row],[Ávöxtun]]),ISNUMBER(Table15[[#This Row],[Column4]]),Table15[[#This Row],[Column4]],Table15[[#This Row],[Column4]]="",I782*(1+Table15[[#This Row],[Ávöxtun]]))</f>
        <v>135.00359164800003</v>
      </c>
      <c r="L783" s="33">
        <v>135.00359164800003</v>
      </c>
      <c r="M783" s="33">
        <v>135.00359164800003</v>
      </c>
    </row>
    <row r="784" spans="1:13">
      <c r="A784" t="s">
        <v>103</v>
      </c>
      <c r="B784">
        <v>2004</v>
      </c>
      <c r="C784" s="16">
        <v>0.12</v>
      </c>
      <c r="D784" s="1">
        <v>17686375</v>
      </c>
      <c r="E784" s="29">
        <f>Table15[[#This Row],[Ávöxtun]]*Table15[[#This Row],[Eignir]]/SUMIFS(Table15[Eignir],Table15[Year],Table15[[#This Row],[Year]])</f>
        <v>2.3382550994060672E-3</v>
      </c>
      <c r="F784" s="23">
        <f>IF(B784=1997, 100, IF(COUNTIF(A$1:A783,A784)=0, "NEW", F783*(1+Table15[[#This Row],[Ávöxtun]])))</f>
        <v>151.20402264576003</v>
      </c>
      <c r="G784" s="18" cm="1">
        <f t="array" ref="G784">IFERROR(_xlfn.IFS(ISNUMBER(Table15[[#This Row],[Column3]]),Table15[[#This Row],[Column3]],Table15[[#This Row],[Column3]]="NEW",Table15[[#This Row],[Column3]]),"")</f>
        <v>151.20402264576003</v>
      </c>
      <c r="H784" s="15" cm="1">
        <f t="array" ref="H784">_xlfn.IFS(Table15[[#This Row],[Column4]]="NEW",AVERAGEIFS(Table15[Column4],Table15[Year],Table15[[#This Row],[Year]]),ISNUMBER(Table15[[#This Row],[Column4]]),Table15[[#This Row],[Column4]],Table15[[#This Row],[Column4]]="",H783*(1+Table15[[#This Row],[Ávöxtun]]))</f>
        <v>151.20402264576003</v>
      </c>
      <c r="I784" s="30" cm="1">
        <f t="array" ref="I784">_xlfn.IFS(Table15[[#This Row],[Column4]]="NEW",_xlfn.XLOOKUP(Table15[[#This Row],[Year]]-1,$N$2:$N$27,$P$2:$P$27)*(1+Table15[[#This Row],[Ávöxtun]]),ISNUMBER(Table15[[#This Row],[Column4]]),Table15[[#This Row],[Column4]],Table15[[#This Row],[Column4]]="",I783*(1+Table15[[#This Row],[Ávöxtun]]))</f>
        <v>151.20402264576003</v>
      </c>
      <c r="L784" s="33">
        <v>151.20402264576003</v>
      </c>
      <c r="M784" s="33">
        <v>151.20402264576003</v>
      </c>
    </row>
    <row r="785" spans="1:13">
      <c r="A785" t="s">
        <v>103</v>
      </c>
      <c r="B785">
        <v>2005</v>
      </c>
      <c r="C785" s="16">
        <v>0.17</v>
      </c>
      <c r="D785" s="1">
        <v>22046933</v>
      </c>
      <c r="E785" s="29">
        <f>Table15[[#This Row],[Ávöxtun]]*Table15[[#This Row],[Eignir]]/SUMIFS(Table15[Eignir],Table15[Year],Table15[[#This Row],[Year]])</f>
        <v>3.3424172512534745E-3</v>
      </c>
      <c r="F785" s="23">
        <f>IF(B785=1997, 100, IF(COUNTIF(A$1:A784,A785)=0, "NEW", F784*(1+Table15[[#This Row],[Ávöxtun]])))</f>
        <v>176.90870649553923</v>
      </c>
      <c r="G785" s="18" cm="1">
        <f t="array" ref="G785">IFERROR(_xlfn.IFS(ISNUMBER(Table15[[#This Row],[Column3]]),Table15[[#This Row],[Column3]],Table15[[#This Row],[Column3]]="NEW",Table15[[#This Row],[Column3]]),"")</f>
        <v>176.90870649553923</v>
      </c>
      <c r="H785" s="15" cm="1">
        <f t="array" ref="H785">_xlfn.IFS(Table15[[#This Row],[Column4]]="NEW",AVERAGEIFS(Table15[Column4],Table15[Year],Table15[[#This Row],[Year]]),ISNUMBER(Table15[[#This Row],[Column4]]),Table15[[#This Row],[Column4]],Table15[[#This Row],[Column4]]="",H784*(1+Table15[[#This Row],[Ávöxtun]]))</f>
        <v>176.90870649553923</v>
      </c>
      <c r="I785" s="30" cm="1">
        <f t="array" ref="I785">_xlfn.IFS(Table15[[#This Row],[Column4]]="NEW",_xlfn.XLOOKUP(Table15[[#This Row],[Year]]-1,$N$2:$N$27,$P$2:$P$27)*(1+Table15[[#This Row],[Ávöxtun]]),ISNUMBER(Table15[[#This Row],[Column4]]),Table15[[#This Row],[Column4]],Table15[[#This Row],[Column4]]="",I784*(1+Table15[[#This Row],[Ávöxtun]]))</f>
        <v>176.90870649553923</v>
      </c>
      <c r="L785" s="33">
        <v>176.90870649553923</v>
      </c>
      <c r="M785" s="33">
        <v>176.90870649553923</v>
      </c>
    </row>
    <row r="786" spans="1:13">
      <c r="A786" t="s">
        <v>103</v>
      </c>
      <c r="B786">
        <v>2006</v>
      </c>
      <c r="C786" s="16">
        <v>9.1700000000000004E-2</v>
      </c>
      <c r="D786" s="1">
        <v>26236169</v>
      </c>
      <c r="E786" s="29">
        <f>Table15[[#This Row],[Ávöxtun]]*Table15[[#This Row],[Eignir]]/SUMIFS(Table15[Eignir],Table15[Year],Table15[[#This Row],[Year]])</f>
        <v>1.752676762953264E-3</v>
      </c>
      <c r="F786" s="23">
        <f>IF(B786=1997, 100, IF(COUNTIF(A$1:A785,A786)=0, "NEW", F785*(1+Table15[[#This Row],[Ávöxtun]])))</f>
        <v>193.13123488118018</v>
      </c>
      <c r="G786" s="18" cm="1">
        <f t="array" ref="G786">IFERROR(_xlfn.IFS(ISNUMBER(Table15[[#This Row],[Column3]]),Table15[[#This Row],[Column3]],Table15[[#This Row],[Column3]]="NEW",Table15[[#This Row],[Column3]]),"")</f>
        <v>193.13123488118018</v>
      </c>
      <c r="H786" s="15" cm="1">
        <f t="array" ref="H786">_xlfn.IFS(Table15[[#This Row],[Column4]]="NEW",AVERAGEIFS(Table15[Column4],Table15[Year],Table15[[#This Row],[Year]]),ISNUMBER(Table15[[#This Row],[Column4]]),Table15[[#This Row],[Column4]],Table15[[#This Row],[Column4]]="",H785*(1+Table15[[#This Row],[Ávöxtun]]))</f>
        <v>193.13123488118018</v>
      </c>
      <c r="I786" s="30" cm="1">
        <f t="array" ref="I786">_xlfn.IFS(Table15[[#This Row],[Column4]]="NEW",_xlfn.XLOOKUP(Table15[[#This Row],[Year]]-1,$N$2:$N$27,$P$2:$P$27)*(1+Table15[[#This Row],[Ávöxtun]]),ISNUMBER(Table15[[#This Row],[Column4]]),Table15[[#This Row],[Column4]],Table15[[#This Row],[Column4]]="",I785*(1+Table15[[#This Row],[Ávöxtun]]))</f>
        <v>193.13123488118018</v>
      </c>
      <c r="L786" s="33">
        <v>193.13123488118018</v>
      </c>
      <c r="M786" s="33">
        <v>193.13123488118018</v>
      </c>
    </row>
    <row r="787" spans="1:13">
      <c r="A787" t="s">
        <v>103</v>
      </c>
      <c r="B787">
        <v>2007</v>
      </c>
      <c r="C787" s="16">
        <v>-4.0000000000000001E-3</v>
      </c>
      <c r="D787" s="1">
        <v>27428205</v>
      </c>
      <c r="E787" s="29">
        <f>Table15[[#This Row],[Ávöxtun]]*Table15[[#This Row],[Eignir]]/SUMIFS(Table15[Eignir],Table15[Year],Table15[[#This Row],[Year]])</f>
        <v>-7.0946878047164377E-5</v>
      </c>
      <c r="F787" s="23">
        <f>IF(B787=1997, 100, IF(COUNTIF(A$1:A786,A787)=0, "NEW", F786*(1+Table15[[#This Row],[Ávöxtun]])))</f>
        <v>192.35870994165546</v>
      </c>
      <c r="G787" s="18" cm="1">
        <f t="array" ref="G787">IFERROR(_xlfn.IFS(ISNUMBER(Table15[[#This Row],[Column3]]),Table15[[#This Row],[Column3]],Table15[[#This Row],[Column3]]="NEW",Table15[[#This Row],[Column3]]),"")</f>
        <v>192.35870994165546</v>
      </c>
      <c r="H787" s="15" cm="1">
        <f t="array" ref="H787">_xlfn.IFS(Table15[[#This Row],[Column4]]="NEW",AVERAGEIFS(Table15[Column4],Table15[Year],Table15[[#This Row],[Year]]),ISNUMBER(Table15[[#This Row],[Column4]]),Table15[[#This Row],[Column4]],Table15[[#This Row],[Column4]]="",H786*(1+Table15[[#This Row],[Ávöxtun]]))</f>
        <v>192.35870994165546</v>
      </c>
      <c r="I787" s="30" cm="1">
        <f t="array" ref="I787">_xlfn.IFS(Table15[[#This Row],[Column4]]="NEW",_xlfn.XLOOKUP(Table15[[#This Row],[Year]]-1,$N$2:$N$27,$P$2:$P$27)*(1+Table15[[#This Row],[Ávöxtun]]),ISNUMBER(Table15[[#This Row],[Column4]]),Table15[[#This Row],[Column4]],Table15[[#This Row],[Column4]]="",I786*(1+Table15[[#This Row],[Ávöxtun]]))</f>
        <v>192.35870994165546</v>
      </c>
      <c r="L787" s="33">
        <v>192.35870994165546</v>
      </c>
      <c r="M787" s="33">
        <v>192.35870994165546</v>
      </c>
    </row>
    <row r="788" spans="1:13">
      <c r="A788" t="s">
        <v>103</v>
      </c>
      <c r="B788">
        <v>2008</v>
      </c>
      <c r="C788" s="16">
        <v>-0.29699999999999999</v>
      </c>
      <c r="D788" s="1">
        <v>23383264</v>
      </c>
      <c r="E788" s="29">
        <f>Table15[[#This Row],[Ávöxtun]]*Table15[[#This Row],[Eignir]]/SUMIFS(Table15[Eignir],Table15[Year],Table15[[#This Row],[Year]])</f>
        <v>-4.6381796402244577E-3</v>
      </c>
      <c r="F788" s="23">
        <f>IF(B788=1997, 100, IF(COUNTIF(A$1:A787,A788)=0, "NEW", F787*(1+Table15[[#This Row],[Ávöxtun]])))</f>
        <v>135.22817308898379</v>
      </c>
      <c r="G788" s="18" cm="1">
        <f t="array" ref="G788">IFERROR(_xlfn.IFS(ISNUMBER(Table15[[#This Row],[Column3]]),Table15[[#This Row],[Column3]],Table15[[#This Row],[Column3]]="NEW",Table15[[#This Row],[Column3]]),"")</f>
        <v>135.22817308898379</v>
      </c>
      <c r="H788" s="15" cm="1">
        <f t="array" ref="H788">_xlfn.IFS(Table15[[#This Row],[Column4]]="NEW",AVERAGEIFS(Table15[Column4],Table15[Year],Table15[[#This Row],[Year]]),ISNUMBER(Table15[[#This Row],[Column4]]),Table15[[#This Row],[Column4]],Table15[[#This Row],[Column4]]="",H787*(1+Table15[[#This Row],[Ávöxtun]]))</f>
        <v>135.22817308898379</v>
      </c>
      <c r="I788" s="30" cm="1">
        <f t="array" ref="I788">_xlfn.IFS(Table15[[#This Row],[Column4]]="NEW",_xlfn.XLOOKUP(Table15[[#This Row],[Year]]-1,$N$2:$N$27,$P$2:$P$27)*(1+Table15[[#This Row],[Ávöxtun]]),ISNUMBER(Table15[[#This Row],[Column4]]),Table15[[#This Row],[Column4]],Table15[[#This Row],[Column4]]="",I787*(1+Table15[[#This Row],[Ávöxtun]]))</f>
        <v>135.22817308898379</v>
      </c>
      <c r="L788" s="33">
        <v>135.22817308898379</v>
      </c>
      <c r="M788" s="33">
        <v>135.22817308898379</v>
      </c>
    </row>
    <row r="789" spans="1:13">
      <c r="A789" t="s">
        <v>103</v>
      </c>
      <c r="B789">
        <v>2009</v>
      </c>
      <c r="C789" s="16">
        <v>2.0999999999999999E-3</v>
      </c>
      <c r="D789" s="1">
        <v>25585503</v>
      </c>
      <c r="E789" s="29">
        <f>Table15[[#This Row],[Ávöxtun]]*Table15[[#This Row],[Eignir]]/SUMIFS(Table15[Eignir],Table15[Year],Table15[[#This Row],[Year]])</f>
        <v>3.2206975660904779E-5</v>
      </c>
      <c r="F789" s="23">
        <f>IF(B789=1997, 100, IF(COUNTIF(A$1:A788,A789)=0, "NEW", F788*(1+Table15[[#This Row],[Ávöxtun]])))</f>
        <v>135.51215225247066</v>
      </c>
      <c r="G789" s="18" cm="1">
        <f t="array" ref="G789">IFERROR(_xlfn.IFS(ISNUMBER(Table15[[#This Row],[Column3]]),Table15[[#This Row],[Column3]],Table15[[#This Row],[Column3]]="NEW",Table15[[#This Row],[Column3]]),"")</f>
        <v>135.51215225247066</v>
      </c>
      <c r="H789" s="15" cm="1">
        <f t="array" ref="H789">_xlfn.IFS(Table15[[#This Row],[Column4]]="NEW",AVERAGEIFS(Table15[Column4],Table15[Year],Table15[[#This Row],[Year]]),ISNUMBER(Table15[[#This Row],[Column4]]),Table15[[#This Row],[Column4]],Table15[[#This Row],[Column4]]="",H788*(1+Table15[[#This Row],[Ávöxtun]]))</f>
        <v>135.51215225247066</v>
      </c>
      <c r="I789" s="30" cm="1">
        <f t="array" ref="I789">_xlfn.IFS(Table15[[#This Row],[Column4]]="NEW",_xlfn.XLOOKUP(Table15[[#This Row],[Year]]-1,$N$2:$N$27,$P$2:$P$27)*(1+Table15[[#This Row],[Ávöxtun]]),ISNUMBER(Table15[[#This Row],[Column4]]),Table15[[#This Row],[Column4]],Table15[[#This Row],[Column4]]="",I788*(1+Table15[[#This Row],[Ávöxtun]]))</f>
        <v>135.51215225247066</v>
      </c>
      <c r="L789" s="33">
        <v>135.51215225247066</v>
      </c>
      <c r="M789" s="33">
        <v>135.51215225247066</v>
      </c>
    </row>
    <row r="790" spans="1:13">
      <c r="A790" t="s">
        <v>103</v>
      </c>
      <c r="B790">
        <v>2010</v>
      </c>
      <c r="C790" s="16">
        <v>2.2100000000000002E-2</v>
      </c>
      <c r="D790" s="1">
        <v>27391200</v>
      </c>
      <c r="E790" s="29">
        <f>Table15[[#This Row],[Ávöxtun]]*Table15[[#This Row],[Eignir]]/SUMIFS(Table15[Eignir],Table15[Year],Table15[[#This Row],[Year]])</f>
        <v>3.386005543853068E-4</v>
      </c>
      <c r="F790" s="23">
        <f>IF(B790=1997, 100, IF(COUNTIF(A$1:A789,A790)=0, "NEW", F789*(1+Table15[[#This Row],[Ávöxtun]])))</f>
        <v>138.50697081725025</v>
      </c>
      <c r="G790" s="18" cm="1">
        <f t="array" ref="G790">IFERROR(_xlfn.IFS(ISNUMBER(Table15[[#This Row],[Column3]]),Table15[[#This Row],[Column3]],Table15[[#This Row],[Column3]]="NEW",Table15[[#This Row],[Column3]]),"")</f>
        <v>138.50697081725025</v>
      </c>
      <c r="H790" s="15" cm="1">
        <f t="array" ref="H790">_xlfn.IFS(Table15[[#This Row],[Column4]]="NEW",AVERAGEIFS(Table15[Column4],Table15[Year],Table15[[#This Row],[Year]]),ISNUMBER(Table15[[#This Row],[Column4]]),Table15[[#This Row],[Column4]],Table15[[#This Row],[Column4]]="",H789*(1+Table15[[#This Row],[Ávöxtun]]))</f>
        <v>138.50697081725025</v>
      </c>
      <c r="I790" s="30" cm="1">
        <f t="array" ref="I790">_xlfn.IFS(Table15[[#This Row],[Column4]]="NEW",_xlfn.XLOOKUP(Table15[[#This Row],[Year]]-1,$N$2:$N$27,$P$2:$P$27)*(1+Table15[[#This Row],[Ávöxtun]]),ISNUMBER(Table15[[#This Row],[Column4]]),Table15[[#This Row],[Column4]],Table15[[#This Row],[Column4]]="",I789*(1+Table15[[#This Row],[Ávöxtun]]))</f>
        <v>138.50697081725025</v>
      </c>
      <c r="L790" s="33">
        <v>138.50697081725025</v>
      </c>
      <c r="M790" s="33">
        <v>138.50697081725025</v>
      </c>
    </row>
    <row r="791" spans="1:13">
      <c r="A791" t="s">
        <v>103</v>
      </c>
      <c r="B791">
        <v>2011</v>
      </c>
      <c r="C791" s="16">
        <v>-5.0000000000000001E-3</v>
      </c>
      <c r="D791" s="1">
        <v>27877764</v>
      </c>
      <c r="E791" s="29">
        <f>Table15[[#This Row],[Ávöxtun]]*Table15[[#This Row],[Eignir]]/SUMIFS(Table15[Eignir],Table15[Year],Table15[[#This Row],[Year]])</f>
        <v>-7.1460966613507508E-5</v>
      </c>
      <c r="F791" s="23">
        <f>IF(B791=1997, 100, IF(COUNTIF(A$1:A790,A791)=0, "NEW", F790*(1+Table15[[#This Row],[Ávöxtun]])))</f>
        <v>137.81443596316399</v>
      </c>
      <c r="G791" s="18" cm="1">
        <f t="array" ref="G791">IFERROR(_xlfn.IFS(ISNUMBER(Table15[[#This Row],[Column3]]),Table15[[#This Row],[Column3]],Table15[[#This Row],[Column3]]="NEW",Table15[[#This Row],[Column3]]),"")</f>
        <v>137.81443596316399</v>
      </c>
      <c r="H791" s="15" cm="1">
        <f t="array" ref="H791">_xlfn.IFS(Table15[[#This Row],[Column4]]="NEW",AVERAGEIFS(Table15[Column4],Table15[Year],Table15[[#This Row],[Year]]),ISNUMBER(Table15[[#This Row],[Column4]]),Table15[[#This Row],[Column4]],Table15[[#This Row],[Column4]]="",H790*(1+Table15[[#This Row],[Ávöxtun]]))</f>
        <v>137.81443596316399</v>
      </c>
      <c r="I791" s="30" cm="1">
        <f t="array" ref="I791">_xlfn.IFS(Table15[[#This Row],[Column4]]="NEW",_xlfn.XLOOKUP(Table15[[#This Row],[Year]]-1,$N$2:$N$27,$P$2:$P$27)*(1+Table15[[#This Row],[Ávöxtun]]),ISNUMBER(Table15[[#This Row],[Column4]]),Table15[[#This Row],[Column4]],Table15[[#This Row],[Column4]]="",I790*(1+Table15[[#This Row],[Ávöxtun]]))</f>
        <v>137.81443596316399</v>
      </c>
      <c r="L791" s="33">
        <v>137.81443596316399</v>
      </c>
      <c r="M791" s="33">
        <v>137.81443596316399</v>
      </c>
    </row>
    <row r="792" spans="1:13">
      <c r="A792" t="s">
        <v>103</v>
      </c>
      <c r="B792">
        <v>2012</v>
      </c>
      <c r="C792" s="16">
        <v>6.8000000000000005E-2</v>
      </c>
      <c r="D792" s="1">
        <v>31293975</v>
      </c>
      <c r="E792" s="29">
        <f>Table15[[#This Row],[Ávöxtun]]*Table15[[#This Row],[Eignir]]/SUMIFS(Table15[Eignir],Table15[Year],Table15[[#This Row],[Year]])</f>
        <v>9.6601995474480051E-4</v>
      </c>
      <c r="F792" s="23">
        <f>IF(B792=1997, 100, IF(COUNTIF(A$1:A791,A792)=0, "NEW", F791*(1+Table15[[#This Row],[Ávöxtun]])))</f>
        <v>147.18581760865914</v>
      </c>
      <c r="G792" s="18" cm="1">
        <f t="array" ref="G792">IFERROR(_xlfn.IFS(ISNUMBER(Table15[[#This Row],[Column3]]),Table15[[#This Row],[Column3]],Table15[[#This Row],[Column3]]="NEW",Table15[[#This Row],[Column3]]),"")</f>
        <v>147.18581760865914</v>
      </c>
      <c r="H792" s="15" cm="1">
        <f t="array" ref="H792">_xlfn.IFS(Table15[[#This Row],[Column4]]="NEW",AVERAGEIFS(Table15[Column4],Table15[Year],Table15[[#This Row],[Year]]),ISNUMBER(Table15[[#This Row],[Column4]]),Table15[[#This Row],[Column4]],Table15[[#This Row],[Column4]]="",H791*(1+Table15[[#This Row],[Ávöxtun]]))</f>
        <v>147.18581760865914</v>
      </c>
      <c r="I792" s="30" cm="1">
        <f t="array" ref="I792">_xlfn.IFS(Table15[[#This Row],[Column4]]="NEW",_xlfn.XLOOKUP(Table15[[#This Row],[Year]]-1,$N$2:$N$27,$P$2:$P$27)*(1+Table15[[#This Row],[Ávöxtun]]),ISNUMBER(Table15[[#This Row],[Column4]]),Table15[[#This Row],[Column4]],Table15[[#This Row],[Column4]]="",I791*(1+Table15[[#This Row],[Ávöxtun]]))</f>
        <v>147.18581760865914</v>
      </c>
      <c r="L792" s="33">
        <v>147.18581760865914</v>
      </c>
      <c r="M792" s="33">
        <v>147.18581760865914</v>
      </c>
    </row>
    <row r="793" spans="1:13">
      <c r="A793" t="s">
        <v>103</v>
      </c>
      <c r="B793">
        <v>2013</v>
      </c>
      <c r="C793" s="16">
        <v>4.5999999999999999E-2</v>
      </c>
      <c r="D793" s="1">
        <v>34070511</v>
      </c>
      <c r="E793" s="29">
        <f>Table15[[#This Row],[Ávöxtun]]*Table15[[#This Row],[Eignir]]/SUMIFS(Table15[Eignir],Table15[Year],Table15[[#This Row],[Year]])</f>
        <v>6.4400751460626606E-4</v>
      </c>
      <c r="F793" s="23">
        <f>IF(B793=1997, 100, IF(COUNTIF(A$1:A792,A793)=0, "NEW", F792*(1+Table15[[#This Row],[Ávöxtun]])))</f>
        <v>153.95636521865745</v>
      </c>
      <c r="G793" s="18" cm="1">
        <f t="array" ref="G793">IFERROR(_xlfn.IFS(ISNUMBER(Table15[[#This Row],[Column3]]),Table15[[#This Row],[Column3]],Table15[[#This Row],[Column3]]="NEW",Table15[[#This Row],[Column3]]),"")</f>
        <v>153.95636521865745</v>
      </c>
      <c r="H793" s="15" cm="1">
        <f t="array" ref="H793">_xlfn.IFS(Table15[[#This Row],[Column4]]="NEW",AVERAGEIFS(Table15[Column4],Table15[Year],Table15[[#This Row],[Year]]),ISNUMBER(Table15[[#This Row],[Column4]]),Table15[[#This Row],[Column4]],Table15[[#This Row],[Column4]]="",H792*(1+Table15[[#This Row],[Ávöxtun]]))</f>
        <v>153.95636521865745</v>
      </c>
      <c r="I793" s="30" cm="1">
        <f t="array" ref="I793">_xlfn.IFS(Table15[[#This Row],[Column4]]="NEW",_xlfn.XLOOKUP(Table15[[#This Row],[Year]]-1,$N$2:$N$27,$P$2:$P$27)*(1+Table15[[#This Row],[Ávöxtun]]),ISNUMBER(Table15[[#This Row],[Column4]]),Table15[[#This Row],[Column4]],Table15[[#This Row],[Column4]]="",I792*(1+Table15[[#This Row],[Ávöxtun]]))</f>
        <v>153.95636521865745</v>
      </c>
      <c r="L793" s="33">
        <v>153.95636521865745</v>
      </c>
      <c r="M793" s="33">
        <v>153.95636521865745</v>
      </c>
    </row>
    <row r="794" spans="1:13">
      <c r="A794" t="s">
        <v>103</v>
      </c>
      <c r="B794">
        <v>2014</v>
      </c>
      <c r="C794" s="16">
        <v>7.8E-2</v>
      </c>
      <c r="D794" s="1">
        <v>37131083</v>
      </c>
      <c r="E794" s="29">
        <f>Table15[[#This Row],[Ávöxtun]]*Table15[[#This Row],[Eignir]]/SUMIFS(Table15[Eignir],Table15[Year],Table15[[#This Row],[Year]])</f>
        <v>1.0916714334760521E-3</v>
      </c>
      <c r="F794" s="23">
        <f>IF(B794=1997, 100, IF(COUNTIF(A$1:A793,A794)=0, "NEW", F793*(1+Table15[[#This Row],[Ávöxtun]])))</f>
        <v>165.96496170571274</v>
      </c>
      <c r="G794" s="18" cm="1">
        <f t="array" ref="G794">IFERROR(_xlfn.IFS(ISNUMBER(Table15[[#This Row],[Column3]]),Table15[[#This Row],[Column3]],Table15[[#This Row],[Column3]]="NEW",Table15[[#This Row],[Column3]]),"")</f>
        <v>165.96496170571274</v>
      </c>
      <c r="H794" s="15" cm="1">
        <f t="array" ref="H794">_xlfn.IFS(Table15[[#This Row],[Column4]]="NEW",AVERAGEIFS(Table15[Column4],Table15[Year],Table15[[#This Row],[Year]]),ISNUMBER(Table15[[#This Row],[Column4]]),Table15[[#This Row],[Column4]],Table15[[#This Row],[Column4]]="",H793*(1+Table15[[#This Row],[Ávöxtun]]))</f>
        <v>165.96496170571274</v>
      </c>
      <c r="I794" s="30" cm="1">
        <f t="array" ref="I794">_xlfn.IFS(Table15[[#This Row],[Column4]]="NEW",_xlfn.XLOOKUP(Table15[[#This Row],[Year]]-1,$N$2:$N$27,$P$2:$P$27)*(1+Table15[[#This Row],[Ávöxtun]]),ISNUMBER(Table15[[#This Row],[Column4]]),Table15[[#This Row],[Column4]],Table15[[#This Row],[Column4]]="",I793*(1+Table15[[#This Row],[Ávöxtun]]))</f>
        <v>165.96496170571274</v>
      </c>
      <c r="L794" s="33">
        <v>165.96496170571274</v>
      </c>
      <c r="M794" s="33">
        <v>165.96496170571274</v>
      </c>
    </row>
    <row r="795" spans="1:13">
      <c r="A795" t="s">
        <v>104</v>
      </c>
      <c r="B795">
        <v>1997</v>
      </c>
      <c r="C795" s="16">
        <v>7.0000000000000007E-2</v>
      </c>
      <c r="D795" s="1">
        <v>6939615.0499999998</v>
      </c>
      <c r="E795" s="29">
        <f>Table15[[#This Row],[Ávöxtun]]*Table15[[#This Row],[Eignir]]/SUMIFS(Table15[Eignir],Table15[Year],Table15[[#This Row],[Year]])</f>
        <v>1.4328517485077579E-3</v>
      </c>
      <c r="F795" s="23">
        <f>IF(B795=1997, 100, IF(COUNTIF(A$1:A794,A795)=0, "NEW", F794*(1+Table15[[#This Row],[Ávöxtun]])))</f>
        <v>100</v>
      </c>
      <c r="G795" s="18" cm="1">
        <f t="array" ref="G795">IFERROR(_xlfn.IFS(ISNUMBER(Table15[[#This Row],[Column3]]),Table15[[#This Row],[Column3]],Table15[[#This Row],[Column3]]="NEW",Table15[[#This Row],[Column3]]),"")</f>
        <v>100</v>
      </c>
      <c r="H795" s="15" cm="1">
        <f t="array" ref="H795">_xlfn.IFS(Table15[[#This Row],[Column4]]="NEW",AVERAGEIFS(Table15[Column4],Table15[Year],Table15[[#This Row],[Year]]),ISNUMBER(Table15[[#This Row],[Column4]]),Table15[[#This Row],[Column4]],Table15[[#This Row],[Column4]]="",H794*(1+Table15[[#This Row],[Ávöxtun]]))</f>
        <v>100</v>
      </c>
      <c r="I795" s="30" cm="1">
        <f t="array" ref="I795">_xlfn.IFS(Table15[[#This Row],[Column4]]="NEW",_xlfn.XLOOKUP(Table15[[#This Row],[Year]]-1,$N$2:$N$27,$P$2:$P$27)*(1+Table15[[#This Row],[Ávöxtun]]),ISNUMBER(Table15[[#This Row],[Column4]]),Table15[[#This Row],[Column4]],Table15[[#This Row],[Column4]]="",I794*(1+Table15[[#This Row],[Ávöxtun]]))</f>
        <v>100</v>
      </c>
      <c r="L795" s="33">
        <v>100</v>
      </c>
      <c r="M795" s="33">
        <v>100</v>
      </c>
    </row>
    <row r="796" spans="1:13">
      <c r="A796" t="s">
        <v>104</v>
      </c>
      <c r="B796">
        <v>1998</v>
      </c>
      <c r="C796" s="16">
        <v>7.0000000000000007E-2</v>
      </c>
      <c r="D796" s="1">
        <v>7751463.6600000001</v>
      </c>
      <c r="E796" s="29">
        <f>Table15[[#This Row],[Ávöxtun]]*Table15[[#This Row],[Eignir]]/SUMIFS(Table15[Eignir],Table15[Year],Table15[[#This Row],[Year]])</f>
        <v>1.3854803062982972E-3</v>
      </c>
      <c r="F796" s="23">
        <f>IF(B796=1997, 100, IF(COUNTIF(A$1:A795,A796)=0, "NEW", F795*(1+Table15[[#This Row],[Ávöxtun]])))</f>
        <v>107</v>
      </c>
      <c r="G796" s="18" cm="1">
        <f t="array" ref="G796">IFERROR(_xlfn.IFS(ISNUMBER(Table15[[#This Row],[Column3]]),Table15[[#This Row],[Column3]],Table15[[#This Row],[Column3]]="NEW",Table15[[#This Row],[Column3]]),"")</f>
        <v>107</v>
      </c>
      <c r="H796" s="15" cm="1">
        <f t="array" ref="H796">_xlfn.IFS(Table15[[#This Row],[Column4]]="NEW",AVERAGEIFS(Table15[Column4],Table15[Year],Table15[[#This Row],[Year]]),ISNUMBER(Table15[[#This Row],[Column4]]),Table15[[#This Row],[Column4]],Table15[[#This Row],[Column4]]="",H795*(1+Table15[[#This Row],[Ávöxtun]]))</f>
        <v>107</v>
      </c>
      <c r="I796" s="30" cm="1">
        <f t="array" ref="I796">_xlfn.IFS(Table15[[#This Row],[Column4]]="NEW",_xlfn.XLOOKUP(Table15[[#This Row],[Year]]-1,$N$2:$N$27,$P$2:$P$27)*(1+Table15[[#This Row],[Ávöxtun]]),ISNUMBER(Table15[[#This Row],[Column4]]),Table15[[#This Row],[Column4]],Table15[[#This Row],[Column4]]="",I795*(1+Table15[[#This Row],[Ávöxtun]]))</f>
        <v>107</v>
      </c>
      <c r="L796" s="33">
        <v>107</v>
      </c>
      <c r="M796" s="33">
        <v>107</v>
      </c>
    </row>
    <row r="797" spans="1:13">
      <c r="A797" t="s">
        <v>104</v>
      </c>
      <c r="B797">
        <v>1999</v>
      </c>
      <c r="C797" s="16">
        <v>0.13</v>
      </c>
      <c r="D797" s="1">
        <v>9456775.3900000006</v>
      </c>
      <c r="E797" s="29">
        <f>Table15[[#This Row],[Ávöxtun]]*Table15[[#This Row],[Eignir]]/SUMIFS(Table15[Eignir],Table15[Year],Table15[[#This Row],[Year]])</f>
        <v>2.3609398987019989E-3</v>
      </c>
      <c r="F797" s="23">
        <f>IF(B797=1997, 100, IF(COUNTIF(A$1:A796,A797)=0, "NEW", F796*(1+Table15[[#This Row],[Ávöxtun]])))</f>
        <v>120.90999999999998</v>
      </c>
      <c r="G797" s="18" cm="1">
        <f t="array" ref="G797">IFERROR(_xlfn.IFS(ISNUMBER(Table15[[#This Row],[Column3]]),Table15[[#This Row],[Column3]],Table15[[#This Row],[Column3]]="NEW",Table15[[#This Row],[Column3]]),"")</f>
        <v>120.90999999999998</v>
      </c>
      <c r="H797" s="15" cm="1">
        <f t="array" ref="H797">_xlfn.IFS(Table15[[#This Row],[Column4]]="NEW",AVERAGEIFS(Table15[Column4],Table15[Year],Table15[[#This Row],[Year]]),ISNUMBER(Table15[[#This Row],[Column4]]),Table15[[#This Row],[Column4]],Table15[[#This Row],[Column4]]="",H796*(1+Table15[[#This Row],[Ávöxtun]]))</f>
        <v>120.90999999999998</v>
      </c>
      <c r="I797" s="30" cm="1">
        <f t="array" ref="I797">_xlfn.IFS(Table15[[#This Row],[Column4]]="NEW",_xlfn.XLOOKUP(Table15[[#This Row],[Year]]-1,$N$2:$N$27,$P$2:$P$27)*(1+Table15[[#This Row],[Ávöxtun]]),ISNUMBER(Table15[[#This Row],[Column4]]),Table15[[#This Row],[Column4]],Table15[[#This Row],[Column4]]="",I796*(1+Table15[[#This Row],[Ávöxtun]]))</f>
        <v>120.90999999999998</v>
      </c>
      <c r="L797" s="33">
        <v>120.90999999999998</v>
      </c>
      <c r="M797" s="33">
        <v>120.90999999999998</v>
      </c>
    </row>
    <row r="798" spans="1:13">
      <c r="A798" t="s">
        <v>104</v>
      </c>
      <c r="B798">
        <v>2000</v>
      </c>
      <c r="C798" s="16">
        <v>0</v>
      </c>
      <c r="D798" s="1">
        <v>10051419.9</v>
      </c>
      <c r="E798" s="29">
        <f>Table15[[#This Row],[Ávöxtun]]*Table15[[#This Row],[Eignir]]/SUMIFS(Table15[Eignir],Table15[Year],Table15[[#This Row],[Year]])</f>
        <v>0</v>
      </c>
      <c r="F798" s="23">
        <f>IF(B798=1997, 100, IF(COUNTIF(A$1:A797,A798)=0, "NEW", F797*(1+Table15[[#This Row],[Ávöxtun]])))</f>
        <v>120.90999999999998</v>
      </c>
      <c r="G798" s="18" cm="1">
        <f t="array" ref="G798">IFERROR(_xlfn.IFS(ISNUMBER(Table15[[#This Row],[Column3]]),Table15[[#This Row],[Column3]],Table15[[#This Row],[Column3]]="NEW",Table15[[#This Row],[Column3]]),"")</f>
        <v>120.90999999999998</v>
      </c>
      <c r="H798" s="15" cm="1">
        <f t="array" ref="H798">_xlfn.IFS(Table15[[#This Row],[Column4]]="NEW",AVERAGEIFS(Table15[Column4],Table15[Year],Table15[[#This Row],[Year]]),ISNUMBER(Table15[[#This Row],[Column4]]),Table15[[#This Row],[Column4]],Table15[[#This Row],[Column4]]="",H797*(1+Table15[[#This Row],[Ávöxtun]]))</f>
        <v>120.90999999999998</v>
      </c>
      <c r="I798" s="30" cm="1">
        <f t="array" ref="I798">_xlfn.IFS(Table15[[#This Row],[Column4]]="NEW",_xlfn.XLOOKUP(Table15[[#This Row],[Year]]-1,$N$2:$N$27,$P$2:$P$27)*(1+Table15[[#This Row],[Ávöxtun]]),ISNUMBER(Table15[[#This Row],[Column4]]),Table15[[#This Row],[Column4]],Table15[[#This Row],[Column4]]="",I797*(1+Table15[[#This Row],[Ávöxtun]]))</f>
        <v>120.90999999999998</v>
      </c>
      <c r="L798" s="33">
        <v>120.90999999999998</v>
      </c>
      <c r="M798" s="33">
        <v>120.90999999999998</v>
      </c>
    </row>
    <row r="799" spans="1:13">
      <c r="A799" t="s">
        <v>104</v>
      </c>
      <c r="B799">
        <v>2001</v>
      </c>
      <c r="C799" s="16">
        <v>-0.04</v>
      </c>
      <c r="D799" s="1">
        <v>21872806</v>
      </c>
      <c r="E799" s="29">
        <f>Table15[[#This Row],[Ávöxtun]]*Table15[[#This Row],[Eignir]]/SUMIFS(Table15[Eignir],Table15[Year],Table15[[#This Row],[Year]])</f>
        <v>-7.5559233039850925E-4</v>
      </c>
      <c r="F799" s="23">
        <f>IF(B799=1997, 100, IF(COUNTIF(A$1:A798,A799)=0, "NEW", F798*(1+Table15[[#This Row],[Ávöxtun]])))</f>
        <v>116.07359999999998</v>
      </c>
      <c r="G799" s="18" cm="1">
        <f t="array" ref="G799">IFERROR(_xlfn.IFS(ISNUMBER(Table15[[#This Row],[Column3]]),Table15[[#This Row],[Column3]],Table15[[#This Row],[Column3]]="NEW",Table15[[#This Row],[Column3]]),"")</f>
        <v>116.07359999999998</v>
      </c>
      <c r="H799" s="15" cm="1">
        <f t="array" ref="H799">_xlfn.IFS(Table15[[#This Row],[Column4]]="NEW",AVERAGEIFS(Table15[Column4],Table15[Year],Table15[[#This Row],[Year]]),ISNUMBER(Table15[[#This Row],[Column4]]),Table15[[#This Row],[Column4]],Table15[[#This Row],[Column4]]="",H798*(1+Table15[[#This Row],[Ávöxtun]]))</f>
        <v>116.07359999999998</v>
      </c>
      <c r="I799" s="30" cm="1">
        <f t="array" ref="I799">_xlfn.IFS(Table15[[#This Row],[Column4]]="NEW",_xlfn.XLOOKUP(Table15[[#This Row],[Year]]-1,$N$2:$N$27,$P$2:$P$27)*(1+Table15[[#This Row],[Ávöxtun]]),ISNUMBER(Table15[[#This Row],[Column4]]),Table15[[#This Row],[Column4]],Table15[[#This Row],[Column4]]="",I798*(1+Table15[[#This Row],[Ávöxtun]]))</f>
        <v>116.07359999999998</v>
      </c>
      <c r="L799" s="33">
        <v>116.07359999999998</v>
      </c>
      <c r="M799" s="33">
        <v>116.07359999999998</v>
      </c>
    </row>
    <row r="800" spans="1:13">
      <c r="A800" t="s">
        <v>104</v>
      </c>
      <c r="B800">
        <v>2002</v>
      </c>
      <c r="C800" s="16">
        <v>0</v>
      </c>
      <c r="D800" s="1">
        <v>11334092.699999999</v>
      </c>
      <c r="E800" s="29">
        <f>Table15[[#This Row],[Ávöxtun]]*Table15[[#This Row],[Eignir]]/SUMIFS(Table15[Eignir],Table15[Year],Table15[[#This Row],[Year]])</f>
        <v>0</v>
      </c>
      <c r="F800" s="23">
        <f>IF(B800=1997, 100, IF(COUNTIF(A$1:A799,A800)=0, "NEW", F799*(1+Table15[[#This Row],[Ávöxtun]])))</f>
        <v>116.07359999999998</v>
      </c>
      <c r="G800" s="18" cm="1">
        <f t="array" ref="G800">IFERROR(_xlfn.IFS(ISNUMBER(Table15[[#This Row],[Column3]]),Table15[[#This Row],[Column3]],Table15[[#This Row],[Column3]]="NEW",Table15[[#This Row],[Column3]]),"")</f>
        <v>116.07359999999998</v>
      </c>
      <c r="H800" s="15" cm="1">
        <f t="array" ref="H800">_xlfn.IFS(Table15[[#This Row],[Column4]]="NEW",AVERAGEIFS(Table15[Column4],Table15[Year],Table15[[#This Row],[Year]]),ISNUMBER(Table15[[#This Row],[Column4]]),Table15[[#This Row],[Column4]],Table15[[#This Row],[Column4]]="",H799*(1+Table15[[#This Row],[Ávöxtun]]))</f>
        <v>116.07359999999998</v>
      </c>
      <c r="I800" s="30" cm="1">
        <f t="array" ref="I800">_xlfn.IFS(Table15[[#This Row],[Column4]]="NEW",_xlfn.XLOOKUP(Table15[[#This Row],[Year]]-1,$N$2:$N$27,$P$2:$P$27)*(1+Table15[[#This Row],[Ávöxtun]]),ISNUMBER(Table15[[#This Row],[Column4]]),Table15[[#This Row],[Column4]],Table15[[#This Row],[Column4]]="",I799*(1+Table15[[#This Row],[Ávöxtun]]))</f>
        <v>116.07359999999998</v>
      </c>
      <c r="L800" s="33">
        <v>116.07359999999998</v>
      </c>
      <c r="M800" s="33">
        <v>116.07359999999998</v>
      </c>
    </row>
    <row r="801" spans="1:13">
      <c r="A801" t="s">
        <v>104</v>
      </c>
      <c r="B801">
        <v>2003</v>
      </c>
      <c r="C801" s="16">
        <v>0.09</v>
      </c>
      <c r="D801" s="1">
        <v>12869794</v>
      </c>
      <c r="E801" s="29">
        <f>Table15[[#This Row],[Ávöxtun]]*Table15[[#This Row],[Eignir]]/SUMIFS(Table15[Eignir],Table15[Year],Table15[[#This Row],[Year]])</f>
        <v>1.5242723734200929E-3</v>
      </c>
      <c r="F801" s="23">
        <f>IF(B801=1997, 100, IF(COUNTIF(A$1:A800,A801)=0, "NEW", F800*(1+Table15[[#This Row],[Ávöxtun]])))</f>
        <v>126.520224</v>
      </c>
      <c r="G801" s="18" cm="1">
        <f t="array" ref="G801">IFERROR(_xlfn.IFS(ISNUMBER(Table15[[#This Row],[Column3]]),Table15[[#This Row],[Column3]],Table15[[#This Row],[Column3]]="NEW",Table15[[#This Row],[Column3]]),"")</f>
        <v>126.520224</v>
      </c>
      <c r="H801" s="15" cm="1">
        <f t="array" ref="H801">_xlfn.IFS(Table15[[#This Row],[Column4]]="NEW",AVERAGEIFS(Table15[Column4],Table15[Year],Table15[[#This Row],[Year]]),ISNUMBER(Table15[[#This Row],[Column4]]),Table15[[#This Row],[Column4]],Table15[[#This Row],[Column4]]="",H800*(1+Table15[[#This Row],[Ávöxtun]]))</f>
        <v>126.520224</v>
      </c>
      <c r="I801" s="30" cm="1">
        <f t="array" ref="I801">_xlfn.IFS(Table15[[#This Row],[Column4]]="NEW",_xlfn.XLOOKUP(Table15[[#This Row],[Year]]-1,$N$2:$N$27,$P$2:$P$27)*(1+Table15[[#This Row],[Ávöxtun]]),ISNUMBER(Table15[[#This Row],[Column4]]),Table15[[#This Row],[Column4]],Table15[[#This Row],[Column4]]="",I800*(1+Table15[[#This Row],[Ávöxtun]]))</f>
        <v>126.520224</v>
      </c>
      <c r="L801" s="33">
        <v>126.520224</v>
      </c>
      <c r="M801" s="33">
        <v>126.520224</v>
      </c>
    </row>
    <row r="802" spans="1:13">
      <c r="A802" t="s">
        <v>104</v>
      </c>
      <c r="B802">
        <v>2004</v>
      </c>
      <c r="C802" s="16">
        <v>0.11</v>
      </c>
      <c r="D802" s="1">
        <v>14973972</v>
      </c>
      <c r="E802" s="29">
        <f>Table15[[#This Row],[Ávöxtun]]*Table15[[#This Row],[Eignir]]/SUMIFS(Table15[Eignir],Table15[Year],Table15[[#This Row],[Year]])</f>
        <v>1.8146861178967818E-3</v>
      </c>
      <c r="F802" s="23">
        <f>IF(B802=1997, 100, IF(COUNTIF(A$1:A801,A802)=0, "NEW", F801*(1+Table15[[#This Row],[Ávöxtun]])))</f>
        <v>140.43744864000001</v>
      </c>
      <c r="G802" s="18" cm="1">
        <f t="array" ref="G802">IFERROR(_xlfn.IFS(ISNUMBER(Table15[[#This Row],[Column3]]),Table15[[#This Row],[Column3]],Table15[[#This Row],[Column3]]="NEW",Table15[[#This Row],[Column3]]),"")</f>
        <v>140.43744864000001</v>
      </c>
      <c r="H802" s="15" cm="1">
        <f t="array" ref="H802">_xlfn.IFS(Table15[[#This Row],[Column4]]="NEW",AVERAGEIFS(Table15[Column4],Table15[Year],Table15[[#This Row],[Year]]),ISNUMBER(Table15[[#This Row],[Column4]]),Table15[[#This Row],[Column4]],Table15[[#This Row],[Column4]]="",H801*(1+Table15[[#This Row],[Ávöxtun]]))</f>
        <v>140.43744864000001</v>
      </c>
      <c r="I802" s="30" cm="1">
        <f t="array" ref="I802">_xlfn.IFS(Table15[[#This Row],[Column4]]="NEW",_xlfn.XLOOKUP(Table15[[#This Row],[Year]]-1,$N$2:$N$27,$P$2:$P$27)*(1+Table15[[#This Row],[Ávöxtun]]),ISNUMBER(Table15[[#This Row],[Column4]]),Table15[[#This Row],[Column4]],Table15[[#This Row],[Column4]]="",I801*(1+Table15[[#This Row],[Ávöxtun]]))</f>
        <v>140.43744864000001</v>
      </c>
      <c r="L802" s="33">
        <v>140.43744864000001</v>
      </c>
      <c r="M802" s="33">
        <v>140.43744864000001</v>
      </c>
    </row>
    <row r="803" spans="1:13">
      <c r="A803" t="s">
        <v>104</v>
      </c>
      <c r="B803">
        <v>2005</v>
      </c>
      <c r="C803" s="16">
        <v>0.12</v>
      </c>
      <c r="D803" s="1">
        <v>17652399</v>
      </c>
      <c r="E803" s="29">
        <f>Table15[[#This Row],[Ávöxtun]]*Table15[[#This Row],[Eignir]]/SUMIFS(Table15[Eignir],Table15[Year],Table15[[#This Row],[Year]])</f>
        <v>1.8890721346014161E-3</v>
      </c>
      <c r="F803" s="23">
        <f>IF(B803=1997, 100, IF(COUNTIF(A$1:A802,A803)=0, "NEW", F802*(1+Table15[[#This Row],[Ávöxtun]])))</f>
        <v>157.28994247680004</v>
      </c>
      <c r="G803" s="18" cm="1">
        <f t="array" ref="G803">IFERROR(_xlfn.IFS(ISNUMBER(Table15[[#This Row],[Column3]]),Table15[[#This Row],[Column3]],Table15[[#This Row],[Column3]]="NEW",Table15[[#This Row],[Column3]]),"")</f>
        <v>157.28994247680004</v>
      </c>
      <c r="H803" s="15" cm="1">
        <f t="array" ref="H803">_xlfn.IFS(Table15[[#This Row],[Column4]]="NEW",AVERAGEIFS(Table15[Column4],Table15[Year],Table15[[#This Row],[Year]]),ISNUMBER(Table15[[#This Row],[Column4]]),Table15[[#This Row],[Column4]],Table15[[#This Row],[Column4]]="",H802*(1+Table15[[#This Row],[Ávöxtun]]))</f>
        <v>157.28994247680004</v>
      </c>
      <c r="I803" s="30" cm="1">
        <f t="array" ref="I803">_xlfn.IFS(Table15[[#This Row],[Column4]]="NEW",_xlfn.XLOOKUP(Table15[[#This Row],[Year]]-1,$N$2:$N$27,$P$2:$P$27)*(1+Table15[[#This Row],[Ávöxtun]]),ISNUMBER(Table15[[#This Row],[Column4]]),Table15[[#This Row],[Column4]],Table15[[#This Row],[Column4]]="",I802*(1+Table15[[#This Row],[Ávöxtun]]))</f>
        <v>157.28994247680004</v>
      </c>
      <c r="L803" s="33">
        <v>157.28994247680004</v>
      </c>
      <c r="M803" s="33">
        <v>157.28994247680004</v>
      </c>
    </row>
    <row r="804" spans="1:13">
      <c r="A804" t="s">
        <v>104</v>
      </c>
      <c r="B804">
        <v>2006</v>
      </c>
      <c r="C804" s="16">
        <v>0.12740000000000001</v>
      </c>
      <c r="D804" s="1">
        <v>21446178</v>
      </c>
      <c r="E804" s="29">
        <f>Table15[[#This Row],[Ávöxtun]]*Table15[[#This Row],[Eignir]]/SUMIFS(Table15[Eignir],Table15[Year],Table15[[#This Row],[Year]])</f>
        <v>1.9904506189095043E-3</v>
      </c>
      <c r="F804" s="23">
        <f>IF(B804=1997, 100, IF(COUNTIF(A$1:A803,A804)=0, "NEW", F803*(1+Table15[[#This Row],[Ávöxtun]])))</f>
        <v>177.32868114834434</v>
      </c>
      <c r="G804" s="18" cm="1">
        <f t="array" ref="G804">IFERROR(_xlfn.IFS(ISNUMBER(Table15[[#This Row],[Column3]]),Table15[[#This Row],[Column3]],Table15[[#This Row],[Column3]]="NEW",Table15[[#This Row],[Column3]]),"")</f>
        <v>177.32868114834434</v>
      </c>
      <c r="H804" s="15" cm="1">
        <f t="array" ref="H804">_xlfn.IFS(Table15[[#This Row],[Column4]]="NEW",AVERAGEIFS(Table15[Column4],Table15[Year],Table15[[#This Row],[Year]]),ISNUMBER(Table15[[#This Row],[Column4]]),Table15[[#This Row],[Column4]],Table15[[#This Row],[Column4]]="",H803*(1+Table15[[#This Row],[Ávöxtun]]))</f>
        <v>177.32868114834434</v>
      </c>
      <c r="I804" s="30" cm="1">
        <f t="array" ref="I804">_xlfn.IFS(Table15[[#This Row],[Column4]]="NEW",_xlfn.XLOOKUP(Table15[[#This Row],[Year]]-1,$N$2:$N$27,$P$2:$P$27)*(1+Table15[[#This Row],[Ávöxtun]]),ISNUMBER(Table15[[#This Row],[Column4]]),Table15[[#This Row],[Column4]],Table15[[#This Row],[Column4]]="",I803*(1+Table15[[#This Row],[Ávöxtun]]))</f>
        <v>177.32868114834434</v>
      </c>
      <c r="L804" s="33">
        <v>177.32868114834434</v>
      </c>
      <c r="M804" s="33">
        <v>177.32868114834434</v>
      </c>
    </row>
    <row r="805" spans="1:13">
      <c r="A805" t="s">
        <v>104</v>
      </c>
      <c r="B805">
        <v>2007</v>
      </c>
      <c r="C805" s="16">
        <v>1.21E-2</v>
      </c>
      <c r="D805" s="1">
        <v>23194956</v>
      </c>
      <c r="E805" s="29">
        <f>Table15[[#This Row],[Ávöxtun]]*Table15[[#This Row],[Eignir]]/SUMIFS(Table15[Eignir],Table15[Year],Table15[[#This Row],[Year]])</f>
        <v>1.8149089183160414E-4</v>
      </c>
      <c r="F805" s="23">
        <f>IF(B805=1997, 100, IF(COUNTIF(A$1:A804,A805)=0, "NEW", F804*(1+Table15[[#This Row],[Ávöxtun]])))</f>
        <v>179.47435819023931</v>
      </c>
      <c r="G805" s="18" cm="1">
        <f t="array" ref="G805">IFERROR(_xlfn.IFS(ISNUMBER(Table15[[#This Row],[Column3]]),Table15[[#This Row],[Column3]],Table15[[#This Row],[Column3]]="NEW",Table15[[#This Row],[Column3]]),"")</f>
        <v>179.47435819023931</v>
      </c>
      <c r="H805" s="15" cm="1">
        <f t="array" ref="H805">_xlfn.IFS(Table15[[#This Row],[Column4]]="NEW",AVERAGEIFS(Table15[Column4],Table15[Year],Table15[[#This Row],[Year]]),ISNUMBER(Table15[[#This Row],[Column4]]),Table15[[#This Row],[Column4]],Table15[[#This Row],[Column4]]="",H804*(1+Table15[[#This Row],[Ávöxtun]]))</f>
        <v>179.47435819023931</v>
      </c>
      <c r="I805" s="30" cm="1">
        <f t="array" ref="I805">_xlfn.IFS(Table15[[#This Row],[Column4]]="NEW",_xlfn.XLOOKUP(Table15[[#This Row],[Year]]-1,$N$2:$N$27,$P$2:$P$27)*(1+Table15[[#This Row],[Ávöxtun]]),ISNUMBER(Table15[[#This Row],[Column4]]),Table15[[#This Row],[Column4]],Table15[[#This Row],[Column4]]="",I804*(1+Table15[[#This Row],[Ávöxtun]]))</f>
        <v>179.47435819023931</v>
      </c>
      <c r="L805" s="33">
        <v>179.47435819023931</v>
      </c>
      <c r="M805" s="33">
        <v>179.47435819023931</v>
      </c>
    </row>
    <row r="806" spans="1:13">
      <c r="A806" t="s">
        <v>104</v>
      </c>
      <c r="B806">
        <v>2008</v>
      </c>
      <c r="C806" s="16">
        <v>-0.1152</v>
      </c>
      <c r="D806" s="1">
        <v>24410219</v>
      </c>
      <c r="E806" s="29">
        <f>Table15[[#This Row],[Ávöxtun]]*Table15[[#This Row],[Eignir]]/SUMIFS(Table15[Eignir],Table15[Year],Table15[[#This Row],[Year]])</f>
        <v>-1.8780629183982064E-3</v>
      </c>
      <c r="F806" s="23">
        <f>IF(B806=1997, 100, IF(COUNTIF(A$1:A805,A806)=0, "NEW", F805*(1+Table15[[#This Row],[Ávöxtun]])))</f>
        <v>158.79891212672376</v>
      </c>
      <c r="G806" s="18" cm="1">
        <f t="array" ref="G806">IFERROR(_xlfn.IFS(ISNUMBER(Table15[[#This Row],[Column3]]),Table15[[#This Row],[Column3]],Table15[[#This Row],[Column3]]="NEW",Table15[[#This Row],[Column3]]),"")</f>
        <v>158.79891212672376</v>
      </c>
      <c r="H806" s="15" cm="1">
        <f t="array" ref="H806">_xlfn.IFS(Table15[[#This Row],[Column4]]="NEW",AVERAGEIFS(Table15[Column4],Table15[Year],Table15[[#This Row],[Year]]),ISNUMBER(Table15[[#This Row],[Column4]]),Table15[[#This Row],[Column4]],Table15[[#This Row],[Column4]]="",H805*(1+Table15[[#This Row],[Ávöxtun]]))</f>
        <v>158.79891212672376</v>
      </c>
      <c r="I806" s="30" cm="1">
        <f t="array" ref="I806">_xlfn.IFS(Table15[[#This Row],[Column4]]="NEW",_xlfn.XLOOKUP(Table15[[#This Row],[Year]]-1,$N$2:$N$27,$P$2:$P$27)*(1+Table15[[#This Row],[Ávöxtun]]),ISNUMBER(Table15[[#This Row],[Column4]]),Table15[[#This Row],[Column4]],Table15[[#This Row],[Column4]]="",I805*(1+Table15[[#This Row],[Ávöxtun]]))</f>
        <v>158.79891212672376</v>
      </c>
      <c r="L806" s="33">
        <v>158.79891212672376</v>
      </c>
      <c r="M806" s="33">
        <v>158.79891212672376</v>
      </c>
    </row>
    <row r="807" spans="1:13">
      <c r="A807" t="s">
        <v>104</v>
      </c>
      <c r="B807">
        <v>2009</v>
      </c>
      <c r="C807" s="16">
        <v>2.8900000000000002E-2</v>
      </c>
      <c r="D807" s="1">
        <v>27485233</v>
      </c>
      <c r="E807" s="29">
        <f>Table15[[#This Row],[Ávöxtun]]*Table15[[#This Row],[Eignir]]/SUMIFS(Table15[Eignir],Table15[Year],Table15[[#This Row],[Year]])</f>
        <v>4.7613922050324255E-4</v>
      </c>
      <c r="F807" s="23">
        <f>IF(B807=1997, 100, IF(COUNTIF(A$1:A806,A807)=0, "NEW", F806*(1+Table15[[#This Row],[Ávöxtun]])))</f>
        <v>163.38820068718607</v>
      </c>
      <c r="G807" s="18" cm="1">
        <f t="array" ref="G807">IFERROR(_xlfn.IFS(ISNUMBER(Table15[[#This Row],[Column3]]),Table15[[#This Row],[Column3]],Table15[[#This Row],[Column3]]="NEW",Table15[[#This Row],[Column3]]),"")</f>
        <v>163.38820068718607</v>
      </c>
      <c r="H807" s="15" cm="1">
        <f t="array" ref="H807">_xlfn.IFS(Table15[[#This Row],[Column4]]="NEW",AVERAGEIFS(Table15[Column4],Table15[Year],Table15[[#This Row],[Year]]),ISNUMBER(Table15[[#This Row],[Column4]]),Table15[[#This Row],[Column4]],Table15[[#This Row],[Column4]]="",H806*(1+Table15[[#This Row],[Ávöxtun]]))</f>
        <v>163.38820068718607</v>
      </c>
      <c r="I807" s="30" cm="1">
        <f t="array" ref="I807">_xlfn.IFS(Table15[[#This Row],[Column4]]="NEW",_xlfn.XLOOKUP(Table15[[#This Row],[Year]]-1,$N$2:$N$27,$P$2:$P$27)*(1+Table15[[#This Row],[Ávöxtun]]),ISNUMBER(Table15[[#This Row],[Column4]]),Table15[[#This Row],[Column4]],Table15[[#This Row],[Column4]]="",I806*(1+Table15[[#This Row],[Ávöxtun]]))</f>
        <v>163.38820068718607</v>
      </c>
      <c r="L807" s="33">
        <v>163.38820068718607</v>
      </c>
      <c r="M807" s="33">
        <v>163.38820068718607</v>
      </c>
    </row>
    <row r="808" spans="1:13">
      <c r="A808" t="s">
        <v>104</v>
      </c>
      <c r="B808">
        <v>2010</v>
      </c>
      <c r="C808" s="16">
        <v>1.24E-2</v>
      </c>
      <c r="D808" s="1">
        <v>28820003</v>
      </c>
      <c r="E808" s="29">
        <f>Table15[[#This Row],[Ávöxtun]]*Table15[[#This Row],[Eignir]]/SUMIFS(Table15[Eignir],Table15[Year],Table15[[#This Row],[Year]])</f>
        <v>1.9989412908434331E-4</v>
      </c>
      <c r="F808" s="23">
        <f>IF(B808=1997, 100, IF(COUNTIF(A$1:A807,A808)=0, "NEW", F807*(1+Table15[[#This Row],[Ávöxtun]])))</f>
        <v>165.41421437570716</v>
      </c>
      <c r="G808" s="18" cm="1">
        <f t="array" ref="G808">IFERROR(_xlfn.IFS(ISNUMBER(Table15[[#This Row],[Column3]]),Table15[[#This Row],[Column3]],Table15[[#This Row],[Column3]]="NEW",Table15[[#This Row],[Column3]]),"")</f>
        <v>165.41421437570716</v>
      </c>
      <c r="H808" s="15" cm="1">
        <f t="array" ref="H808">_xlfn.IFS(Table15[[#This Row],[Column4]]="NEW",AVERAGEIFS(Table15[Column4],Table15[Year],Table15[[#This Row],[Year]]),ISNUMBER(Table15[[#This Row],[Column4]]),Table15[[#This Row],[Column4]],Table15[[#This Row],[Column4]]="",H807*(1+Table15[[#This Row],[Ávöxtun]]))</f>
        <v>165.41421437570716</v>
      </c>
      <c r="I808" s="30" cm="1">
        <f t="array" ref="I808">_xlfn.IFS(Table15[[#This Row],[Column4]]="NEW",_xlfn.XLOOKUP(Table15[[#This Row],[Year]]-1,$N$2:$N$27,$P$2:$P$27)*(1+Table15[[#This Row],[Ávöxtun]]),ISNUMBER(Table15[[#This Row],[Column4]]),Table15[[#This Row],[Column4]],Table15[[#This Row],[Column4]]="",I807*(1+Table15[[#This Row],[Ávöxtun]]))</f>
        <v>165.41421437570716</v>
      </c>
      <c r="L808" s="33">
        <v>165.41421437570716</v>
      </c>
      <c r="M808" s="33">
        <v>165.41421437570716</v>
      </c>
    </row>
    <row r="809" spans="1:13">
      <c r="A809" t="s">
        <v>104</v>
      </c>
      <c r="B809">
        <v>2011</v>
      </c>
      <c r="C809" s="16">
        <v>9.0000000000000011E-3</v>
      </c>
      <c r="D809" s="1">
        <v>30995398</v>
      </c>
      <c r="E809" s="29">
        <f>Table15[[#This Row],[Ávöxtun]]*Table15[[#This Row],[Eignir]]/SUMIFS(Table15[Eignir],Table15[Year],Table15[[#This Row],[Year]])</f>
        <v>1.4301469741155281E-4</v>
      </c>
      <c r="F809" s="23">
        <f>IF(B809=1997, 100, IF(COUNTIF(A$1:A808,A809)=0, "NEW", F808*(1+Table15[[#This Row],[Ávöxtun]])))</f>
        <v>166.90294230508852</v>
      </c>
      <c r="G809" s="18" cm="1">
        <f t="array" ref="G809">IFERROR(_xlfn.IFS(ISNUMBER(Table15[[#This Row],[Column3]]),Table15[[#This Row],[Column3]],Table15[[#This Row],[Column3]]="NEW",Table15[[#This Row],[Column3]]),"")</f>
        <v>166.90294230508852</v>
      </c>
      <c r="H809" s="15" cm="1">
        <f t="array" ref="H809">_xlfn.IFS(Table15[[#This Row],[Column4]]="NEW",AVERAGEIFS(Table15[Column4],Table15[Year],Table15[[#This Row],[Year]]),ISNUMBER(Table15[[#This Row],[Column4]]),Table15[[#This Row],[Column4]],Table15[[#This Row],[Column4]]="",H808*(1+Table15[[#This Row],[Ávöxtun]]))</f>
        <v>166.90294230508852</v>
      </c>
      <c r="I809" s="30" cm="1">
        <f t="array" ref="I809">_xlfn.IFS(Table15[[#This Row],[Column4]]="NEW",_xlfn.XLOOKUP(Table15[[#This Row],[Year]]-1,$N$2:$N$27,$P$2:$P$27)*(1+Table15[[#This Row],[Ávöxtun]]),ISNUMBER(Table15[[#This Row],[Column4]]),Table15[[#This Row],[Column4]],Table15[[#This Row],[Column4]]="",I808*(1+Table15[[#This Row],[Ávöxtun]]))</f>
        <v>166.90294230508852</v>
      </c>
      <c r="L809" s="33">
        <v>166.90294230508852</v>
      </c>
      <c r="M809" s="33">
        <v>166.90294230508852</v>
      </c>
    </row>
    <row r="810" spans="1:13">
      <c r="A810" t="s">
        <v>104</v>
      </c>
      <c r="B810">
        <v>2012</v>
      </c>
      <c r="C810" s="16">
        <v>6.5000000000000002E-2</v>
      </c>
      <c r="D810" s="1">
        <v>34910832</v>
      </c>
      <c r="E810" s="29">
        <f>Table15[[#This Row],[Ávöxtun]]*Table15[[#This Row],[Eignir]]/SUMIFS(Table15[Eignir],Table15[Year],Table15[[#This Row],[Year]])</f>
        <v>1.0301251949636782E-3</v>
      </c>
      <c r="F810" s="23">
        <f>IF(B810=1997, 100, IF(COUNTIF(A$1:A809,A810)=0, "NEW", F809*(1+Table15[[#This Row],[Ávöxtun]])))</f>
        <v>177.75163355491927</v>
      </c>
      <c r="G810" s="18" cm="1">
        <f t="array" ref="G810">IFERROR(_xlfn.IFS(ISNUMBER(Table15[[#This Row],[Column3]]),Table15[[#This Row],[Column3]],Table15[[#This Row],[Column3]]="NEW",Table15[[#This Row],[Column3]]),"")</f>
        <v>177.75163355491927</v>
      </c>
      <c r="H810" s="15" cm="1">
        <f t="array" ref="H810">_xlfn.IFS(Table15[[#This Row],[Column4]]="NEW",AVERAGEIFS(Table15[Column4],Table15[Year],Table15[[#This Row],[Year]]),ISNUMBER(Table15[[#This Row],[Column4]]),Table15[[#This Row],[Column4]],Table15[[#This Row],[Column4]]="",H809*(1+Table15[[#This Row],[Ávöxtun]]))</f>
        <v>177.75163355491927</v>
      </c>
      <c r="I810" s="30" cm="1">
        <f t="array" ref="I810">_xlfn.IFS(Table15[[#This Row],[Column4]]="NEW",_xlfn.XLOOKUP(Table15[[#This Row],[Year]]-1,$N$2:$N$27,$P$2:$P$27)*(1+Table15[[#This Row],[Ávöxtun]]),ISNUMBER(Table15[[#This Row],[Column4]]),Table15[[#This Row],[Column4]],Table15[[#This Row],[Column4]]="",I809*(1+Table15[[#This Row],[Ávöxtun]]))</f>
        <v>177.75163355491927</v>
      </c>
      <c r="L810" s="33">
        <v>177.75163355491927</v>
      </c>
      <c r="M810" s="33">
        <v>177.75163355491927</v>
      </c>
    </row>
    <row r="811" spans="1:13">
      <c r="A811" t="s">
        <v>104</v>
      </c>
      <c r="B811">
        <v>2013</v>
      </c>
      <c r="C811" s="16">
        <v>4.0999999999999995E-2</v>
      </c>
      <c r="D811" s="1">
        <v>37562829</v>
      </c>
      <c r="E811" s="29">
        <f>Table15[[#This Row],[Ávöxtun]]*Table15[[#This Row],[Eignir]]/SUMIFS(Table15[Eignir],Table15[Year],Table15[[#This Row],[Year]])</f>
        <v>6.3284391109844356E-4</v>
      </c>
      <c r="F811" s="23">
        <f>IF(B811=1997, 100, IF(COUNTIF(A$1:A810,A811)=0, "NEW", F810*(1+Table15[[#This Row],[Ávöxtun]])))</f>
        <v>185.03945053067093</v>
      </c>
      <c r="G811" s="18" cm="1">
        <f t="array" ref="G811">IFERROR(_xlfn.IFS(ISNUMBER(Table15[[#This Row],[Column3]]),Table15[[#This Row],[Column3]],Table15[[#This Row],[Column3]]="NEW",Table15[[#This Row],[Column3]]),"")</f>
        <v>185.03945053067093</v>
      </c>
      <c r="H811" s="15" cm="1">
        <f t="array" ref="H811">_xlfn.IFS(Table15[[#This Row],[Column4]]="NEW",AVERAGEIFS(Table15[Column4],Table15[Year],Table15[[#This Row],[Year]]),ISNUMBER(Table15[[#This Row],[Column4]]),Table15[[#This Row],[Column4]],Table15[[#This Row],[Column4]]="",H810*(1+Table15[[#This Row],[Ávöxtun]]))</f>
        <v>185.03945053067093</v>
      </c>
      <c r="I811" s="30" cm="1">
        <f t="array" ref="I811">_xlfn.IFS(Table15[[#This Row],[Column4]]="NEW",_xlfn.XLOOKUP(Table15[[#This Row],[Year]]-1,$N$2:$N$27,$P$2:$P$27)*(1+Table15[[#This Row],[Ávöxtun]]),ISNUMBER(Table15[[#This Row],[Column4]]),Table15[[#This Row],[Column4]],Table15[[#This Row],[Column4]]="",I810*(1+Table15[[#This Row],[Ávöxtun]]))</f>
        <v>185.03945053067093</v>
      </c>
      <c r="L811" s="33">
        <v>185.03945053067093</v>
      </c>
      <c r="M811" s="33">
        <v>185.03945053067093</v>
      </c>
    </row>
    <row r="812" spans="1:13">
      <c r="A812" t="s">
        <v>104</v>
      </c>
      <c r="B812">
        <v>2014</v>
      </c>
      <c r="C812" s="16">
        <v>7.4999999999999997E-2</v>
      </c>
      <c r="D812" s="1">
        <v>40834143</v>
      </c>
      <c r="E812" s="29">
        <f>Table15[[#This Row],[Ávöxtun]]*Table15[[#This Row],[Eignir]]/SUMIFS(Table15[Eignir],Table15[Year],Table15[[#This Row],[Year]])</f>
        <v>1.1543684154255952E-3</v>
      </c>
      <c r="F812" s="23">
        <f>IF(B812=1997, 100, IF(COUNTIF(A$1:A811,A812)=0, "NEW", F811*(1+Table15[[#This Row],[Ávöxtun]])))</f>
        <v>198.91740932047125</v>
      </c>
      <c r="G812" s="18" cm="1">
        <f t="array" ref="G812">IFERROR(_xlfn.IFS(ISNUMBER(Table15[[#This Row],[Column3]]),Table15[[#This Row],[Column3]],Table15[[#This Row],[Column3]]="NEW",Table15[[#This Row],[Column3]]),"")</f>
        <v>198.91740932047125</v>
      </c>
      <c r="H812" s="15" cm="1">
        <f t="array" ref="H812">_xlfn.IFS(Table15[[#This Row],[Column4]]="NEW",AVERAGEIFS(Table15[Column4],Table15[Year],Table15[[#This Row],[Year]]),ISNUMBER(Table15[[#This Row],[Column4]]),Table15[[#This Row],[Column4]],Table15[[#This Row],[Column4]]="",H811*(1+Table15[[#This Row],[Ávöxtun]]))</f>
        <v>198.91740932047125</v>
      </c>
      <c r="I812" s="30" cm="1">
        <f t="array" ref="I812">_xlfn.IFS(Table15[[#This Row],[Column4]]="NEW",_xlfn.XLOOKUP(Table15[[#This Row],[Year]]-1,$N$2:$N$27,$P$2:$P$27)*(1+Table15[[#This Row],[Ávöxtun]]),ISNUMBER(Table15[[#This Row],[Column4]]),Table15[[#This Row],[Column4]],Table15[[#This Row],[Column4]]="",I811*(1+Table15[[#This Row],[Ávöxtun]]))</f>
        <v>198.91740932047125</v>
      </c>
      <c r="L812" s="33">
        <v>198.91740932047125</v>
      </c>
      <c r="M812" s="33">
        <v>198.91740932047125</v>
      </c>
    </row>
    <row r="813" spans="1:13">
      <c r="A813" t="s">
        <v>104</v>
      </c>
      <c r="B813">
        <v>2015</v>
      </c>
      <c r="C813" s="16">
        <v>7.9000000000000001E-2</v>
      </c>
      <c r="D813" s="1">
        <v>45058959</v>
      </c>
      <c r="E813" s="29">
        <f>Table15[[#This Row],[Ávöxtun]]*Table15[[#This Row],[Eignir]]/SUMIFS(Table15[Eignir],Table15[Year],Table15[[#This Row],[Year]])</f>
        <v>1.2020273956645682E-3</v>
      </c>
      <c r="F813" s="23">
        <f>IF(B813=1997, 100, IF(COUNTIF(A$1:A812,A813)=0, "NEW", F812*(1+Table15[[#This Row],[Ávöxtun]])))</f>
        <v>214.63188465678846</v>
      </c>
      <c r="G813" s="18" cm="1">
        <f t="array" ref="G813">IFERROR(_xlfn.IFS(ISNUMBER(Table15[[#This Row],[Column3]]),Table15[[#This Row],[Column3]],Table15[[#This Row],[Column3]]="NEW",Table15[[#This Row],[Column3]]),"")</f>
        <v>214.63188465678846</v>
      </c>
      <c r="H813" s="15" cm="1">
        <f t="array" ref="H813">_xlfn.IFS(Table15[[#This Row],[Column4]]="NEW",AVERAGEIFS(Table15[Column4],Table15[Year],Table15[[#This Row],[Year]]),ISNUMBER(Table15[[#This Row],[Column4]]),Table15[[#This Row],[Column4]],Table15[[#This Row],[Column4]]="",H812*(1+Table15[[#This Row],[Ávöxtun]]))</f>
        <v>214.63188465678846</v>
      </c>
      <c r="I813" s="30" cm="1">
        <f t="array" ref="I813">_xlfn.IFS(Table15[[#This Row],[Column4]]="NEW",_xlfn.XLOOKUP(Table15[[#This Row],[Year]]-1,$N$2:$N$27,$P$2:$P$27)*(1+Table15[[#This Row],[Ávöxtun]]),ISNUMBER(Table15[[#This Row],[Column4]]),Table15[[#This Row],[Column4]],Table15[[#This Row],[Column4]]="",I812*(1+Table15[[#This Row],[Ávöxtun]]))</f>
        <v>214.63188465678846</v>
      </c>
      <c r="L813" s="33">
        <v>214.63188465678846</v>
      </c>
      <c r="M813" s="33">
        <v>214.63188465678846</v>
      </c>
    </row>
    <row r="814" spans="1:13">
      <c r="A814" t="s">
        <v>104</v>
      </c>
      <c r="B814">
        <v>2016</v>
      </c>
      <c r="C814" s="16">
        <v>-1.3000000000000001E-2</v>
      </c>
      <c r="D814" s="1">
        <v>45402711.850000001</v>
      </c>
      <c r="E814" s="29">
        <f>Table15[[#This Row],[Ávöxtun]]*Table15[[#This Row],[Eignir]]/SUMIFS(Table15[Eignir],Table15[Year],Table15[[#This Row],[Year]])</f>
        <v>-1.8444582756728473E-4</v>
      </c>
      <c r="F814" s="23">
        <f>IF(B814=1997, 100, IF(COUNTIF(A$1:A813,A814)=0, "NEW", F813*(1+Table15[[#This Row],[Ávöxtun]])))</f>
        <v>211.84167015625022</v>
      </c>
      <c r="G814" s="18" cm="1">
        <f t="array" ref="G814">IFERROR(_xlfn.IFS(ISNUMBER(Table15[[#This Row],[Column3]]),Table15[[#This Row],[Column3]],Table15[[#This Row],[Column3]]="NEW",Table15[[#This Row],[Column3]]),"")</f>
        <v>211.84167015625022</v>
      </c>
      <c r="H814" s="15" cm="1">
        <f t="array" ref="H814">_xlfn.IFS(Table15[[#This Row],[Column4]]="NEW",AVERAGEIFS(Table15[Column4],Table15[Year],Table15[[#This Row],[Year]]),ISNUMBER(Table15[[#This Row],[Column4]]),Table15[[#This Row],[Column4]],Table15[[#This Row],[Column4]]="",H813*(1+Table15[[#This Row],[Ávöxtun]]))</f>
        <v>211.84167015625022</v>
      </c>
      <c r="I814" s="30" cm="1">
        <f t="array" ref="I814">_xlfn.IFS(Table15[[#This Row],[Column4]]="NEW",_xlfn.XLOOKUP(Table15[[#This Row],[Year]]-1,$N$2:$N$27,$P$2:$P$27)*(1+Table15[[#This Row],[Ávöxtun]]),ISNUMBER(Table15[[#This Row],[Column4]]),Table15[[#This Row],[Column4]],Table15[[#This Row],[Column4]]="",I813*(1+Table15[[#This Row],[Ávöxtun]]))</f>
        <v>211.84167015625022</v>
      </c>
      <c r="L814" s="33">
        <v>211.84167015625022</v>
      </c>
      <c r="M814" s="33">
        <v>211.84167015625022</v>
      </c>
    </row>
    <row r="815" spans="1:13">
      <c r="A815" t="s">
        <v>104</v>
      </c>
      <c r="B815">
        <v>2017</v>
      </c>
      <c r="C815" s="16">
        <v>0.06</v>
      </c>
      <c r="D815" s="1">
        <v>49019154</v>
      </c>
      <c r="E815" s="29">
        <f>Table15[[#This Row],[Ávöxtun]]*Table15[[#This Row],[Eignir]]/SUMIFS(Table15[Eignir],Table15[Year],Table15[[#This Row],[Year]])</f>
        <v>8.2636252144692121E-4</v>
      </c>
      <c r="F815" s="23">
        <f>IF(B815=1997, 100, IF(COUNTIF(A$1:A814,A815)=0, "NEW", F814*(1+Table15[[#This Row],[Ávöxtun]])))</f>
        <v>224.55217036562524</v>
      </c>
      <c r="G815" s="18" cm="1">
        <f t="array" ref="G815">IFERROR(_xlfn.IFS(ISNUMBER(Table15[[#This Row],[Column3]]),Table15[[#This Row],[Column3]],Table15[[#This Row],[Column3]]="NEW",Table15[[#This Row],[Column3]]),"")</f>
        <v>224.55217036562524</v>
      </c>
      <c r="H815" s="15" cm="1">
        <f t="array" ref="H815">_xlfn.IFS(Table15[[#This Row],[Column4]]="NEW",AVERAGEIFS(Table15[Column4],Table15[Year],Table15[[#This Row],[Year]]),ISNUMBER(Table15[[#This Row],[Column4]]),Table15[[#This Row],[Column4]],Table15[[#This Row],[Column4]]="",H814*(1+Table15[[#This Row],[Ávöxtun]]))</f>
        <v>224.55217036562524</v>
      </c>
      <c r="I815" s="30" cm="1">
        <f t="array" ref="I815">_xlfn.IFS(Table15[[#This Row],[Column4]]="NEW",_xlfn.XLOOKUP(Table15[[#This Row],[Year]]-1,$N$2:$N$27,$P$2:$P$27)*(1+Table15[[#This Row],[Ávöxtun]]),ISNUMBER(Table15[[#This Row],[Column4]]),Table15[[#This Row],[Column4]],Table15[[#This Row],[Column4]]="",I814*(1+Table15[[#This Row],[Ávöxtun]]))</f>
        <v>224.55217036562524</v>
      </c>
      <c r="L815" s="33">
        <v>224.55217036562524</v>
      </c>
      <c r="M815" s="33">
        <v>224.55217036562524</v>
      </c>
    </row>
    <row r="816" spans="1:13">
      <c r="A816" t="s">
        <v>104</v>
      </c>
      <c r="B816">
        <v>2018</v>
      </c>
      <c r="C816" s="16">
        <v>0.05</v>
      </c>
      <c r="D816" s="1">
        <v>52809678</v>
      </c>
      <c r="E816" s="29">
        <f>Table15[[#This Row],[Ávöxtun]]*Table15[[#This Row],[Eignir]]/SUMIFS(Table15[Eignir],Table15[Year],Table15[[#This Row],[Year]])</f>
        <v>6.91530568295377E-4</v>
      </c>
      <c r="F816" s="23">
        <f>IF(B816=1997, 100, IF(COUNTIF(A$1:A815,A816)=0, "NEW", F815*(1+Table15[[#This Row],[Ávöxtun]])))</f>
        <v>235.77977888390652</v>
      </c>
      <c r="G816" s="18" cm="1">
        <f t="array" ref="G816">IFERROR(_xlfn.IFS(ISNUMBER(Table15[[#This Row],[Column3]]),Table15[[#This Row],[Column3]],Table15[[#This Row],[Column3]]="NEW",Table15[[#This Row],[Column3]]),"")</f>
        <v>235.77977888390652</v>
      </c>
      <c r="H816" s="15" cm="1">
        <f t="array" ref="H816">_xlfn.IFS(Table15[[#This Row],[Column4]]="NEW",AVERAGEIFS(Table15[Column4],Table15[Year],Table15[[#This Row],[Year]]),ISNUMBER(Table15[[#This Row],[Column4]]),Table15[[#This Row],[Column4]],Table15[[#This Row],[Column4]]="",H815*(1+Table15[[#This Row],[Ávöxtun]]))</f>
        <v>235.77977888390652</v>
      </c>
      <c r="I816" s="30" cm="1">
        <f t="array" ref="I816">_xlfn.IFS(Table15[[#This Row],[Column4]]="NEW",_xlfn.XLOOKUP(Table15[[#This Row],[Year]]-1,$N$2:$N$27,$P$2:$P$27)*(1+Table15[[#This Row],[Ávöxtun]]),ISNUMBER(Table15[[#This Row],[Column4]]),Table15[[#This Row],[Column4]],Table15[[#This Row],[Column4]]="",I815*(1+Table15[[#This Row],[Ávöxtun]]))</f>
        <v>235.77977888390652</v>
      </c>
      <c r="L816" s="33">
        <v>235.77977888390652</v>
      </c>
      <c r="M816" s="33">
        <v>235.77977888390652</v>
      </c>
    </row>
    <row r="817" spans="1:13">
      <c r="A817" t="s">
        <v>104</v>
      </c>
      <c r="B817">
        <v>2019</v>
      </c>
      <c r="C817" s="16">
        <v>0.11609999999999999</v>
      </c>
      <c r="D817" s="1">
        <v>60397914.270000003</v>
      </c>
      <c r="E817" s="29">
        <f>Table15[[#This Row],[Ávöxtun]]*Table15[[#This Row],[Eignir]]/SUMIFS(Table15[Eignir],Table15[Year],Table15[[#This Row],[Year]])</f>
        <v>1.5840048294745637E-3</v>
      </c>
      <c r="F817" s="23">
        <f>IF(B817=1997, 100, IF(COUNTIF(A$1:A816,A817)=0, "NEW", F816*(1+Table15[[#This Row],[Ávöxtun]])))</f>
        <v>263.15381121232809</v>
      </c>
      <c r="G817" s="18" cm="1">
        <f t="array" ref="G817">IFERROR(_xlfn.IFS(ISNUMBER(Table15[[#This Row],[Column3]]),Table15[[#This Row],[Column3]],Table15[[#This Row],[Column3]]="NEW",Table15[[#This Row],[Column3]]),"")</f>
        <v>263.15381121232809</v>
      </c>
      <c r="H817" s="15" cm="1">
        <f t="array" ref="H817">_xlfn.IFS(Table15[[#This Row],[Column4]]="NEW",AVERAGEIFS(Table15[Column4],Table15[Year],Table15[[#This Row],[Year]]),ISNUMBER(Table15[[#This Row],[Column4]]),Table15[[#This Row],[Column4]],Table15[[#This Row],[Column4]]="",H816*(1+Table15[[#This Row],[Ávöxtun]]))</f>
        <v>263.15381121232809</v>
      </c>
      <c r="I817" s="30" cm="1">
        <f t="array" ref="I817">_xlfn.IFS(Table15[[#This Row],[Column4]]="NEW",_xlfn.XLOOKUP(Table15[[#This Row],[Year]]-1,$N$2:$N$27,$P$2:$P$27)*(1+Table15[[#This Row],[Ávöxtun]]),ISNUMBER(Table15[[#This Row],[Column4]]),Table15[[#This Row],[Column4]],Table15[[#This Row],[Column4]]="",I816*(1+Table15[[#This Row],[Ávöxtun]]))</f>
        <v>263.15381121232809</v>
      </c>
      <c r="L817" s="33">
        <v>263.15381121232809</v>
      </c>
      <c r="M817" s="33">
        <v>263.15381121232809</v>
      </c>
    </row>
    <row r="818" spans="1:13">
      <c r="A818" t="s">
        <v>104</v>
      </c>
      <c r="B818">
        <v>2020</v>
      </c>
      <c r="C818" s="16">
        <v>0.11630000000000001</v>
      </c>
      <c r="D818" s="1">
        <v>69564287.930000007</v>
      </c>
      <c r="E818" s="29">
        <f>Table15[[#This Row],[Ávöxtun]]*Table15[[#This Row],[Eignir]]/SUMIFS(Table15[Eignir],Table15[Year],Table15[[#This Row],[Year]])</f>
        <v>1.5750311961651416E-3</v>
      </c>
      <c r="F818" s="23">
        <f>IF(B818=1997, 100, IF(COUNTIF(A$1:A817,A818)=0, "NEW", F817*(1+Table15[[#This Row],[Ávöxtun]])))</f>
        <v>293.75859945632186</v>
      </c>
      <c r="G818" s="18" cm="1">
        <f t="array" ref="G818">IFERROR(_xlfn.IFS(ISNUMBER(Table15[[#This Row],[Column3]]),Table15[[#This Row],[Column3]],Table15[[#This Row],[Column3]]="NEW",Table15[[#This Row],[Column3]]),"")</f>
        <v>293.75859945632186</v>
      </c>
      <c r="H818" s="15" cm="1">
        <f t="array" ref="H818">_xlfn.IFS(Table15[[#This Row],[Column4]]="NEW",AVERAGEIFS(Table15[Column4],Table15[Year],Table15[[#This Row],[Year]]),ISNUMBER(Table15[[#This Row],[Column4]]),Table15[[#This Row],[Column4]],Table15[[#This Row],[Column4]]="",H817*(1+Table15[[#This Row],[Ávöxtun]]))</f>
        <v>293.75859945632186</v>
      </c>
      <c r="I818" s="30" cm="1">
        <f t="array" ref="I818">_xlfn.IFS(Table15[[#This Row],[Column4]]="NEW",_xlfn.XLOOKUP(Table15[[#This Row],[Year]]-1,$N$2:$N$27,$P$2:$P$27)*(1+Table15[[#This Row],[Ávöxtun]]),ISNUMBER(Table15[[#This Row],[Column4]]),Table15[[#This Row],[Column4]],Table15[[#This Row],[Column4]]="",I817*(1+Table15[[#This Row],[Ávöxtun]]))</f>
        <v>293.75859945632186</v>
      </c>
      <c r="L818" s="33">
        <v>293.75859945632186</v>
      </c>
      <c r="M818" s="33">
        <v>293.75859945632186</v>
      </c>
    </row>
    <row r="819" spans="1:13">
      <c r="A819" t="s">
        <v>104</v>
      </c>
      <c r="B819">
        <v>2021</v>
      </c>
      <c r="C819" s="16">
        <v>0.17100000000000001</v>
      </c>
      <c r="D819" s="1">
        <v>85203319.5</v>
      </c>
      <c r="E819" s="29">
        <f>Table15[[#This Row],[Ávöxtun]]*Table15[[#This Row],[Eignir]]/SUMIFS(Table15[Eignir],Table15[Year],Table15[[#This Row],[Year]])</f>
        <v>2.4124136018532126E-3</v>
      </c>
      <c r="F819" s="23">
        <f>IF(B819=1997, 100, IF(COUNTIF(A$1:A818,A819)=0, "NEW", F818*(1+Table15[[#This Row],[Ávöxtun]])))</f>
        <v>343.99131996335291</v>
      </c>
      <c r="G819" s="18" cm="1">
        <f t="array" ref="G819">IFERROR(_xlfn.IFS(ISNUMBER(Table15[[#This Row],[Column3]]),Table15[[#This Row],[Column3]],Table15[[#This Row],[Column3]]="NEW",Table15[[#This Row],[Column3]]),"")</f>
        <v>343.99131996335291</v>
      </c>
      <c r="H819" s="15" cm="1">
        <f t="array" ref="H819">_xlfn.IFS(Table15[[#This Row],[Column4]]="NEW",AVERAGEIFS(Table15[Column4],Table15[Year],Table15[[#This Row],[Year]]),ISNUMBER(Table15[[#This Row],[Column4]]),Table15[[#This Row],[Column4]],Table15[[#This Row],[Column4]]="",H818*(1+Table15[[#This Row],[Ávöxtun]]))</f>
        <v>343.99131996335291</v>
      </c>
      <c r="I819" s="30" cm="1">
        <f t="array" ref="I819">_xlfn.IFS(Table15[[#This Row],[Column4]]="NEW",_xlfn.XLOOKUP(Table15[[#This Row],[Year]]-1,$N$2:$N$27,$P$2:$P$27)*(1+Table15[[#This Row],[Ávöxtun]]),ISNUMBER(Table15[[#This Row],[Column4]]),Table15[[#This Row],[Column4]],Table15[[#This Row],[Column4]]="",I818*(1+Table15[[#This Row],[Ávöxtun]]))</f>
        <v>343.99131996335291</v>
      </c>
      <c r="L819" s="33">
        <v>343.99131996335291</v>
      </c>
      <c r="M819" s="33">
        <v>343.99131996335291</v>
      </c>
    </row>
    <row r="820" spans="1:13">
      <c r="A820" t="s">
        <v>105</v>
      </c>
      <c r="B820">
        <v>1997</v>
      </c>
      <c r="C820" s="16">
        <v>0.06</v>
      </c>
      <c r="D820" s="1">
        <v>4923546</v>
      </c>
      <c r="E820" s="29">
        <f>Table15[[#This Row],[Ávöxtun]]*Table15[[#This Row],[Eignir]]/SUMIFS(Table15[Eignir],Table15[Year],Table15[[#This Row],[Year]])</f>
        <v>8.7135893324618641E-4</v>
      </c>
      <c r="F820" s="23">
        <f>IF(B820=1997, 100, IF(COUNTIF(A$1:A819,A820)=0, "NEW", F819*(1+Table15[[#This Row],[Ávöxtun]])))</f>
        <v>100</v>
      </c>
      <c r="G820" s="18" cm="1">
        <f t="array" ref="G820">IFERROR(_xlfn.IFS(ISNUMBER(Table15[[#This Row],[Column3]]),Table15[[#This Row],[Column3]],Table15[[#This Row],[Column3]]="NEW",Table15[[#This Row],[Column3]]),"")</f>
        <v>100</v>
      </c>
      <c r="H820" s="15" cm="1">
        <f t="array" ref="H820">_xlfn.IFS(Table15[[#This Row],[Column4]]="NEW",AVERAGEIFS(Table15[Column4],Table15[Year],Table15[[#This Row],[Year]]),ISNUMBER(Table15[[#This Row],[Column4]]),Table15[[#This Row],[Column4]],Table15[[#This Row],[Column4]]="",H819*(1+Table15[[#This Row],[Ávöxtun]]))</f>
        <v>100</v>
      </c>
      <c r="I820" s="30" cm="1">
        <f t="array" ref="I820">_xlfn.IFS(Table15[[#This Row],[Column4]]="NEW",_xlfn.XLOOKUP(Table15[[#This Row],[Year]]-1,$N$2:$N$27,$P$2:$P$27)*(1+Table15[[#This Row],[Ávöxtun]]),ISNUMBER(Table15[[#This Row],[Column4]]),Table15[[#This Row],[Column4]],Table15[[#This Row],[Column4]]="",I819*(1+Table15[[#This Row],[Ávöxtun]]))</f>
        <v>100</v>
      </c>
      <c r="L820" s="33">
        <v>100</v>
      </c>
      <c r="M820" s="33">
        <v>100</v>
      </c>
    </row>
    <row r="821" spans="1:13">
      <c r="A821" t="s">
        <v>105</v>
      </c>
      <c r="B821">
        <v>1998</v>
      </c>
      <c r="C821" s="16">
        <v>7.0000000000000007E-2</v>
      </c>
      <c r="D821" s="1">
        <v>5484034.5800000001</v>
      </c>
      <c r="E821" s="29">
        <f>Table15[[#This Row],[Ávöxtun]]*Table15[[#This Row],[Eignir]]/SUMIFS(Table15[Eignir],Table15[Year],Table15[[#This Row],[Year]])</f>
        <v>9.8020480297895843E-4</v>
      </c>
      <c r="F821" s="23">
        <f>IF(B821=1997, 100, IF(COUNTIF(A$1:A820,A821)=0, "NEW", F820*(1+Table15[[#This Row],[Ávöxtun]])))</f>
        <v>107</v>
      </c>
      <c r="G821" s="18" cm="1">
        <f t="array" ref="G821">IFERROR(_xlfn.IFS(ISNUMBER(Table15[[#This Row],[Column3]]),Table15[[#This Row],[Column3]],Table15[[#This Row],[Column3]]="NEW",Table15[[#This Row],[Column3]]),"")</f>
        <v>107</v>
      </c>
      <c r="H821" s="15" cm="1">
        <f t="array" ref="H821">_xlfn.IFS(Table15[[#This Row],[Column4]]="NEW",AVERAGEIFS(Table15[Column4],Table15[Year],Table15[[#This Row],[Year]]),ISNUMBER(Table15[[#This Row],[Column4]]),Table15[[#This Row],[Column4]],Table15[[#This Row],[Column4]]="",H820*(1+Table15[[#This Row],[Ávöxtun]]))</f>
        <v>107</v>
      </c>
      <c r="I821" s="30" cm="1">
        <f t="array" ref="I821">_xlfn.IFS(Table15[[#This Row],[Column4]]="NEW",_xlfn.XLOOKUP(Table15[[#This Row],[Year]]-1,$N$2:$N$27,$P$2:$P$27)*(1+Table15[[#This Row],[Ávöxtun]]),ISNUMBER(Table15[[#This Row],[Column4]]),Table15[[#This Row],[Column4]],Table15[[#This Row],[Column4]]="",I820*(1+Table15[[#This Row],[Ávöxtun]]))</f>
        <v>107</v>
      </c>
      <c r="L821" s="33">
        <v>107</v>
      </c>
      <c r="M821" s="33">
        <v>107</v>
      </c>
    </row>
    <row r="822" spans="1:13">
      <c r="A822" t="s">
        <v>105</v>
      </c>
      <c r="B822">
        <v>1999</v>
      </c>
      <c r="C822" s="16">
        <v>0.16</v>
      </c>
      <c r="D822" s="1">
        <v>6901854.4699999997</v>
      </c>
      <c r="E822" s="29">
        <f>Table15[[#This Row],[Ávöxtun]]*Table15[[#This Row],[Eignir]]/SUMIFS(Table15[Eignir],Table15[Year],Table15[[#This Row],[Year]])</f>
        <v>2.1207246554011019E-3</v>
      </c>
      <c r="F822" s="23">
        <f>IF(B822=1997, 100, IF(COUNTIF(A$1:A821,A822)=0, "NEW", F821*(1+Table15[[#This Row],[Ávöxtun]])))</f>
        <v>124.11999999999999</v>
      </c>
      <c r="G822" s="18" cm="1">
        <f t="array" ref="G822">IFERROR(_xlfn.IFS(ISNUMBER(Table15[[#This Row],[Column3]]),Table15[[#This Row],[Column3]],Table15[[#This Row],[Column3]]="NEW",Table15[[#This Row],[Column3]]),"")</f>
        <v>124.11999999999999</v>
      </c>
      <c r="H822" s="15" cm="1">
        <f t="array" ref="H822">_xlfn.IFS(Table15[[#This Row],[Column4]]="NEW",AVERAGEIFS(Table15[Column4],Table15[Year],Table15[[#This Row],[Year]]),ISNUMBER(Table15[[#This Row],[Column4]]),Table15[[#This Row],[Column4]],Table15[[#This Row],[Column4]]="",H821*(1+Table15[[#This Row],[Ávöxtun]]))</f>
        <v>124.11999999999999</v>
      </c>
      <c r="I822" s="30" cm="1">
        <f t="array" ref="I822">_xlfn.IFS(Table15[[#This Row],[Column4]]="NEW",_xlfn.XLOOKUP(Table15[[#This Row],[Year]]-1,$N$2:$N$27,$P$2:$P$27)*(1+Table15[[#This Row],[Ávöxtun]]),ISNUMBER(Table15[[#This Row],[Column4]]),Table15[[#This Row],[Column4]],Table15[[#This Row],[Column4]]="",I821*(1+Table15[[#This Row],[Ávöxtun]]))</f>
        <v>124.11999999999999</v>
      </c>
      <c r="L822" s="33">
        <v>124.11999999999999</v>
      </c>
      <c r="M822" s="33">
        <v>124.11999999999999</v>
      </c>
    </row>
    <row r="823" spans="1:13">
      <c r="A823" t="s">
        <v>105</v>
      </c>
      <c r="B823">
        <v>2000</v>
      </c>
      <c r="C823" s="16">
        <v>-0.03</v>
      </c>
      <c r="D823" s="1">
        <v>7218164.1299999999</v>
      </c>
      <c r="E823" s="29">
        <f>Table15[[#This Row],[Ávöxtun]]*Table15[[#This Row],[Eignir]]/SUMIFS(Table15[Eignir],Table15[Year],Table15[[#This Row],[Year]])</f>
        <v>-3.0461113812025854E-4</v>
      </c>
      <c r="F823" s="23">
        <f>IF(B823=1997, 100, IF(COUNTIF(A$1:A822,A823)=0, "NEW", F822*(1+Table15[[#This Row],[Ávöxtun]])))</f>
        <v>120.39639999999999</v>
      </c>
      <c r="G823" s="18" cm="1">
        <f t="array" ref="G823">IFERROR(_xlfn.IFS(ISNUMBER(Table15[[#This Row],[Column3]]),Table15[[#This Row],[Column3]],Table15[[#This Row],[Column3]]="NEW",Table15[[#This Row],[Column3]]),"")</f>
        <v>120.39639999999999</v>
      </c>
      <c r="H823" s="15" cm="1">
        <f t="array" ref="H823">_xlfn.IFS(Table15[[#This Row],[Column4]]="NEW",AVERAGEIFS(Table15[Column4],Table15[Year],Table15[[#This Row],[Year]]),ISNUMBER(Table15[[#This Row],[Column4]]),Table15[[#This Row],[Column4]],Table15[[#This Row],[Column4]]="",H822*(1+Table15[[#This Row],[Ávöxtun]]))</f>
        <v>120.39639999999999</v>
      </c>
      <c r="I823" s="30" cm="1">
        <f t="array" ref="I823">_xlfn.IFS(Table15[[#This Row],[Column4]]="NEW",_xlfn.XLOOKUP(Table15[[#This Row],[Year]]-1,$N$2:$N$27,$P$2:$P$27)*(1+Table15[[#This Row],[Ávöxtun]]),ISNUMBER(Table15[[#This Row],[Column4]]),Table15[[#This Row],[Column4]],Table15[[#This Row],[Column4]]="",I822*(1+Table15[[#This Row],[Ávöxtun]]))</f>
        <v>120.39639999999999</v>
      </c>
      <c r="L823" s="33">
        <v>120.39639999999999</v>
      </c>
      <c r="M823" s="33">
        <v>120.39639999999999</v>
      </c>
    </row>
    <row r="824" spans="1:13">
      <c r="A824" t="s">
        <v>105</v>
      </c>
      <c r="B824">
        <v>2001</v>
      </c>
      <c r="C824" s="16">
        <v>-0.03</v>
      </c>
      <c r="D824" s="1">
        <v>15805979</v>
      </c>
      <c r="E824" s="29">
        <f>Table15[[#This Row],[Ávöxtun]]*Table15[[#This Row],[Eignir]]/SUMIFS(Table15[Eignir],Table15[Year],Table15[[#This Row],[Year]])</f>
        <v>-4.0951112445883364E-4</v>
      </c>
      <c r="F824" s="23">
        <f>IF(B824=1997, 100, IF(COUNTIF(A$1:A823,A824)=0, "NEW", F823*(1+Table15[[#This Row],[Ávöxtun]])))</f>
        <v>116.78450799999999</v>
      </c>
      <c r="G824" s="18" cm="1">
        <f t="array" ref="G824">IFERROR(_xlfn.IFS(ISNUMBER(Table15[[#This Row],[Column3]]),Table15[[#This Row],[Column3]],Table15[[#This Row],[Column3]]="NEW",Table15[[#This Row],[Column3]]),"")</f>
        <v>116.78450799999999</v>
      </c>
      <c r="H824" s="15" cm="1">
        <f t="array" ref="H824">_xlfn.IFS(Table15[[#This Row],[Column4]]="NEW",AVERAGEIFS(Table15[Column4],Table15[Year],Table15[[#This Row],[Year]]),ISNUMBER(Table15[[#This Row],[Column4]]),Table15[[#This Row],[Column4]],Table15[[#This Row],[Column4]]="",H823*(1+Table15[[#This Row],[Ávöxtun]]))</f>
        <v>116.78450799999999</v>
      </c>
      <c r="I824" s="30" cm="1">
        <f t="array" ref="I824">_xlfn.IFS(Table15[[#This Row],[Column4]]="NEW",_xlfn.XLOOKUP(Table15[[#This Row],[Year]]-1,$N$2:$N$27,$P$2:$P$27)*(1+Table15[[#This Row],[Ávöxtun]]),ISNUMBER(Table15[[#This Row],[Column4]]),Table15[[#This Row],[Column4]],Table15[[#This Row],[Column4]]="",I823*(1+Table15[[#This Row],[Ávöxtun]]))</f>
        <v>116.78450799999999</v>
      </c>
      <c r="L824" s="33">
        <v>116.78450799999999</v>
      </c>
      <c r="M824" s="33">
        <v>116.78450799999999</v>
      </c>
    </row>
    <row r="825" spans="1:13">
      <c r="A825" t="s">
        <v>105</v>
      </c>
      <c r="B825">
        <v>2002</v>
      </c>
      <c r="C825" s="16">
        <v>0</v>
      </c>
      <c r="D825" s="1">
        <v>8247877.7999999998</v>
      </c>
      <c r="E825" s="29">
        <f>Table15[[#This Row],[Ávöxtun]]*Table15[[#This Row],[Eignir]]/SUMIFS(Table15[Eignir],Table15[Year],Table15[[#This Row],[Year]])</f>
        <v>0</v>
      </c>
      <c r="F825" s="23">
        <f>IF(B825=1997, 100, IF(COUNTIF(A$1:A824,A825)=0, "NEW", F824*(1+Table15[[#This Row],[Ávöxtun]])))</f>
        <v>116.78450799999999</v>
      </c>
      <c r="G825" s="18" cm="1">
        <f t="array" ref="G825">IFERROR(_xlfn.IFS(ISNUMBER(Table15[[#This Row],[Column3]]),Table15[[#This Row],[Column3]],Table15[[#This Row],[Column3]]="NEW",Table15[[#This Row],[Column3]]),"")</f>
        <v>116.78450799999999</v>
      </c>
      <c r="H825" s="15" cm="1">
        <f t="array" ref="H825">_xlfn.IFS(Table15[[#This Row],[Column4]]="NEW",AVERAGEIFS(Table15[Column4],Table15[Year],Table15[[#This Row],[Year]]),ISNUMBER(Table15[[#This Row],[Column4]]),Table15[[#This Row],[Column4]],Table15[[#This Row],[Column4]]="",H824*(1+Table15[[#This Row],[Ávöxtun]]))</f>
        <v>116.78450799999999</v>
      </c>
      <c r="I825" s="30" cm="1">
        <f t="array" ref="I825">_xlfn.IFS(Table15[[#This Row],[Column4]]="NEW",_xlfn.XLOOKUP(Table15[[#This Row],[Year]]-1,$N$2:$N$27,$P$2:$P$27)*(1+Table15[[#This Row],[Ávöxtun]]),ISNUMBER(Table15[[#This Row],[Column4]]),Table15[[#This Row],[Column4]],Table15[[#This Row],[Column4]]="",I824*(1+Table15[[#This Row],[Ávöxtun]]))</f>
        <v>116.78450799999999</v>
      </c>
      <c r="L825" s="33">
        <v>116.78450799999999</v>
      </c>
      <c r="M825" s="33">
        <v>116.78450799999999</v>
      </c>
    </row>
    <row r="826" spans="1:13">
      <c r="A826" t="s">
        <v>105</v>
      </c>
      <c r="B826">
        <v>2003</v>
      </c>
      <c r="C826" s="16">
        <v>0.1</v>
      </c>
      <c r="D826" s="1">
        <v>9546638</v>
      </c>
      <c r="E826" s="29">
        <f>Table15[[#This Row],[Ávöxtun]]*Table15[[#This Row],[Eignir]]/SUMIFS(Table15[Eignir],Table15[Year],Table15[[#This Row],[Year]])</f>
        <v>1.2563161083872006E-3</v>
      </c>
      <c r="F826" s="23">
        <f>IF(B826=1997, 100, IF(COUNTIF(A$1:A825,A826)=0, "NEW", F825*(1+Table15[[#This Row],[Ávöxtun]])))</f>
        <v>128.4629588</v>
      </c>
      <c r="G826" s="18" cm="1">
        <f t="array" ref="G826">IFERROR(_xlfn.IFS(ISNUMBER(Table15[[#This Row],[Column3]]),Table15[[#This Row],[Column3]],Table15[[#This Row],[Column3]]="NEW",Table15[[#This Row],[Column3]]),"")</f>
        <v>128.4629588</v>
      </c>
      <c r="H826" s="15" cm="1">
        <f t="array" ref="H826">_xlfn.IFS(Table15[[#This Row],[Column4]]="NEW",AVERAGEIFS(Table15[Column4],Table15[Year],Table15[[#This Row],[Year]]),ISNUMBER(Table15[[#This Row],[Column4]]),Table15[[#This Row],[Column4]],Table15[[#This Row],[Column4]]="",H825*(1+Table15[[#This Row],[Ávöxtun]]))</f>
        <v>128.4629588</v>
      </c>
      <c r="I826" s="30" cm="1">
        <f t="array" ref="I826">_xlfn.IFS(Table15[[#This Row],[Column4]]="NEW",_xlfn.XLOOKUP(Table15[[#This Row],[Year]]-1,$N$2:$N$27,$P$2:$P$27)*(1+Table15[[#This Row],[Ávöxtun]]),ISNUMBER(Table15[[#This Row],[Column4]]),Table15[[#This Row],[Column4]],Table15[[#This Row],[Column4]]="",I825*(1+Table15[[#This Row],[Ávöxtun]]))</f>
        <v>128.4629588</v>
      </c>
      <c r="L826" s="33">
        <v>128.4629588</v>
      </c>
      <c r="M826" s="33">
        <v>128.4629588</v>
      </c>
    </row>
    <row r="827" spans="1:13">
      <c r="A827" t="s">
        <v>105</v>
      </c>
      <c r="B827">
        <v>2004</v>
      </c>
      <c r="C827" s="16">
        <v>0.11</v>
      </c>
      <c r="D827" s="1">
        <v>11233915</v>
      </c>
      <c r="E827" s="29">
        <f>Table15[[#This Row],[Ávöxtun]]*Table15[[#This Row],[Eignir]]/SUMIFS(Table15[Eignir],Table15[Year],Table15[[#This Row],[Year]])</f>
        <v>1.3614309950714762E-3</v>
      </c>
      <c r="F827" s="23">
        <f>IF(B827=1997, 100, IF(COUNTIF(A$1:A826,A827)=0, "NEW", F826*(1+Table15[[#This Row],[Ávöxtun]])))</f>
        <v>142.59388426800001</v>
      </c>
      <c r="G827" s="18" cm="1">
        <f t="array" ref="G827">IFERROR(_xlfn.IFS(ISNUMBER(Table15[[#This Row],[Column3]]),Table15[[#This Row],[Column3]],Table15[[#This Row],[Column3]]="NEW",Table15[[#This Row],[Column3]]),"")</f>
        <v>142.59388426800001</v>
      </c>
      <c r="H827" s="15" cm="1">
        <f t="array" ref="H827">_xlfn.IFS(Table15[[#This Row],[Column4]]="NEW",AVERAGEIFS(Table15[Column4],Table15[Year],Table15[[#This Row],[Year]]),ISNUMBER(Table15[[#This Row],[Column4]]),Table15[[#This Row],[Column4]],Table15[[#This Row],[Column4]]="",H826*(1+Table15[[#This Row],[Ávöxtun]]))</f>
        <v>142.59388426800001</v>
      </c>
      <c r="I827" s="30" cm="1">
        <f t="array" ref="I827">_xlfn.IFS(Table15[[#This Row],[Column4]]="NEW",_xlfn.XLOOKUP(Table15[[#This Row],[Year]]-1,$N$2:$N$27,$P$2:$P$27)*(1+Table15[[#This Row],[Ávöxtun]]),ISNUMBER(Table15[[#This Row],[Column4]]),Table15[[#This Row],[Column4]],Table15[[#This Row],[Column4]]="",I826*(1+Table15[[#This Row],[Ávöxtun]]))</f>
        <v>142.59388426800001</v>
      </c>
      <c r="L827" s="33">
        <v>142.59388426800001</v>
      </c>
      <c r="M827" s="33">
        <v>142.59388426800001</v>
      </c>
    </row>
    <row r="828" spans="1:13">
      <c r="A828" t="s">
        <v>105</v>
      </c>
      <c r="B828">
        <v>2005</v>
      </c>
      <c r="C828" s="16">
        <v>0.1</v>
      </c>
      <c r="D828" s="1">
        <v>13271719</v>
      </c>
      <c r="E828" s="29">
        <f>Table15[[#This Row],[Ávöxtun]]*Table15[[#This Row],[Eignir]]/SUMIFS(Table15[Eignir],Table15[Year],Table15[[#This Row],[Year]])</f>
        <v>1.1835612514178278E-3</v>
      </c>
      <c r="F828" s="23">
        <f>IF(B828=1997, 100, IF(COUNTIF(A$1:A827,A828)=0, "NEW", F827*(1+Table15[[#This Row],[Ávöxtun]])))</f>
        <v>156.85327269480001</v>
      </c>
      <c r="G828" s="18" cm="1">
        <f t="array" ref="G828">IFERROR(_xlfn.IFS(ISNUMBER(Table15[[#This Row],[Column3]]),Table15[[#This Row],[Column3]],Table15[[#This Row],[Column3]]="NEW",Table15[[#This Row],[Column3]]),"")</f>
        <v>156.85327269480001</v>
      </c>
      <c r="H828" s="15" cm="1">
        <f t="array" ref="H828">_xlfn.IFS(Table15[[#This Row],[Column4]]="NEW",AVERAGEIFS(Table15[Column4],Table15[Year],Table15[[#This Row],[Year]]),ISNUMBER(Table15[[#This Row],[Column4]]),Table15[[#This Row],[Column4]],Table15[[#This Row],[Column4]]="",H827*(1+Table15[[#This Row],[Ávöxtun]]))</f>
        <v>156.85327269480001</v>
      </c>
      <c r="I828" s="30" cm="1">
        <f t="array" ref="I828">_xlfn.IFS(Table15[[#This Row],[Column4]]="NEW",_xlfn.XLOOKUP(Table15[[#This Row],[Year]]-1,$N$2:$N$27,$P$2:$P$27)*(1+Table15[[#This Row],[Ávöxtun]]),ISNUMBER(Table15[[#This Row],[Column4]]),Table15[[#This Row],[Column4]],Table15[[#This Row],[Column4]]="",I827*(1+Table15[[#This Row],[Ávöxtun]]))</f>
        <v>156.85327269480001</v>
      </c>
      <c r="L828" s="33">
        <v>156.85327269480001</v>
      </c>
      <c r="M828" s="33">
        <v>156.85327269480001</v>
      </c>
    </row>
    <row r="829" spans="1:13">
      <c r="A829" t="s">
        <v>124</v>
      </c>
      <c r="B829">
        <v>1997</v>
      </c>
      <c r="C829" s="16">
        <v>0.08</v>
      </c>
      <c r="D829" s="1">
        <v>33298933.260000002</v>
      </c>
      <c r="E829" s="29">
        <f>Table15[[#This Row],[Ávöxtun]]*Table15[[#This Row],[Eignir]]/SUMIFS(Table15[Eignir],Table15[Year],Table15[[#This Row],[Year]])</f>
        <v>7.8575679570969253E-3</v>
      </c>
      <c r="F829" s="23">
        <f>IF(B829=1997, 100, IF(COUNTIF(A$1:A828,A829)=0, "NEW", F828*(1+Table15[[#This Row],[Ávöxtun]])))</f>
        <v>100</v>
      </c>
      <c r="G829" s="18" cm="1">
        <f t="array" ref="G829">IFERROR(_xlfn.IFS(ISNUMBER(Table15[[#This Row],[Column3]]),Table15[[#This Row],[Column3]],Table15[[#This Row],[Column3]]="NEW",Table15[[#This Row],[Column3]]),"")</f>
        <v>100</v>
      </c>
      <c r="H829" s="15" cm="1">
        <f t="array" ref="H829">_xlfn.IFS(Table15[[#This Row],[Column4]]="NEW",AVERAGEIFS(Table15[Column4],Table15[Year],Table15[[#This Row],[Year]]),ISNUMBER(Table15[[#This Row],[Column4]]),Table15[[#This Row],[Column4]],Table15[[#This Row],[Column4]]="",H828*(1+Table15[[#This Row],[Ávöxtun]]))</f>
        <v>100</v>
      </c>
      <c r="I829" s="30" cm="1">
        <f t="array" ref="I829">_xlfn.IFS(Table15[[#This Row],[Column4]]="NEW",_xlfn.XLOOKUP(Table15[[#This Row],[Year]]-1,$N$2:$N$27,$P$2:$P$27)*(1+Table15[[#This Row],[Ávöxtun]]),ISNUMBER(Table15[[#This Row],[Column4]]),Table15[[#This Row],[Column4]],Table15[[#This Row],[Column4]]="",I828*(1+Table15[[#This Row],[Ávöxtun]]))</f>
        <v>100</v>
      </c>
      <c r="L829" s="33">
        <v>100</v>
      </c>
      <c r="M829" s="33">
        <v>100</v>
      </c>
    </row>
    <row r="830" spans="1:13">
      <c r="A830" t="s">
        <v>124</v>
      </c>
      <c r="B830">
        <v>1998</v>
      </c>
      <c r="C830" s="16">
        <v>0.08</v>
      </c>
      <c r="D830" s="1">
        <v>37030389.799999997</v>
      </c>
      <c r="E830" s="29">
        <f>Table15[[#This Row],[Ávöxtun]]*Table15[[#This Row],[Eignir]]/SUMIFS(Table15[Eignir],Table15[Year],Table15[[#This Row],[Year]])</f>
        <v>7.5642673882093409E-3</v>
      </c>
      <c r="F830" s="23">
        <f>IF(B830=1997, 100, IF(COUNTIF(A$1:A829,A830)=0, "NEW", F829*(1+Table15[[#This Row],[Ávöxtun]])))</f>
        <v>108</v>
      </c>
      <c r="G830" s="18" cm="1">
        <f t="array" ref="G830">IFERROR(_xlfn.IFS(ISNUMBER(Table15[[#This Row],[Column3]]),Table15[[#This Row],[Column3]],Table15[[#This Row],[Column3]]="NEW",Table15[[#This Row],[Column3]]),"")</f>
        <v>108</v>
      </c>
      <c r="H830" s="15" cm="1">
        <f t="array" ref="H830">_xlfn.IFS(Table15[[#This Row],[Column4]]="NEW",AVERAGEIFS(Table15[Column4],Table15[Year],Table15[[#This Row],[Year]]),ISNUMBER(Table15[[#This Row],[Column4]]),Table15[[#This Row],[Column4]],Table15[[#This Row],[Column4]]="",H829*(1+Table15[[#This Row],[Ávöxtun]]))</f>
        <v>108</v>
      </c>
      <c r="I830" s="30" cm="1">
        <f t="array" ref="I830">_xlfn.IFS(Table15[[#This Row],[Column4]]="NEW",_xlfn.XLOOKUP(Table15[[#This Row],[Year]]-1,$N$2:$N$27,$P$2:$P$27)*(1+Table15[[#This Row],[Ávöxtun]]),ISNUMBER(Table15[[#This Row],[Column4]]),Table15[[#This Row],[Column4]],Table15[[#This Row],[Column4]]="",I829*(1+Table15[[#This Row],[Ávöxtun]]))</f>
        <v>108</v>
      </c>
      <c r="L830" s="33">
        <v>108</v>
      </c>
      <c r="M830" s="33">
        <v>108</v>
      </c>
    </row>
    <row r="831" spans="1:13">
      <c r="A831" t="s">
        <v>124</v>
      </c>
      <c r="B831">
        <v>1999</v>
      </c>
      <c r="C831" s="16">
        <v>0.15</v>
      </c>
      <c r="D831" s="1">
        <v>46338131.829999998</v>
      </c>
      <c r="E831" s="29">
        <f>Table15[[#This Row],[Ávöxtun]]*Table15[[#This Row],[Eignir]]/SUMIFS(Table15[Eignir],Table15[Year],Table15[[#This Row],[Year]])</f>
        <v>1.3348371498050198E-2</v>
      </c>
      <c r="F831" s="23">
        <f>IF(B831=1997, 100, IF(COUNTIF(A$1:A830,A831)=0, "NEW", F830*(1+Table15[[#This Row],[Ávöxtun]])))</f>
        <v>124.19999999999999</v>
      </c>
      <c r="G831" s="18" cm="1">
        <f t="array" ref="G831">IFERROR(_xlfn.IFS(ISNUMBER(Table15[[#This Row],[Column3]]),Table15[[#This Row],[Column3]],Table15[[#This Row],[Column3]]="NEW",Table15[[#This Row],[Column3]]),"")</f>
        <v>124.19999999999999</v>
      </c>
      <c r="H831" s="15" cm="1">
        <f t="array" ref="H831">_xlfn.IFS(Table15[[#This Row],[Column4]]="NEW",AVERAGEIFS(Table15[Column4],Table15[Year],Table15[[#This Row],[Year]]),ISNUMBER(Table15[[#This Row],[Column4]]),Table15[[#This Row],[Column4]],Table15[[#This Row],[Column4]]="",H830*(1+Table15[[#This Row],[Ávöxtun]]))</f>
        <v>124.19999999999999</v>
      </c>
      <c r="I831" s="30" cm="1">
        <f t="array" ref="I831">_xlfn.IFS(Table15[[#This Row],[Column4]]="NEW",_xlfn.XLOOKUP(Table15[[#This Row],[Year]]-1,$N$2:$N$27,$P$2:$P$27)*(1+Table15[[#This Row],[Ávöxtun]]),ISNUMBER(Table15[[#This Row],[Column4]]),Table15[[#This Row],[Column4]],Table15[[#This Row],[Column4]]="",I830*(1+Table15[[#This Row],[Ávöxtun]]))</f>
        <v>124.19999999999999</v>
      </c>
      <c r="L831" s="33">
        <v>124.19999999999999</v>
      </c>
      <c r="M831" s="33">
        <v>124.19999999999999</v>
      </c>
    </row>
    <row r="832" spans="1:13">
      <c r="A832" t="s">
        <v>124</v>
      </c>
      <c r="B832">
        <v>2000</v>
      </c>
      <c r="C832" s="16">
        <v>-0.01</v>
      </c>
      <c r="D832" s="1">
        <v>48711789.770000003</v>
      </c>
      <c r="E832" s="29">
        <f>Table15[[#This Row],[Ávöxtun]]*Table15[[#This Row],[Eignir]]/SUMIFS(Table15[Eignir],Table15[Year],Table15[[#This Row],[Year]])</f>
        <v>-6.8522288375444439E-4</v>
      </c>
      <c r="F832" s="23">
        <f>IF(B832=1997, 100, IF(COUNTIF(A$1:A831,A832)=0, "NEW", F831*(1+Table15[[#This Row],[Ávöxtun]])))</f>
        <v>122.95799999999998</v>
      </c>
      <c r="G832" s="18" cm="1">
        <f t="array" ref="G832">IFERROR(_xlfn.IFS(ISNUMBER(Table15[[#This Row],[Column3]]),Table15[[#This Row],[Column3]],Table15[[#This Row],[Column3]]="NEW",Table15[[#This Row],[Column3]]),"")</f>
        <v>122.95799999999998</v>
      </c>
      <c r="H832" s="15" cm="1">
        <f t="array" ref="H832">_xlfn.IFS(Table15[[#This Row],[Column4]]="NEW",AVERAGEIFS(Table15[Column4],Table15[Year],Table15[[#This Row],[Year]]),ISNUMBER(Table15[[#This Row],[Column4]]),Table15[[#This Row],[Column4]],Table15[[#This Row],[Column4]]="",H831*(1+Table15[[#This Row],[Ávöxtun]]))</f>
        <v>122.95799999999998</v>
      </c>
      <c r="I832" s="30" cm="1">
        <f t="array" ref="I832">_xlfn.IFS(Table15[[#This Row],[Column4]]="NEW",_xlfn.XLOOKUP(Table15[[#This Row],[Year]]-1,$N$2:$N$27,$P$2:$P$27)*(1+Table15[[#This Row],[Ávöxtun]]),ISNUMBER(Table15[[#This Row],[Column4]]),Table15[[#This Row],[Column4]],Table15[[#This Row],[Column4]]="",I831*(1+Table15[[#This Row],[Ávöxtun]]))</f>
        <v>122.95799999999998</v>
      </c>
      <c r="L832" s="33">
        <v>122.95799999999998</v>
      </c>
      <c r="M832" s="33">
        <v>122.95799999999998</v>
      </c>
    </row>
    <row r="833" spans="1:13">
      <c r="A833" t="s">
        <v>124</v>
      </c>
      <c r="B833">
        <v>2001</v>
      </c>
      <c r="C833" s="16">
        <v>-0.05</v>
      </c>
      <c r="D833" s="1">
        <v>104961845.41</v>
      </c>
      <c r="E833" s="29">
        <f>Table15[[#This Row],[Ávöxtun]]*Table15[[#This Row],[Eignir]]/SUMIFS(Table15[Eignir],Table15[Year],Table15[[#This Row],[Year]])</f>
        <v>-4.5323611758060428E-3</v>
      </c>
      <c r="F833" s="23">
        <f>IF(B833=1997, 100, IF(COUNTIF(A$1:A832,A833)=0, "NEW", F832*(1+Table15[[#This Row],[Ávöxtun]])))</f>
        <v>116.81009999999998</v>
      </c>
      <c r="G833" s="18" cm="1">
        <f t="array" ref="G833">IFERROR(_xlfn.IFS(ISNUMBER(Table15[[#This Row],[Column3]]),Table15[[#This Row],[Column3]],Table15[[#This Row],[Column3]]="NEW",Table15[[#This Row],[Column3]]),"")</f>
        <v>116.81009999999998</v>
      </c>
      <c r="H833" s="15" cm="1">
        <f t="array" ref="H833">_xlfn.IFS(Table15[[#This Row],[Column4]]="NEW",AVERAGEIFS(Table15[Column4],Table15[Year],Table15[[#This Row],[Year]]),ISNUMBER(Table15[[#This Row],[Column4]]),Table15[[#This Row],[Column4]],Table15[[#This Row],[Column4]]="",H832*(1+Table15[[#This Row],[Ávöxtun]]))</f>
        <v>116.81009999999998</v>
      </c>
      <c r="I833" s="30" cm="1">
        <f t="array" ref="I833">_xlfn.IFS(Table15[[#This Row],[Column4]]="NEW",_xlfn.XLOOKUP(Table15[[#This Row],[Year]]-1,$N$2:$N$27,$P$2:$P$27)*(1+Table15[[#This Row],[Ávöxtun]]),ISNUMBER(Table15[[#This Row],[Column4]]),Table15[[#This Row],[Column4]],Table15[[#This Row],[Column4]]="",I832*(1+Table15[[#This Row],[Ávöxtun]]))</f>
        <v>116.81009999999998</v>
      </c>
      <c r="L833" s="33">
        <v>116.81009999999998</v>
      </c>
      <c r="M833" s="33">
        <v>116.81009999999998</v>
      </c>
    </row>
    <row r="834" spans="1:13">
      <c r="A834" t="s">
        <v>124</v>
      </c>
      <c r="B834">
        <v>2002</v>
      </c>
      <c r="C834" s="16">
        <v>-0.01</v>
      </c>
      <c r="D834" s="1">
        <v>53465137.770000003</v>
      </c>
      <c r="E834" s="29">
        <f>Table15[[#This Row],[Ávöxtun]]*Table15[[#This Row],[Eignir]]/SUMIFS(Table15[Eignir],Table15[Year],Table15[[#This Row],[Year]])</f>
        <v>-8.4175306998204901E-4</v>
      </c>
      <c r="F834" s="23">
        <f>IF(B834=1997, 100, IF(COUNTIF(A$1:A833,A834)=0, "NEW", F833*(1+Table15[[#This Row],[Ávöxtun]])))</f>
        <v>115.64199899999997</v>
      </c>
      <c r="G834" s="18" cm="1">
        <f t="array" ref="G834">IFERROR(_xlfn.IFS(ISNUMBER(Table15[[#This Row],[Column3]]),Table15[[#This Row],[Column3]],Table15[[#This Row],[Column3]]="NEW",Table15[[#This Row],[Column3]]),"")</f>
        <v>115.64199899999997</v>
      </c>
      <c r="H834" s="15" cm="1">
        <f t="array" ref="H834">_xlfn.IFS(Table15[[#This Row],[Column4]]="NEW",AVERAGEIFS(Table15[Column4],Table15[Year],Table15[[#This Row],[Year]]),ISNUMBER(Table15[[#This Row],[Column4]]),Table15[[#This Row],[Column4]],Table15[[#This Row],[Column4]]="",H833*(1+Table15[[#This Row],[Ávöxtun]]))</f>
        <v>115.64199899999997</v>
      </c>
      <c r="I834" s="30" cm="1">
        <f t="array" ref="I834">_xlfn.IFS(Table15[[#This Row],[Column4]]="NEW",_xlfn.XLOOKUP(Table15[[#This Row],[Year]]-1,$N$2:$N$27,$P$2:$P$27)*(1+Table15[[#This Row],[Ávöxtun]]),ISNUMBER(Table15[[#This Row],[Column4]]),Table15[[#This Row],[Column4]],Table15[[#This Row],[Column4]]="",I833*(1+Table15[[#This Row],[Ávöxtun]]))</f>
        <v>115.64199899999997</v>
      </c>
      <c r="L834" s="33">
        <v>115.64199899999997</v>
      </c>
      <c r="M834" s="33">
        <v>115.64199899999997</v>
      </c>
    </row>
    <row r="835" spans="1:13">
      <c r="A835" t="s">
        <v>124</v>
      </c>
      <c r="B835">
        <v>2003</v>
      </c>
      <c r="C835" s="16">
        <v>0.14000000000000001</v>
      </c>
      <c r="D835" s="1">
        <v>63621502</v>
      </c>
      <c r="E835" s="29">
        <f>Table15[[#This Row],[Ávöxtun]]*Table15[[#This Row],[Eignir]]/SUMIFS(Table15[Eignir],Table15[Year],Table15[[#This Row],[Year]])</f>
        <v>1.1721425377535413E-2</v>
      </c>
      <c r="F835" s="23">
        <f>IF(B835=1997, 100, IF(COUNTIF(A$1:A834,A835)=0, "NEW", F834*(1+Table15[[#This Row],[Ávöxtun]])))</f>
        <v>131.83187885999999</v>
      </c>
      <c r="G835" s="18" cm="1">
        <f t="array" ref="G835">IFERROR(_xlfn.IFS(ISNUMBER(Table15[[#This Row],[Column3]]),Table15[[#This Row],[Column3]],Table15[[#This Row],[Column3]]="NEW",Table15[[#This Row],[Column3]]),"")</f>
        <v>131.83187885999999</v>
      </c>
      <c r="H835" s="15" cm="1">
        <f t="array" ref="H835">_xlfn.IFS(Table15[[#This Row],[Column4]]="NEW",AVERAGEIFS(Table15[Column4],Table15[Year],Table15[[#This Row],[Year]]),ISNUMBER(Table15[[#This Row],[Column4]]),Table15[[#This Row],[Column4]],Table15[[#This Row],[Column4]]="",H834*(1+Table15[[#This Row],[Ávöxtun]]))</f>
        <v>131.83187885999999</v>
      </c>
      <c r="I835" s="30" cm="1">
        <f t="array" ref="I835">_xlfn.IFS(Table15[[#This Row],[Column4]]="NEW",_xlfn.XLOOKUP(Table15[[#This Row],[Year]]-1,$N$2:$N$27,$P$2:$P$27)*(1+Table15[[#This Row],[Ávöxtun]]),ISNUMBER(Table15[[#This Row],[Column4]]),Table15[[#This Row],[Column4]],Table15[[#This Row],[Column4]]="",I834*(1+Table15[[#This Row],[Ávöxtun]]))</f>
        <v>131.83187885999999</v>
      </c>
      <c r="L835" s="33">
        <v>131.83187885999999</v>
      </c>
      <c r="M835" s="33">
        <v>131.83187885999999</v>
      </c>
    </row>
    <row r="836" spans="1:13">
      <c r="A836" t="s">
        <v>124</v>
      </c>
      <c r="B836">
        <v>2004</v>
      </c>
      <c r="C836" s="16">
        <v>0.14000000000000001</v>
      </c>
      <c r="D836" s="1">
        <v>76386821.939999998</v>
      </c>
      <c r="E836" s="29">
        <f>Table15[[#This Row],[Ávöxtun]]*Table15[[#This Row],[Eignir]]/SUMIFS(Table15[Eignir],Table15[Year],Table15[[#This Row],[Year]])</f>
        <v>1.1781980304993703E-2</v>
      </c>
      <c r="F836" s="23">
        <f>IF(B836=1997, 100, IF(COUNTIF(A$1:A835,A836)=0, "NEW", F835*(1+Table15[[#This Row],[Ávöxtun]])))</f>
        <v>150.28834190040001</v>
      </c>
      <c r="G836" s="18" cm="1">
        <f t="array" ref="G836">IFERROR(_xlfn.IFS(ISNUMBER(Table15[[#This Row],[Column3]]),Table15[[#This Row],[Column3]],Table15[[#This Row],[Column3]]="NEW",Table15[[#This Row],[Column3]]),"")</f>
        <v>150.28834190040001</v>
      </c>
      <c r="H836" s="15" cm="1">
        <f t="array" ref="H836">_xlfn.IFS(Table15[[#This Row],[Column4]]="NEW",AVERAGEIFS(Table15[Column4],Table15[Year],Table15[[#This Row],[Year]]),ISNUMBER(Table15[[#This Row],[Column4]]),Table15[[#This Row],[Column4]],Table15[[#This Row],[Column4]]="",H835*(1+Table15[[#This Row],[Ávöxtun]]))</f>
        <v>150.28834190040001</v>
      </c>
      <c r="I836" s="30" cm="1">
        <f t="array" ref="I836">_xlfn.IFS(Table15[[#This Row],[Column4]]="NEW",_xlfn.XLOOKUP(Table15[[#This Row],[Year]]-1,$N$2:$N$27,$P$2:$P$27)*(1+Table15[[#This Row],[Ávöxtun]]),ISNUMBER(Table15[[#This Row],[Column4]]),Table15[[#This Row],[Column4]],Table15[[#This Row],[Column4]]="",I835*(1+Table15[[#This Row],[Ávöxtun]]))</f>
        <v>150.28834190040001</v>
      </c>
      <c r="L836" s="33">
        <v>150.28834190040001</v>
      </c>
      <c r="M836" s="33">
        <v>150.28834190040001</v>
      </c>
    </row>
    <row r="837" spans="1:13">
      <c r="A837" t="s">
        <v>125</v>
      </c>
      <c r="B837">
        <v>1997</v>
      </c>
      <c r="C837" s="16">
        <v>0.1</v>
      </c>
      <c r="D837" s="1">
        <v>10050859.49</v>
      </c>
      <c r="E837" s="29">
        <f>Table15[[#This Row],[Ávöxtun]]*Table15[[#This Row],[Eignir]]/SUMIFS(Table15[Eignir],Table15[Year],Table15[[#This Row],[Year]])</f>
        <v>2.9646336886103731E-3</v>
      </c>
      <c r="F837" s="23">
        <f>IF(B837=1997, 100, IF(COUNTIF(A$1:A836,A837)=0, "NEW", F836*(1+Table15[[#This Row],[Ávöxtun]])))</f>
        <v>100</v>
      </c>
      <c r="G837" s="18" cm="1">
        <f t="array" ref="G837">IFERROR(_xlfn.IFS(ISNUMBER(Table15[[#This Row],[Column3]]),Table15[[#This Row],[Column3]],Table15[[#This Row],[Column3]]="NEW",Table15[[#This Row],[Column3]]),"")</f>
        <v>100</v>
      </c>
      <c r="H837" s="15" cm="1">
        <f t="array" ref="H837">_xlfn.IFS(Table15[[#This Row],[Column4]]="NEW",AVERAGEIFS(Table15[Column4],Table15[Year],Table15[[#This Row],[Year]]),ISNUMBER(Table15[[#This Row],[Column4]]),Table15[[#This Row],[Column4]],Table15[[#This Row],[Column4]]="",H836*(1+Table15[[#This Row],[Ávöxtun]]))</f>
        <v>100</v>
      </c>
      <c r="I837" s="30" cm="1">
        <f t="array" ref="I837">_xlfn.IFS(Table15[[#This Row],[Column4]]="NEW",_xlfn.XLOOKUP(Table15[[#This Row],[Year]]-1,$N$2:$N$27,$P$2:$P$27)*(1+Table15[[#This Row],[Ávöxtun]]),ISNUMBER(Table15[[#This Row],[Column4]]),Table15[[#This Row],[Column4]],Table15[[#This Row],[Column4]]="",I836*(1+Table15[[#This Row],[Ávöxtun]]))</f>
        <v>100</v>
      </c>
      <c r="L837" s="33">
        <v>100</v>
      </c>
      <c r="M837" s="33">
        <v>100</v>
      </c>
    </row>
    <row r="838" spans="1:13">
      <c r="A838" t="s">
        <v>125</v>
      </c>
      <c r="B838">
        <v>1998</v>
      </c>
      <c r="C838" s="16">
        <v>0.05</v>
      </c>
      <c r="D838" s="1">
        <v>11379300.15</v>
      </c>
      <c r="E838" s="29">
        <f>Table15[[#This Row],[Ávöxtun]]*Table15[[#This Row],[Eignir]]/SUMIFS(Table15[Eignir],Table15[Year],Table15[[#This Row],[Year]])</f>
        <v>1.4527944056588534E-3</v>
      </c>
      <c r="F838" s="23">
        <f>IF(B838=1997, 100, IF(COUNTIF(A$1:A837,A838)=0, "NEW", F837*(1+Table15[[#This Row],[Ávöxtun]])))</f>
        <v>105</v>
      </c>
      <c r="G838" s="18" cm="1">
        <f t="array" ref="G838">IFERROR(_xlfn.IFS(ISNUMBER(Table15[[#This Row],[Column3]]),Table15[[#This Row],[Column3]],Table15[[#This Row],[Column3]]="NEW",Table15[[#This Row],[Column3]]),"")</f>
        <v>105</v>
      </c>
      <c r="H838" s="15" cm="1">
        <f t="array" ref="H838">_xlfn.IFS(Table15[[#This Row],[Column4]]="NEW",AVERAGEIFS(Table15[Column4],Table15[Year],Table15[[#This Row],[Year]]),ISNUMBER(Table15[[#This Row],[Column4]]),Table15[[#This Row],[Column4]],Table15[[#This Row],[Column4]]="",H837*(1+Table15[[#This Row],[Ávöxtun]]))</f>
        <v>105</v>
      </c>
      <c r="I838" s="30" cm="1">
        <f t="array" ref="I838">_xlfn.IFS(Table15[[#This Row],[Column4]]="NEW",_xlfn.XLOOKUP(Table15[[#This Row],[Year]]-1,$N$2:$N$27,$P$2:$P$27)*(1+Table15[[#This Row],[Ávöxtun]]),ISNUMBER(Table15[[#This Row],[Column4]]),Table15[[#This Row],[Column4]],Table15[[#This Row],[Column4]]="",I837*(1+Table15[[#This Row],[Ávöxtun]]))</f>
        <v>105</v>
      </c>
      <c r="L838" s="33">
        <v>105</v>
      </c>
      <c r="M838" s="33">
        <v>105</v>
      </c>
    </row>
    <row r="839" spans="1:13">
      <c r="A839" t="s">
        <v>125</v>
      </c>
      <c r="B839">
        <v>1999</v>
      </c>
      <c r="C839" s="16">
        <v>0.14000000000000001</v>
      </c>
      <c r="D839" s="1">
        <v>14690531.02</v>
      </c>
      <c r="E839" s="29">
        <f>Table15[[#This Row],[Ávöxtun]]*Table15[[#This Row],[Eignir]]/SUMIFS(Table15[Eignir],Table15[Year],Table15[[#This Row],[Year]])</f>
        <v>3.9496993216328446E-3</v>
      </c>
      <c r="F839" s="23">
        <f>IF(B839=1997, 100, IF(COUNTIF(A$1:A838,A839)=0, "NEW", F838*(1+Table15[[#This Row],[Ávöxtun]])))</f>
        <v>119.70000000000002</v>
      </c>
      <c r="G839" s="18" cm="1">
        <f t="array" ref="G839">IFERROR(_xlfn.IFS(ISNUMBER(Table15[[#This Row],[Column3]]),Table15[[#This Row],[Column3]],Table15[[#This Row],[Column3]]="NEW",Table15[[#This Row],[Column3]]),"")</f>
        <v>119.70000000000002</v>
      </c>
      <c r="H839" s="15" cm="1">
        <f t="array" ref="H839">_xlfn.IFS(Table15[[#This Row],[Column4]]="NEW",AVERAGEIFS(Table15[Column4],Table15[Year],Table15[[#This Row],[Year]]),ISNUMBER(Table15[[#This Row],[Column4]]),Table15[[#This Row],[Column4]],Table15[[#This Row],[Column4]]="",H838*(1+Table15[[#This Row],[Ávöxtun]]))</f>
        <v>119.70000000000002</v>
      </c>
      <c r="I839" s="30" cm="1">
        <f t="array" ref="I839">_xlfn.IFS(Table15[[#This Row],[Column4]]="NEW",_xlfn.XLOOKUP(Table15[[#This Row],[Year]]-1,$N$2:$N$27,$P$2:$P$27)*(1+Table15[[#This Row],[Ávöxtun]]),ISNUMBER(Table15[[#This Row],[Column4]]),Table15[[#This Row],[Column4]],Table15[[#This Row],[Column4]]="",I838*(1+Table15[[#This Row],[Ávöxtun]]))</f>
        <v>119.70000000000002</v>
      </c>
      <c r="L839" s="33">
        <v>119.70000000000002</v>
      </c>
      <c r="M839" s="33">
        <v>119.70000000000002</v>
      </c>
    </row>
    <row r="840" spans="1:13">
      <c r="A840" t="s">
        <v>125</v>
      </c>
      <c r="B840">
        <v>2000</v>
      </c>
      <c r="C840" s="16">
        <v>0</v>
      </c>
      <c r="D840" s="1">
        <v>16290384.630000001</v>
      </c>
      <c r="E840" s="29">
        <f>Table15[[#This Row],[Ávöxtun]]*Table15[[#This Row],[Eignir]]/SUMIFS(Table15[Eignir],Table15[Year],Table15[[#This Row],[Year]])</f>
        <v>0</v>
      </c>
      <c r="F840" s="23">
        <f>IF(B840=1997, 100, IF(COUNTIF(A$1:A839,A840)=0, "NEW", F839*(1+Table15[[#This Row],[Ávöxtun]])))</f>
        <v>119.70000000000002</v>
      </c>
      <c r="G840" s="18" cm="1">
        <f t="array" ref="G840">IFERROR(_xlfn.IFS(ISNUMBER(Table15[[#This Row],[Column3]]),Table15[[#This Row],[Column3]],Table15[[#This Row],[Column3]]="NEW",Table15[[#This Row],[Column3]]),"")</f>
        <v>119.70000000000002</v>
      </c>
      <c r="H840" s="15" cm="1">
        <f t="array" ref="H840">_xlfn.IFS(Table15[[#This Row],[Column4]]="NEW",AVERAGEIFS(Table15[Column4],Table15[Year],Table15[[#This Row],[Year]]),ISNUMBER(Table15[[#This Row],[Column4]]),Table15[[#This Row],[Column4]],Table15[[#This Row],[Column4]]="",H839*(1+Table15[[#This Row],[Ávöxtun]]))</f>
        <v>119.70000000000002</v>
      </c>
      <c r="I840" s="30" cm="1">
        <f t="array" ref="I840">_xlfn.IFS(Table15[[#This Row],[Column4]]="NEW",_xlfn.XLOOKUP(Table15[[#This Row],[Year]]-1,$N$2:$N$27,$P$2:$P$27)*(1+Table15[[#This Row],[Ávöxtun]]),ISNUMBER(Table15[[#This Row],[Column4]]),Table15[[#This Row],[Column4]],Table15[[#This Row],[Column4]]="",I839*(1+Table15[[#This Row],[Ávöxtun]]))</f>
        <v>119.70000000000002</v>
      </c>
      <c r="L840" s="33">
        <v>119.70000000000002</v>
      </c>
      <c r="M840" s="33">
        <v>119.70000000000002</v>
      </c>
    </row>
    <row r="841" spans="1:13">
      <c r="A841" t="s">
        <v>125</v>
      </c>
      <c r="B841">
        <v>2001</v>
      </c>
      <c r="C841" s="16">
        <v>-0.1</v>
      </c>
      <c r="D841" s="1">
        <v>36572592.369999997</v>
      </c>
      <c r="E841" s="29">
        <f>Table15[[#This Row],[Ávöxtun]]*Table15[[#This Row],[Eignir]]/SUMIFS(Table15[Eignir],Table15[Year],Table15[[#This Row],[Year]])</f>
        <v>-3.1584848210105092E-3</v>
      </c>
      <c r="F841" s="23">
        <f>IF(B841=1997, 100, IF(COUNTIF(A$1:A840,A841)=0, "NEW", F840*(1+Table15[[#This Row],[Ávöxtun]])))</f>
        <v>107.73000000000002</v>
      </c>
      <c r="G841" s="18" cm="1">
        <f t="array" ref="G841">IFERROR(_xlfn.IFS(ISNUMBER(Table15[[#This Row],[Column3]]),Table15[[#This Row],[Column3]],Table15[[#This Row],[Column3]]="NEW",Table15[[#This Row],[Column3]]),"")</f>
        <v>107.73000000000002</v>
      </c>
      <c r="H841" s="15" cm="1">
        <f t="array" ref="H841">_xlfn.IFS(Table15[[#This Row],[Column4]]="NEW",AVERAGEIFS(Table15[Column4],Table15[Year],Table15[[#This Row],[Year]]),ISNUMBER(Table15[[#This Row],[Column4]]),Table15[[#This Row],[Column4]],Table15[[#This Row],[Column4]]="",H840*(1+Table15[[#This Row],[Ávöxtun]]))</f>
        <v>107.73000000000002</v>
      </c>
      <c r="I841" s="30" cm="1">
        <f t="array" ref="I841">_xlfn.IFS(Table15[[#This Row],[Column4]]="NEW",_xlfn.XLOOKUP(Table15[[#This Row],[Year]]-1,$N$2:$N$27,$P$2:$P$27)*(1+Table15[[#This Row],[Ávöxtun]]),ISNUMBER(Table15[[#This Row],[Column4]]),Table15[[#This Row],[Column4]],Table15[[#This Row],[Column4]]="",I840*(1+Table15[[#This Row],[Ávöxtun]]))</f>
        <v>107.73000000000002</v>
      </c>
      <c r="L841" s="33">
        <v>107.73000000000002</v>
      </c>
      <c r="M841" s="33">
        <v>107.73000000000002</v>
      </c>
    </row>
    <row r="842" spans="1:13">
      <c r="A842" t="s">
        <v>125</v>
      </c>
      <c r="B842">
        <v>2002</v>
      </c>
      <c r="C842" s="16">
        <v>-0.04</v>
      </c>
      <c r="D842" s="1">
        <v>18858028</v>
      </c>
      <c r="E842" s="29">
        <f>Table15[[#This Row],[Ávöxtun]]*Table15[[#This Row],[Eignir]]/SUMIFS(Table15[Eignir],Table15[Year],Table15[[#This Row],[Year]])</f>
        <v>-1.187600266259068E-3</v>
      </c>
      <c r="F842" s="23">
        <f>IF(B842=1997, 100, IF(COUNTIF(A$1:A841,A842)=0, "NEW", F841*(1+Table15[[#This Row],[Ávöxtun]])))</f>
        <v>103.42080000000001</v>
      </c>
      <c r="G842" s="18" cm="1">
        <f t="array" ref="G842">IFERROR(_xlfn.IFS(ISNUMBER(Table15[[#This Row],[Column3]]),Table15[[#This Row],[Column3]],Table15[[#This Row],[Column3]]="NEW",Table15[[#This Row],[Column3]]),"")</f>
        <v>103.42080000000001</v>
      </c>
      <c r="H842" s="15" cm="1">
        <f t="array" ref="H842">_xlfn.IFS(Table15[[#This Row],[Column4]]="NEW",AVERAGEIFS(Table15[Column4],Table15[Year],Table15[[#This Row],[Year]]),ISNUMBER(Table15[[#This Row],[Column4]]),Table15[[#This Row],[Column4]],Table15[[#This Row],[Column4]]="",H841*(1+Table15[[#This Row],[Ávöxtun]]))</f>
        <v>103.42080000000001</v>
      </c>
      <c r="I842" s="30" cm="1">
        <f t="array" ref="I842">_xlfn.IFS(Table15[[#This Row],[Column4]]="NEW",_xlfn.XLOOKUP(Table15[[#This Row],[Year]]-1,$N$2:$N$27,$P$2:$P$27)*(1+Table15[[#This Row],[Ávöxtun]]),ISNUMBER(Table15[[#This Row],[Column4]]),Table15[[#This Row],[Column4]],Table15[[#This Row],[Column4]]="",I841*(1+Table15[[#This Row],[Ávöxtun]]))</f>
        <v>103.42080000000001</v>
      </c>
      <c r="L842" s="33">
        <v>103.42080000000001</v>
      </c>
      <c r="M842" s="33">
        <v>103.42080000000001</v>
      </c>
    </row>
    <row r="843" spans="1:13">
      <c r="A843" t="s">
        <v>125</v>
      </c>
      <c r="B843">
        <v>2003</v>
      </c>
      <c r="C843" s="16">
        <v>0.1</v>
      </c>
      <c r="D843" s="1">
        <v>22526414</v>
      </c>
      <c r="E843" s="29">
        <f>Table15[[#This Row],[Ávöxtun]]*Table15[[#This Row],[Eignir]]/SUMIFS(Table15[Eignir],Table15[Year],Table15[[#This Row],[Year]])</f>
        <v>2.9644254629115456E-3</v>
      </c>
      <c r="F843" s="23">
        <f>IF(B843=1997, 100, IF(COUNTIF(A$1:A842,A843)=0, "NEW", F842*(1+Table15[[#This Row],[Ávöxtun]])))</f>
        <v>113.76288000000002</v>
      </c>
      <c r="G843" s="18" cm="1">
        <f t="array" ref="G843">IFERROR(_xlfn.IFS(ISNUMBER(Table15[[#This Row],[Column3]]),Table15[[#This Row],[Column3]],Table15[[#This Row],[Column3]]="NEW",Table15[[#This Row],[Column3]]),"")</f>
        <v>113.76288000000002</v>
      </c>
      <c r="H843" s="15" cm="1">
        <f t="array" ref="H843">_xlfn.IFS(Table15[[#This Row],[Column4]]="NEW",AVERAGEIFS(Table15[Column4],Table15[Year],Table15[[#This Row],[Year]]),ISNUMBER(Table15[[#This Row],[Column4]]),Table15[[#This Row],[Column4]],Table15[[#This Row],[Column4]]="",H842*(1+Table15[[#This Row],[Ávöxtun]]))</f>
        <v>113.76288000000002</v>
      </c>
      <c r="I843" s="30" cm="1">
        <f t="array" ref="I843">_xlfn.IFS(Table15[[#This Row],[Column4]]="NEW",_xlfn.XLOOKUP(Table15[[#This Row],[Year]]-1,$N$2:$N$27,$P$2:$P$27)*(1+Table15[[#This Row],[Ávöxtun]]),ISNUMBER(Table15[[#This Row],[Column4]]),Table15[[#This Row],[Column4]],Table15[[#This Row],[Column4]]="",I842*(1+Table15[[#This Row],[Ávöxtun]]))</f>
        <v>113.76288000000002</v>
      </c>
      <c r="L843" s="33">
        <v>113.76288000000002</v>
      </c>
      <c r="M843" s="33">
        <v>113.76288000000002</v>
      </c>
    </row>
    <row r="844" spans="1:13">
      <c r="A844" t="s">
        <v>125</v>
      </c>
      <c r="B844">
        <v>2004</v>
      </c>
      <c r="C844" s="16">
        <v>0.09</v>
      </c>
      <c r="D844" s="1">
        <v>26830629</v>
      </c>
      <c r="E844" s="29">
        <f>Table15[[#This Row],[Ávöxtun]]*Table15[[#This Row],[Eignir]]/SUMIFS(Table15[Eignir],Table15[Year],Table15[[#This Row],[Year]])</f>
        <v>2.6603892154068729E-3</v>
      </c>
      <c r="F844" s="23">
        <f>IF(B844=1997, 100, IF(COUNTIF(A$1:A843,A844)=0, "NEW", F843*(1+Table15[[#This Row],[Ávöxtun]])))</f>
        <v>124.00153920000004</v>
      </c>
      <c r="G844" s="18" cm="1">
        <f t="array" ref="G844">IFERROR(_xlfn.IFS(ISNUMBER(Table15[[#This Row],[Column3]]),Table15[[#This Row],[Column3]],Table15[[#This Row],[Column3]]="NEW",Table15[[#This Row],[Column3]]),"")</f>
        <v>124.00153920000004</v>
      </c>
      <c r="H844" s="15" cm="1">
        <f t="array" ref="H844">_xlfn.IFS(Table15[[#This Row],[Column4]]="NEW",AVERAGEIFS(Table15[Column4],Table15[Year],Table15[[#This Row],[Year]]),ISNUMBER(Table15[[#This Row],[Column4]]),Table15[[#This Row],[Column4]],Table15[[#This Row],[Column4]]="",H843*(1+Table15[[#This Row],[Ávöxtun]]))</f>
        <v>124.00153920000004</v>
      </c>
      <c r="I844" s="30" cm="1">
        <f t="array" ref="I844">_xlfn.IFS(Table15[[#This Row],[Column4]]="NEW",_xlfn.XLOOKUP(Table15[[#This Row],[Year]]-1,$N$2:$N$27,$P$2:$P$27)*(1+Table15[[#This Row],[Ávöxtun]]),ISNUMBER(Table15[[#This Row],[Column4]]),Table15[[#This Row],[Column4]],Table15[[#This Row],[Column4]]="",I843*(1+Table15[[#This Row],[Ávöxtun]]))</f>
        <v>124.00153920000004</v>
      </c>
      <c r="L844" s="33">
        <v>124.00153920000004</v>
      </c>
      <c r="M844" s="33">
        <v>124.00153920000004</v>
      </c>
    </row>
    <row r="845" spans="1:13">
      <c r="A845" t="s">
        <v>125</v>
      </c>
      <c r="B845">
        <v>2005</v>
      </c>
      <c r="C845" s="16">
        <v>0.11</v>
      </c>
      <c r="D845" s="1">
        <v>32675798</v>
      </c>
      <c r="E845" s="29">
        <f>Table15[[#This Row],[Ávöxtun]]*Table15[[#This Row],[Eignir]]/SUMIFS(Table15[Eignir],Table15[Year],Table15[[#This Row],[Year]])</f>
        <v>3.2054015918474288E-3</v>
      </c>
      <c r="F845" s="23">
        <f>IF(B845=1997, 100, IF(COUNTIF(A$1:A844,A845)=0, "NEW", F844*(1+Table15[[#This Row],[Ávöxtun]])))</f>
        <v>137.64170851200006</v>
      </c>
      <c r="G845" s="18" cm="1">
        <f t="array" ref="G845">IFERROR(_xlfn.IFS(ISNUMBER(Table15[[#This Row],[Column3]]),Table15[[#This Row],[Column3]],Table15[[#This Row],[Column3]]="NEW",Table15[[#This Row],[Column3]]),"")</f>
        <v>137.64170851200006</v>
      </c>
      <c r="H845" s="15" cm="1">
        <f t="array" ref="H845">_xlfn.IFS(Table15[[#This Row],[Column4]]="NEW",AVERAGEIFS(Table15[Column4],Table15[Year],Table15[[#This Row],[Year]]),ISNUMBER(Table15[[#This Row],[Column4]]),Table15[[#This Row],[Column4]],Table15[[#This Row],[Column4]]="",H844*(1+Table15[[#This Row],[Ávöxtun]]))</f>
        <v>137.64170851200006</v>
      </c>
      <c r="I845" s="30" cm="1">
        <f t="array" ref="I845">_xlfn.IFS(Table15[[#This Row],[Column4]]="NEW",_xlfn.XLOOKUP(Table15[[#This Row],[Year]]-1,$N$2:$N$27,$P$2:$P$27)*(1+Table15[[#This Row],[Ávöxtun]]),ISNUMBER(Table15[[#This Row],[Column4]]),Table15[[#This Row],[Column4]],Table15[[#This Row],[Column4]]="",I844*(1+Table15[[#This Row],[Ávöxtun]]))</f>
        <v>137.64170851200006</v>
      </c>
      <c r="L845" s="33">
        <v>137.64170851200006</v>
      </c>
      <c r="M845" s="33">
        <v>137.64170851200006</v>
      </c>
    </row>
    <row r="846" spans="1:13">
      <c r="A846" t="s">
        <v>127</v>
      </c>
      <c r="B846">
        <v>2014</v>
      </c>
      <c r="C846" s="16">
        <v>6.3E-2</v>
      </c>
      <c r="D846" s="1">
        <v>49955272</v>
      </c>
      <c r="E846" s="29">
        <f>Table15[[#This Row],[Ávöxtun]]*Table15[[#This Row],[Eignir]]/SUMIFS(Table15[Eignir],Table15[Year],Table15[[#This Row],[Year]])</f>
        <v>1.1862646920707375E-3</v>
      </c>
      <c r="F846" s="23" t="str">
        <f>IF(B846=1997, 100, IF(COUNTIF(A$1:A845,A846)=0, "NEW", F845*(1+Table15[[#This Row],[Ávöxtun]])))</f>
        <v>NEW</v>
      </c>
      <c r="G846" s="18" t="str" cm="1">
        <f t="array" ref="G846">IFERROR(_xlfn.IFS(ISNUMBER(Table15[[#This Row],[Column3]]),Table15[[#This Row],[Column3]],Table15[[#This Row],[Column3]]="NEW",Table15[[#This Row],[Column3]]),"")</f>
        <v>NEW</v>
      </c>
      <c r="H846" s="15" cm="1">
        <f t="array" ref="H846">_xlfn.IFS(Table15[[#This Row],[Column4]]="NEW",AVERAGEIFS(Table15[Column4],Table15[Year],Table15[[#This Row],[Year]]),ISNUMBER(Table15[[#This Row],[Column4]]),Table15[[#This Row],[Column4]],Table15[[#This Row],[Column4]]="",H845*(1+Table15[[#This Row],[Ávöxtun]]))</f>
        <v>185.98027658661198</v>
      </c>
      <c r="I846" s="30" cm="1">
        <f t="array" ref="I846">_xlfn.IFS(Table15[[#This Row],[Column4]]="NEW",_xlfn.XLOOKUP(Table15[[#This Row],[Year]]-1,$N$2:$N$27,$P$2:$P$27)*(1+Table15[[#This Row],[Ávöxtun]]),ISNUMBER(Table15[[#This Row],[Column4]]),Table15[[#This Row],[Column4]],Table15[[#This Row],[Column4]]="",I845*(1+Table15[[#This Row],[Ávöxtun]]))</f>
        <v>199.08120572609948</v>
      </c>
      <c r="L846" s="33">
        <v>185.98027658661198</v>
      </c>
      <c r="M846" s="33">
        <v>221.66504708890625</v>
      </c>
    </row>
    <row r="847" spans="1:13">
      <c r="A847" t="s">
        <v>127</v>
      </c>
      <c r="B847">
        <v>2015</v>
      </c>
      <c r="C847" s="16">
        <v>0.08</v>
      </c>
      <c r="D847" s="1">
        <v>57277966</v>
      </c>
      <c r="E847" s="29">
        <f>Table15[[#This Row],[Ávöxtun]]*Table15[[#This Row],[Eignir]]/SUMIFS(Table15[Eignir],Table15[Year],Table15[[#This Row],[Year]])</f>
        <v>1.5473326689833696E-3</v>
      </c>
      <c r="F847" s="23" t="e">
        <f>IF(B847=1997, 100, IF(COUNTIF(A$1:A846,A847)=0, "NEW", F846*(1+Table15[[#This Row],[Ávöxtun]])))</f>
        <v>#VALUE!</v>
      </c>
      <c r="G847" s="18" t="str" cm="1">
        <f t="array" ref="G847">IFERROR(_xlfn.IFS(ISNUMBER(Table15[[#This Row],[Column3]]),Table15[[#This Row],[Column3]],Table15[[#This Row],[Column3]]="NEW",Table15[[#This Row],[Column3]]),"")</f>
        <v/>
      </c>
      <c r="H847" s="15" cm="1">
        <f t="array" ref="H847">_xlfn.IFS(Table15[[#This Row],[Column4]]="NEW",AVERAGEIFS(Table15[Column4],Table15[Year],Table15[[#This Row],[Year]]),ISNUMBER(Table15[[#This Row],[Column4]]),Table15[[#This Row],[Column4]],Table15[[#This Row],[Column4]]="",H846*(1+Table15[[#This Row],[Ávöxtun]]))</f>
        <v>200.85869871354095</v>
      </c>
      <c r="I847" s="30" cm="1">
        <f t="array" ref="I847">_xlfn.IFS(Table15[[#This Row],[Column4]]="NEW",_xlfn.XLOOKUP(Table15[[#This Row],[Year]]-1,$N$2:$N$27,$P$2:$P$27)*(1+Table15[[#This Row],[Ávöxtun]]),ISNUMBER(Table15[[#This Row],[Column4]]),Table15[[#This Row],[Column4]],Table15[[#This Row],[Column4]]="",I846*(1+Table15[[#This Row],[Ávöxtun]]))</f>
        <v>215.00770218418745</v>
      </c>
      <c r="L847" s="33">
        <v>200.85869871354095</v>
      </c>
      <c r="M847" s="33">
        <v>239.39825085601876</v>
      </c>
    </row>
    <row r="848" spans="1:13">
      <c r="A848" t="s">
        <v>127</v>
      </c>
      <c r="B848">
        <v>2016</v>
      </c>
      <c r="C848" s="16">
        <v>2.6000000000000002E-2</v>
      </c>
      <c r="D848" s="1">
        <v>62756983</v>
      </c>
      <c r="E848" s="29">
        <f>Table15[[#This Row],[Ávöxtun]]*Table15[[#This Row],[Eignir]]/SUMIFS(Table15[Eignir],Table15[Year],Table15[[#This Row],[Year]])</f>
        <v>5.0989305234907546E-4</v>
      </c>
      <c r="F848" s="23" t="e">
        <f>IF(B848=1997, 100, IF(COUNTIF(A$1:A847,A848)=0, "NEW", F847*(1+Table15[[#This Row],[Ávöxtun]])))</f>
        <v>#VALUE!</v>
      </c>
      <c r="G848" s="18" t="str" cm="1">
        <f t="array" ref="G848">IFERROR(_xlfn.IFS(ISNUMBER(Table15[[#This Row],[Column3]]),Table15[[#This Row],[Column3]],Table15[[#This Row],[Column3]]="NEW",Table15[[#This Row],[Column3]]),"")</f>
        <v/>
      </c>
      <c r="H848" s="15" cm="1">
        <f t="array" ref="H848">_xlfn.IFS(Table15[[#This Row],[Column4]]="NEW",AVERAGEIFS(Table15[Column4],Table15[Year],Table15[[#This Row],[Year]]),ISNUMBER(Table15[[#This Row],[Column4]]),Table15[[#This Row],[Column4]],Table15[[#This Row],[Column4]]="",H847*(1+Table15[[#This Row],[Ávöxtun]]))</f>
        <v>206.08102488009303</v>
      </c>
      <c r="I848" s="30" cm="1">
        <f t="array" ref="I848">_xlfn.IFS(Table15[[#This Row],[Column4]]="NEW",_xlfn.XLOOKUP(Table15[[#This Row],[Year]]-1,$N$2:$N$27,$P$2:$P$27)*(1+Table15[[#This Row],[Ávöxtun]]),ISNUMBER(Table15[[#This Row],[Column4]]),Table15[[#This Row],[Column4]],Table15[[#This Row],[Column4]]="",I847*(1+Table15[[#This Row],[Ávöxtun]]))</f>
        <v>220.59790244097633</v>
      </c>
      <c r="L848" s="33">
        <v>206.08102488009303</v>
      </c>
      <c r="M848" s="33">
        <v>245.62260537827527</v>
      </c>
    </row>
    <row r="849" spans="1:13">
      <c r="A849" t="s">
        <v>127</v>
      </c>
      <c r="B849">
        <v>2017</v>
      </c>
      <c r="C849" s="16">
        <v>3.6000000000000004E-2</v>
      </c>
      <c r="D849" s="1">
        <v>68992090</v>
      </c>
      <c r="E849" s="29">
        <f>Table15[[#This Row],[Ávöxtun]]*Table15[[#This Row],[Eignir]]/SUMIFS(Table15[Eignir],Table15[Year],Table15[[#This Row],[Year]])</f>
        <v>6.9783918489037483E-4</v>
      </c>
      <c r="F849" s="23" t="e">
        <f>IF(B849=1997, 100, IF(COUNTIF(A$1:A848,A849)=0, "NEW", F848*(1+Table15[[#This Row],[Ávöxtun]])))</f>
        <v>#VALUE!</v>
      </c>
      <c r="G849" s="18" t="str" cm="1">
        <f t="array" ref="G849">IFERROR(_xlfn.IFS(ISNUMBER(Table15[[#This Row],[Column3]]),Table15[[#This Row],[Column3]],Table15[[#This Row],[Column3]]="NEW",Table15[[#This Row],[Column3]]),"")</f>
        <v/>
      </c>
      <c r="H849" s="15" cm="1">
        <f t="array" ref="H849">_xlfn.IFS(Table15[[#This Row],[Column4]]="NEW",AVERAGEIFS(Table15[Column4],Table15[Year],Table15[[#This Row],[Year]]),ISNUMBER(Table15[[#This Row],[Column4]]),Table15[[#This Row],[Column4]],Table15[[#This Row],[Column4]]="",H848*(1+Table15[[#This Row],[Ávöxtun]]))</f>
        <v>213.49994177577639</v>
      </c>
      <c r="I849" s="30" cm="1">
        <f t="array" ref="I849">_xlfn.IFS(Table15[[#This Row],[Column4]]="NEW",_xlfn.XLOOKUP(Table15[[#This Row],[Year]]-1,$N$2:$N$27,$P$2:$P$27)*(1+Table15[[#This Row],[Ávöxtun]]),ISNUMBER(Table15[[#This Row],[Column4]]),Table15[[#This Row],[Column4]],Table15[[#This Row],[Column4]]="",I848*(1+Table15[[#This Row],[Ávöxtun]]))</f>
        <v>228.53942692885147</v>
      </c>
      <c r="L849" s="33">
        <v>213.49994177577639</v>
      </c>
      <c r="M849" s="33">
        <v>254.46501917189318</v>
      </c>
    </row>
    <row r="850" spans="1:13">
      <c r="A850" t="s">
        <v>127</v>
      </c>
      <c r="B850">
        <v>2018</v>
      </c>
      <c r="C850" s="16">
        <v>1.1000000000000001E-2</v>
      </c>
      <c r="D850" s="1">
        <v>74497818</v>
      </c>
      <c r="E850" s="29">
        <f>Table15[[#This Row],[Ávöxtun]]*Table15[[#This Row],[Eignir]]/SUMIFS(Table15[Eignir],Table15[Year],Table15[[#This Row],[Year]])</f>
        <v>2.1461698842449342E-4</v>
      </c>
      <c r="F850" s="23" t="e">
        <f>IF(B850=1997, 100, IF(COUNTIF(A$1:A849,A850)=0, "NEW", F849*(1+Table15[[#This Row],[Ávöxtun]])))</f>
        <v>#VALUE!</v>
      </c>
      <c r="G850" s="18" t="str" cm="1">
        <f t="array" ref="G850">IFERROR(_xlfn.IFS(ISNUMBER(Table15[[#This Row],[Column3]]),Table15[[#This Row],[Column3]],Table15[[#This Row],[Column3]]="NEW",Table15[[#This Row],[Column3]]),"")</f>
        <v/>
      </c>
      <c r="H850" s="15" cm="1">
        <f t="array" ref="H850">_xlfn.IFS(Table15[[#This Row],[Column4]]="NEW",AVERAGEIFS(Table15[Column4],Table15[Year],Table15[[#This Row],[Year]]),ISNUMBER(Table15[[#This Row],[Column4]]),Table15[[#This Row],[Column4]],Table15[[#This Row],[Column4]]="",H849*(1+Table15[[#This Row],[Ávöxtun]]))</f>
        <v>215.84844113530991</v>
      </c>
      <c r="I850" s="30" cm="1">
        <f t="array" ref="I850">_xlfn.IFS(Table15[[#This Row],[Column4]]="NEW",_xlfn.XLOOKUP(Table15[[#This Row],[Year]]-1,$N$2:$N$27,$P$2:$P$27)*(1+Table15[[#This Row],[Ávöxtun]]),ISNUMBER(Table15[[#This Row],[Column4]]),Table15[[#This Row],[Column4]],Table15[[#This Row],[Column4]]="",I849*(1+Table15[[#This Row],[Ávöxtun]]))</f>
        <v>231.05336062506882</v>
      </c>
      <c r="L850" s="33">
        <v>215.84844113530991</v>
      </c>
      <c r="M850" s="33">
        <v>257.26413438278399</v>
      </c>
    </row>
    <row r="851" spans="1:13">
      <c r="A851" t="s">
        <v>127</v>
      </c>
      <c r="B851">
        <v>2019</v>
      </c>
      <c r="C851" s="16">
        <v>0.09</v>
      </c>
      <c r="D851" s="1">
        <v>86144500</v>
      </c>
      <c r="E851" s="29">
        <f>Table15[[#This Row],[Ávöxtun]]*Table15[[#This Row],[Eignir]]/SUMIFS(Table15[Eignir],Table15[Year],Table15[[#This Row],[Year]])</f>
        <v>1.7513478129596092E-3</v>
      </c>
      <c r="F851" s="23" t="e">
        <f>IF(B851=1997, 100, IF(COUNTIF(A$1:A850,A851)=0, "NEW", F850*(1+Table15[[#This Row],[Ávöxtun]])))</f>
        <v>#VALUE!</v>
      </c>
      <c r="G851" s="18" t="str" cm="1">
        <f t="array" ref="G851">IFERROR(_xlfn.IFS(ISNUMBER(Table15[[#This Row],[Column3]]),Table15[[#This Row],[Column3]],Table15[[#This Row],[Column3]]="NEW",Table15[[#This Row],[Column3]]),"")</f>
        <v/>
      </c>
      <c r="H851" s="15" cm="1">
        <f t="array" ref="H851">_xlfn.IFS(Table15[[#This Row],[Column4]]="NEW",AVERAGEIFS(Table15[Column4],Table15[Year],Table15[[#This Row],[Year]]),ISNUMBER(Table15[[#This Row],[Column4]]),Table15[[#This Row],[Column4]],Table15[[#This Row],[Column4]]="",H850*(1+Table15[[#This Row],[Ávöxtun]]))</f>
        <v>235.27480083748782</v>
      </c>
      <c r="I851" s="30" cm="1">
        <f t="array" ref="I851">_xlfn.IFS(Table15[[#This Row],[Column4]]="NEW",_xlfn.XLOOKUP(Table15[[#This Row],[Year]]-1,$N$2:$N$27,$P$2:$P$27)*(1+Table15[[#This Row],[Ávöxtun]]),ISNUMBER(Table15[[#This Row],[Column4]]),Table15[[#This Row],[Column4]],Table15[[#This Row],[Column4]]="",I850*(1+Table15[[#This Row],[Ávöxtun]]))</f>
        <v>251.84816308132503</v>
      </c>
      <c r="L851" s="33">
        <v>235.27480083748782</v>
      </c>
      <c r="M851" s="33">
        <v>280.41790647723457</v>
      </c>
    </row>
    <row r="852" spans="1:13">
      <c r="A852" t="s">
        <v>127</v>
      </c>
      <c r="B852">
        <v>2020</v>
      </c>
      <c r="C852" s="16">
        <v>9.3000000000000013E-2</v>
      </c>
      <c r="D852" s="1">
        <v>100264199</v>
      </c>
      <c r="E852" s="29">
        <f>Table15[[#This Row],[Ávöxtun]]*Table15[[#This Row],[Eignir]]/SUMIFS(Table15[Eignir],Table15[Year],Table15[[#This Row],[Year]])</f>
        <v>1.8153147590826771E-3</v>
      </c>
      <c r="F852" s="23" t="e">
        <f>IF(B852=1997, 100, IF(COUNTIF(A$1:A851,A852)=0, "NEW", F851*(1+Table15[[#This Row],[Ávöxtun]])))</f>
        <v>#VALUE!</v>
      </c>
      <c r="G852" s="18" t="str" cm="1">
        <f t="array" ref="G852">IFERROR(_xlfn.IFS(ISNUMBER(Table15[[#This Row],[Column3]]),Table15[[#This Row],[Column3]],Table15[[#This Row],[Column3]]="NEW",Table15[[#This Row],[Column3]]),"")</f>
        <v/>
      </c>
      <c r="H852" s="15" cm="1">
        <f t="array" ref="H852">_xlfn.IFS(Table15[[#This Row],[Column4]]="NEW",AVERAGEIFS(Table15[Column4],Table15[Year],Table15[[#This Row],[Year]]),ISNUMBER(Table15[[#This Row],[Column4]]),Table15[[#This Row],[Column4]],Table15[[#This Row],[Column4]]="",H851*(1+Table15[[#This Row],[Ávöxtun]]))</f>
        <v>257.1553573153742</v>
      </c>
      <c r="I852" s="30" cm="1">
        <f t="array" ref="I852">_xlfn.IFS(Table15[[#This Row],[Column4]]="NEW",_xlfn.XLOOKUP(Table15[[#This Row],[Year]]-1,$N$2:$N$27,$P$2:$P$27)*(1+Table15[[#This Row],[Ávöxtun]]),ISNUMBER(Table15[[#This Row],[Column4]]),Table15[[#This Row],[Column4]],Table15[[#This Row],[Column4]]="",I851*(1+Table15[[#This Row],[Ávöxtun]]))</f>
        <v>275.27004224788823</v>
      </c>
      <c r="L852" s="33">
        <v>257.1553573153742</v>
      </c>
      <c r="M852" s="33">
        <v>306.49677177961735</v>
      </c>
    </row>
    <row r="853" spans="1:13">
      <c r="A853" t="s">
        <v>127</v>
      </c>
      <c r="B853">
        <v>2021</v>
      </c>
      <c r="C853" s="16">
        <v>0.11900000000000001</v>
      </c>
      <c r="D853" s="1">
        <v>121181205</v>
      </c>
      <c r="E853" s="29">
        <f>Table15[[#This Row],[Ávöxtun]]*Table15[[#This Row],[Eignir]]/SUMIFS(Table15[Eignir],Table15[Year],Table15[[#This Row],[Year]])</f>
        <v>2.3877088607857128E-3</v>
      </c>
      <c r="F853" s="23" t="e">
        <f>IF(B853=1997, 100, IF(COUNTIF(A$1:A852,A853)=0, "NEW", F852*(1+Table15[[#This Row],[Ávöxtun]])))</f>
        <v>#VALUE!</v>
      </c>
      <c r="G853" s="18" t="str" cm="1">
        <f t="array" ref="G853">IFERROR(_xlfn.IFS(ISNUMBER(Table15[[#This Row],[Column3]]),Table15[[#This Row],[Column3]],Table15[[#This Row],[Column3]]="NEW",Table15[[#This Row],[Column3]]),"")</f>
        <v/>
      </c>
      <c r="H853" s="15" cm="1">
        <f t="array" ref="H853">_xlfn.IFS(Table15[[#This Row],[Column4]]="NEW",AVERAGEIFS(Table15[Column4],Table15[Year],Table15[[#This Row],[Year]]),ISNUMBER(Table15[[#This Row],[Column4]]),Table15[[#This Row],[Column4]],Table15[[#This Row],[Column4]]="",H852*(1+Table15[[#This Row],[Ávöxtun]]))</f>
        <v>287.75684483590373</v>
      </c>
      <c r="I853" s="30" cm="1">
        <f t="array" ref="I853">_xlfn.IFS(Table15[[#This Row],[Column4]]="NEW",_xlfn.XLOOKUP(Table15[[#This Row],[Year]]-1,$N$2:$N$27,$P$2:$P$27)*(1+Table15[[#This Row],[Ávöxtun]]),ISNUMBER(Table15[[#This Row],[Column4]]),Table15[[#This Row],[Column4]],Table15[[#This Row],[Column4]]="",I852*(1+Table15[[#This Row],[Ávöxtun]]))</f>
        <v>308.02717727538692</v>
      </c>
      <c r="L853" s="33">
        <v>287.75684483590373</v>
      </c>
      <c r="M853" s="33">
        <v>342.96988762139182</v>
      </c>
    </row>
    <row r="854" spans="1:13">
      <c r="A854" t="s">
        <v>128</v>
      </c>
      <c r="B854">
        <v>1997</v>
      </c>
      <c r="C854" s="16">
        <v>0.08</v>
      </c>
      <c r="D854" s="1">
        <v>27655597.260000002</v>
      </c>
      <c r="E854" s="29">
        <f>Table15[[#This Row],[Ávöxtun]]*Table15[[#This Row],[Eignir]]/SUMIFS(Table15[Eignir],Table15[Year],Table15[[#This Row],[Year]])</f>
        <v>6.5259067961071842E-3</v>
      </c>
      <c r="F854" s="23">
        <f>IF(B854=1997, 100, IF(COUNTIF(A$1:A853,A854)=0, "NEW", F853*(1+Table15[[#This Row],[Ávöxtun]])))</f>
        <v>100</v>
      </c>
      <c r="G854" s="18" cm="1">
        <f t="array" ref="G854">IFERROR(_xlfn.IFS(ISNUMBER(Table15[[#This Row],[Column3]]),Table15[[#This Row],[Column3]],Table15[[#This Row],[Column3]]="NEW",Table15[[#This Row],[Column3]]),"")</f>
        <v>100</v>
      </c>
      <c r="H854" s="15" cm="1">
        <f t="array" ref="H854">_xlfn.IFS(Table15[[#This Row],[Column4]]="NEW",AVERAGEIFS(Table15[Column4],Table15[Year],Table15[[#This Row],[Year]]),ISNUMBER(Table15[[#This Row],[Column4]]),Table15[[#This Row],[Column4]],Table15[[#This Row],[Column4]]="",H853*(1+Table15[[#This Row],[Ávöxtun]]))</f>
        <v>100</v>
      </c>
      <c r="I854" s="30" cm="1">
        <f t="array" ref="I854">_xlfn.IFS(Table15[[#This Row],[Column4]]="NEW",_xlfn.XLOOKUP(Table15[[#This Row],[Year]]-1,$N$2:$N$27,$P$2:$P$27)*(1+Table15[[#This Row],[Ávöxtun]]),ISNUMBER(Table15[[#This Row],[Column4]]),Table15[[#This Row],[Column4]],Table15[[#This Row],[Column4]]="",I853*(1+Table15[[#This Row],[Ávöxtun]]))</f>
        <v>100</v>
      </c>
      <c r="L854" s="33">
        <v>100</v>
      </c>
      <c r="M854" s="33">
        <v>100</v>
      </c>
    </row>
    <row r="855" spans="1:13">
      <c r="A855" t="s">
        <v>128</v>
      </c>
      <c r="B855">
        <v>1998</v>
      </c>
      <c r="C855" s="16">
        <v>7.0000000000000007E-2</v>
      </c>
      <c r="D855" s="1">
        <v>30852400.739999998</v>
      </c>
      <c r="E855" s="29">
        <f>Table15[[#This Row],[Ávöxtun]]*Table15[[#This Row],[Eignir]]/SUMIFS(Table15[Eignir],Table15[Year],Table15[[#This Row],[Year]])</f>
        <v>5.5144931979585667E-3</v>
      </c>
      <c r="F855" s="23">
        <f>IF(B855=1997, 100, IF(COUNTIF(A$1:A854,A855)=0, "NEW", F854*(1+Table15[[#This Row],[Ávöxtun]])))</f>
        <v>107</v>
      </c>
      <c r="G855" s="18" cm="1">
        <f t="array" ref="G855">IFERROR(_xlfn.IFS(ISNUMBER(Table15[[#This Row],[Column3]]),Table15[[#This Row],[Column3]],Table15[[#This Row],[Column3]]="NEW",Table15[[#This Row],[Column3]]),"")</f>
        <v>107</v>
      </c>
      <c r="H855" s="15" cm="1">
        <f t="array" ref="H855">_xlfn.IFS(Table15[[#This Row],[Column4]]="NEW",AVERAGEIFS(Table15[Column4],Table15[Year],Table15[[#This Row],[Year]]),ISNUMBER(Table15[[#This Row],[Column4]]),Table15[[#This Row],[Column4]],Table15[[#This Row],[Column4]]="",H854*(1+Table15[[#This Row],[Ávöxtun]]))</f>
        <v>107</v>
      </c>
      <c r="I855" s="30" cm="1">
        <f t="array" ref="I855">_xlfn.IFS(Table15[[#This Row],[Column4]]="NEW",_xlfn.XLOOKUP(Table15[[#This Row],[Year]]-1,$N$2:$N$27,$P$2:$P$27)*(1+Table15[[#This Row],[Ávöxtun]]),ISNUMBER(Table15[[#This Row],[Column4]]),Table15[[#This Row],[Column4]],Table15[[#This Row],[Column4]]="",I854*(1+Table15[[#This Row],[Ávöxtun]]))</f>
        <v>107</v>
      </c>
      <c r="L855" s="33">
        <v>107</v>
      </c>
      <c r="M855" s="33">
        <v>107</v>
      </c>
    </row>
    <row r="856" spans="1:13">
      <c r="A856" t="s">
        <v>128</v>
      </c>
      <c r="B856">
        <v>1999</v>
      </c>
      <c r="C856" s="16">
        <v>0.18</v>
      </c>
      <c r="D856" s="1">
        <v>39575584.240000002</v>
      </c>
      <c r="E856" s="29">
        <f>Table15[[#This Row],[Ávöxtun]]*Table15[[#This Row],[Eignir]]/SUMIFS(Table15[Eignir],Table15[Year],Table15[[#This Row],[Year]])</f>
        <v>1.3680385803017402E-2</v>
      </c>
      <c r="F856" s="23">
        <f>IF(B856=1997, 100, IF(COUNTIF(A$1:A855,A856)=0, "NEW", F855*(1+Table15[[#This Row],[Ávöxtun]])))</f>
        <v>126.25999999999999</v>
      </c>
      <c r="G856" s="18" cm="1">
        <f t="array" ref="G856">IFERROR(_xlfn.IFS(ISNUMBER(Table15[[#This Row],[Column3]]),Table15[[#This Row],[Column3]],Table15[[#This Row],[Column3]]="NEW",Table15[[#This Row],[Column3]]),"")</f>
        <v>126.25999999999999</v>
      </c>
      <c r="H856" s="15" cm="1">
        <f t="array" ref="H856">_xlfn.IFS(Table15[[#This Row],[Column4]]="NEW",AVERAGEIFS(Table15[Column4],Table15[Year],Table15[[#This Row],[Year]]),ISNUMBER(Table15[[#This Row],[Column4]]),Table15[[#This Row],[Column4]],Table15[[#This Row],[Column4]]="",H855*(1+Table15[[#This Row],[Ávöxtun]]))</f>
        <v>126.25999999999999</v>
      </c>
      <c r="I856" s="30" cm="1">
        <f t="array" ref="I856">_xlfn.IFS(Table15[[#This Row],[Column4]]="NEW",_xlfn.XLOOKUP(Table15[[#This Row],[Year]]-1,$N$2:$N$27,$P$2:$P$27)*(1+Table15[[#This Row],[Ávöxtun]]),ISNUMBER(Table15[[#This Row],[Column4]]),Table15[[#This Row],[Column4]],Table15[[#This Row],[Column4]]="",I855*(1+Table15[[#This Row],[Ávöxtun]]))</f>
        <v>126.25999999999999</v>
      </c>
      <c r="L856" s="33">
        <v>126.25999999999999</v>
      </c>
      <c r="M856" s="33">
        <v>126.25999999999999</v>
      </c>
    </row>
    <row r="857" spans="1:13">
      <c r="A857" t="s">
        <v>128</v>
      </c>
      <c r="B857">
        <v>2000</v>
      </c>
      <c r="C857" s="16">
        <v>0</v>
      </c>
      <c r="D857" s="1">
        <v>84304757</v>
      </c>
      <c r="E857" s="29">
        <f>Table15[[#This Row],[Ávöxtun]]*Table15[[#This Row],[Eignir]]/SUMIFS(Table15[Eignir],Table15[Year],Table15[[#This Row],[Year]])</f>
        <v>0</v>
      </c>
      <c r="F857" s="23">
        <f>IF(B857=1997, 100, IF(COUNTIF(A$1:A856,A857)=0, "NEW", F856*(1+Table15[[#This Row],[Ávöxtun]])))</f>
        <v>126.25999999999999</v>
      </c>
      <c r="G857" s="18" cm="1">
        <f t="array" ref="G857">IFERROR(_xlfn.IFS(ISNUMBER(Table15[[#This Row],[Column3]]),Table15[[#This Row],[Column3]],Table15[[#This Row],[Column3]]="NEW",Table15[[#This Row],[Column3]]),"")</f>
        <v>126.25999999999999</v>
      </c>
      <c r="H857" s="15" cm="1">
        <f t="array" ref="H857">_xlfn.IFS(Table15[[#This Row],[Column4]]="NEW",AVERAGEIFS(Table15[Column4],Table15[Year],Table15[[#This Row],[Year]]),ISNUMBER(Table15[[#This Row],[Column4]]),Table15[[#This Row],[Column4]],Table15[[#This Row],[Column4]]="",H856*(1+Table15[[#This Row],[Ávöxtun]]))</f>
        <v>126.25999999999999</v>
      </c>
      <c r="I857" s="30" cm="1">
        <f t="array" ref="I857">_xlfn.IFS(Table15[[#This Row],[Column4]]="NEW",_xlfn.XLOOKUP(Table15[[#This Row],[Year]]-1,$N$2:$N$27,$P$2:$P$27)*(1+Table15[[#This Row],[Ávöxtun]]),ISNUMBER(Table15[[#This Row],[Column4]]),Table15[[#This Row],[Column4]],Table15[[#This Row],[Column4]]="",I856*(1+Table15[[#This Row],[Ávöxtun]]))</f>
        <v>126.25999999999999</v>
      </c>
      <c r="L857" s="33">
        <v>126.25999999999999</v>
      </c>
      <c r="M857" s="33">
        <v>126.25999999999999</v>
      </c>
    </row>
    <row r="858" spans="1:13">
      <c r="A858" t="s">
        <v>128</v>
      </c>
      <c r="B858">
        <v>2001</v>
      </c>
      <c r="C858" s="16">
        <v>-0.06</v>
      </c>
      <c r="D858" s="1">
        <v>91947107</v>
      </c>
      <c r="E858" s="29">
        <f>Table15[[#This Row],[Ávöxtun]]*Table15[[#This Row],[Eignir]]/SUMIFS(Table15[Eignir],Table15[Year],Table15[[#This Row],[Year]])</f>
        <v>-4.7644455529526767E-3</v>
      </c>
      <c r="F858" s="23">
        <f>IF(B858=1997, 100, IF(COUNTIF(A$1:A857,A858)=0, "NEW", F857*(1+Table15[[#This Row],[Ávöxtun]])))</f>
        <v>118.68439999999998</v>
      </c>
      <c r="G858" s="18" cm="1">
        <f t="array" ref="G858">IFERROR(_xlfn.IFS(ISNUMBER(Table15[[#This Row],[Column3]]),Table15[[#This Row],[Column3]],Table15[[#This Row],[Column3]]="NEW",Table15[[#This Row],[Column3]]),"")</f>
        <v>118.68439999999998</v>
      </c>
      <c r="H858" s="15" cm="1">
        <f t="array" ref="H858">_xlfn.IFS(Table15[[#This Row],[Column4]]="NEW",AVERAGEIFS(Table15[Column4],Table15[Year],Table15[[#This Row],[Year]]),ISNUMBER(Table15[[#This Row],[Column4]]),Table15[[#This Row],[Column4]],Table15[[#This Row],[Column4]]="",H857*(1+Table15[[#This Row],[Ávöxtun]]))</f>
        <v>118.68439999999998</v>
      </c>
      <c r="I858" s="30" cm="1">
        <f t="array" ref="I858">_xlfn.IFS(Table15[[#This Row],[Column4]]="NEW",_xlfn.XLOOKUP(Table15[[#This Row],[Year]]-1,$N$2:$N$27,$P$2:$P$27)*(1+Table15[[#This Row],[Ávöxtun]]),ISNUMBER(Table15[[#This Row],[Column4]]),Table15[[#This Row],[Column4]],Table15[[#This Row],[Column4]]="",I857*(1+Table15[[#This Row],[Ávöxtun]]))</f>
        <v>118.68439999999998</v>
      </c>
      <c r="L858" s="33">
        <v>118.68439999999998</v>
      </c>
      <c r="M858" s="33">
        <v>118.68439999999998</v>
      </c>
    </row>
    <row r="859" spans="1:13">
      <c r="A859" t="s">
        <v>128</v>
      </c>
      <c r="B859">
        <v>2002</v>
      </c>
      <c r="C859" s="16">
        <v>-0.19</v>
      </c>
      <c r="D859" s="1">
        <v>49481358</v>
      </c>
      <c r="E859" s="29">
        <f>Table15[[#This Row],[Ávöxtun]]*Table15[[#This Row],[Eignir]]/SUMIFS(Table15[Eignir],Table15[Year],Table15[[#This Row],[Year]])</f>
        <v>-1.480161929945094E-2</v>
      </c>
      <c r="F859" s="23">
        <f>IF(B859=1997, 100, IF(COUNTIF(A$1:A858,A859)=0, "NEW", F858*(1+Table15[[#This Row],[Ávöxtun]])))</f>
        <v>96.134363999999991</v>
      </c>
      <c r="G859" s="18" cm="1">
        <f t="array" ref="G859">IFERROR(_xlfn.IFS(ISNUMBER(Table15[[#This Row],[Column3]]),Table15[[#This Row],[Column3]],Table15[[#This Row],[Column3]]="NEW",Table15[[#This Row],[Column3]]),"")</f>
        <v>96.134363999999991</v>
      </c>
      <c r="H859" s="15" cm="1">
        <f t="array" ref="H859">_xlfn.IFS(Table15[[#This Row],[Column4]]="NEW",AVERAGEIFS(Table15[Column4],Table15[Year],Table15[[#This Row],[Year]]),ISNUMBER(Table15[[#This Row],[Column4]]),Table15[[#This Row],[Column4]],Table15[[#This Row],[Column4]]="",H858*(1+Table15[[#This Row],[Ávöxtun]]))</f>
        <v>96.134363999999991</v>
      </c>
      <c r="I859" s="30" cm="1">
        <f t="array" ref="I859">_xlfn.IFS(Table15[[#This Row],[Column4]]="NEW",_xlfn.XLOOKUP(Table15[[#This Row],[Year]]-1,$N$2:$N$27,$P$2:$P$27)*(1+Table15[[#This Row],[Ávöxtun]]),ISNUMBER(Table15[[#This Row],[Column4]]),Table15[[#This Row],[Column4]],Table15[[#This Row],[Column4]]="",I858*(1+Table15[[#This Row],[Ávöxtun]]))</f>
        <v>96.134363999999991</v>
      </c>
      <c r="L859" s="33">
        <v>96.134363999999991</v>
      </c>
      <c r="M859" s="33">
        <v>96.134363999999991</v>
      </c>
    </row>
    <row r="860" spans="1:13">
      <c r="A860" t="s">
        <v>128</v>
      </c>
      <c r="B860">
        <v>2003</v>
      </c>
      <c r="C860" s="16">
        <v>0.14000000000000001</v>
      </c>
      <c r="D860" s="1">
        <v>52130044</v>
      </c>
      <c r="E860" s="29">
        <f>Table15[[#This Row],[Ávöxtun]]*Table15[[#This Row],[Eignir]]/SUMIFS(Table15[Eignir],Table15[Year],Table15[[#This Row],[Year]])</f>
        <v>9.604275307326722E-3</v>
      </c>
      <c r="F860" s="23">
        <f>IF(B860=1997, 100, IF(COUNTIF(A$1:A859,A860)=0, "NEW", F859*(1+Table15[[#This Row],[Ávöxtun]])))</f>
        <v>109.59317496</v>
      </c>
      <c r="G860" s="18" cm="1">
        <f t="array" ref="G860">IFERROR(_xlfn.IFS(ISNUMBER(Table15[[#This Row],[Column3]]),Table15[[#This Row],[Column3]],Table15[[#This Row],[Column3]]="NEW",Table15[[#This Row],[Column3]]),"")</f>
        <v>109.59317496</v>
      </c>
      <c r="H860" s="15" cm="1">
        <f t="array" ref="H860">_xlfn.IFS(Table15[[#This Row],[Column4]]="NEW",AVERAGEIFS(Table15[Column4],Table15[Year],Table15[[#This Row],[Year]]),ISNUMBER(Table15[[#This Row],[Column4]]),Table15[[#This Row],[Column4]],Table15[[#This Row],[Column4]]="",H859*(1+Table15[[#This Row],[Ávöxtun]]))</f>
        <v>109.59317496</v>
      </c>
      <c r="I860" s="30" cm="1">
        <f t="array" ref="I860">_xlfn.IFS(Table15[[#This Row],[Column4]]="NEW",_xlfn.XLOOKUP(Table15[[#This Row],[Year]]-1,$N$2:$N$27,$P$2:$P$27)*(1+Table15[[#This Row],[Ávöxtun]]),ISNUMBER(Table15[[#This Row],[Column4]]),Table15[[#This Row],[Column4]],Table15[[#This Row],[Column4]]="",I859*(1+Table15[[#This Row],[Ávöxtun]]))</f>
        <v>109.59317496</v>
      </c>
      <c r="L860" s="33">
        <v>109.59317496</v>
      </c>
      <c r="M860" s="33">
        <v>109.59317496</v>
      </c>
    </row>
    <row r="861" spans="1:13">
      <c r="A861" t="s">
        <v>128</v>
      </c>
      <c r="B861">
        <v>2004</v>
      </c>
      <c r="C861" s="16">
        <v>0.13</v>
      </c>
      <c r="D861" s="1">
        <v>59645759</v>
      </c>
      <c r="E861" s="29">
        <f>Table15[[#This Row],[Ávöxtun]]*Table15[[#This Row],[Eignir]]/SUMIFS(Table15[Eignir],Table15[Year],Table15[[#This Row],[Year]])</f>
        <v>8.5426917698701171E-3</v>
      </c>
      <c r="F861" s="23">
        <f>IF(B861=1997, 100, IF(COUNTIF(A$1:A860,A861)=0, "NEW", F860*(1+Table15[[#This Row],[Ávöxtun]])))</f>
        <v>123.84028770479999</v>
      </c>
      <c r="G861" s="18" cm="1">
        <f t="array" ref="G861">IFERROR(_xlfn.IFS(ISNUMBER(Table15[[#This Row],[Column3]]),Table15[[#This Row],[Column3]],Table15[[#This Row],[Column3]]="NEW",Table15[[#This Row],[Column3]]),"")</f>
        <v>123.84028770479999</v>
      </c>
      <c r="H861" s="15" cm="1">
        <f t="array" ref="H861">_xlfn.IFS(Table15[[#This Row],[Column4]]="NEW",AVERAGEIFS(Table15[Column4],Table15[Year],Table15[[#This Row],[Year]]),ISNUMBER(Table15[[#This Row],[Column4]]),Table15[[#This Row],[Column4]],Table15[[#This Row],[Column4]]="",H860*(1+Table15[[#This Row],[Ávöxtun]]))</f>
        <v>123.84028770479999</v>
      </c>
      <c r="I861" s="30" cm="1">
        <f t="array" ref="I861">_xlfn.IFS(Table15[[#This Row],[Column4]]="NEW",_xlfn.XLOOKUP(Table15[[#This Row],[Year]]-1,$N$2:$N$27,$P$2:$P$27)*(1+Table15[[#This Row],[Ávöxtun]]),ISNUMBER(Table15[[#This Row],[Column4]]),Table15[[#This Row],[Column4]],Table15[[#This Row],[Column4]]="",I860*(1+Table15[[#This Row],[Ávöxtun]]))</f>
        <v>123.84028770479999</v>
      </c>
      <c r="L861" s="33">
        <v>123.84028770479999</v>
      </c>
      <c r="M861" s="33">
        <v>123.84028770479999</v>
      </c>
    </row>
    <row r="862" spans="1:13">
      <c r="A862" t="s">
        <v>128</v>
      </c>
      <c r="B862">
        <v>2005</v>
      </c>
      <c r="C862" s="16">
        <v>0.24</v>
      </c>
      <c r="D862" s="1">
        <v>73356549</v>
      </c>
      <c r="E862" s="29">
        <f>Table15[[#This Row],[Ávöxtun]]*Table15[[#This Row],[Eignir]]/SUMIFS(Table15[Eignir],Table15[Year],Table15[[#This Row],[Year]])</f>
        <v>1.5700507631446963E-2</v>
      </c>
      <c r="F862" s="23">
        <f>IF(B862=1997, 100, IF(COUNTIF(A$1:A861,A862)=0, "NEW", F861*(1+Table15[[#This Row],[Ávöxtun]])))</f>
        <v>153.56195675395199</v>
      </c>
      <c r="G862" s="18" cm="1">
        <f t="array" ref="G862">IFERROR(_xlfn.IFS(ISNUMBER(Table15[[#This Row],[Column3]]),Table15[[#This Row],[Column3]],Table15[[#This Row],[Column3]]="NEW",Table15[[#This Row],[Column3]]),"")</f>
        <v>153.56195675395199</v>
      </c>
      <c r="H862" s="15" cm="1">
        <f t="array" ref="H862">_xlfn.IFS(Table15[[#This Row],[Column4]]="NEW",AVERAGEIFS(Table15[Column4],Table15[Year],Table15[[#This Row],[Year]]),ISNUMBER(Table15[[#This Row],[Column4]]),Table15[[#This Row],[Column4]],Table15[[#This Row],[Column4]]="",H861*(1+Table15[[#This Row],[Ávöxtun]]))</f>
        <v>153.56195675395199</v>
      </c>
      <c r="I862" s="30" cm="1">
        <f t="array" ref="I862">_xlfn.IFS(Table15[[#This Row],[Column4]]="NEW",_xlfn.XLOOKUP(Table15[[#This Row],[Year]]-1,$N$2:$N$27,$P$2:$P$27)*(1+Table15[[#This Row],[Ávöxtun]]),ISNUMBER(Table15[[#This Row],[Column4]]),Table15[[#This Row],[Column4]],Table15[[#This Row],[Column4]]="",I861*(1+Table15[[#This Row],[Ávöxtun]]))</f>
        <v>153.56195675395199</v>
      </c>
      <c r="L862" s="33">
        <v>153.56195675395199</v>
      </c>
      <c r="M862" s="33">
        <v>153.56195675395199</v>
      </c>
    </row>
    <row r="863" spans="1:13">
      <c r="A863" t="s">
        <v>128</v>
      </c>
      <c r="B863">
        <v>2006</v>
      </c>
      <c r="C863" s="16">
        <v>0.23570000000000002</v>
      </c>
      <c r="D863" s="1">
        <v>92240401</v>
      </c>
      <c r="E863" s="29">
        <f>Table15[[#This Row],[Ávöxtun]]*Table15[[#This Row],[Eignir]]/SUMIFS(Table15[Eignir],Table15[Year],Table15[[#This Row],[Year]])</f>
        <v>1.5838455846495535E-2</v>
      </c>
      <c r="F863" s="23">
        <f>IF(B863=1997, 100, IF(COUNTIF(A$1:A862,A863)=0, "NEW", F862*(1+Table15[[#This Row],[Ávöxtun]])))</f>
        <v>189.75650996085847</v>
      </c>
      <c r="G863" s="18" cm="1">
        <f t="array" ref="G863">IFERROR(_xlfn.IFS(ISNUMBER(Table15[[#This Row],[Column3]]),Table15[[#This Row],[Column3]],Table15[[#This Row],[Column3]]="NEW",Table15[[#This Row],[Column3]]),"")</f>
        <v>189.75650996085847</v>
      </c>
      <c r="H863" s="15" cm="1">
        <f t="array" ref="H863">_xlfn.IFS(Table15[[#This Row],[Column4]]="NEW",AVERAGEIFS(Table15[Column4],Table15[Year],Table15[[#This Row],[Year]]),ISNUMBER(Table15[[#This Row],[Column4]]),Table15[[#This Row],[Column4]],Table15[[#This Row],[Column4]]="",H862*(1+Table15[[#This Row],[Ávöxtun]]))</f>
        <v>189.75650996085847</v>
      </c>
      <c r="I863" s="30" cm="1">
        <f t="array" ref="I863">_xlfn.IFS(Table15[[#This Row],[Column4]]="NEW",_xlfn.XLOOKUP(Table15[[#This Row],[Year]]-1,$N$2:$N$27,$P$2:$P$27)*(1+Table15[[#This Row],[Ávöxtun]]),ISNUMBER(Table15[[#This Row],[Column4]]),Table15[[#This Row],[Column4]],Table15[[#This Row],[Column4]]="",I862*(1+Table15[[#This Row],[Ávöxtun]]))</f>
        <v>189.75650996085847</v>
      </c>
      <c r="L863" s="33">
        <v>189.75650996085847</v>
      </c>
      <c r="M863" s="33">
        <v>189.75650996085847</v>
      </c>
    </row>
    <row r="864" spans="1:13">
      <c r="A864" t="s">
        <v>128</v>
      </c>
      <c r="B864">
        <v>2007</v>
      </c>
      <c r="C864" s="16">
        <v>0</v>
      </c>
      <c r="D864" s="1">
        <v>103083102</v>
      </c>
      <c r="E864" s="29">
        <f>Table15[[#This Row],[Ávöxtun]]*Table15[[#This Row],[Eignir]]/SUMIFS(Table15[Eignir],Table15[Year],Table15[[#This Row],[Year]])</f>
        <v>0</v>
      </c>
      <c r="F864" s="23">
        <f>IF(B864=1997, 100, IF(COUNTIF(A$1:A863,A864)=0, "NEW", F863*(1+Table15[[#This Row],[Ávöxtun]])))</f>
        <v>189.75650996085847</v>
      </c>
      <c r="G864" s="18" cm="1">
        <f t="array" ref="G864">IFERROR(_xlfn.IFS(ISNUMBER(Table15[[#This Row],[Column3]]),Table15[[#This Row],[Column3]],Table15[[#This Row],[Column3]]="NEW",Table15[[#This Row],[Column3]]),"")</f>
        <v>189.75650996085847</v>
      </c>
      <c r="H864" s="15" cm="1">
        <f t="array" ref="H864">_xlfn.IFS(Table15[[#This Row],[Column4]]="NEW",AVERAGEIFS(Table15[Column4],Table15[Year],Table15[[#This Row],[Year]]),ISNUMBER(Table15[[#This Row],[Column4]]),Table15[[#This Row],[Column4]],Table15[[#This Row],[Column4]]="",H863*(1+Table15[[#This Row],[Ávöxtun]]))</f>
        <v>189.75650996085847</v>
      </c>
      <c r="I864" s="30" cm="1">
        <f t="array" ref="I864">_xlfn.IFS(Table15[[#This Row],[Column4]]="NEW",_xlfn.XLOOKUP(Table15[[#This Row],[Year]]-1,$N$2:$N$27,$P$2:$P$27)*(1+Table15[[#This Row],[Ávöxtun]]),ISNUMBER(Table15[[#This Row],[Column4]]),Table15[[#This Row],[Column4]],Table15[[#This Row],[Column4]]="",I863*(1+Table15[[#This Row],[Ávöxtun]]))</f>
        <v>189.75650996085847</v>
      </c>
      <c r="L864" s="33">
        <v>189.75650996085847</v>
      </c>
      <c r="M864" s="33">
        <v>189.75650996085847</v>
      </c>
    </row>
    <row r="865" spans="1:13">
      <c r="A865" t="s">
        <v>128</v>
      </c>
      <c r="B865">
        <v>2008</v>
      </c>
      <c r="C865" s="16">
        <v>-0.22500000000000001</v>
      </c>
      <c r="D865" s="1">
        <v>89813906</v>
      </c>
      <c r="E865" s="29">
        <f>Table15[[#This Row],[Ávöxtun]]*Table15[[#This Row],[Eignir]]/SUMIFS(Table15[Eignir],Table15[Year],Table15[[#This Row],[Year]])</f>
        <v>-1.3496218019571906E-2</v>
      </c>
      <c r="F865" s="23">
        <f>IF(B865=1997, 100, IF(COUNTIF(A$1:A864,A865)=0, "NEW", F864*(1+Table15[[#This Row],[Ávöxtun]])))</f>
        <v>147.06129521966531</v>
      </c>
      <c r="G865" s="18" cm="1">
        <f t="array" ref="G865">IFERROR(_xlfn.IFS(ISNUMBER(Table15[[#This Row],[Column3]]),Table15[[#This Row],[Column3]],Table15[[#This Row],[Column3]]="NEW",Table15[[#This Row],[Column3]]),"")</f>
        <v>147.06129521966531</v>
      </c>
      <c r="H865" s="15" cm="1">
        <f t="array" ref="H865">_xlfn.IFS(Table15[[#This Row],[Column4]]="NEW",AVERAGEIFS(Table15[Column4],Table15[Year],Table15[[#This Row],[Year]]),ISNUMBER(Table15[[#This Row],[Column4]]),Table15[[#This Row],[Column4]],Table15[[#This Row],[Column4]]="",H864*(1+Table15[[#This Row],[Ávöxtun]]))</f>
        <v>147.06129521966531</v>
      </c>
      <c r="I865" s="30" cm="1">
        <f t="array" ref="I865">_xlfn.IFS(Table15[[#This Row],[Column4]]="NEW",_xlfn.XLOOKUP(Table15[[#This Row],[Year]]-1,$N$2:$N$27,$P$2:$P$27)*(1+Table15[[#This Row],[Ávöxtun]]),ISNUMBER(Table15[[#This Row],[Column4]]),Table15[[#This Row],[Column4]],Table15[[#This Row],[Column4]]="",I864*(1+Table15[[#This Row],[Ávöxtun]]))</f>
        <v>147.06129521966531</v>
      </c>
      <c r="L865" s="33">
        <v>147.06129521966531</v>
      </c>
      <c r="M865" s="33">
        <v>147.06129521966531</v>
      </c>
    </row>
    <row r="866" spans="1:13">
      <c r="A866" t="s">
        <v>128</v>
      </c>
      <c r="B866">
        <v>2009</v>
      </c>
      <c r="C866" s="16">
        <v>-1.3999999999999999E-2</v>
      </c>
      <c r="D866" s="1">
        <v>97926232</v>
      </c>
      <c r="E866" s="29">
        <f>Table15[[#This Row],[Ávöxtun]]*Table15[[#This Row],[Eignir]]/SUMIFS(Table15[Eignir],Table15[Year],Table15[[#This Row],[Year]])</f>
        <v>-8.2179552240660523E-4</v>
      </c>
      <c r="F866" s="23">
        <f>IF(B866=1997, 100, IF(COUNTIF(A$1:A865,A866)=0, "NEW", F865*(1+Table15[[#This Row],[Ávöxtun]])))</f>
        <v>145.00243708658999</v>
      </c>
      <c r="G866" s="18" cm="1">
        <f t="array" ref="G866">IFERROR(_xlfn.IFS(ISNUMBER(Table15[[#This Row],[Column3]]),Table15[[#This Row],[Column3]],Table15[[#This Row],[Column3]]="NEW",Table15[[#This Row],[Column3]]),"")</f>
        <v>145.00243708658999</v>
      </c>
      <c r="H866" s="15" cm="1">
        <f t="array" ref="H866">_xlfn.IFS(Table15[[#This Row],[Column4]]="NEW",AVERAGEIFS(Table15[Column4],Table15[Year],Table15[[#This Row],[Year]]),ISNUMBER(Table15[[#This Row],[Column4]]),Table15[[#This Row],[Column4]],Table15[[#This Row],[Column4]]="",H865*(1+Table15[[#This Row],[Ávöxtun]]))</f>
        <v>145.00243708658999</v>
      </c>
      <c r="I866" s="30" cm="1">
        <f t="array" ref="I866">_xlfn.IFS(Table15[[#This Row],[Column4]]="NEW",_xlfn.XLOOKUP(Table15[[#This Row],[Year]]-1,$N$2:$N$27,$P$2:$P$27)*(1+Table15[[#This Row],[Ávöxtun]]),ISNUMBER(Table15[[#This Row],[Column4]]),Table15[[#This Row],[Column4]],Table15[[#This Row],[Column4]]="",I865*(1+Table15[[#This Row],[Ávöxtun]]))</f>
        <v>145.00243708658999</v>
      </c>
      <c r="L866" s="33">
        <v>145.00243708658999</v>
      </c>
      <c r="M866" s="33">
        <v>145.00243708658999</v>
      </c>
    </row>
    <row r="867" spans="1:13">
      <c r="A867" t="s">
        <v>128</v>
      </c>
      <c r="B867">
        <v>2010</v>
      </c>
      <c r="C867" s="16">
        <v>1.9599999999999999E-2</v>
      </c>
      <c r="D867" s="1">
        <v>104023968</v>
      </c>
      <c r="E867" s="29">
        <f>Table15[[#This Row],[Ávöxtun]]*Table15[[#This Row],[Eignir]]/SUMIFS(Table15[Eignir],Table15[Year],Table15[[#This Row],[Year]])</f>
        <v>1.1404436186948645E-3</v>
      </c>
      <c r="F867" s="23">
        <f>IF(B867=1997, 100, IF(COUNTIF(A$1:A866,A867)=0, "NEW", F866*(1+Table15[[#This Row],[Ávöxtun]])))</f>
        <v>147.84448485348716</v>
      </c>
      <c r="G867" s="18" cm="1">
        <f t="array" ref="G867">IFERROR(_xlfn.IFS(ISNUMBER(Table15[[#This Row],[Column3]]),Table15[[#This Row],[Column3]],Table15[[#This Row],[Column3]]="NEW",Table15[[#This Row],[Column3]]),"")</f>
        <v>147.84448485348716</v>
      </c>
      <c r="H867" s="15" cm="1">
        <f t="array" ref="H867">_xlfn.IFS(Table15[[#This Row],[Column4]]="NEW",AVERAGEIFS(Table15[Column4],Table15[Year],Table15[[#This Row],[Year]]),ISNUMBER(Table15[[#This Row],[Column4]]),Table15[[#This Row],[Column4]],Table15[[#This Row],[Column4]]="",H866*(1+Table15[[#This Row],[Ávöxtun]]))</f>
        <v>147.84448485348716</v>
      </c>
      <c r="I867" s="30" cm="1">
        <f t="array" ref="I867">_xlfn.IFS(Table15[[#This Row],[Column4]]="NEW",_xlfn.XLOOKUP(Table15[[#This Row],[Year]]-1,$N$2:$N$27,$P$2:$P$27)*(1+Table15[[#This Row],[Ávöxtun]]),ISNUMBER(Table15[[#This Row],[Column4]]),Table15[[#This Row],[Column4]],Table15[[#This Row],[Column4]]="",I866*(1+Table15[[#This Row],[Ávöxtun]]))</f>
        <v>147.84448485348716</v>
      </c>
      <c r="L867" s="33">
        <v>147.84448485348716</v>
      </c>
      <c r="M867" s="33">
        <v>147.84448485348716</v>
      </c>
    </row>
    <row r="868" spans="1:13">
      <c r="A868" t="s">
        <v>128</v>
      </c>
      <c r="B868">
        <v>2011</v>
      </c>
      <c r="C868" s="16">
        <v>1.9E-2</v>
      </c>
      <c r="D868" s="1">
        <v>113017939</v>
      </c>
      <c r="E868" s="29">
        <f>Table15[[#This Row],[Ávöxtun]]*Table15[[#This Row],[Eignir]]/SUMIFS(Table15[Eignir],Table15[Year],Table15[[#This Row],[Year]])</f>
        <v>1.1008849357252765E-3</v>
      </c>
      <c r="F868" s="23">
        <f>IF(B868=1997, 100, IF(COUNTIF(A$1:A867,A868)=0, "NEW", F867*(1+Table15[[#This Row],[Ávöxtun]])))</f>
        <v>150.65353006570339</v>
      </c>
      <c r="G868" s="18" cm="1">
        <f t="array" ref="G868">IFERROR(_xlfn.IFS(ISNUMBER(Table15[[#This Row],[Column3]]),Table15[[#This Row],[Column3]],Table15[[#This Row],[Column3]]="NEW",Table15[[#This Row],[Column3]]),"")</f>
        <v>150.65353006570339</v>
      </c>
      <c r="H868" s="15" cm="1">
        <f t="array" ref="H868">_xlfn.IFS(Table15[[#This Row],[Column4]]="NEW",AVERAGEIFS(Table15[Column4],Table15[Year],Table15[[#This Row],[Year]]),ISNUMBER(Table15[[#This Row],[Column4]]),Table15[[#This Row],[Column4]],Table15[[#This Row],[Column4]]="",H867*(1+Table15[[#This Row],[Ávöxtun]]))</f>
        <v>150.65353006570339</v>
      </c>
      <c r="I868" s="30" cm="1">
        <f t="array" ref="I868">_xlfn.IFS(Table15[[#This Row],[Column4]]="NEW",_xlfn.XLOOKUP(Table15[[#This Row],[Year]]-1,$N$2:$N$27,$P$2:$P$27)*(1+Table15[[#This Row],[Ávöxtun]]),ISNUMBER(Table15[[#This Row],[Column4]]),Table15[[#This Row],[Column4]],Table15[[#This Row],[Column4]]="",I867*(1+Table15[[#This Row],[Ávöxtun]]))</f>
        <v>150.65353006570339</v>
      </c>
      <c r="L868" s="33">
        <v>150.65353006570339</v>
      </c>
      <c r="M868" s="33">
        <v>150.65353006570339</v>
      </c>
    </row>
    <row r="869" spans="1:13">
      <c r="A869" t="s">
        <v>128</v>
      </c>
      <c r="B869">
        <v>2012</v>
      </c>
      <c r="C869" s="16">
        <v>8.5999999999999993E-2</v>
      </c>
      <c r="D869" s="1">
        <v>131306266</v>
      </c>
      <c r="E869" s="29">
        <f>Table15[[#This Row],[Ávöxtun]]*Table15[[#This Row],[Eignir]]/SUMIFS(Table15[Eignir],Table15[Year],Table15[[#This Row],[Year]])</f>
        <v>5.1262567738003632E-3</v>
      </c>
      <c r="F869" s="23">
        <f>IF(B869=1997, 100, IF(COUNTIF(A$1:A868,A869)=0, "NEW", F868*(1+Table15[[#This Row],[Ávöxtun]])))</f>
        <v>163.60973365135391</v>
      </c>
      <c r="G869" s="18" cm="1">
        <f t="array" ref="G869">IFERROR(_xlfn.IFS(ISNUMBER(Table15[[#This Row],[Column3]]),Table15[[#This Row],[Column3]],Table15[[#This Row],[Column3]]="NEW",Table15[[#This Row],[Column3]]),"")</f>
        <v>163.60973365135391</v>
      </c>
      <c r="H869" s="15" cm="1">
        <f t="array" ref="H869">_xlfn.IFS(Table15[[#This Row],[Column4]]="NEW",AVERAGEIFS(Table15[Column4],Table15[Year],Table15[[#This Row],[Year]]),ISNUMBER(Table15[[#This Row],[Column4]]),Table15[[#This Row],[Column4]],Table15[[#This Row],[Column4]]="",H868*(1+Table15[[#This Row],[Ávöxtun]]))</f>
        <v>163.60973365135391</v>
      </c>
      <c r="I869" s="30" cm="1">
        <f t="array" ref="I869">_xlfn.IFS(Table15[[#This Row],[Column4]]="NEW",_xlfn.XLOOKUP(Table15[[#This Row],[Year]]-1,$N$2:$N$27,$P$2:$P$27)*(1+Table15[[#This Row],[Ávöxtun]]),ISNUMBER(Table15[[#This Row],[Column4]]),Table15[[#This Row],[Column4]],Table15[[#This Row],[Column4]]="",I868*(1+Table15[[#This Row],[Ávöxtun]]))</f>
        <v>163.60973365135391</v>
      </c>
      <c r="L869" s="33">
        <v>163.60973365135391</v>
      </c>
      <c r="M869" s="33">
        <v>163.60973365135391</v>
      </c>
    </row>
    <row r="870" spans="1:13">
      <c r="A870" t="s">
        <v>128</v>
      </c>
      <c r="B870">
        <v>2013</v>
      </c>
      <c r="C870" s="16">
        <v>6.0999999999999999E-2</v>
      </c>
      <c r="D870" s="1">
        <v>143173472</v>
      </c>
      <c r="E870" s="29">
        <f>Table15[[#This Row],[Ávöxtun]]*Table15[[#This Row],[Eignir]]/SUMIFS(Table15[Eignir],Table15[Year],Table15[[#This Row],[Year]])</f>
        <v>3.5887800982704844E-3</v>
      </c>
      <c r="F870" s="23">
        <f>IF(B870=1997, 100, IF(COUNTIF(A$1:A869,A870)=0, "NEW", F869*(1+Table15[[#This Row],[Ávöxtun]])))</f>
        <v>173.5899274040865</v>
      </c>
      <c r="G870" s="18" cm="1">
        <f t="array" ref="G870">IFERROR(_xlfn.IFS(ISNUMBER(Table15[[#This Row],[Column3]]),Table15[[#This Row],[Column3]],Table15[[#This Row],[Column3]]="NEW",Table15[[#This Row],[Column3]]),"")</f>
        <v>173.5899274040865</v>
      </c>
      <c r="H870" s="15" cm="1">
        <f t="array" ref="H870">_xlfn.IFS(Table15[[#This Row],[Column4]]="NEW",AVERAGEIFS(Table15[Column4],Table15[Year],Table15[[#This Row],[Year]]),ISNUMBER(Table15[[#This Row],[Column4]]),Table15[[#This Row],[Column4]],Table15[[#This Row],[Column4]]="",H869*(1+Table15[[#This Row],[Ávöxtun]]))</f>
        <v>173.5899274040865</v>
      </c>
      <c r="I870" s="30" cm="1">
        <f t="array" ref="I870">_xlfn.IFS(Table15[[#This Row],[Column4]]="NEW",_xlfn.XLOOKUP(Table15[[#This Row],[Year]]-1,$N$2:$N$27,$P$2:$P$27)*(1+Table15[[#This Row],[Ávöxtun]]),ISNUMBER(Table15[[#This Row],[Column4]]),Table15[[#This Row],[Column4]],Table15[[#This Row],[Column4]]="",I869*(1+Table15[[#This Row],[Ávöxtun]]))</f>
        <v>173.5899274040865</v>
      </c>
      <c r="L870" s="33">
        <v>173.5899274040865</v>
      </c>
      <c r="M870" s="33">
        <v>173.5899274040865</v>
      </c>
    </row>
    <row r="871" spans="1:13">
      <c r="A871" t="s">
        <v>128</v>
      </c>
      <c r="B871">
        <v>2014</v>
      </c>
      <c r="C871" s="16">
        <v>6.3E-2</v>
      </c>
      <c r="D871" s="1">
        <v>152140551</v>
      </c>
      <c r="E871" s="29">
        <f>Table15[[#This Row],[Ávöxtun]]*Table15[[#This Row],[Eignir]]/SUMIFS(Table15[Eignir],Table15[Year],Table15[[#This Row],[Year]])</f>
        <v>3.6128111540156831E-3</v>
      </c>
      <c r="F871" s="23">
        <f>IF(B871=1997, 100, IF(COUNTIF(A$1:A870,A871)=0, "NEW", F870*(1+Table15[[#This Row],[Ávöxtun]])))</f>
        <v>184.52609283054394</v>
      </c>
      <c r="G871" s="18" cm="1">
        <f t="array" ref="G871">IFERROR(_xlfn.IFS(ISNUMBER(Table15[[#This Row],[Column3]]),Table15[[#This Row],[Column3]],Table15[[#This Row],[Column3]]="NEW",Table15[[#This Row],[Column3]]),"")</f>
        <v>184.52609283054394</v>
      </c>
      <c r="H871" s="15" cm="1">
        <f t="array" ref="H871">_xlfn.IFS(Table15[[#This Row],[Column4]]="NEW",AVERAGEIFS(Table15[Column4],Table15[Year],Table15[[#This Row],[Year]]),ISNUMBER(Table15[[#This Row],[Column4]]),Table15[[#This Row],[Column4]],Table15[[#This Row],[Column4]]="",H870*(1+Table15[[#This Row],[Ávöxtun]]))</f>
        <v>184.52609283054394</v>
      </c>
      <c r="I871" s="30" cm="1">
        <f t="array" ref="I871">_xlfn.IFS(Table15[[#This Row],[Column4]]="NEW",_xlfn.XLOOKUP(Table15[[#This Row],[Year]]-1,$N$2:$N$27,$P$2:$P$27)*(1+Table15[[#This Row],[Ávöxtun]]),ISNUMBER(Table15[[#This Row],[Column4]]),Table15[[#This Row],[Column4]],Table15[[#This Row],[Column4]]="",I870*(1+Table15[[#This Row],[Ávöxtun]]))</f>
        <v>184.52609283054394</v>
      </c>
      <c r="L871" s="33">
        <v>184.52609283054394</v>
      </c>
      <c r="M871" s="33">
        <v>184.52609283054394</v>
      </c>
    </row>
    <row r="872" spans="1:13">
      <c r="A872" t="s">
        <v>128</v>
      </c>
      <c r="B872">
        <v>2015</v>
      </c>
      <c r="C872" s="16">
        <v>7.0999999999999994E-2</v>
      </c>
      <c r="D872" s="1">
        <v>167057358</v>
      </c>
      <c r="E872" s="29">
        <f>Table15[[#This Row],[Ávöxtun]]*Table15[[#This Row],[Eignir]]/SUMIFS(Table15[Eignir],Table15[Year],Table15[[#This Row],[Year]])</f>
        <v>4.0052541411711804E-3</v>
      </c>
      <c r="F872" s="23">
        <f>IF(B872=1997, 100, IF(COUNTIF(A$1:A871,A872)=0, "NEW", F871*(1+Table15[[#This Row],[Ávöxtun]])))</f>
        <v>197.62744542151256</v>
      </c>
      <c r="G872" s="18" cm="1">
        <f t="array" ref="G872">IFERROR(_xlfn.IFS(ISNUMBER(Table15[[#This Row],[Column3]]),Table15[[#This Row],[Column3]],Table15[[#This Row],[Column3]]="NEW",Table15[[#This Row],[Column3]]),"")</f>
        <v>197.62744542151256</v>
      </c>
      <c r="H872" s="15" cm="1">
        <f t="array" ref="H872">_xlfn.IFS(Table15[[#This Row],[Column4]]="NEW",AVERAGEIFS(Table15[Column4],Table15[Year],Table15[[#This Row],[Year]]),ISNUMBER(Table15[[#This Row],[Column4]]),Table15[[#This Row],[Column4]],Table15[[#This Row],[Column4]]="",H871*(1+Table15[[#This Row],[Ávöxtun]]))</f>
        <v>197.62744542151256</v>
      </c>
      <c r="I872" s="30" cm="1">
        <f t="array" ref="I872">_xlfn.IFS(Table15[[#This Row],[Column4]]="NEW",_xlfn.XLOOKUP(Table15[[#This Row],[Year]]-1,$N$2:$N$27,$P$2:$P$27)*(1+Table15[[#This Row],[Ávöxtun]]),ISNUMBER(Table15[[#This Row],[Column4]]),Table15[[#This Row],[Column4]],Table15[[#This Row],[Column4]]="",I871*(1+Table15[[#This Row],[Ávöxtun]]))</f>
        <v>197.62744542151256</v>
      </c>
      <c r="L872" s="33">
        <v>197.62744542151256</v>
      </c>
      <c r="M872" s="33">
        <v>197.62744542151256</v>
      </c>
    </row>
    <row r="873" spans="1:13">
      <c r="A873" t="s">
        <v>129</v>
      </c>
      <c r="B873">
        <v>1997</v>
      </c>
      <c r="C873" s="16">
        <v>0.13</v>
      </c>
      <c r="D873" s="1">
        <v>11111288.91</v>
      </c>
      <c r="E873" s="29">
        <f>Table15[[#This Row],[Ávöxtun]]*Table15[[#This Row],[Eignir]]/SUMIFS(Table15[Eignir],Table15[Year],Table15[[#This Row],[Year]])</f>
        <v>4.2606477482861997E-3</v>
      </c>
      <c r="F873" s="23">
        <f>IF(B873=1997, 100, IF(COUNTIF(A$1:A872,A873)=0, "NEW", F872*(1+Table15[[#This Row],[Ávöxtun]])))</f>
        <v>100</v>
      </c>
      <c r="G873" s="18" cm="1">
        <f t="array" ref="G873">IFERROR(_xlfn.IFS(ISNUMBER(Table15[[#This Row],[Column3]]),Table15[[#This Row],[Column3]],Table15[[#This Row],[Column3]]="NEW",Table15[[#This Row],[Column3]]),"")</f>
        <v>100</v>
      </c>
      <c r="H873" s="15" cm="1">
        <f t="array" ref="H873">_xlfn.IFS(Table15[[#This Row],[Column4]]="NEW",AVERAGEIFS(Table15[Column4],Table15[Year],Table15[[#This Row],[Year]]),ISNUMBER(Table15[[#This Row],[Column4]]),Table15[[#This Row],[Column4]],Table15[[#This Row],[Column4]]="",H872*(1+Table15[[#This Row],[Ávöxtun]]))</f>
        <v>100</v>
      </c>
      <c r="I873" s="30" cm="1">
        <f t="array" ref="I873">_xlfn.IFS(Table15[[#This Row],[Column4]]="NEW",_xlfn.XLOOKUP(Table15[[#This Row],[Year]]-1,$N$2:$N$27,$P$2:$P$27)*(1+Table15[[#This Row],[Ávöxtun]]),ISNUMBER(Table15[[#This Row],[Column4]]),Table15[[#This Row],[Column4]],Table15[[#This Row],[Column4]]="",I872*(1+Table15[[#This Row],[Ávöxtun]]))</f>
        <v>100</v>
      </c>
      <c r="L873" s="33">
        <v>100</v>
      </c>
      <c r="M873" s="33">
        <v>100</v>
      </c>
    </row>
    <row r="874" spans="1:13">
      <c r="A874" t="s">
        <v>129</v>
      </c>
      <c r="B874">
        <v>1998</v>
      </c>
      <c r="C874" s="16">
        <v>7.0000000000000007E-2</v>
      </c>
      <c r="D874" s="1">
        <v>12076141.869999999</v>
      </c>
      <c r="E874" s="29">
        <f>Table15[[#This Row],[Ávöxtun]]*Table15[[#This Row],[Eignir]]/SUMIFS(Table15[Eignir],Table15[Year],Table15[[#This Row],[Year]])</f>
        <v>2.1584641908711849E-3</v>
      </c>
      <c r="F874" s="23">
        <f>IF(B874=1997, 100, IF(COUNTIF(A$1:A873,A874)=0, "NEW", F873*(1+Table15[[#This Row],[Ávöxtun]])))</f>
        <v>107</v>
      </c>
      <c r="G874" s="18" cm="1">
        <f t="array" ref="G874">IFERROR(_xlfn.IFS(ISNUMBER(Table15[[#This Row],[Column3]]),Table15[[#This Row],[Column3]],Table15[[#This Row],[Column3]]="NEW",Table15[[#This Row],[Column3]]),"")</f>
        <v>107</v>
      </c>
      <c r="H874" s="15" cm="1">
        <f t="array" ref="H874">_xlfn.IFS(Table15[[#This Row],[Column4]]="NEW",AVERAGEIFS(Table15[Column4],Table15[Year],Table15[[#This Row],[Year]]),ISNUMBER(Table15[[#This Row],[Column4]]),Table15[[#This Row],[Column4]],Table15[[#This Row],[Column4]]="",H873*(1+Table15[[#This Row],[Ávöxtun]]))</f>
        <v>107</v>
      </c>
      <c r="I874" s="30" cm="1">
        <f t="array" ref="I874">_xlfn.IFS(Table15[[#This Row],[Column4]]="NEW",_xlfn.XLOOKUP(Table15[[#This Row],[Year]]-1,$N$2:$N$27,$P$2:$P$27)*(1+Table15[[#This Row],[Ávöxtun]]),ISNUMBER(Table15[[#This Row],[Column4]]),Table15[[#This Row],[Column4]],Table15[[#This Row],[Column4]]="",I873*(1+Table15[[#This Row],[Ávöxtun]]))</f>
        <v>107</v>
      </c>
      <c r="L874" s="33">
        <v>107</v>
      </c>
      <c r="M874" s="33">
        <v>107</v>
      </c>
    </row>
    <row r="875" spans="1:13">
      <c r="A875" t="s">
        <v>129</v>
      </c>
      <c r="B875">
        <v>1999</v>
      </c>
      <c r="C875" s="16">
        <v>0.13</v>
      </c>
      <c r="D875" s="1">
        <v>14586564.939999999</v>
      </c>
      <c r="E875" s="29">
        <f>Table15[[#This Row],[Ávöxtun]]*Table15[[#This Row],[Eignir]]/SUMIFS(Table15[Eignir],Table15[Year],Table15[[#This Row],[Year]])</f>
        <v>3.641622194841378E-3</v>
      </c>
      <c r="F875" s="23">
        <f>IF(B875=1997, 100, IF(COUNTIF(A$1:A874,A875)=0, "NEW", F874*(1+Table15[[#This Row],[Ávöxtun]])))</f>
        <v>120.90999999999998</v>
      </c>
      <c r="G875" s="18" cm="1">
        <f t="array" ref="G875">IFERROR(_xlfn.IFS(ISNUMBER(Table15[[#This Row],[Column3]]),Table15[[#This Row],[Column3]],Table15[[#This Row],[Column3]]="NEW",Table15[[#This Row],[Column3]]),"")</f>
        <v>120.90999999999998</v>
      </c>
      <c r="H875" s="15" cm="1">
        <f t="array" ref="H875">_xlfn.IFS(Table15[[#This Row],[Column4]]="NEW",AVERAGEIFS(Table15[Column4],Table15[Year],Table15[[#This Row],[Year]]),ISNUMBER(Table15[[#This Row],[Column4]]),Table15[[#This Row],[Column4]],Table15[[#This Row],[Column4]]="",H874*(1+Table15[[#This Row],[Ávöxtun]]))</f>
        <v>120.90999999999998</v>
      </c>
      <c r="I875" s="30" cm="1">
        <f t="array" ref="I875">_xlfn.IFS(Table15[[#This Row],[Column4]]="NEW",_xlfn.XLOOKUP(Table15[[#This Row],[Year]]-1,$N$2:$N$27,$P$2:$P$27)*(1+Table15[[#This Row],[Ávöxtun]]),ISNUMBER(Table15[[#This Row],[Column4]]),Table15[[#This Row],[Column4]],Table15[[#This Row],[Column4]]="",I874*(1+Table15[[#This Row],[Ávöxtun]]))</f>
        <v>120.90999999999998</v>
      </c>
      <c r="L875" s="33">
        <v>120.90999999999998</v>
      </c>
      <c r="M875" s="33">
        <v>120.90999999999998</v>
      </c>
    </row>
    <row r="876" spans="1:13">
      <c r="A876" t="s">
        <v>129</v>
      </c>
      <c r="B876">
        <v>2000</v>
      </c>
      <c r="C876" s="16">
        <v>0.02</v>
      </c>
      <c r="D876" s="1">
        <v>15623822.550000001</v>
      </c>
      <c r="E876" s="29">
        <f>Table15[[#This Row],[Ávöxtun]]*Table15[[#This Row],[Eignir]]/SUMIFS(Table15[Eignir],Table15[Year],Table15[[#This Row],[Year]])</f>
        <v>4.395568626621093E-4</v>
      </c>
      <c r="F876" s="23">
        <f>IF(B876=1997, 100, IF(COUNTIF(A$1:A875,A876)=0, "NEW", F875*(1+Table15[[#This Row],[Ávöxtun]])))</f>
        <v>123.32819999999998</v>
      </c>
      <c r="G876" s="18" cm="1">
        <f t="array" ref="G876">IFERROR(_xlfn.IFS(ISNUMBER(Table15[[#This Row],[Column3]]),Table15[[#This Row],[Column3]],Table15[[#This Row],[Column3]]="NEW",Table15[[#This Row],[Column3]]),"")</f>
        <v>123.32819999999998</v>
      </c>
      <c r="H876" s="15" cm="1">
        <f t="array" ref="H876">_xlfn.IFS(Table15[[#This Row],[Column4]]="NEW",AVERAGEIFS(Table15[Column4],Table15[Year],Table15[[#This Row],[Year]]),ISNUMBER(Table15[[#This Row],[Column4]]),Table15[[#This Row],[Column4]],Table15[[#This Row],[Column4]]="",H875*(1+Table15[[#This Row],[Ávöxtun]]))</f>
        <v>123.32819999999998</v>
      </c>
      <c r="I876" s="30" cm="1">
        <f t="array" ref="I876">_xlfn.IFS(Table15[[#This Row],[Column4]]="NEW",_xlfn.XLOOKUP(Table15[[#This Row],[Year]]-1,$N$2:$N$27,$P$2:$P$27)*(1+Table15[[#This Row],[Ávöxtun]]),ISNUMBER(Table15[[#This Row],[Column4]]),Table15[[#This Row],[Column4]],Table15[[#This Row],[Column4]]="",I875*(1+Table15[[#This Row],[Ávöxtun]]))</f>
        <v>123.32819999999998</v>
      </c>
      <c r="L876" s="33">
        <v>123.32819999999998</v>
      </c>
      <c r="M876" s="33">
        <v>123.32819999999998</v>
      </c>
    </row>
    <row r="877" spans="1:13">
      <c r="A877" t="s">
        <v>129</v>
      </c>
      <c r="B877">
        <v>2001</v>
      </c>
      <c r="C877" s="16">
        <v>0</v>
      </c>
      <c r="D877" s="1">
        <v>34887900</v>
      </c>
      <c r="E877" s="29">
        <f>Table15[[#This Row],[Ávöxtun]]*Table15[[#This Row],[Eignir]]/SUMIFS(Table15[Eignir],Table15[Year],Table15[[#This Row],[Year]])</f>
        <v>0</v>
      </c>
      <c r="F877" s="23">
        <f>IF(B877=1997, 100, IF(COUNTIF(A$1:A876,A877)=0, "NEW", F876*(1+Table15[[#This Row],[Ávöxtun]])))</f>
        <v>123.32819999999998</v>
      </c>
      <c r="G877" s="18" cm="1">
        <f t="array" ref="G877">IFERROR(_xlfn.IFS(ISNUMBER(Table15[[#This Row],[Column3]]),Table15[[#This Row],[Column3]],Table15[[#This Row],[Column3]]="NEW",Table15[[#This Row],[Column3]]),"")</f>
        <v>123.32819999999998</v>
      </c>
      <c r="H877" s="15" cm="1">
        <f t="array" ref="H877">_xlfn.IFS(Table15[[#This Row],[Column4]]="NEW",AVERAGEIFS(Table15[Column4],Table15[Year],Table15[[#This Row],[Year]]),ISNUMBER(Table15[[#This Row],[Column4]]),Table15[[#This Row],[Column4]],Table15[[#This Row],[Column4]]="",H876*(1+Table15[[#This Row],[Ávöxtun]]))</f>
        <v>123.32819999999998</v>
      </c>
      <c r="I877" s="30" cm="1">
        <f t="array" ref="I877">_xlfn.IFS(Table15[[#This Row],[Column4]]="NEW",_xlfn.XLOOKUP(Table15[[#This Row],[Year]]-1,$N$2:$N$27,$P$2:$P$27)*(1+Table15[[#This Row],[Ávöxtun]]),ISNUMBER(Table15[[#This Row],[Column4]]),Table15[[#This Row],[Column4]],Table15[[#This Row],[Column4]]="",I876*(1+Table15[[#This Row],[Ávöxtun]]))</f>
        <v>123.32819999999998</v>
      </c>
      <c r="L877" s="33">
        <v>123.32819999999998</v>
      </c>
      <c r="M877" s="33">
        <v>123.32819999999998</v>
      </c>
    </row>
    <row r="878" spans="1:13">
      <c r="A878" t="s">
        <v>129</v>
      </c>
      <c r="B878">
        <v>2002</v>
      </c>
      <c r="C878" s="16">
        <v>0.02</v>
      </c>
      <c r="D878" s="1">
        <v>16852138</v>
      </c>
      <c r="E878" s="29">
        <f>Table15[[#This Row],[Ávöxtun]]*Table15[[#This Row],[Eignir]]/SUMIFS(Table15[Eignir],Table15[Year],Table15[[#This Row],[Year]])</f>
        <v>5.3063882331266441E-4</v>
      </c>
      <c r="F878" s="23">
        <f>IF(B878=1997, 100, IF(COUNTIF(A$1:A877,A878)=0, "NEW", F877*(1+Table15[[#This Row],[Ávöxtun]])))</f>
        <v>125.79476399999999</v>
      </c>
      <c r="G878" s="18" cm="1">
        <f t="array" ref="G878">IFERROR(_xlfn.IFS(ISNUMBER(Table15[[#This Row],[Column3]]),Table15[[#This Row],[Column3]],Table15[[#This Row],[Column3]]="NEW",Table15[[#This Row],[Column3]]),"")</f>
        <v>125.79476399999999</v>
      </c>
      <c r="H878" s="15" cm="1">
        <f t="array" ref="H878">_xlfn.IFS(Table15[[#This Row],[Column4]]="NEW",AVERAGEIFS(Table15[Column4],Table15[Year],Table15[[#This Row],[Year]]),ISNUMBER(Table15[[#This Row],[Column4]]),Table15[[#This Row],[Column4]],Table15[[#This Row],[Column4]]="",H877*(1+Table15[[#This Row],[Ávöxtun]]))</f>
        <v>125.79476399999999</v>
      </c>
      <c r="I878" s="30" cm="1">
        <f t="array" ref="I878">_xlfn.IFS(Table15[[#This Row],[Column4]]="NEW",_xlfn.XLOOKUP(Table15[[#This Row],[Year]]-1,$N$2:$N$27,$P$2:$P$27)*(1+Table15[[#This Row],[Ávöxtun]]),ISNUMBER(Table15[[#This Row],[Column4]]),Table15[[#This Row],[Column4]],Table15[[#This Row],[Column4]]="",I877*(1+Table15[[#This Row],[Ávöxtun]]))</f>
        <v>125.79476399999999</v>
      </c>
      <c r="L878" s="33">
        <v>125.79476399999999</v>
      </c>
      <c r="M878" s="33">
        <v>125.79476399999999</v>
      </c>
    </row>
    <row r="879" spans="1:13">
      <c r="A879" t="s">
        <v>129</v>
      </c>
      <c r="B879">
        <v>2003</v>
      </c>
      <c r="C879" s="16">
        <v>0.24</v>
      </c>
      <c r="D879" s="1">
        <v>19299843</v>
      </c>
      <c r="E879" s="29">
        <f>Table15[[#This Row],[Ávöxtun]]*Table15[[#This Row],[Eignir]]/SUMIFS(Table15[Eignir],Table15[Year],Table15[[#This Row],[Year]])</f>
        <v>6.0955583275060276E-3</v>
      </c>
      <c r="F879" s="23">
        <f>IF(B879=1997, 100, IF(COUNTIF(A$1:A878,A879)=0, "NEW", F878*(1+Table15[[#This Row],[Ávöxtun]])))</f>
        <v>155.98550735999999</v>
      </c>
      <c r="G879" s="18" cm="1">
        <f t="array" ref="G879">IFERROR(_xlfn.IFS(ISNUMBER(Table15[[#This Row],[Column3]]),Table15[[#This Row],[Column3]],Table15[[#This Row],[Column3]]="NEW",Table15[[#This Row],[Column3]]),"")</f>
        <v>155.98550735999999</v>
      </c>
      <c r="H879" s="15" cm="1">
        <f t="array" ref="H879">_xlfn.IFS(Table15[[#This Row],[Column4]]="NEW",AVERAGEIFS(Table15[Column4],Table15[Year],Table15[[#This Row],[Year]]),ISNUMBER(Table15[[#This Row],[Column4]]),Table15[[#This Row],[Column4]],Table15[[#This Row],[Column4]]="",H878*(1+Table15[[#This Row],[Ávöxtun]]))</f>
        <v>155.98550735999999</v>
      </c>
      <c r="I879" s="30" cm="1">
        <f t="array" ref="I879">_xlfn.IFS(Table15[[#This Row],[Column4]]="NEW",_xlfn.XLOOKUP(Table15[[#This Row],[Year]]-1,$N$2:$N$27,$P$2:$P$27)*(1+Table15[[#This Row],[Ávöxtun]]),ISNUMBER(Table15[[#This Row],[Column4]]),Table15[[#This Row],[Column4]],Table15[[#This Row],[Column4]]="",I878*(1+Table15[[#This Row],[Ávöxtun]]))</f>
        <v>155.98550735999999</v>
      </c>
      <c r="L879" s="33">
        <v>155.98550735999999</v>
      </c>
      <c r="M879" s="33">
        <v>155.98550735999999</v>
      </c>
    </row>
    <row r="880" spans="1:13">
      <c r="A880" t="s">
        <v>129</v>
      </c>
      <c r="B880">
        <v>2004</v>
      </c>
      <c r="C880" s="16">
        <v>0.3</v>
      </c>
      <c r="D880" s="1">
        <v>22971218</v>
      </c>
      <c r="E880" s="29">
        <f>Table15[[#This Row],[Ávöxtun]]*Table15[[#This Row],[Eignir]]/SUMIFS(Table15[Eignir],Table15[Year],Table15[[#This Row],[Year]])</f>
        <v>7.5923652568811355E-3</v>
      </c>
      <c r="F880" s="23">
        <f>IF(B880=1997, 100, IF(COUNTIF(A$1:A879,A880)=0, "NEW", F879*(1+Table15[[#This Row],[Ávöxtun]])))</f>
        <v>202.78115956799999</v>
      </c>
      <c r="G880" s="18" cm="1">
        <f t="array" ref="G880">IFERROR(_xlfn.IFS(ISNUMBER(Table15[[#This Row],[Column3]]),Table15[[#This Row],[Column3]],Table15[[#This Row],[Column3]]="NEW",Table15[[#This Row],[Column3]]),"")</f>
        <v>202.78115956799999</v>
      </c>
      <c r="H880" s="15" cm="1">
        <f t="array" ref="H880">_xlfn.IFS(Table15[[#This Row],[Column4]]="NEW",AVERAGEIFS(Table15[Column4],Table15[Year],Table15[[#This Row],[Year]]),ISNUMBER(Table15[[#This Row],[Column4]]),Table15[[#This Row],[Column4]],Table15[[#This Row],[Column4]]="",H879*(1+Table15[[#This Row],[Ávöxtun]]))</f>
        <v>202.78115956799999</v>
      </c>
      <c r="I880" s="30" cm="1">
        <f t="array" ref="I880">_xlfn.IFS(Table15[[#This Row],[Column4]]="NEW",_xlfn.XLOOKUP(Table15[[#This Row],[Year]]-1,$N$2:$N$27,$P$2:$P$27)*(1+Table15[[#This Row],[Ávöxtun]]),ISNUMBER(Table15[[#This Row],[Column4]]),Table15[[#This Row],[Column4]],Table15[[#This Row],[Column4]]="",I879*(1+Table15[[#This Row],[Ávöxtun]]))</f>
        <v>202.78115956799999</v>
      </c>
      <c r="L880" s="33">
        <v>202.78115956799999</v>
      </c>
      <c r="M880" s="33">
        <v>202.78115956799999</v>
      </c>
    </row>
    <row r="881" spans="1:13">
      <c r="A881" t="s">
        <v>129</v>
      </c>
      <c r="B881">
        <v>2005</v>
      </c>
      <c r="C881" s="16">
        <v>0.28000000000000003</v>
      </c>
      <c r="D881" s="1">
        <v>27233265</v>
      </c>
      <c r="E881" s="29">
        <f>Table15[[#This Row],[Ávöxtun]]*Table15[[#This Row],[Eignir]]/SUMIFS(Table15[Eignir],Table15[Year],Table15[[#This Row],[Year]])</f>
        <v>6.8001940193324869E-3</v>
      </c>
      <c r="F881" s="23">
        <f>IF(B881=1997, 100, IF(COUNTIF(A$1:A880,A881)=0, "NEW", F880*(1+Table15[[#This Row],[Ávöxtun]])))</f>
        <v>259.55988424703997</v>
      </c>
      <c r="G881" s="18" cm="1">
        <f t="array" ref="G881">IFERROR(_xlfn.IFS(ISNUMBER(Table15[[#This Row],[Column3]]),Table15[[#This Row],[Column3]],Table15[[#This Row],[Column3]]="NEW",Table15[[#This Row],[Column3]]),"")</f>
        <v>259.55988424703997</v>
      </c>
      <c r="H881" s="15" cm="1">
        <f t="array" ref="H881">_xlfn.IFS(Table15[[#This Row],[Column4]]="NEW",AVERAGEIFS(Table15[Column4],Table15[Year],Table15[[#This Row],[Year]]),ISNUMBER(Table15[[#This Row],[Column4]]),Table15[[#This Row],[Column4]],Table15[[#This Row],[Column4]]="",H880*(1+Table15[[#This Row],[Ávöxtun]]))</f>
        <v>259.55988424703997</v>
      </c>
      <c r="I881" s="30" cm="1">
        <f t="array" ref="I881">_xlfn.IFS(Table15[[#This Row],[Column4]]="NEW",_xlfn.XLOOKUP(Table15[[#This Row],[Year]]-1,$N$2:$N$27,$P$2:$P$27)*(1+Table15[[#This Row],[Ávöxtun]]),ISNUMBER(Table15[[#This Row],[Column4]]),Table15[[#This Row],[Column4]],Table15[[#This Row],[Column4]]="",I880*(1+Table15[[#This Row],[Ávöxtun]]))</f>
        <v>259.55988424703997</v>
      </c>
      <c r="L881" s="33">
        <v>259.55988424703997</v>
      </c>
      <c r="M881" s="33">
        <v>259.55988424703997</v>
      </c>
    </row>
    <row r="882" spans="1:13">
      <c r="A882" t="s">
        <v>132</v>
      </c>
      <c r="B882">
        <v>1999</v>
      </c>
      <c r="C882" s="16">
        <v>0.22</v>
      </c>
      <c r="D882" s="1">
        <v>1053801.1100000001</v>
      </c>
      <c r="E882" s="29">
        <f>Table15[[#This Row],[Ávöxtun]]*Table15[[#This Row],[Eignir]]/SUMIFS(Table15[Eignir],Table15[Year],Table15[[#This Row],[Year]])</f>
        <v>4.4522530251435704E-4</v>
      </c>
      <c r="F882" s="23" t="str">
        <f>IF(B882=1997, 100, IF(COUNTIF(A$1:A881,A882)=0, "NEW", F881*(1+Table15[[#This Row],[Ávöxtun]])))</f>
        <v>NEW</v>
      </c>
      <c r="G882" s="18" t="str" cm="1">
        <f t="array" ref="G882">IFERROR(_xlfn.IFS(ISNUMBER(Table15[[#This Row],[Column3]]),Table15[[#This Row],[Column3]],Table15[[#This Row],[Column3]]="NEW",Table15[[#This Row],[Column3]]),"")</f>
        <v>NEW</v>
      </c>
      <c r="H882" s="15" cm="1">
        <f t="array" ref="H882">_xlfn.IFS(Table15[[#This Row],[Column4]]="NEW",AVERAGEIFS(Table15[Column4],Table15[Year],Table15[[#This Row],[Year]]),ISNUMBER(Table15[[#This Row],[Column4]]),Table15[[#This Row],[Column4]],Table15[[#This Row],[Column4]]="",H881*(1+Table15[[#This Row],[Ávöxtun]]))</f>
        <v>117.05306122448981</v>
      </c>
      <c r="I882" s="30" cm="1">
        <f t="array" ref="I882">_xlfn.IFS(Table15[[#This Row],[Column4]]="NEW",_xlfn.XLOOKUP(Table15[[#This Row],[Year]]-1,$N$2:$N$27,$P$2:$P$27)*(1+Table15[[#This Row],[Ávöxtun]]),ISNUMBER(Table15[[#This Row],[Column4]]),Table15[[#This Row],[Column4]],Table15[[#This Row],[Column4]]="",I881*(1+Table15[[#This Row],[Ávöxtun]]))</f>
        <v>130.67647610121909</v>
      </c>
      <c r="L882" s="33">
        <v>117.05306122448981</v>
      </c>
      <c r="M882" s="33">
        <v>129.26988390123572</v>
      </c>
    </row>
    <row r="883" spans="1:13">
      <c r="A883" t="s">
        <v>132</v>
      </c>
      <c r="B883">
        <v>2000</v>
      </c>
      <c r="C883" s="16">
        <v>-0.09</v>
      </c>
      <c r="D883" s="1">
        <v>1320671.98</v>
      </c>
      <c r="E883" s="29">
        <f>Table15[[#This Row],[Ávöxtun]]*Table15[[#This Row],[Eignir]]/SUMIFS(Table15[Eignir],Table15[Year],Table15[[#This Row],[Year]])</f>
        <v>-1.6719960408187698E-4</v>
      </c>
      <c r="F883" s="23" t="e">
        <f>IF(B883=1997, 100, IF(COUNTIF(A$1:A882,A883)=0, "NEW", F882*(1+Table15[[#This Row],[Ávöxtun]])))</f>
        <v>#VALUE!</v>
      </c>
      <c r="G883" s="18" t="str" cm="1">
        <f t="array" ref="G883">IFERROR(_xlfn.IFS(ISNUMBER(Table15[[#This Row],[Column3]]),Table15[[#This Row],[Column3]],Table15[[#This Row],[Column3]]="NEW",Table15[[#This Row],[Column3]]),"")</f>
        <v/>
      </c>
      <c r="H883" s="15" cm="1">
        <f t="array" ref="H883">_xlfn.IFS(Table15[[#This Row],[Column4]]="NEW",AVERAGEIFS(Table15[Column4],Table15[Year],Table15[[#This Row],[Year]]),ISNUMBER(Table15[[#This Row],[Column4]]),Table15[[#This Row],[Column4]],Table15[[#This Row],[Column4]]="",H882*(1+Table15[[#This Row],[Ávöxtun]]))</f>
        <v>106.51828571428572</v>
      </c>
      <c r="I883" s="30" cm="1">
        <f t="array" ref="I883">_xlfn.IFS(Table15[[#This Row],[Column4]]="NEW",_xlfn.XLOOKUP(Table15[[#This Row],[Year]]-1,$N$2:$N$27,$P$2:$P$27)*(1+Table15[[#This Row],[Ávöxtun]]),ISNUMBER(Table15[[#This Row],[Column4]]),Table15[[#This Row],[Column4]],Table15[[#This Row],[Column4]]="",I882*(1+Table15[[#This Row],[Ávöxtun]]))</f>
        <v>118.91559325210937</v>
      </c>
      <c r="L883" s="33">
        <v>106.51828571428572</v>
      </c>
      <c r="M883" s="33">
        <v>117.63559435012451</v>
      </c>
    </row>
    <row r="884" spans="1:13">
      <c r="A884" t="s">
        <v>132</v>
      </c>
      <c r="B884">
        <v>2001</v>
      </c>
      <c r="C884" s="16">
        <v>0</v>
      </c>
      <c r="D884" s="1">
        <v>1921124</v>
      </c>
      <c r="E884" s="29">
        <f>Table15[[#This Row],[Ávöxtun]]*Table15[[#This Row],[Eignir]]/SUMIFS(Table15[Eignir],Table15[Year],Table15[[#This Row],[Year]])</f>
        <v>0</v>
      </c>
      <c r="F884" s="23" t="e">
        <f>IF(B884=1997, 100, IF(COUNTIF(A$1:A883,A884)=0, "NEW", F883*(1+Table15[[#This Row],[Ávöxtun]])))</f>
        <v>#VALUE!</v>
      </c>
      <c r="G884" s="18" t="str" cm="1">
        <f t="array" ref="G884">IFERROR(_xlfn.IFS(ISNUMBER(Table15[[#This Row],[Column3]]),Table15[[#This Row],[Column3]],Table15[[#This Row],[Column3]]="NEW",Table15[[#This Row],[Column3]]),"")</f>
        <v/>
      </c>
      <c r="H884" s="15" cm="1">
        <f t="array" ref="H884">_xlfn.IFS(Table15[[#This Row],[Column4]]="NEW",AVERAGEIFS(Table15[Column4],Table15[Year],Table15[[#This Row],[Year]]),ISNUMBER(Table15[[#This Row],[Column4]]),Table15[[#This Row],[Column4]],Table15[[#This Row],[Column4]]="",H883*(1+Table15[[#This Row],[Ávöxtun]]))</f>
        <v>106.51828571428572</v>
      </c>
      <c r="I884" s="30" cm="1">
        <f t="array" ref="I884">_xlfn.IFS(Table15[[#This Row],[Column4]]="NEW",_xlfn.XLOOKUP(Table15[[#This Row],[Year]]-1,$N$2:$N$27,$P$2:$P$27)*(1+Table15[[#This Row],[Ávöxtun]]),ISNUMBER(Table15[[#This Row],[Column4]]),Table15[[#This Row],[Column4]],Table15[[#This Row],[Column4]]="",I883*(1+Table15[[#This Row],[Ávöxtun]]))</f>
        <v>118.91559325210937</v>
      </c>
      <c r="L884" s="33">
        <v>106.51828571428572</v>
      </c>
      <c r="M884" s="33">
        <v>117.63559435012451</v>
      </c>
    </row>
    <row r="885" spans="1:13">
      <c r="A885" t="s">
        <v>132</v>
      </c>
      <c r="B885">
        <v>2002</v>
      </c>
      <c r="C885" s="16">
        <v>-0.04</v>
      </c>
      <c r="D885" s="1">
        <v>298748</v>
      </c>
      <c r="E885" s="29">
        <f>Table15[[#This Row],[Ávöxtun]]*Table15[[#This Row],[Eignir]]/SUMIFS(Table15[Eignir],Table15[Year],Table15[[#This Row],[Year]])</f>
        <v>-1.8813908026033474E-5</v>
      </c>
      <c r="F885" s="23" t="e">
        <f>IF(B885=1997, 100, IF(COUNTIF(A$1:A884,A885)=0, "NEW", F884*(1+Table15[[#This Row],[Ávöxtun]])))</f>
        <v>#VALUE!</v>
      </c>
      <c r="G885" s="18" t="str" cm="1">
        <f t="array" ref="G885">IFERROR(_xlfn.IFS(ISNUMBER(Table15[[#This Row],[Column3]]),Table15[[#This Row],[Column3]],Table15[[#This Row],[Column3]]="NEW",Table15[[#This Row],[Column3]]),"")</f>
        <v/>
      </c>
      <c r="H885" s="15" cm="1">
        <f t="array" ref="H885">_xlfn.IFS(Table15[[#This Row],[Column4]]="NEW",AVERAGEIFS(Table15[Column4],Table15[Year],Table15[[#This Row],[Year]]),ISNUMBER(Table15[[#This Row],[Column4]]),Table15[[#This Row],[Column4]],Table15[[#This Row],[Column4]]="",H884*(1+Table15[[#This Row],[Ávöxtun]]))</f>
        <v>102.25755428571429</v>
      </c>
      <c r="I885" s="30" cm="1">
        <f t="array" ref="I885">_xlfn.IFS(Table15[[#This Row],[Column4]]="NEW",_xlfn.XLOOKUP(Table15[[#This Row],[Year]]-1,$N$2:$N$27,$P$2:$P$27)*(1+Table15[[#This Row],[Ávöxtun]]),ISNUMBER(Table15[[#This Row],[Column4]]),Table15[[#This Row],[Column4]],Table15[[#This Row],[Column4]]="",I884*(1+Table15[[#This Row],[Ávöxtun]]))</f>
        <v>114.15896952202499</v>
      </c>
      <c r="L885" s="33">
        <v>102.25755428571429</v>
      </c>
      <c r="M885" s="33">
        <v>112.93017057611952</v>
      </c>
    </row>
    <row r="886" spans="1:13">
      <c r="A886" t="s">
        <v>132</v>
      </c>
      <c r="B886">
        <v>2003</v>
      </c>
      <c r="C886" s="16">
        <v>0.12</v>
      </c>
      <c r="D886" s="1">
        <v>471251.72</v>
      </c>
      <c r="E886" s="29">
        <f>Table15[[#This Row],[Ávöxtun]]*Table15[[#This Row],[Eignir]]/SUMIFS(Table15[Eignir],Table15[Year],Table15[[#This Row],[Year]])</f>
        <v>7.4418800873083242E-5</v>
      </c>
      <c r="F886" s="23" t="e">
        <f>IF(B886=1997, 100, IF(COUNTIF(A$1:A885,A886)=0, "NEW", F885*(1+Table15[[#This Row],[Ávöxtun]])))</f>
        <v>#VALUE!</v>
      </c>
      <c r="G886" s="18" t="str" cm="1">
        <f t="array" ref="G886">IFERROR(_xlfn.IFS(ISNUMBER(Table15[[#This Row],[Column3]]),Table15[[#This Row],[Column3]],Table15[[#This Row],[Column3]]="NEW",Table15[[#This Row],[Column3]]),"")</f>
        <v/>
      </c>
      <c r="H886" s="15" cm="1">
        <f t="array" ref="H886">_xlfn.IFS(Table15[[#This Row],[Column4]]="NEW",AVERAGEIFS(Table15[Column4],Table15[Year],Table15[[#This Row],[Year]]),ISNUMBER(Table15[[#This Row],[Column4]]),Table15[[#This Row],[Column4]],Table15[[#This Row],[Column4]]="",H885*(1+Table15[[#This Row],[Ávöxtun]]))</f>
        <v>114.52846080000002</v>
      </c>
      <c r="I886" s="30" cm="1">
        <f t="array" ref="I886">_xlfn.IFS(Table15[[#This Row],[Column4]]="NEW",_xlfn.XLOOKUP(Table15[[#This Row],[Year]]-1,$N$2:$N$27,$P$2:$P$27)*(1+Table15[[#This Row],[Ávöxtun]]),ISNUMBER(Table15[[#This Row],[Column4]]),Table15[[#This Row],[Column4]],Table15[[#This Row],[Column4]]="",I885*(1+Table15[[#This Row],[Ávöxtun]]))</f>
        <v>127.858045864668</v>
      </c>
      <c r="L886" s="33">
        <v>114.52846080000002</v>
      </c>
      <c r="M886" s="33">
        <v>126.48179104525387</v>
      </c>
    </row>
    <row r="887" spans="1:13">
      <c r="A887" t="s">
        <v>133</v>
      </c>
      <c r="B887">
        <v>1997</v>
      </c>
      <c r="C887" s="16">
        <v>0.09</v>
      </c>
      <c r="D887" s="1">
        <v>13210404.98</v>
      </c>
      <c r="E887" s="29">
        <f>Table15[[#This Row],[Ávöxtun]]*Table15[[#This Row],[Eignir]]/SUMIFS(Table15[Eignir],Table15[Year],Table15[[#This Row],[Year]])</f>
        <v>3.5069250062220118E-3</v>
      </c>
      <c r="F887" s="23">
        <f>IF(B887=1997, 100, IF(COUNTIF(A$1:A886,A887)=0, "NEW", F886*(1+Table15[[#This Row],[Ávöxtun]])))</f>
        <v>100</v>
      </c>
      <c r="G887" s="18" cm="1">
        <f t="array" ref="G887">IFERROR(_xlfn.IFS(ISNUMBER(Table15[[#This Row],[Column3]]),Table15[[#This Row],[Column3]],Table15[[#This Row],[Column3]]="NEW",Table15[[#This Row],[Column3]]),"")</f>
        <v>100</v>
      </c>
      <c r="H887" s="15" cm="1">
        <f t="array" ref="H887">_xlfn.IFS(Table15[[#This Row],[Column4]]="NEW",AVERAGEIFS(Table15[Column4],Table15[Year],Table15[[#This Row],[Year]]),ISNUMBER(Table15[[#This Row],[Column4]]),Table15[[#This Row],[Column4]],Table15[[#This Row],[Column4]]="",H886*(1+Table15[[#This Row],[Ávöxtun]]))</f>
        <v>100</v>
      </c>
      <c r="I887" s="30" cm="1">
        <f t="array" ref="I887">_xlfn.IFS(Table15[[#This Row],[Column4]]="NEW",_xlfn.XLOOKUP(Table15[[#This Row],[Year]]-1,$N$2:$N$27,$P$2:$P$27)*(1+Table15[[#This Row],[Ávöxtun]]),ISNUMBER(Table15[[#This Row],[Column4]]),Table15[[#This Row],[Column4]],Table15[[#This Row],[Column4]]="",I886*(1+Table15[[#This Row],[Ávöxtun]]))</f>
        <v>100</v>
      </c>
      <c r="L887" s="33">
        <v>100</v>
      </c>
      <c r="M887" s="33">
        <v>100</v>
      </c>
    </row>
    <row r="888" spans="1:13">
      <c r="A888" t="s">
        <v>133</v>
      </c>
      <c r="B888">
        <v>1998</v>
      </c>
      <c r="C888" s="16">
        <v>0.06</v>
      </c>
      <c r="D888" s="1">
        <v>14660015.68</v>
      </c>
      <c r="E888" s="29">
        <f>Table15[[#This Row],[Ávöxtun]]*Table15[[#This Row],[Eignir]]/SUMIFS(Table15[Eignir],Table15[Year],Table15[[#This Row],[Year]])</f>
        <v>2.2459717366827771E-3</v>
      </c>
      <c r="F888" s="23">
        <f>IF(B888=1997, 100, IF(COUNTIF(A$1:A887,A888)=0, "NEW", F887*(1+Table15[[#This Row],[Ávöxtun]])))</f>
        <v>106</v>
      </c>
      <c r="G888" s="18" cm="1">
        <f t="array" ref="G888">IFERROR(_xlfn.IFS(ISNUMBER(Table15[[#This Row],[Column3]]),Table15[[#This Row],[Column3]],Table15[[#This Row],[Column3]]="NEW",Table15[[#This Row],[Column3]]),"")</f>
        <v>106</v>
      </c>
      <c r="H888" s="15" cm="1">
        <f t="array" ref="H888">_xlfn.IFS(Table15[[#This Row],[Column4]]="NEW",AVERAGEIFS(Table15[Column4],Table15[Year],Table15[[#This Row],[Year]]),ISNUMBER(Table15[[#This Row],[Column4]]),Table15[[#This Row],[Column4]],Table15[[#This Row],[Column4]]="",H887*(1+Table15[[#This Row],[Ávöxtun]]))</f>
        <v>106</v>
      </c>
      <c r="I888" s="30" cm="1">
        <f t="array" ref="I888">_xlfn.IFS(Table15[[#This Row],[Column4]]="NEW",_xlfn.XLOOKUP(Table15[[#This Row],[Year]]-1,$N$2:$N$27,$P$2:$P$27)*(1+Table15[[#This Row],[Ávöxtun]]),ISNUMBER(Table15[[#This Row],[Column4]]),Table15[[#This Row],[Column4]],Table15[[#This Row],[Column4]]="",I887*(1+Table15[[#This Row],[Ávöxtun]]))</f>
        <v>106</v>
      </c>
      <c r="L888" s="33">
        <v>106</v>
      </c>
      <c r="M888" s="33">
        <v>106</v>
      </c>
    </row>
    <row r="889" spans="1:13">
      <c r="A889" t="s">
        <v>133</v>
      </c>
      <c r="B889">
        <v>1999</v>
      </c>
      <c r="C889" s="16">
        <v>0.1</v>
      </c>
      <c r="D889" s="1">
        <v>17707325.149999999</v>
      </c>
      <c r="E889" s="29">
        <f>Table15[[#This Row],[Ávöxtun]]*Table15[[#This Row],[Eignir]]/SUMIFS(Table15[Eignir],Table15[Year],Table15[[#This Row],[Year]])</f>
        <v>3.4005680275892044E-3</v>
      </c>
      <c r="F889" s="23">
        <f>IF(B889=1997, 100, IF(COUNTIF(A$1:A888,A889)=0, "NEW", F888*(1+Table15[[#This Row],[Ávöxtun]])))</f>
        <v>116.60000000000001</v>
      </c>
      <c r="G889" s="18" cm="1">
        <f t="array" ref="G889">IFERROR(_xlfn.IFS(ISNUMBER(Table15[[#This Row],[Column3]]),Table15[[#This Row],[Column3]],Table15[[#This Row],[Column3]]="NEW",Table15[[#This Row],[Column3]]),"")</f>
        <v>116.60000000000001</v>
      </c>
      <c r="H889" s="15" cm="1">
        <f t="array" ref="H889">_xlfn.IFS(Table15[[#This Row],[Column4]]="NEW",AVERAGEIFS(Table15[Column4],Table15[Year],Table15[[#This Row],[Year]]),ISNUMBER(Table15[[#This Row],[Column4]]),Table15[[#This Row],[Column4]],Table15[[#This Row],[Column4]]="",H888*(1+Table15[[#This Row],[Ávöxtun]]))</f>
        <v>116.60000000000001</v>
      </c>
      <c r="I889" s="30" cm="1">
        <f t="array" ref="I889">_xlfn.IFS(Table15[[#This Row],[Column4]]="NEW",_xlfn.XLOOKUP(Table15[[#This Row],[Year]]-1,$N$2:$N$27,$P$2:$P$27)*(1+Table15[[#This Row],[Ávöxtun]]),ISNUMBER(Table15[[#This Row],[Column4]]),Table15[[#This Row],[Column4]],Table15[[#This Row],[Column4]]="",I888*(1+Table15[[#This Row],[Ávöxtun]]))</f>
        <v>116.60000000000001</v>
      </c>
      <c r="L889" s="33">
        <v>116.60000000000001</v>
      </c>
      <c r="M889" s="33">
        <v>116.60000000000001</v>
      </c>
    </row>
    <row r="890" spans="1:13">
      <c r="A890" t="s">
        <v>133</v>
      </c>
      <c r="B890">
        <v>2000</v>
      </c>
      <c r="C890" s="16">
        <v>0.02</v>
      </c>
      <c r="D890" s="1">
        <v>19243795.02</v>
      </c>
      <c r="E890" s="29">
        <f>Table15[[#This Row],[Ávöxtun]]*Table15[[#This Row],[Eignir]]/SUMIFS(Table15[Eignir],Table15[Year],Table15[[#This Row],[Year]])</f>
        <v>5.4140029673493202E-4</v>
      </c>
      <c r="F890" s="23">
        <f>IF(B890=1997, 100, IF(COUNTIF(A$1:A889,A890)=0, "NEW", F889*(1+Table15[[#This Row],[Ávöxtun]])))</f>
        <v>118.93200000000002</v>
      </c>
      <c r="G890" s="18" cm="1">
        <f t="array" ref="G890">IFERROR(_xlfn.IFS(ISNUMBER(Table15[[#This Row],[Column3]]),Table15[[#This Row],[Column3]],Table15[[#This Row],[Column3]]="NEW",Table15[[#This Row],[Column3]]),"")</f>
        <v>118.93200000000002</v>
      </c>
      <c r="H890" s="15" cm="1">
        <f t="array" ref="H890">_xlfn.IFS(Table15[[#This Row],[Column4]]="NEW",AVERAGEIFS(Table15[Column4],Table15[Year],Table15[[#This Row],[Year]]),ISNUMBER(Table15[[#This Row],[Column4]]),Table15[[#This Row],[Column4]],Table15[[#This Row],[Column4]]="",H889*(1+Table15[[#This Row],[Ávöxtun]]))</f>
        <v>118.93200000000002</v>
      </c>
      <c r="I890" s="30" cm="1">
        <f t="array" ref="I890">_xlfn.IFS(Table15[[#This Row],[Column4]]="NEW",_xlfn.XLOOKUP(Table15[[#This Row],[Year]]-1,$N$2:$N$27,$P$2:$P$27)*(1+Table15[[#This Row],[Ávöxtun]]),ISNUMBER(Table15[[#This Row],[Column4]]),Table15[[#This Row],[Column4]],Table15[[#This Row],[Column4]]="",I889*(1+Table15[[#This Row],[Ávöxtun]]))</f>
        <v>118.93200000000002</v>
      </c>
      <c r="L890" s="33">
        <v>118.93200000000002</v>
      </c>
      <c r="M890" s="33">
        <v>118.93200000000002</v>
      </c>
    </row>
    <row r="891" spans="1:13">
      <c r="A891" t="s">
        <v>133</v>
      </c>
      <c r="B891">
        <v>2001</v>
      </c>
      <c r="C891" s="16">
        <v>0.02</v>
      </c>
      <c r="D891" s="1">
        <v>44444546.789999999</v>
      </c>
      <c r="E891" s="29">
        <f>Table15[[#This Row],[Ávöxtun]]*Table15[[#This Row],[Eignir]]/SUMIFS(Table15[Eignir],Table15[Year],Table15[[#This Row],[Year]])</f>
        <v>7.6766462159820015E-4</v>
      </c>
      <c r="F891" s="23">
        <f>IF(B891=1997, 100, IF(COUNTIF(A$1:A890,A891)=0, "NEW", F890*(1+Table15[[#This Row],[Ávöxtun]])))</f>
        <v>121.31064000000002</v>
      </c>
      <c r="G891" s="18" cm="1">
        <f t="array" ref="G891">IFERROR(_xlfn.IFS(ISNUMBER(Table15[[#This Row],[Column3]]),Table15[[#This Row],[Column3]],Table15[[#This Row],[Column3]]="NEW",Table15[[#This Row],[Column3]]),"")</f>
        <v>121.31064000000002</v>
      </c>
      <c r="H891" s="15" cm="1">
        <f t="array" ref="H891">_xlfn.IFS(Table15[[#This Row],[Column4]]="NEW",AVERAGEIFS(Table15[Column4],Table15[Year],Table15[[#This Row],[Year]]),ISNUMBER(Table15[[#This Row],[Column4]]),Table15[[#This Row],[Column4]],Table15[[#This Row],[Column4]]="",H890*(1+Table15[[#This Row],[Ávöxtun]]))</f>
        <v>121.31064000000002</v>
      </c>
      <c r="I891" s="30" cm="1">
        <f t="array" ref="I891">_xlfn.IFS(Table15[[#This Row],[Column4]]="NEW",_xlfn.XLOOKUP(Table15[[#This Row],[Year]]-1,$N$2:$N$27,$P$2:$P$27)*(1+Table15[[#This Row],[Ávöxtun]]),ISNUMBER(Table15[[#This Row],[Column4]]),Table15[[#This Row],[Column4]],Table15[[#This Row],[Column4]]="",I890*(1+Table15[[#This Row],[Ávöxtun]]))</f>
        <v>121.31064000000002</v>
      </c>
      <c r="L891" s="33">
        <v>121.31064000000002</v>
      </c>
      <c r="M891" s="33">
        <v>121.31064000000002</v>
      </c>
    </row>
    <row r="892" spans="1:13">
      <c r="A892" t="s">
        <v>133</v>
      </c>
      <c r="B892">
        <v>2002</v>
      </c>
      <c r="C892" s="16">
        <v>0</v>
      </c>
      <c r="D892" s="1">
        <v>23870648.16</v>
      </c>
      <c r="E892" s="29">
        <f>Table15[[#This Row],[Ávöxtun]]*Table15[[#This Row],[Eignir]]/SUMIFS(Table15[Eignir],Table15[Year],Table15[[#This Row],[Year]])</f>
        <v>0</v>
      </c>
      <c r="F892" s="23">
        <f>IF(B892=1997, 100, IF(COUNTIF(A$1:A891,A892)=0, "NEW", F891*(1+Table15[[#This Row],[Ávöxtun]])))</f>
        <v>121.31064000000002</v>
      </c>
      <c r="G892" s="18" cm="1">
        <f t="array" ref="G892">IFERROR(_xlfn.IFS(ISNUMBER(Table15[[#This Row],[Column3]]),Table15[[#This Row],[Column3]],Table15[[#This Row],[Column3]]="NEW",Table15[[#This Row],[Column3]]),"")</f>
        <v>121.31064000000002</v>
      </c>
      <c r="H892" s="15" cm="1">
        <f t="array" ref="H892">_xlfn.IFS(Table15[[#This Row],[Column4]]="NEW",AVERAGEIFS(Table15[Column4],Table15[Year],Table15[[#This Row],[Year]]),ISNUMBER(Table15[[#This Row],[Column4]]),Table15[[#This Row],[Column4]],Table15[[#This Row],[Column4]]="",H891*(1+Table15[[#This Row],[Ávöxtun]]))</f>
        <v>121.31064000000002</v>
      </c>
      <c r="I892" s="30" cm="1">
        <f t="array" ref="I892">_xlfn.IFS(Table15[[#This Row],[Column4]]="NEW",_xlfn.XLOOKUP(Table15[[#This Row],[Year]]-1,$N$2:$N$27,$P$2:$P$27)*(1+Table15[[#This Row],[Ávöxtun]]),ISNUMBER(Table15[[#This Row],[Column4]]),Table15[[#This Row],[Column4]],Table15[[#This Row],[Column4]]="",I891*(1+Table15[[#This Row],[Ávöxtun]]))</f>
        <v>121.31064000000002</v>
      </c>
      <c r="L892" s="33">
        <v>121.31064000000002</v>
      </c>
      <c r="M892" s="33">
        <v>121.31064000000002</v>
      </c>
    </row>
    <row r="893" spans="1:13">
      <c r="A893" t="s">
        <v>133</v>
      </c>
      <c r="B893">
        <v>2003</v>
      </c>
      <c r="C893" s="16">
        <v>0.1</v>
      </c>
      <c r="D893" s="1">
        <v>28202335</v>
      </c>
      <c r="E893" s="29">
        <f>Table15[[#This Row],[Ávöxtun]]*Table15[[#This Row],[Eignir]]/SUMIFS(Table15[Eignir],Table15[Year],Table15[[#This Row],[Year]])</f>
        <v>3.7113639120528235E-3</v>
      </c>
      <c r="F893" s="23">
        <f>IF(B893=1997, 100, IF(COUNTIF(A$1:A892,A893)=0, "NEW", F892*(1+Table15[[#This Row],[Ávöxtun]])))</f>
        <v>133.44170400000004</v>
      </c>
      <c r="G893" s="18" cm="1">
        <f t="array" ref="G893">IFERROR(_xlfn.IFS(ISNUMBER(Table15[[#This Row],[Column3]]),Table15[[#This Row],[Column3]],Table15[[#This Row],[Column3]]="NEW",Table15[[#This Row],[Column3]]),"")</f>
        <v>133.44170400000004</v>
      </c>
      <c r="H893" s="15" cm="1">
        <f t="array" ref="H893">_xlfn.IFS(Table15[[#This Row],[Column4]]="NEW",AVERAGEIFS(Table15[Column4],Table15[Year],Table15[[#This Row],[Year]]),ISNUMBER(Table15[[#This Row],[Column4]]),Table15[[#This Row],[Column4]],Table15[[#This Row],[Column4]]="",H892*(1+Table15[[#This Row],[Ávöxtun]]))</f>
        <v>133.44170400000004</v>
      </c>
      <c r="I893" s="30" cm="1">
        <f t="array" ref="I893">_xlfn.IFS(Table15[[#This Row],[Column4]]="NEW",_xlfn.XLOOKUP(Table15[[#This Row],[Year]]-1,$N$2:$N$27,$P$2:$P$27)*(1+Table15[[#This Row],[Ávöxtun]]),ISNUMBER(Table15[[#This Row],[Column4]]),Table15[[#This Row],[Column4]],Table15[[#This Row],[Column4]]="",I892*(1+Table15[[#This Row],[Ávöxtun]]))</f>
        <v>133.44170400000004</v>
      </c>
      <c r="L893" s="33">
        <v>133.44170400000004</v>
      </c>
      <c r="M893" s="33">
        <v>133.44170400000004</v>
      </c>
    </row>
    <row r="894" spans="1:13">
      <c r="A894" t="s">
        <v>133</v>
      </c>
      <c r="B894">
        <v>2004</v>
      </c>
      <c r="C894" s="16">
        <v>0.1</v>
      </c>
      <c r="D894" s="1">
        <v>33619873</v>
      </c>
      <c r="E894" s="29">
        <f>Table15[[#This Row],[Ávöxtun]]*Table15[[#This Row],[Eignir]]/SUMIFS(Table15[Eignir],Table15[Year],Table15[[#This Row],[Year]])</f>
        <v>3.7039736088577773E-3</v>
      </c>
      <c r="F894" s="23">
        <f>IF(B894=1997, 100, IF(COUNTIF(A$1:A893,A894)=0, "NEW", F893*(1+Table15[[#This Row],[Ávöxtun]])))</f>
        <v>146.78587440000007</v>
      </c>
      <c r="G894" s="18" cm="1">
        <f t="array" ref="G894">IFERROR(_xlfn.IFS(ISNUMBER(Table15[[#This Row],[Column3]]),Table15[[#This Row],[Column3]],Table15[[#This Row],[Column3]]="NEW",Table15[[#This Row],[Column3]]),"")</f>
        <v>146.78587440000007</v>
      </c>
      <c r="H894" s="15" cm="1">
        <f t="array" ref="H894">_xlfn.IFS(Table15[[#This Row],[Column4]]="NEW",AVERAGEIFS(Table15[Column4],Table15[Year],Table15[[#This Row],[Year]]),ISNUMBER(Table15[[#This Row],[Column4]]),Table15[[#This Row],[Column4]],Table15[[#This Row],[Column4]]="",H893*(1+Table15[[#This Row],[Ávöxtun]]))</f>
        <v>146.78587440000007</v>
      </c>
      <c r="I894" s="30" cm="1">
        <f t="array" ref="I894">_xlfn.IFS(Table15[[#This Row],[Column4]]="NEW",_xlfn.XLOOKUP(Table15[[#This Row],[Year]]-1,$N$2:$N$27,$P$2:$P$27)*(1+Table15[[#This Row],[Ávöxtun]]),ISNUMBER(Table15[[#This Row],[Column4]]),Table15[[#This Row],[Column4]],Table15[[#This Row],[Column4]]="",I893*(1+Table15[[#This Row],[Ávöxtun]]))</f>
        <v>146.78587440000007</v>
      </c>
      <c r="L894" s="33">
        <v>146.78587440000007</v>
      </c>
      <c r="M894" s="33">
        <v>146.78587440000007</v>
      </c>
    </row>
    <row r="895" spans="1:13">
      <c r="A895" t="s">
        <v>133</v>
      </c>
      <c r="B895">
        <v>2005</v>
      </c>
      <c r="C895" s="16">
        <v>0.13</v>
      </c>
      <c r="D895" s="1">
        <v>41382819</v>
      </c>
      <c r="E895" s="29">
        <f>Table15[[#This Row],[Ávöxtun]]*Table15[[#This Row],[Eignir]]/SUMIFS(Table15[Eignir],Table15[Year],Table15[[#This Row],[Year]])</f>
        <v>4.7976325716125165E-3</v>
      </c>
      <c r="F895" s="23">
        <f>IF(B895=1997, 100, IF(COUNTIF(A$1:A894,A895)=0, "NEW", F894*(1+Table15[[#This Row],[Ávöxtun]])))</f>
        <v>165.86803807200008</v>
      </c>
      <c r="G895" s="18" cm="1">
        <f t="array" ref="G895">IFERROR(_xlfn.IFS(ISNUMBER(Table15[[#This Row],[Column3]]),Table15[[#This Row],[Column3]],Table15[[#This Row],[Column3]]="NEW",Table15[[#This Row],[Column3]]),"")</f>
        <v>165.86803807200008</v>
      </c>
      <c r="H895" s="15" cm="1">
        <f t="array" ref="H895">_xlfn.IFS(Table15[[#This Row],[Column4]]="NEW",AVERAGEIFS(Table15[Column4],Table15[Year],Table15[[#This Row],[Year]]),ISNUMBER(Table15[[#This Row],[Column4]]),Table15[[#This Row],[Column4]],Table15[[#This Row],[Column4]]="",H894*(1+Table15[[#This Row],[Ávöxtun]]))</f>
        <v>165.86803807200008</v>
      </c>
      <c r="I895" s="30" cm="1">
        <f t="array" ref="I895">_xlfn.IFS(Table15[[#This Row],[Column4]]="NEW",_xlfn.XLOOKUP(Table15[[#This Row],[Year]]-1,$N$2:$N$27,$P$2:$P$27)*(1+Table15[[#This Row],[Ávöxtun]]),ISNUMBER(Table15[[#This Row],[Column4]]),Table15[[#This Row],[Column4]],Table15[[#This Row],[Column4]]="",I894*(1+Table15[[#This Row],[Ávöxtun]]))</f>
        <v>165.86803807200008</v>
      </c>
      <c r="L895" s="33">
        <v>165.86803807200008</v>
      </c>
      <c r="M895" s="33">
        <v>165.86803807200008</v>
      </c>
    </row>
    <row r="896" spans="1:13">
      <c r="A896" t="s">
        <v>133</v>
      </c>
      <c r="B896">
        <v>2006</v>
      </c>
      <c r="C896" s="16">
        <v>0.105</v>
      </c>
      <c r="D896" s="1">
        <v>50614033</v>
      </c>
      <c r="E896" s="29">
        <f>Table15[[#This Row],[Ávöxtun]]*Table15[[#This Row],[Eignir]]/SUMIFS(Table15[Eignir],Table15[Year],Table15[[#This Row],[Year]])</f>
        <v>3.8716163601475438E-3</v>
      </c>
      <c r="F896" s="23">
        <f>IF(B896=1997, 100, IF(COUNTIF(A$1:A895,A896)=0, "NEW", F895*(1+Table15[[#This Row],[Ávöxtun]])))</f>
        <v>183.28418206956007</v>
      </c>
      <c r="G896" s="18" cm="1">
        <f t="array" ref="G896">IFERROR(_xlfn.IFS(ISNUMBER(Table15[[#This Row],[Column3]]),Table15[[#This Row],[Column3]],Table15[[#This Row],[Column3]]="NEW",Table15[[#This Row],[Column3]]),"")</f>
        <v>183.28418206956007</v>
      </c>
      <c r="H896" s="15" cm="1">
        <f t="array" ref="H896">_xlfn.IFS(Table15[[#This Row],[Column4]]="NEW",AVERAGEIFS(Table15[Column4],Table15[Year],Table15[[#This Row],[Year]]),ISNUMBER(Table15[[#This Row],[Column4]]),Table15[[#This Row],[Column4]],Table15[[#This Row],[Column4]]="",H895*(1+Table15[[#This Row],[Ávöxtun]]))</f>
        <v>183.28418206956007</v>
      </c>
      <c r="I896" s="30" cm="1">
        <f t="array" ref="I896">_xlfn.IFS(Table15[[#This Row],[Column4]]="NEW",_xlfn.XLOOKUP(Table15[[#This Row],[Year]]-1,$N$2:$N$27,$P$2:$P$27)*(1+Table15[[#This Row],[Ávöxtun]]),ISNUMBER(Table15[[#This Row],[Column4]]),Table15[[#This Row],[Column4]],Table15[[#This Row],[Column4]]="",I895*(1+Table15[[#This Row],[Ávöxtun]]))</f>
        <v>183.28418206956007</v>
      </c>
      <c r="L896" s="33">
        <v>183.28418206956007</v>
      </c>
      <c r="M896" s="33">
        <v>183.28418206956007</v>
      </c>
    </row>
    <row r="897" spans="1:13">
      <c r="A897" t="s">
        <v>133</v>
      </c>
      <c r="B897">
        <v>2007</v>
      </c>
      <c r="C897" s="16">
        <v>2.0999999999999999E-3</v>
      </c>
      <c r="D897" s="1">
        <v>55643381</v>
      </c>
      <c r="E897" s="29">
        <f>Table15[[#This Row],[Ávöxtun]]*Table15[[#This Row],[Eignir]]/SUMIFS(Table15[Eignir],Table15[Year],Table15[[#This Row],[Year]])</f>
        <v>7.5562917337023121E-5</v>
      </c>
      <c r="F897" s="23">
        <f>IF(B897=1997, 100, IF(COUNTIF(A$1:A896,A897)=0, "NEW", F896*(1+Table15[[#This Row],[Ávöxtun]])))</f>
        <v>183.66907885190614</v>
      </c>
      <c r="G897" s="18" cm="1">
        <f t="array" ref="G897">IFERROR(_xlfn.IFS(ISNUMBER(Table15[[#This Row],[Column3]]),Table15[[#This Row],[Column3]],Table15[[#This Row],[Column3]]="NEW",Table15[[#This Row],[Column3]]),"")</f>
        <v>183.66907885190614</v>
      </c>
      <c r="H897" s="15" cm="1">
        <f t="array" ref="H897">_xlfn.IFS(Table15[[#This Row],[Column4]]="NEW",AVERAGEIFS(Table15[Column4],Table15[Year],Table15[[#This Row],[Year]]),ISNUMBER(Table15[[#This Row],[Column4]]),Table15[[#This Row],[Column4]],Table15[[#This Row],[Column4]]="",H896*(1+Table15[[#This Row],[Ávöxtun]]))</f>
        <v>183.66907885190614</v>
      </c>
      <c r="I897" s="30" cm="1">
        <f t="array" ref="I897">_xlfn.IFS(Table15[[#This Row],[Column4]]="NEW",_xlfn.XLOOKUP(Table15[[#This Row],[Year]]-1,$N$2:$N$27,$P$2:$P$27)*(1+Table15[[#This Row],[Ávöxtun]]),ISNUMBER(Table15[[#This Row],[Column4]]),Table15[[#This Row],[Column4]],Table15[[#This Row],[Column4]]="",I896*(1+Table15[[#This Row],[Ávöxtun]]))</f>
        <v>183.66907885190614</v>
      </c>
      <c r="L897" s="33">
        <v>183.66907885190614</v>
      </c>
      <c r="M897" s="33">
        <v>183.66907885190614</v>
      </c>
    </row>
    <row r="898" spans="1:13">
      <c r="A898" t="s">
        <v>133</v>
      </c>
      <c r="B898">
        <v>2008</v>
      </c>
      <c r="C898" s="16">
        <v>-0.1384</v>
      </c>
      <c r="D898" s="1">
        <v>57926567</v>
      </c>
      <c r="E898" s="29">
        <f>Table15[[#This Row],[Ávöxtun]]*Table15[[#This Row],[Eignir]]/SUMIFS(Table15[Eignir],Table15[Year],Table15[[#This Row],[Year]])</f>
        <v>-5.3542650242085999E-3</v>
      </c>
      <c r="F898" s="23">
        <f>IF(B898=1997, 100, IF(COUNTIF(A$1:A897,A898)=0, "NEW", F897*(1+Table15[[#This Row],[Ávöxtun]])))</f>
        <v>158.24927833880233</v>
      </c>
      <c r="G898" s="18" cm="1">
        <f t="array" ref="G898">IFERROR(_xlfn.IFS(ISNUMBER(Table15[[#This Row],[Column3]]),Table15[[#This Row],[Column3]],Table15[[#This Row],[Column3]]="NEW",Table15[[#This Row],[Column3]]),"")</f>
        <v>158.24927833880233</v>
      </c>
      <c r="H898" s="15" cm="1">
        <f t="array" ref="H898">_xlfn.IFS(Table15[[#This Row],[Column4]]="NEW",AVERAGEIFS(Table15[Column4],Table15[Year],Table15[[#This Row],[Year]]),ISNUMBER(Table15[[#This Row],[Column4]]),Table15[[#This Row],[Column4]],Table15[[#This Row],[Column4]]="",H897*(1+Table15[[#This Row],[Ávöxtun]]))</f>
        <v>158.24927833880233</v>
      </c>
      <c r="I898" s="30" cm="1">
        <f t="array" ref="I898">_xlfn.IFS(Table15[[#This Row],[Column4]]="NEW",_xlfn.XLOOKUP(Table15[[#This Row],[Year]]-1,$N$2:$N$27,$P$2:$P$27)*(1+Table15[[#This Row],[Ávöxtun]]),ISNUMBER(Table15[[#This Row],[Column4]]),Table15[[#This Row],[Column4]],Table15[[#This Row],[Column4]]="",I897*(1+Table15[[#This Row],[Ávöxtun]]))</f>
        <v>158.24927833880233</v>
      </c>
      <c r="L898" s="33">
        <v>158.24927833880233</v>
      </c>
      <c r="M898" s="33">
        <v>158.24927833880233</v>
      </c>
    </row>
    <row r="899" spans="1:13">
      <c r="A899" t="s">
        <v>133</v>
      </c>
      <c r="B899">
        <v>2009</v>
      </c>
      <c r="C899" s="16">
        <v>3.7999999999999999E-2</v>
      </c>
      <c r="D899" s="1">
        <v>67367934</v>
      </c>
      <c r="E899" s="29">
        <f>Table15[[#This Row],[Ávöxtun]]*Table15[[#This Row],[Eignir]]/SUMIFS(Table15[Eignir],Table15[Year],Table15[[#This Row],[Year]])</f>
        <v>1.5345234035593685E-3</v>
      </c>
      <c r="F899" s="23">
        <f>IF(B899=1997, 100, IF(COUNTIF(A$1:A898,A899)=0, "NEW", F898*(1+Table15[[#This Row],[Ávöxtun]])))</f>
        <v>164.26275091567683</v>
      </c>
      <c r="G899" s="18" cm="1">
        <f t="array" ref="G899">IFERROR(_xlfn.IFS(ISNUMBER(Table15[[#This Row],[Column3]]),Table15[[#This Row],[Column3]],Table15[[#This Row],[Column3]]="NEW",Table15[[#This Row],[Column3]]),"")</f>
        <v>164.26275091567683</v>
      </c>
      <c r="H899" s="15" cm="1">
        <f t="array" ref="H899">_xlfn.IFS(Table15[[#This Row],[Column4]]="NEW",AVERAGEIFS(Table15[Column4],Table15[Year],Table15[[#This Row],[Year]]),ISNUMBER(Table15[[#This Row],[Column4]]),Table15[[#This Row],[Column4]],Table15[[#This Row],[Column4]]="",H898*(1+Table15[[#This Row],[Ávöxtun]]))</f>
        <v>164.26275091567683</v>
      </c>
      <c r="I899" s="30" cm="1">
        <f t="array" ref="I899">_xlfn.IFS(Table15[[#This Row],[Column4]]="NEW",_xlfn.XLOOKUP(Table15[[#This Row],[Year]]-1,$N$2:$N$27,$P$2:$P$27)*(1+Table15[[#This Row],[Ávöxtun]]),ISNUMBER(Table15[[#This Row],[Column4]]),Table15[[#This Row],[Column4]],Table15[[#This Row],[Column4]]="",I898*(1+Table15[[#This Row],[Ávöxtun]]))</f>
        <v>164.26275091567683</v>
      </c>
      <c r="L899" s="33">
        <v>164.26275091567683</v>
      </c>
      <c r="M899" s="33">
        <v>164.26275091567683</v>
      </c>
    </row>
    <row r="900" spans="1:13">
      <c r="A900" t="s">
        <v>133</v>
      </c>
      <c r="B900">
        <v>2010</v>
      </c>
      <c r="C900" s="16">
        <v>3.6600000000000001E-2</v>
      </c>
      <c r="D900" s="1">
        <v>79051184</v>
      </c>
      <c r="E900" s="29">
        <f>Table15[[#This Row],[Ávöxtun]]*Table15[[#This Row],[Eignir]]/SUMIFS(Table15[Eignir],Table15[Year],Table15[[#This Row],[Year]])</f>
        <v>1.6183550099058554E-3</v>
      </c>
      <c r="F900" s="23">
        <f>IF(B900=1997, 100, IF(COUNTIF(A$1:A899,A900)=0, "NEW", F899*(1+Table15[[#This Row],[Ávöxtun]])))</f>
        <v>170.2747675991906</v>
      </c>
      <c r="G900" s="18" cm="1">
        <f t="array" ref="G900">IFERROR(_xlfn.IFS(ISNUMBER(Table15[[#This Row],[Column3]]),Table15[[#This Row],[Column3]],Table15[[#This Row],[Column3]]="NEW",Table15[[#This Row],[Column3]]),"")</f>
        <v>170.2747675991906</v>
      </c>
      <c r="H900" s="15" cm="1">
        <f t="array" ref="H900">_xlfn.IFS(Table15[[#This Row],[Column4]]="NEW",AVERAGEIFS(Table15[Column4],Table15[Year],Table15[[#This Row],[Year]]),ISNUMBER(Table15[[#This Row],[Column4]]),Table15[[#This Row],[Column4]],Table15[[#This Row],[Column4]]="",H899*(1+Table15[[#This Row],[Ávöxtun]]))</f>
        <v>170.2747675991906</v>
      </c>
      <c r="I900" s="30" cm="1">
        <f t="array" ref="I900">_xlfn.IFS(Table15[[#This Row],[Column4]]="NEW",_xlfn.XLOOKUP(Table15[[#This Row],[Year]]-1,$N$2:$N$27,$P$2:$P$27)*(1+Table15[[#This Row],[Ávöxtun]]),ISNUMBER(Table15[[#This Row],[Column4]]),Table15[[#This Row],[Column4]],Table15[[#This Row],[Column4]]="",I899*(1+Table15[[#This Row],[Ávöxtun]]))</f>
        <v>170.2747675991906</v>
      </c>
      <c r="L900" s="33">
        <v>170.2747675991906</v>
      </c>
      <c r="M900" s="33">
        <v>170.2747675991906</v>
      </c>
    </row>
    <row r="901" spans="1:13">
      <c r="A901" t="s">
        <v>133</v>
      </c>
      <c r="B901">
        <v>2011</v>
      </c>
      <c r="C901" s="16">
        <v>0.03</v>
      </c>
      <c r="D901" s="1">
        <v>86463951</v>
      </c>
      <c r="E901" s="29">
        <f>Table15[[#This Row],[Ávöxtun]]*Table15[[#This Row],[Eignir]]/SUMIFS(Table15[Eignir],Table15[Year],Table15[[#This Row],[Year]])</f>
        <v>1.3298335223046473E-3</v>
      </c>
      <c r="F901" s="23">
        <f>IF(B901=1997, 100, IF(COUNTIF(A$1:A900,A901)=0, "NEW", F900*(1+Table15[[#This Row],[Ávöxtun]])))</f>
        <v>175.38301062716633</v>
      </c>
      <c r="G901" s="18" cm="1">
        <f t="array" ref="G901">IFERROR(_xlfn.IFS(ISNUMBER(Table15[[#This Row],[Column3]]),Table15[[#This Row],[Column3]],Table15[[#This Row],[Column3]]="NEW",Table15[[#This Row],[Column3]]),"")</f>
        <v>175.38301062716633</v>
      </c>
      <c r="H901" s="15" cm="1">
        <f t="array" ref="H901">_xlfn.IFS(Table15[[#This Row],[Column4]]="NEW",AVERAGEIFS(Table15[Column4],Table15[Year],Table15[[#This Row],[Year]]),ISNUMBER(Table15[[#This Row],[Column4]]),Table15[[#This Row],[Column4]],Table15[[#This Row],[Column4]]="",H900*(1+Table15[[#This Row],[Ávöxtun]]))</f>
        <v>175.38301062716633</v>
      </c>
      <c r="I901" s="30" cm="1">
        <f t="array" ref="I901">_xlfn.IFS(Table15[[#This Row],[Column4]]="NEW",_xlfn.XLOOKUP(Table15[[#This Row],[Year]]-1,$N$2:$N$27,$P$2:$P$27)*(1+Table15[[#This Row],[Ávöxtun]]),ISNUMBER(Table15[[#This Row],[Column4]]),Table15[[#This Row],[Column4]],Table15[[#This Row],[Column4]]="",I900*(1+Table15[[#This Row],[Ávöxtun]]))</f>
        <v>175.38301062716633</v>
      </c>
      <c r="L901" s="33">
        <v>175.38301062716633</v>
      </c>
      <c r="M901" s="33">
        <v>175.38301062716633</v>
      </c>
    </row>
    <row r="902" spans="1:13">
      <c r="A902" t="s">
        <v>133</v>
      </c>
      <c r="B902">
        <v>2012</v>
      </c>
      <c r="C902" s="16">
        <v>7.2999999999999995E-2</v>
      </c>
      <c r="D902" s="1">
        <v>106641295</v>
      </c>
      <c r="E902" s="29">
        <f>Table15[[#This Row],[Ávöxtun]]*Table15[[#This Row],[Eignir]]/SUMIFS(Table15[Eignir],Table15[Year],Table15[[#This Row],[Year]])</f>
        <v>3.5339851806642929E-3</v>
      </c>
      <c r="F902" s="23">
        <f>IF(B902=1997, 100, IF(COUNTIF(A$1:A901,A902)=0, "NEW", F901*(1+Table15[[#This Row],[Ávöxtun]])))</f>
        <v>188.18597040294947</v>
      </c>
      <c r="G902" s="18" cm="1">
        <f t="array" ref="G902">IFERROR(_xlfn.IFS(ISNUMBER(Table15[[#This Row],[Column3]]),Table15[[#This Row],[Column3]],Table15[[#This Row],[Column3]]="NEW",Table15[[#This Row],[Column3]]),"")</f>
        <v>188.18597040294947</v>
      </c>
      <c r="H902" s="15" cm="1">
        <f t="array" ref="H902">_xlfn.IFS(Table15[[#This Row],[Column4]]="NEW",AVERAGEIFS(Table15[Column4],Table15[Year],Table15[[#This Row],[Year]]),ISNUMBER(Table15[[#This Row],[Column4]]),Table15[[#This Row],[Column4]],Table15[[#This Row],[Column4]]="",H901*(1+Table15[[#This Row],[Ávöxtun]]))</f>
        <v>188.18597040294947</v>
      </c>
      <c r="I902" s="30" cm="1">
        <f t="array" ref="I902">_xlfn.IFS(Table15[[#This Row],[Column4]]="NEW",_xlfn.XLOOKUP(Table15[[#This Row],[Year]]-1,$N$2:$N$27,$P$2:$P$27)*(1+Table15[[#This Row],[Ávöxtun]]),ISNUMBER(Table15[[#This Row],[Column4]]),Table15[[#This Row],[Column4]],Table15[[#This Row],[Column4]]="",I901*(1+Table15[[#This Row],[Ávöxtun]]))</f>
        <v>188.18597040294947</v>
      </c>
      <c r="L902" s="33">
        <v>188.18597040294947</v>
      </c>
      <c r="M902" s="33">
        <v>188.18597040294947</v>
      </c>
    </row>
    <row r="903" spans="1:13">
      <c r="A903" t="s">
        <v>133</v>
      </c>
      <c r="B903">
        <v>2013</v>
      </c>
      <c r="C903" s="16">
        <v>6.2000000000000006E-2</v>
      </c>
      <c r="D903" s="1">
        <v>117739653</v>
      </c>
      <c r="E903" s="29">
        <f>Table15[[#This Row],[Ávöxtun]]*Table15[[#This Row],[Eignir]]/SUMIFS(Table15[Eignir],Table15[Year],Table15[[#This Row],[Year]])</f>
        <v>2.9996383475500077E-3</v>
      </c>
      <c r="F903" s="23">
        <f>IF(B903=1997, 100, IF(COUNTIF(A$1:A902,A903)=0, "NEW", F902*(1+Table15[[#This Row],[Ávöxtun]])))</f>
        <v>199.85350056793234</v>
      </c>
      <c r="G903" s="18" cm="1">
        <f t="array" ref="G903">IFERROR(_xlfn.IFS(ISNUMBER(Table15[[#This Row],[Column3]]),Table15[[#This Row],[Column3]],Table15[[#This Row],[Column3]]="NEW",Table15[[#This Row],[Column3]]),"")</f>
        <v>199.85350056793234</v>
      </c>
      <c r="H903" s="15" cm="1">
        <f t="array" ref="H903">_xlfn.IFS(Table15[[#This Row],[Column4]]="NEW",AVERAGEIFS(Table15[Column4],Table15[Year],Table15[[#This Row],[Year]]),ISNUMBER(Table15[[#This Row],[Column4]]),Table15[[#This Row],[Column4]],Table15[[#This Row],[Column4]]="",H902*(1+Table15[[#This Row],[Ávöxtun]]))</f>
        <v>199.85350056793234</v>
      </c>
      <c r="I903" s="30" cm="1">
        <f t="array" ref="I903">_xlfn.IFS(Table15[[#This Row],[Column4]]="NEW",_xlfn.XLOOKUP(Table15[[#This Row],[Year]]-1,$N$2:$N$27,$P$2:$P$27)*(1+Table15[[#This Row],[Ávöxtun]]),ISNUMBER(Table15[[#This Row],[Column4]]),Table15[[#This Row],[Column4]],Table15[[#This Row],[Column4]]="",I902*(1+Table15[[#This Row],[Ávöxtun]]))</f>
        <v>199.85350056793234</v>
      </c>
      <c r="L903" s="33">
        <v>199.85350056793234</v>
      </c>
      <c r="M903" s="33">
        <v>199.85350056793234</v>
      </c>
    </row>
    <row r="904" spans="1:13">
      <c r="A904" t="s">
        <v>133</v>
      </c>
      <c r="B904">
        <v>2014</v>
      </c>
      <c r="C904" s="16">
        <v>6.7000000000000004E-2</v>
      </c>
      <c r="D904" s="1">
        <v>126928532</v>
      </c>
      <c r="E904" s="29">
        <f>Table15[[#This Row],[Ávöxtun]]*Table15[[#This Row],[Eignir]]/SUMIFS(Table15[Eignir],Table15[Year],Table15[[#This Row],[Year]])</f>
        <v>3.2054852789664039E-3</v>
      </c>
      <c r="F904" s="23">
        <f>IF(B904=1997, 100, IF(COUNTIF(A$1:A903,A904)=0, "NEW", F903*(1+Table15[[#This Row],[Ávöxtun]])))</f>
        <v>213.24368510598379</v>
      </c>
      <c r="G904" s="18" cm="1">
        <f t="array" ref="G904">IFERROR(_xlfn.IFS(ISNUMBER(Table15[[#This Row],[Column3]]),Table15[[#This Row],[Column3]],Table15[[#This Row],[Column3]]="NEW",Table15[[#This Row],[Column3]]),"")</f>
        <v>213.24368510598379</v>
      </c>
      <c r="H904" s="15" cm="1">
        <f t="array" ref="H904">_xlfn.IFS(Table15[[#This Row],[Column4]]="NEW",AVERAGEIFS(Table15[Column4],Table15[Year],Table15[[#This Row],[Year]]),ISNUMBER(Table15[[#This Row],[Column4]]),Table15[[#This Row],[Column4]],Table15[[#This Row],[Column4]]="",H903*(1+Table15[[#This Row],[Ávöxtun]]))</f>
        <v>213.24368510598379</v>
      </c>
      <c r="I904" s="30" cm="1">
        <f t="array" ref="I904">_xlfn.IFS(Table15[[#This Row],[Column4]]="NEW",_xlfn.XLOOKUP(Table15[[#This Row],[Year]]-1,$N$2:$N$27,$P$2:$P$27)*(1+Table15[[#This Row],[Ávöxtun]]),ISNUMBER(Table15[[#This Row],[Column4]]),Table15[[#This Row],[Column4]],Table15[[#This Row],[Column4]]="",I903*(1+Table15[[#This Row],[Ávöxtun]]))</f>
        <v>213.24368510598379</v>
      </c>
      <c r="L904" s="33">
        <v>213.24368510598379</v>
      </c>
      <c r="M904" s="33">
        <v>213.24368510598379</v>
      </c>
    </row>
    <row r="905" spans="1:13">
      <c r="A905" t="s">
        <v>133</v>
      </c>
      <c r="B905">
        <v>2015</v>
      </c>
      <c r="C905" s="16">
        <v>6.3E-2</v>
      </c>
      <c r="D905" s="1">
        <v>137550117</v>
      </c>
      <c r="E905" s="29">
        <f>Table15[[#This Row],[Ávöxtun]]*Table15[[#This Row],[Eignir]]/SUMIFS(Table15[Eignir],Table15[Year],Table15[[#This Row],[Year]])</f>
        <v>2.9262244464923993E-3</v>
      </c>
      <c r="F905" s="23">
        <f>IF(B905=1997, 100, IF(COUNTIF(A$1:A904,A905)=0, "NEW", F904*(1+Table15[[#This Row],[Ávöxtun]])))</f>
        <v>226.67803726766076</v>
      </c>
      <c r="G905" s="18" cm="1">
        <f t="array" ref="G905">IFERROR(_xlfn.IFS(ISNUMBER(Table15[[#This Row],[Column3]]),Table15[[#This Row],[Column3]],Table15[[#This Row],[Column3]]="NEW",Table15[[#This Row],[Column3]]),"")</f>
        <v>226.67803726766076</v>
      </c>
      <c r="H905" s="15" cm="1">
        <f t="array" ref="H905">_xlfn.IFS(Table15[[#This Row],[Column4]]="NEW",AVERAGEIFS(Table15[Column4],Table15[Year],Table15[[#This Row],[Year]]),ISNUMBER(Table15[[#This Row],[Column4]]),Table15[[#This Row],[Column4]],Table15[[#This Row],[Column4]]="",H904*(1+Table15[[#This Row],[Ávöxtun]]))</f>
        <v>226.67803726766076</v>
      </c>
      <c r="I905" s="30" cm="1">
        <f t="array" ref="I905">_xlfn.IFS(Table15[[#This Row],[Column4]]="NEW",_xlfn.XLOOKUP(Table15[[#This Row],[Year]]-1,$N$2:$N$27,$P$2:$P$27)*(1+Table15[[#This Row],[Ávöxtun]]),ISNUMBER(Table15[[#This Row],[Column4]]),Table15[[#This Row],[Column4]],Table15[[#This Row],[Column4]]="",I904*(1+Table15[[#This Row],[Ávöxtun]]))</f>
        <v>226.67803726766076</v>
      </c>
      <c r="L905" s="33">
        <v>226.67803726766076</v>
      </c>
      <c r="M905" s="33">
        <v>226.67803726766076</v>
      </c>
    </row>
    <row r="906" spans="1:13">
      <c r="A906" t="s">
        <v>133</v>
      </c>
      <c r="B906">
        <v>2016</v>
      </c>
      <c r="C906" s="16">
        <v>-2E-3</v>
      </c>
      <c r="D906" s="1">
        <v>140617353.77000001</v>
      </c>
      <c r="E906" s="29">
        <f>Table15[[#This Row],[Ávöxtun]]*Table15[[#This Row],[Eignir]]/SUMIFS(Table15[Eignir],Table15[Year],Table15[[#This Row],[Year]])</f>
        <v>-8.7884564700136262E-5</v>
      </c>
      <c r="F906" s="23">
        <f>IF(B906=1997, 100, IF(COUNTIF(A$1:A905,A906)=0, "NEW", F905*(1+Table15[[#This Row],[Ávöxtun]])))</f>
        <v>226.22468119312543</v>
      </c>
      <c r="G906" s="18" cm="1">
        <f t="array" ref="G906">IFERROR(_xlfn.IFS(ISNUMBER(Table15[[#This Row],[Column3]]),Table15[[#This Row],[Column3]],Table15[[#This Row],[Column3]]="NEW",Table15[[#This Row],[Column3]]),"")</f>
        <v>226.22468119312543</v>
      </c>
      <c r="H906" s="15" cm="1">
        <f t="array" ref="H906">_xlfn.IFS(Table15[[#This Row],[Column4]]="NEW",AVERAGEIFS(Table15[Column4],Table15[Year],Table15[[#This Row],[Year]]),ISNUMBER(Table15[[#This Row],[Column4]]),Table15[[#This Row],[Column4]],Table15[[#This Row],[Column4]]="",H905*(1+Table15[[#This Row],[Ávöxtun]]))</f>
        <v>226.22468119312543</v>
      </c>
      <c r="I906" s="30" cm="1">
        <f t="array" ref="I906">_xlfn.IFS(Table15[[#This Row],[Column4]]="NEW",_xlfn.XLOOKUP(Table15[[#This Row],[Year]]-1,$N$2:$N$27,$P$2:$P$27)*(1+Table15[[#This Row],[Ávöxtun]]),ISNUMBER(Table15[[#This Row],[Column4]]),Table15[[#This Row],[Column4]],Table15[[#This Row],[Column4]]="",I905*(1+Table15[[#This Row],[Ávöxtun]]))</f>
        <v>226.22468119312543</v>
      </c>
      <c r="L906" s="33">
        <v>226.22468119312543</v>
      </c>
      <c r="M906" s="33">
        <v>226.22468119312543</v>
      </c>
    </row>
    <row r="907" spans="1:13">
      <c r="A907" t="s">
        <v>133</v>
      </c>
      <c r="B907">
        <v>2017</v>
      </c>
      <c r="C907" s="16">
        <v>5.2999999999999999E-2</v>
      </c>
      <c r="D907" s="1">
        <v>150849042</v>
      </c>
      <c r="E907" s="29">
        <f>Table15[[#This Row],[Ávöxtun]]*Table15[[#This Row],[Eignir]]/SUMIFS(Table15[Eignir],Table15[Year],Table15[[#This Row],[Year]])</f>
        <v>2.2463218219295608E-3</v>
      </c>
      <c r="F907" s="23">
        <f>IF(B907=1997, 100, IF(COUNTIF(A$1:A906,A907)=0, "NEW", F906*(1+Table15[[#This Row],[Ávöxtun]])))</f>
        <v>238.21458929636105</v>
      </c>
      <c r="G907" s="18" cm="1">
        <f t="array" ref="G907">IFERROR(_xlfn.IFS(ISNUMBER(Table15[[#This Row],[Column3]]),Table15[[#This Row],[Column3]],Table15[[#This Row],[Column3]]="NEW",Table15[[#This Row],[Column3]]),"")</f>
        <v>238.21458929636105</v>
      </c>
      <c r="H907" s="15" cm="1">
        <f t="array" ref="H907">_xlfn.IFS(Table15[[#This Row],[Column4]]="NEW",AVERAGEIFS(Table15[Column4],Table15[Year],Table15[[#This Row],[Year]]),ISNUMBER(Table15[[#This Row],[Column4]]),Table15[[#This Row],[Column4]],Table15[[#This Row],[Column4]]="",H906*(1+Table15[[#This Row],[Ávöxtun]]))</f>
        <v>238.21458929636105</v>
      </c>
      <c r="I907" s="30" cm="1">
        <f t="array" ref="I907">_xlfn.IFS(Table15[[#This Row],[Column4]]="NEW",_xlfn.XLOOKUP(Table15[[#This Row],[Year]]-1,$N$2:$N$27,$P$2:$P$27)*(1+Table15[[#This Row],[Ávöxtun]]),ISNUMBER(Table15[[#This Row],[Column4]]),Table15[[#This Row],[Column4]],Table15[[#This Row],[Column4]]="",I906*(1+Table15[[#This Row],[Ávöxtun]]))</f>
        <v>238.21458929636105</v>
      </c>
      <c r="L907" s="33">
        <v>238.21458929636105</v>
      </c>
      <c r="M907" s="33">
        <v>238.21458929636105</v>
      </c>
    </row>
    <row r="908" spans="1:13">
      <c r="A908" t="s">
        <v>133</v>
      </c>
      <c r="B908">
        <v>2018</v>
      </c>
      <c r="C908" s="16">
        <v>2.2000000000000002E-2</v>
      </c>
      <c r="D908" s="1">
        <v>159444084</v>
      </c>
      <c r="E908" s="29">
        <f>Table15[[#This Row],[Ávöxtun]]*Table15[[#This Row],[Eignir]]/SUMIFS(Table15[Eignir],Table15[Year],Table15[[#This Row],[Year]])</f>
        <v>9.1866876235709226E-4</v>
      </c>
      <c r="F908" s="23">
        <f>IF(B908=1997, 100, IF(COUNTIF(A$1:A907,A908)=0, "NEW", F907*(1+Table15[[#This Row],[Ávöxtun]])))</f>
        <v>243.45531026088099</v>
      </c>
      <c r="G908" s="18" cm="1">
        <f t="array" ref="G908">IFERROR(_xlfn.IFS(ISNUMBER(Table15[[#This Row],[Column3]]),Table15[[#This Row],[Column3]],Table15[[#This Row],[Column3]]="NEW",Table15[[#This Row],[Column3]]),"")</f>
        <v>243.45531026088099</v>
      </c>
      <c r="H908" s="15" cm="1">
        <f t="array" ref="H908">_xlfn.IFS(Table15[[#This Row],[Column4]]="NEW",AVERAGEIFS(Table15[Column4],Table15[Year],Table15[[#This Row],[Year]]),ISNUMBER(Table15[[#This Row],[Column4]]),Table15[[#This Row],[Column4]],Table15[[#This Row],[Column4]]="",H907*(1+Table15[[#This Row],[Ávöxtun]]))</f>
        <v>243.45531026088099</v>
      </c>
      <c r="I908" s="30" cm="1">
        <f t="array" ref="I908">_xlfn.IFS(Table15[[#This Row],[Column4]]="NEW",_xlfn.XLOOKUP(Table15[[#This Row],[Year]]-1,$N$2:$N$27,$P$2:$P$27)*(1+Table15[[#This Row],[Ávöxtun]]),ISNUMBER(Table15[[#This Row],[Column4]]),Table15[[#This Row],[Column4]],Table15[[#This Row],[Column4]]="",I907*(1+Table15[[#This Row],[Ávöxtun]]))</f>
        <v>243.45531026088099</v>
      </c>
      <c r="L908" s="33">
        <v>243.45531026088099</v>
      </c>
      <c r="M908" s="33">
        <v>243.45531026088099</v>
      </c>
    </row>
    <row r="909" spans="1:13">
      <c r="A909" t="s">
        <v>133</v>
      </c>
      <c r="B909">
        <v>2019</v>
      </c>
      <c r="C909" s="16">
        <v>0.107</v>
      </c>
      <c r="D909" s="1">
        <v>181285248.5</v>
      </c>
      <c r="E909" s="29">
        <f>Table15[[#This Row],[Ávöxtun]]*Table15[[#This Row],[Eignir]]/SUMIFS(Table15[Eignir],Table15[Year],Table15[[#This Row],[Year]])</f>
        <v>4.3817599772743117E-3</v>
      </c>
      <c r="F909" s="23">
        <f>IF(B909=1997, 100, IF(COUNTIF(A$1:A908,A909)=0, "NEW", F908*(1+Table15[[#This Row],[Ávöxtun]])))</f>
        <v>269.50502845879527</v>
      </c>
      <c r="G909" s="18" cm="1">
        <f t="array" ref="G909">IFERROR(_xlfn.IFS(ISNUMBER(Table15[[#This Row],[Column3]]),Table15[[#This Row],[Column3]],Table15[[#This Row],[Column3]]="NEW",Table15[[#This Row],[Column3]]),"")</f>
        <v>269.50502845879527</v>
      </c>
      <c r="H909" s="15" cm="1">
        <f t="array" ref="H909">_xlfn.IFS(Table15[[#This Row],[Column4]]="NEW",AVERAGEIFS(Table15[Column4],Table15[Year],Table15[[#This Row],[Year]]),ISNUMBER(Table15[[#This Row],[Column4]]),Table15[[#This Row],[Column4]],Table15[[#This Row],[Column4]]="",H908*(1+Table15[[#This Row],[Ávöxtun]]))</f>
        <v>269.50502845879527</v>
      </c>
      <c r="I909" s="30" cm="1">
        <f t="array" ref="I909">_xlfn.IFS(Table15[[#This Row],[Column4]]="NEW",_xlfn.XLOOKUP(Table15[[#This Row],[Year]]-1,$N$2:$N$27,$P$2:$P$27)*(1+Table15[[#This Row],[Ávöxtun]]),ISNUMBER(Table15[[#This Row],[Column4]]),Table15[[#This Row],[Column4]],Table15[[#This Row],[Column4]]="",I908*(1+Table15[[#This Row],[Ávöxtun]]))</f>
        <v>269.50502845879527</v>
      </c>
      <c r="L909" s="33">
        <v>269.50502845879527</v>
      </c>
      <c r="M909" s="33">
        <v>269.50502845879527</v>
      </c>
    </row>
    <row r="910" spans="1:13">
      <c r="A910" t="s">
        <v>133</v>
      </c>
      <c r="B910">
        <v>2020</v>
      </c>
      <c r="C910" s="16">
        <v>9.6999999999999989E-2</v>
      </c>
      <c r="D910" s="1">
        <v>205138515.94999999</v>
      </c>
      <c r="E910" s="29">
        <f>Table15[[#This Row],[Ávöxtun]]*Table15[[#This Row],[Eignir]]/SUMIFS(Table15[Eignir],Table15[Year],Table15[[#This Row],[Year]])</f>
        <v>3.8738432630154116E-3</v>
      </c>
      <c r="F910" s="23">
        <f>IF(B910=1997, 100, IF(COUNTIF(A$1:A909,A910)=0, "NEW", F909*(1+Table15[[#This Row],[Ávöxtun]])))</f>
        <v>295.64701621929839</v>
      </c>
      <c r="G910" s="18" cm="1">
        <f t="array" ref="G910">IFERROR(_xlfn.IFS(ISNUMBER(Table15[[#This Row],[Column3]]),Table15[[#This Row],[Column3]],Table15[[#This Row],[Column3]]="NEW",Table15[[#This Row],[Column3]]),"")</f>
        <v>295.64701621929839</v>
      </c>
      <c r="H910" s="15" cm="1">
        <f t="array" ref="H910">_xlfn.IFS(Table15[[#This Row],[Column4]]="NEW",AVERAGEIFS(Table15[Column4],Table15[Year],Table15[[#This Row],[Year]]),ISNUMBER(Table15[[#This Row],[Column4]]),Table15[[#This Row],[Column4]],Table15[[#This Row],[Column4]]="",H909*(1+Table15[[#This Row],[Ávöxtun]]))</f>
        <v>295.64701621929839</v>
      </c>
      <c r="I910" s="30" cm="1">
        <f t="array" ref="I910">_xlfn.IFS(Table15[[#This Row],[Column4]]="NEW",_xlfn.XLOOKUP(Table15[[#This Row],[Year]]-1,$N$2:$N$27,$P$2:$P$27)*(1+Table15[[#This Row],[Ávöxtun]]),ISNUMBER(Table15[[#This Row],[Column4]]),Table15[[#This Row],[Column4]],Table15[[#This Row],[Column4]]="",I909*(1+Table15[[#This Row],[Ávöxtun]]))</f>
        <v>295.64701621929839</v>
      </c>
      <c r="L910" s="33">
        <v>295.64701621929839</v>
      </c>
      <c r="M910" s="33">
        <v>295.64701621929839</v>
      </c>
    </row>
    <row r="911" spans="1:13">
      <c r="A911" t="s">
        <v>133</v>
      </c>
      <c r="B911">
        <v>2021</v>
      </c>
      <c r="C911" s="16">
        <v>0.11699999999999999</v>
      </c>
      <c r="D911" s="1">
        <v>239022427.03</v>
      </c>
      <c r="E911" s="29">
        <f>Table15[[#This Row],[Ávöxtun]]*Table15[[#This Row],[Eignir]]/SUMIFS(Table15[Eignir],Table15[Year],Table15[[#This Row],[Year]])</f>
        <v>4.630454879165029E-3</v>
      </c>
      <c r="F911" s="23">
        <f>IF(B911=1997, 100, IF(COUNTIF(A$1:A910,A911)=0, "NEW", F910*(1+Table15[[#This Row],[Ávöxtun]])))</f>
        <v>330.23771711695628</v>
      </c>
      <c r="G911" s="18" cm="1">
        <f t="array" ref="G911">IFERROR(_xlfn.IFS(ISNUMBER(Table15[[#This Row],[Column3]]),Table15[[#This Row],[Column3]],Table15[[#This Row],[Column3]]="NEW",Table15[[#This Row],[Column3]]),"")</f>
        <v>330.23771711695628</v>
      </c>
      <c r="H911" s="15" cm="1">
        <f t="array" ref="H911">_xlfn.IFS(Table15[[#This Row],[Column4]]="NEW",AVERAGEIFS(Table15[Column4],Table15[Year],Table15[[#This Row],[Year]]),ISNUMBER(Table15[[#This Row],[Column4]]),Table15[[#This Row],[Column4]],Table15[[#This Row],[Column4]]="",H910*(1+Table15[[#This Row],[Ávöxtun]]))</f>
        <v>330.23771711695628</v>
      </c>
      <c r="I911" s="30" cm="1">
        <f t="array" ref="I911">_xlfn.IFS(Table15[[#This Row],[Column4]]="NEW",_xlfn.XLOOKUP(Table15[[#This Row],[Year]]-1,$N$2:$N$27,$P$2:$P$27)*(1+Table15[[#This Row],[Ávöxtun]]),ISNUMBER(Table15[[#This Row],[Column4]]),Table15[[#This Row],[Column4]],Table15[[#This Row],[Column4]]="",I910*(1+Table15[[#This Row],[Ávöxtun]]))</f>
        <v>330.23771711695628</v>
      </c>
      <c r="L911" s="33">
        <v>330.23771711695628</v>
      </c>
      <c r="M911" s="33">
        <v>330.23771711695628</v>
      </c>
    </row>
    <row r="912" spans="1:13">
      <c r="A912" t="s">
        <v>130</v>
      </c>
      <c r="B912">
        <v>2006</v>
      </c>
      <c r="C912" s="16">
        <v>8.9900000000000008E-2</v>
      </c>
      <c r="D912" s="1">
        <v>71929667</v>
      </c>
      <c r="E912" s="29">
        <f>Table15[[#This Row],[Ávöxtun]]*Table15[[#This Row],[Eignir]]/SUMIFS(Table15[Eignir],Table15[Year],Table15[[#This Row],[Year]])</f>
        <v>4.7108558459593563E-3</v>
      </c>
      <c r="F912" s="23" t="str">
        <f>IF(B912=1997, 100, IF(COUNTIF(A$1:A911,A912)=0, "NEW", F911*(1+Table15[[#This Row],[Ávöxtun]])))</f>
        <v>NEW</v>
      </c>
      <c r="G912" s="18" t="str" cm="1">
        <f t="array" ref="G912">IFERROR(_xlfn.IFS(ISNUMBER(Table15[[#This Row],[Column3]]),Table15[[#This Row],[Column3]],Table15[[#This Row],[Column3]]="NEW",Table15[[#This Row],[Column3]]),"")</f>
        <v>NEW</v>
      </c>
      <c r="H912" s="15" cm="1">
        <f t="array" ref="H912">_xlfn.IFS(Table15[[#This Row],[Column4]]="NEW",AVERAGEIFS(Table15[Column4],Table15[Year],Table15[[#This Row],[Year]]),ISNUMBER(Table15[[#This Row],[Column4]]),Table15[[#This Row],[Column4]],Table15[[#This Row],[Column4]]="",H911*(1+Table15[[#This Row],[Ávöxtun]]))</f>
        <v>173.57107422928632</v>
      </c>
      <c r="I912" s="30" cm="1">
        <f t="array" ref="I912">_xlfn.IFS(Table15[[#This Row],[Column4]]="NEW",_xlfn.XLOOKUP(Table15[[#This Row],[Year]]-1,$N$2:$N$27,$P$2:$P$27)*(1+Table15[[#This Row],[Ávöxtun]]),ISNUMBER(Table15[[#This Row],[Column4]]),Table15[[#This Row],[Column4]],Table15[[#This Row],[Column4]]="",I911*(1+Table15[[#This Row],[Ávöxtun]]))</f>
        <v>194.46610924047587</v>
      </c>
      <c r="L912" s="33">
        <v>173.57107422928632</v>
      </c>
      <c r="M912" s="33">
        <v>219.26690788715638</v>
      </c>
    </row>
    <row r="913" spans="1:13">
      <c r="A913" t="s">
        <v>130</v>
      </c>
      <c r="B913">
        <v>2007</v>
      </c>
      <c r="C913" s="16">
        <v>8.8000000000000005E-3</v>
      </c>
      <c r="D913" s="1">
        <v>79226222</v>
      </c>
      <c r="E913" s="29">
        <f>Table15[[#This Row],[Ávöxtun]]*Table15[[#This Row],[Eignir]]/SUMIFS(Table15[Eignir],Table15[Year],Table15[[#This Row],[Year]])</f>
        <v>4.508452829055878E-4</v>
      </c>
      <c r="F913" s="23" t="e">
        <f>IF(B913=1997, 100, IF(COUNTIF(A$1:A912,A913)=0, "NEW", F912*(1+Table15[[#This Row],[Ávöxtun]])))</f>
        <v>#VALUE!</v>
      </c>
      <c r="G913" s="18" t="str" cm="1">
        <f t="array" ref="G913">IFERROR(_xlfn.IFS(ISNUMBER(Table15[[#This Row],[Column3]]),Table15[[#This Row],[Column3]],Table15[[#This Row],[Column3]]="NEW",Table15[[#This Row],[Column3]]),"")</f>
        <v/>
      </c>
      <c r="H913" s="15" cm="1">
        <f t="array" ref="H913">_xlfn.IFS(Table15[[#This Row],[Column4]]="NEW",AVERAGEIFS(Table15[Column4],Table15[Year],Table15[[#This Row],[Year]]),ISNUMBER(Table15[[#This Row],[Column4]]),Table15[[#This Row],[Column4]],Table15[[#This Row],[Column4]]="",H912*(1+Table15[[#This Row],[Ávöxtun]]))</f>
        <v>175.09849968250404</v>
      </c>
      <c r="I913" s="30" cm="1">
        <f t="array" ref="I913">_xlfn.IFS(Table15[[#This Row],[Column4]]="NEW",_xlfn.XLOOKUP(Table15[[#This Row],[Year]]-1,$N$2:$N$27,$P$2:$P$27)*(1+Table15[[#This Row],[Ávöxtun]]),ISNUMBER(Table15[[#This Row],[Column4]]),Table15[[#This Row],[Column4]],Table15[[#This Row],[Column4]]="",I912*(1+Table15[[#This Row],[Ávöxtun]]))</f>
        <v>196.17741100179205</v>
      </c>
      <c r="L913" s="33">
        <v>175.09849968250404</v>
      </c>
      <c r="M913" s="33">
        <v>221.19645667656334</v>
      </c>
    </row>
    <row r="914" spans="1:13">
      <c r="A914" t="s">
        <v>130</v>
      </c>
      <c r="B914">
        <v>2008</v>
      </c>
      <c r="C914" s="16">
        <v>-0.23300000000000001</v>
      </c>
      <c r="D914" s="1">
        <v>74164112</v>
      </c>
      <c r="E914" s="29">
        <f>Table15[[#This Row],[Ávöxtun]]*Table15[[#This Row],[Eignir]]/SUMIFS(Table15[Eignir],Table15[Year],Table15[[#This Row],[Year]])</f>
        <v>-1.154079442509731E-2</v>
      </c>
      <c r="F914" s="23" t="e">
        <f>IF(B914=1997, 100, IF(COUNTIF(A$1:A913,A914)=0, "NEW", F913*(1+Table15[[#This Row],[Ávöxtun]])))</f>
        <v>#VALUE!</v>
      </c>
      <c r="G914" s="18" t="str" cm="1">
        <f t="array" ref="G914">IFERROR(_xlfn.IFS(ISNUMBER(Table15[[#This Row],[Column3]]),Table15[[#This Row],[Column3]],Table15[[#This Row],[Column3]]="NEW",Table15[[#This Row],[Column3]]),"")</f>
        <v/>
      </c>
      <c r="H914" s="15" cm="1">
        <f t="array" ref="H914">_xlfn.IFS(Table15[[#This Row],[Column4]]="NEW",AVERAGEIFS(Table15[Column4],Table15[Year],Table15[[#This Row],[Year]]),ISNUMBER(Table15[[#This Row],[Column4]]),Table15[[#This Row],[Column4]],Table15[[#This Row],[Column4]]="",H913*(1+Table15[[#This Row],[Ávöxtun]]))</f>
        <v>134.30054925648059</v>
      </c>
      <c r="I914" s="30" cm="1">
        <f t="array" ref="I914">_xlfn.IFS(Table15[[#This Row],[Column4]]="NEW",_xlfn.XLOOKUP(Table15[[#This Row],[Year]]-1,$N$2:$N$27,$P$2:$P$27)*(1+Table15[[#This Row],[Ávöxtun]]),ISNUMBER(Table15[[#This Row],[Column4]]),Table15[[#This Row],[Column4]],Table15[[#This Row],[Column4]]="",I913*(1+Table15[[#This Row],[Ávöxtun]]))</f>
        <v>150.4680742383745</v>
      </c>
      <c r="L914" s="33">
        <v>134.30054925648059</v>
      </c>
      <c r="M914" s="33">
        <v>169.65768227092408</v>
      </c>
    </row>
    <row r="915" spans="1:13">
      <c r="A915" t="s">
        <v>130</v>
      </c>
      <c r="B915">
        <v>2009</v>
      </c>
      <c r="C915" s="16">
        <v>-4.9000000000000002E-2</v>
      </c>
      <c r="D915" s="1">
        <v>77244833</v>
      </c>
      <c r="E915" s="29">
        <f>Table15[[#This Row],[Ávöxtun]]*Table15[[#This Row],[Eignir]]/SUMIFS(Table15[Eignir],Table15[Year],Table15[[#This Row],[Year]])</f>
        <v>-2.2688313240681103E-3</v>
      </c>
      <c r="F915" s="23" t="e">
        <f>IF(B915=1997, 100, IF(COUNTIF(A$1:A914,A915)=0, "NEW", F914*(1+Table15[[#This Row],[Ávöxtun]])))</f>
        <v>#VALUE!</v>
      </c>
      <c r="G915" s="18" t="str" cm="1">
        <f t="array" ref="G915">IFERROR(_xlfn.IFS(ISNUMBER(Table15[[#This Row],[Column3]]),Table15[[#This Row],[Column3]],Table15[[#This Row],[Column3]]="NEW",Table15[[#This Row],[Column3]]),"")</f>
        <v/>
      </c>
      <c r="H915" s="15" cm="1">
        <f t="array" ref="H915">_xlfn.IFS(Table15[[#This Row],[Column4]]="NEW",AVERAGEIFS(Table15[Column4],Table15[Year],Table15[[#This Row],[Year]]),ISNUMBER(Table15[[#This Row],[Column4]]),Table15[[#This Row],[Column4]],Table15[[#This Row],[Column4]]="",H914*(1+Table15[[#This Row],[Ávöxtun]]))</f>
        <v>127.71982234291303</v>
      </c>
      <c r="I915" s="30" cm="1">
        <f t="array" ref="I915">_xlfn.IFS(Table15[[#This Row],[Column4]]="NEW",_xlfn.XLOOKUP(Table15[[#This Row],[Year]]-1,$N$2:$N$27,$P$2:$P$27)*(1+Table15[[#This Row],[Ávöxtun]]),ISNUMBER(Table15[[#This Row],[Column4]]),Table15[[#This Row],[Column4]],Table15[[#This Row],[Column4]]="",I914*(1+Table15[[#This Row],[Ávöxtun]]))</f>
        <v>143.09513860069413</v>
      </c>
      <c r="L915" s="33">
        <v>127.71982234291303</v>
      </c>
      <c r="M915" s="33">
        <v>161.34445583964879</v>
      </c>
    </row>
    <row r="916" spans="1:13">
      <c r="A916" t="s">
        <v>130</v>
      </c>
      <c r="B916">
        <v>2010</v>
      </c>
      <c r="C916" s="16">
        <v>8.0000000000000004E-4</v>
      </c>
      <c r="D916" s="1">
        <v>81970653</v>
      </c>
      <c r="E916" s="29">
        <f>Table15[[#This Row],[Ávöxtun]]*Table15[[#This Row],[Eignir]]/SUMIFS(Table15[Eignir],Table15[Year],Table15[[#This Row],[Year]])</f>
        <v>3.6680286060926806E-5</v>
      </c>
      <c r="F916" s="23" t="e">
        <f>IF(B916=1997, 100, IF(COUNTIF(A$1:A915,A916)=0, "NEW", F915*(1+Table15[[#This Row],[Ávöxtun]])))</f>
        <v>#VALUE!</v>
      </c>
      <c r="G916" s="18" t="str" cm="1">
        <f t="array" ref="G916">IFERROR(_xlfn.IFS(ISNUMBER(Table15[[#This Row],[Column3]]),Table15[[#This Row],[Column3]],Table15[[#This Row],[Column3]]="NEW",Table15[[#This Row],[Column3]]),"")</f>
        <v/>
      </c>
      <c r="H916" s="15" cm="1">
        <f t="array" ref="H916">_xlfn.IFS(Table15[[#This Row],[Column4]]="NEW",AVERAGEIFS(Table15[Column4],Table15[Year],Table15[[#This Row],[Year]]),ISNUMBER(Table15[[#This Row],[Column4]]),Table15[[#This Row],[Column4]],Table15[[#This Row],[Column4]]="",H915*(1+Table15[[#This Row],[Ávöxtun]]))</f>
        <v>127.82199820078735</v>
      </c>
      <c r="I916" s="30" cm="1">
        <f t="array" ref="I916">_xlfn.IFS(Table15[[#This Row],[Column4]]="NEW",_xlfn.XLOOKUP(Table15[[#This Row],[Year]]-1,$N$2:$N$27,$P$2:$P$27)*(1+Table15[[#This Row],[Ávöxtun]]),ISNUMBER(Table15[[#This Row],[Column4]]),Table15[[#This Row],[Column4]],Table15[[#This Row],[Column4]]="",I915*(1+Table15[[#This Row],[Ávöxtun]]))</f>
        <v>143.20961471157466</v>
      </c>
      <c r="L916" s="33">
        <v>127.82199820078735</v>
      </c>
      <c r="M916" s="33">
        <v>161.47353140432048</v>
      </c>
    </row>
    <row r="917" spans="1:13">
      <c r="A917" t="s">
        <v>130</v>
      </c>
      <c r="B917">
        <v>2011</v>
      </c>
      <c r="C917" s="16">
        <v>2.2000000000000002E-2</v>
      </c>
      <c r="D917" s="1">
        <v>89691783</v>
      </c>
      <c r="E917" s="29">
        <f>Table15[[#This Row],[Ávöxtun]]*Table15[[#This Row],[Eignir]]/SUMIFS(Table15[Eignir],Table15[Year],Table15[[#This Row],[Year]])</f>
        <v>1.0116173824437078E-3</v>
      </c>
      <c r="F917" s="23" t="e">
        <f>IF(B917=1997, 100, IF(COUNTIF(A$1:A916,A917)=0, "NEW", F916*(1+Table15[[#This Row],[Ávöxtun]])))</f>
        <v>#VALUE!</v>
      </c>
      <c r="G917" s="18" t="str" cm="1">
        <f t="array" ref="G917">IFERROR(_xlfn.IFS(ISNUMBER(Table15[[#This Row],[Column3]]),Table15[[#This Row],[Column3]],Table15[[#This Row],[Column3]]="NEW",Table15[[#This Row],[Column3]]),"")</f>
        <v/>
      </c>
      <c r="H917" s="15" cm="1">
        <f t="array" ref="H917">_xlfn.IFS(Table15[[#This Row],[Column4]]="NEW",AVERAGEIFS(Table15[Column4],Table15[Year],Table15[[#This Row],[Year]]),ISNUMBER(Table15[[#This Row],[Column4]]),Table15[[#This Row],[Column4]],Table15[[#This Row],[Column4]]="",H916*(1+Table15[[#This Row],[Ávöxtun]]))</f>
        <v>130.63408216120467</v>
      </c>
      <c r="I917" s="30" cm="1">
        <f t="array" ref="I917">_xlfn.IFS(Table15[[#This Row],[Column4]]="NEW",_xlfn.XLOOKUP(Table15[[#This Row],[Year]]-1,$N$2:$N$27,$P$2:$P$27)*(1+Table15[[#This Row],[Ávöxtun]]),ISNUMBER(Table15[[#This Row],[Column4]]),Table15[[#This Row],[Column4]],Table15[[#This Row],[Column4]]="",I916*(1+Table15[[#This Row],[Ávöxtun]]))</f>
        <v>146.36022623522931</v>
      </c>
      <c r="L917" s="33">
        <v>130.63408216120467</v>
      </c>
      <c r="M917" s="33">
        <v>165.02594909521554</v>
      </c>
    </row>
    <row r="918" spans="1:13">
      <c r="A918" t="s">
        <v>130</v>
      </c>
      <c r="B918">
        <v>2012</v>
      </c>
      <c r="C918" s="16">
        <v>0.06</v>
      </c>
      <c r="D918" s="1">
        <v>99280705</v>
      </c>
      <c r="E918" s="29">
        <f>Table15[[#This Row],[Ávöxtun]]*Table15[[#This Row],[Eignir]]/SUMIFS(Table15[Eignir],Table15[Year],Table15[[#This Row],[Year]])</f>
        <v>2.7041610711608564E-3</v>
      </c>
      <c r="F918" s="23" t="e">
        <f>IF(B918=1997, 100, IF(COUNTIF(A$1:A917,A918)=0, "NEW", F917*(1+Table15[[#This Row],[Ávöxtun]])))</f>
        <v>#VALUE!</v>
      </c>
      <c r="G918" s="18" t="str" cm="1">
        <f t="array" ref="G918">IFERROR(_xlfn.IFS(ISNUMBER(Table15[[#This Row],[Column3]]),Table15[[#This Row],[Column3]],Table15[[#This Row],[Column3]]="NEW",Table15[[#This Row],[Column3]]),"")</f>
        <v/>
      </c>
      <c r="H918" s="15" cm="1">
        <f t="array" ref="H918">_xlfn.IFS(Table15[[#This Row],[Column4]]="NEW",AVERAGEIFS(Table15[Column4],Table15[Year],Table15[[#This Row],[Year]]),ISNUMBER(Table15[[#This Row],[Column4]]),Table15[[#This Row],[Column4]],Table15[[#This Row],[Column4]]="",H917*(1+Table15[[#This Row],[Ávöxtun]]))</f>
        <v>138.47212709087697</v>
      </c>
      <c r="I918" s="30" cm="1">
        <f t="array" ref="I918">_xlfn.IFS(Table15[[#This Row],[Column4]]="NEW",_xlfn.XLOOKUP(Table15[[#This Row],[Year]]-1,$N$2:$N$27,$P$2:$P$27)*(1+Table15[[#This Row],[Ávöxtun]]),ISNUMBER(Table15[[#This Row],[Column4]]),Table15[[#This Row],[Column4]],Table15[[#This Row],[Column4]]="",I917*(1+Table15[[#This Row],[Ávöxtun]]))</f>
        <v>155.14183980934308</v>
      </c>
      <c r="L918" s="33">
        <v>138.47212709087697</v>
      </c>
      <c r="M918" s="33">
        <v>174.92750604092848</v>
      </c>
    </row>
    <row r="919" spans="1:13">
      <c r="A919" t="s">
        <v>130</v>
      </c>
      <c r="B919">
        <v>2013</v>
      </c>
      <c r="C919" s="16">
        <v>4.9000000000000002E-2</v>
      </c>
      <c r="D919" s="1">
        <v>109519758</v>
      </c>
      <c r="E919" s="29">
        <f>Table15[[#This Row],[Ávöxtun]]*Table15[[#This Row],[Eignir]]/SUMIFS(Table15[Eignir],Table15[Year],Table15[[#This Row],[Year]])</f>
        <v>2.2051747524313085E-3</v>
      </c>
      <c r="F919" s="23" t="e">
        <f>IF(B919=1997, 100, IF(COUNTIF(A$1:A918,A919)=0, "NEW", F918*(1+Table15[[#This Row],[Ávöxtun]])))</f>
        <v>#VALUE!</v>
      </c>
      <c r="G919" s="18" t="str" cm="1">
        <f t="array" ref="G919">IFERROR(_xlfn.IFS(ISNUMBER(Table15[[#This Row],[Column3]]),Table15[[#This Row],[Column3]],Table15[[#This Row],[Column3]]="NEW",Table15[[#This Row],[Column3]]),"")</f>
        <v/>
      </c>
      <c r="H919" s="15" cm="1">
        <f t="array" ref="H919">_xlfn.IFS(Table15[[#This Row],[Column4]]="NEW",AVERAGEIFS(Table15[Column4],Table15[Year],Table15[[#This Row],[Year]]),ISNUMBER(Table15[[#This Row],[Column4]]),Table15[[#This Row],[Column4]],Table15[[#This Row],[Column4]]="",H918*(1+Table15[[#This Row],[Ávöxtun]]))</f>
        <v>145.25726131832994</v>
      </c>
      <c r="I919" s="30" cm="1">
        <f t="array" ref="I919">_xlfn.IFS(Table15[[#This Row],[Column4]]="NEW",_xlfn.XLOOKUP(Table15[[#This Row],[Year]]-1,$N$2:$N$27,$P$2:$P$27)*(1+Table15[[#This Row],[Ávöxtun]]),ISNUMBER(Table15[[#This Row],[Column4]]),Table15[[#This Row],[Column4]],Table15[[#This Row],[Column4]]="",I918*(1+Table15[[#This Row],[Ávöxtun]]))</f>
        <v>162.7437899600009</v>
      </c>
      <c r="L919" s="33">
        <v>145.25726131832994</v>
      </c>
      <c r="M919" s="33">
        <v>183.49895383693396</v>
      </c>
    </row>
    <row r="920" spans="1:13">
      <c r="A920" t="s">
        <v>130</v>
      </c>
      <c r="B920">
        <v>2014</v>
      </c>
      <c r="C920" s="16">
        <v>7.400000000000001E-2</v>
      </c>
      <c r="D920" s="1">
        <v>119847017</v>
      </c>
      <c r="E920" s="29">
        <f>Table15[[#This Row],[Ávöxtun]]*Table15[[#This Row],[Eignir]]/SUMIFS(Table15[Eignir],Table15[Year],Table15[[#This Row],[Year]])</f>
        <v>3.3428637474528134E-3</v>
      </c>
      <c r="F920" s="23" t="e">
        <f>IF(B920=1997, 100, IF(COUNTIF(A$1:A919,A920)=0, "NEW", F919*(1+Table15[[#This Row],[Ávöxtun]])))</f>
        <v>#VALUE!</v>
      </c>
      <c r="G920" s="18" t="str" cm="1">
        <f t="array" ref="G920">IFERROR(_xlfn.IFS(ISNUMBER(Table15[[#This Row],[Column3]]),Table15[[#This Row],[Column3]],Table15[[#This Row],[Column3]]="NEW",Table15[[#This Row],[Column3]]),"")</f>
        <v/>
      </c>
      <c r="H920" s="15" cm="1">
        <f t="array" ref="H920">_xlfn.IFS(Table15[[#This Row],[Column4]]="NEW",AVERAGEIFS(Table15[Column4],Table15[Year],Table15[[#This Row],[Year]]),ISNUMBER(Table15[[#This Row],[Column4]]),Table15[[#This Row],[Column4]],Table15[[#This Row],[Column4]]="",H919*(1+Table15[[#This Row],[Ávöxtun]]))</f>
        <v>156.00629865588635</v>
      </c>
      <c r="I920" s="30" cm="1">
        <f t="array" ref="I920">_xlfn.IFS(Table15[[#This Row],[Column4]]="NEW",_xlfn.XLOOKUP(Table15[[#This Row],[Year]]-1,$N$2:$N$27,$P$2:$P$27)*(1+Table15[[#This Row],[Ávöxtun]]),ISNUMBER(Table15[[#This Row],[Column4]]),Table15[[#This Row],[Column4]],Table15[[#This Row],[Column4]]="",I919*(1+Table15[[#This Row],[Ávöxtun]]))</f>
        <v>174.78683041704096</v>
      </c>
      <c r="L920" s="33">
        <v>156.00629865588635</v>
      </c>
      <c r="M920" s="33">
        <v>197.07787642086709</v>
      </c>
    </row>
    <row r="921" spans="1:13">
      <c r="A921" t="s">
        <v>130</v>
      </c>
      <c r="B921">
        <v>2015</v>
      </c>
      <c r="C921" s="16">
        <v>9.6999999999999989E-2</v>
      </c>
      <c r="D921" s="1">
        <v>135157003</v>
      </c>
      <c r="E921" s="29">
        <f>Table15[[#This Row],[Ávöxtun]]*Table15[[#This Row],[Eignir]]/SUMIFS(Table15[Eignir],Table15[Year],Table15[[#This Row],[Year]])</f>
        <v>4.4270701930623239E-3</v>
      </c>
      <c r="F921" s="23" t="e">
        <f>IF(B921=1997, 100, IF(COUNTIF(A$1:A920,A921)=0, "NEW", F920*(1+Table15[[#This Row],[Ávöxtun]])))</f>
        <v>#VALUE!</v>
      </c>
      <c r="G921" s="18" t="str" cm="1">
        <f t="array" ref="G921">IFERROR(_xlfn.IFS(ISNUMBER(Table15[[#This Row],[Column3]]),Table15[[#This Row],[Column3]],Table15[[#This Row],[Column3]]="NEW",Table15[[#This Row],[Column3]]),"")</f>
        <v/>
      </c>
      <c r="H921" s="15" cm="1">
        <f t="array" ref="H921">_xlfn.IFS(Table15[[#This Row],[Column4]]="NEW",AVERAGEIFS(Table15[Column4],Table15[Year],Table15[[#This Row],[Year]]),ISNUMBER(Table15[[#This Row],[Column4]]),Table15[[#This Row],[Column4]],Table15[[#This Row],[Column4]]="",H920*(1+Table15[[#This Row],[Ávöxtun]]))</f>
        <v>171.13890962550732</v>
      </c>
      <c r="I921" s="30" cm="1">
        <f t="array" ref="I921">_xlfn.IFS(Table15[[#This Row],[Column4]]="NEW",_xlfn.XLOOKUP(Table15[[#This Row],[Year]]-1,$N$2:$N$27,$P$2:$P$27)*(1+Table15[[#This Row],[Ávöxtun]]),ISNUMBER(Table15[[#This Row],[Column4]]),Table15[[#This Row],[Column4]],Table15[[#This Row],[Column4]]="",I920*(1+Table15[[#This Row],[Ávöxtun]]))</f>
        <v>191.74115296749392</v>
      </c>
      <c r="L921" s="33">
        <v>171.13890962550732</v>
      </c>
      <c r="M921" s="33">
        <v>216.1944304336912</v>
      </c>
    </row>
    <row r="922" spans="1:13">
      <c r="A922" t="s">
        <v>131</v>
      </c>
      <c r="B922">
        <v>2007</v>
      </c>
      <c r="C922" s="16">
        <v>-5.6999999999999993E-3</v>
      </c>
      <c r="D922" s="1">
        <v>89507279</v>
      </c>
      <c r="E922" s="29">
        <f>Table15[[#This Row],[Ávöxtun]]*Table15[[#This Row],[Eignir]]/SUMIFS(Table15[Eignir],Table15[Year],Table15[[#This Row],[Year]])</f>
        <v>-3.2992036339066975E-4</v>
      </c>
      <c r="F922" s="23" t="str">
        <f>IF(B922=1997, 100, IF(COUNTIF(A$1:A921,A922)=0, "NEW", F921*(1+Table15[[#This Row],[Ávöxtun]])))</f>
        <v>NEW</v>
      </c>
      <c r="G922" s="18" t="str" cm="1">
        <f t="array" ref="G922">IFERROR(_xlfn.IFS(ISNUMBER(Table15[[#This Row],[Column3]]),Table15[[#This Row],[Column3]],Table15[[#This Row],[Column3]]="NEW",Table15[[#This Row],[Column3]]),"")</f>
        <v>NEW</v>
      </c>
      <c r="H922" s="15" cm="1">
        <f t="array" ref="H922">_xlfn.IFS(Table15[[#This Row],[Column4]]="NEW",AVERAGEIFS(Table15[Column4],Table15[Year],Table15[[#This Row],[Year]]),ISNUMBER(Table15[[#This Row],[Column4]]),Table15[[#This Row],[Column4]],Table15[[#This Row],[Column4]]="",H921*(1+Table15[[#This Row],[Ávöxtun]]))</f>
        <v>178.53851178563048</v>
      </c>
      <c r="I922" s="30" cm="1">
        <f t="array" ref="I922">_xlfn.IFS(Table15[[#This Row],[Column4]]="NEW",_xlfn.XLOOKUP(Table15[[#This Row],[Year]]-1,$N$2:$N$27,$P$2:$P$27)*(1+Table15[[#This Row],[Ávöxtun]]),ISNUMBER(Table15[[#This Row],[Column4]]),Table15[[#This Row],[Column4]],Table15[[#This Row],[Column4]]="",I921*(1+Table15[[#This Row],[Ávöxtun]]))</f>
        <v>202.41746804824473</v>
      </c>
      <c r="L922" s="33">
        <v>178.53851178563048</v>
      </c>
      <c r="M922" s="33">
        <v>220.80682239490886</v>
      </c>
    </row>
    <row r="923" spans="1:13">
      <c r="A923" t="s">
        <v>131</v>
      </c>
      <c r="B923">
        <v>2008</v>
      </c>
      <c r="C923" s="16">
        <v>-0.13880000000000001</v>
      </c>
      <c r="D923" s="1">
        <v>97960752</v>
      </c>
      <c r="E923" s="29">
        <f>Table15[[#This Row],[Ávöxtun]]*Table15[[#This Row],[Eignir]]/SUMIFS(Table15[Eignir],Table15[Year],Table15[[#This Row],[Year]])</f>
        <v>-9.0808721110181463E-3</v>
      </c>
      <c r="F923" s="23" t="e">
        <f>IF(B923=1997, 100, IF(COUNTIF(A$1:A922,A923)=0, "NEW", F922*(1+Table15[[#This Row],[Ávöxtun]])))</f>
        <v>#VALUE!</v>
      </c>
      <c r="G923" s="18" t="str" cm="1">
        <f t="array" ref="G923">IFERROR(_xlfn.IFS(ISNUMBER(Table15[[#This Row],[Column3]]),Table15[[#This Row],[Column3]],Table15[[#This Row],[Column3]]="NEW",Table15[[#This Row],[Column3]]),"")</f>
        <v/>
      </c>
      <c r="H923" s="15" cm="1">
        <f t="array" ref="H923">_xlfn.IFS(Table15[[#This Row],[Column4]]="NEW",AVERAGEIFS(Table15[Column4],Table15[Year],Table15[[#This Row],[Year]]),ISNUMBER(Table15[[#This Row],[Column4]]),Table15[[#This Row],[Column4]],Table15[[#This Row],[Column4]]="",H922*(1+Table15[[#This Row],[Ávöxtun]]))</f>
        <v>153.75736634978497</v>
      </c>
      <c r="I923" s="30" cm="1">
        <f t="array" ref="I923">_xlfn.IFS(Table15[[#This Row],[Column4]]="NEW",_xlfn.XLOOKUP(Table15[[#This Row],[Year]]-1,$N$2:$N$27,$P$2:$P$27)*(1+Table15[[#This Row],[Ávöxtun]]),ISNUMBER(Table15[[#This Row],[Column4]]),Table15[[#This Row],[Column4]],Table15[[#This Row],[Column4]]="",I922*(1+Table15[[#This Row],[Ávöxtun]]))</f>
        <v>174.32192348314837</v>
      </c>
      <c r="L923" s="33">
        <v>153.75736634978497</v>
      </c>
      <c r="M923" s="33">
        <v>190.15883544649552</v>
      </c>
    </row>
    <row r="924" spans="1:13">
      <c r="A924" t="s">
        <v>131</v>
      </c>
      <c r="B924">
        <v>2009</v>
      </c>
      <c r="C924" s="16">
        <v>-6.1699999999999998E-2</v>
      </c>
      <c r="D924" s="1">
        <v>101919842</v>
      </c>
      <c r="E924" s="29">
        <f>Table15[[#This Row],[Ávöxtun]]*Table15[[#This Row],[Eignir]]/SUMIFS(Table15[Eignir],Table15[Year],Table15[[#This Row],[Year]])</f>
        <v>-3.7694726509318482E-3</v>
      </c>
      <c r="F924" s="23" t="e">
        <f>IF(B924=1997, 100, IF(COUNTIF(A$1:A923,A924)=0, "NEW", F923*(1+Table15[[#This Row],[Ávöxtun]])))</f>
        <v>#VALUE!</v>
      </c>
      <c r="G924" s="18" t="str" cm="1">
        <f t="array" ref="G924">IFERROR(_xlfn.IFS(ISNUMBER(Table15[[#This Row],[Column3]]),Table15[[#This Row],[Column3]],Table15[[#This Row],[Column3]]="NEW",Table15[[#This Row],[Column3]]),"")</f>
        <v/>
      </c>
      <c r="H924" s="15" cm="1">
        <f t="array" ref="H924">_xlfn.IFS(Table15[[#This Row],[Column4]]="NEW",AVERAGEIFS(Table15[Column4],Table15[Year],Table15[[#This Row],[Year]]),ISNUMBER(Table15[[#This Row],[Column4]]),Table15[[#This Row],[Column4]],Table15[[#This Row],[Column4]]="",H923*(1+Table15[[#This Row],[Ávöxtun]]))</f>
        <v>144.27053684600324</v>
      </c>
      <c r="I924" s="30" cm="1">
        <f t="array" ref="I924">_xlfn.IFS(Table15[[#This Row],[Column4]]="NEW",_xlfn.XLOOKUP(Table15[[#This Row],[Year]]-1,$N$2:$N$27,$P$2:$P$27)*(1+Table15[[#This Row],[Ávöxtun]]),ISNUMBER(Table15[[#This Row],[Column4]]),Table15[[#This Row],[Column4]],Table15[[#This Row],[Column4]]="",I923*(1+Table15[[#This Row],[Ávöxtun]]))</f>
        <v>163.56626080423811</v>
      </c>
      <c r="L924" s="33">
        <v>144.27053684600324</v>
      </c>
      <c r="M924" s="33">
        <v>178.42603529944674</v>
      </c>
    </row>
    <row r="925" spans="1:13">
      <c r="A925" t="s">
        <v>131</v>
      </c>
      <c r="B925">
        <v>2010</v>
      </c>
      <c r="C925" s="16">
        <v>3.4700000000000002E-2</v>
      </c>
      <c r="D925" s="1">
        <v>111264997</v>
      </c>
      <c r="E925" s="29">
        <f>Table15[[#This Row],[Ávöxtun]]*Table15[[#This Row],[Eignir]]/SUMIFS(Table15[Eignir],Table15[Year],Table15[[#This Row],[Year]])</f>
        <v>2.1595952696162987E-3</v>
      </c>
      <c r="F925" s="23" t="e">
        <f>IF(B925=1997, 100, IF(COUNTIF(A$1:A924,A925)=0, "NEW", F924*(1+Table15[[#This Row],[Ávöxtun]])))</f>
        <v>#VALUE!</v>
      </c>
      <c r="G925" s="18" t="str" cm="1">
        <f t="array" ref="G925">IFERROR(_xlfn.IFS(ISNUMBER(Table15[[#This Row],[Column3]]),Table15[[#This Row],[Column3]],Table15[[#This Row],[Column3]]="NEW",Table15[[#This Row],[Column3]]),"")</f>
        <v/>
      </c>
      <c r="H925" s="15" cm="1">
        <f t="array" ref="H925">_xlfn.IFS(Table15[[#This Row],[Column4]]="NEW",AVERAGEIFS(Table15[Column4],Table15[Year],Table15[[#This Row],[Year]]),ISNUMBER(Table15[[#This Row],[Column4]]),Table15[[#This Row],[Column4]],Table15[[#This Row],[Column4]]="",H924*(1+Table15[[#This Row],[Ávöxtun]]))</f>
        <v>149.27672447455956</v>
      </c>
      <c r="I925" s="30" cm="1">
        <f t="array" ref="I925">_xlfn.IFS(Table15[[#This Row],[Column4]]="NEW",_xlfn.XLOOKUP(Table15[[#This Row],[Year]]-1,$N$2:$N$27,$P$2:$P$27)*(1+Table15[[#This Row],[Ávöxtun]]),ISNUMBER(Table15[[#This Row],[Column4]]),Table15[[#This Row],[Column4]],Table15[[#This Row],[Column4]]="",I924*(1+Table15[[#This Row],[Ávöxtun]]))</f>
        <v>169.24201005414517</v>
      </c>
      <c r="L925" s="33">
        <v>149.27672447455956</v>
      </c>
      <c r="M925" s="33">
        <v>184.61741872433754</v>
      </c>
    </row>
    <row r="926" spans="1:13">
      <c r="A926" t="s">
        <v>131</v>
      </c>
      <c r="B926">
        <v>2011</v>
      </c>
      <c r="C926" s="16">
        <v>0</v>
      </c>
      <c r="D926" s="1">
        <v>114699867</v>
      </c>
      <c r="E926" s="29">
        <f>Table15[[#This Row],[Ávöxtun]]*Table15[[#This Row],[Eignir]]/SUMIFS(Table15[Eignir],Table15[Year],Table15[[#This Row],[Year]])</f>
        <v>0</v>
      </c>
      <c r="F926" s="23" t="e">
        <f>IF(B926=1997, 100, IF(COUNTIF(A$1:A925,A926)=0, "NEW", F925*(1+Table15[[#This Row],[Ávöxtun]])))</f>
        <v>#VALUE!</v>
      </c>
      <c r="G926" s="18" t="str" cm="1">
        <f t="array" ref="G926">IFERROR(_xlfn.IFS(ISNUMBER(Table15[[#This Row],[Column3]]),Table15[[#This Row],[Column3]],Table15[[#This Row],[Column3]]="NEW",Table15[[#This Row],[Column3]]),"")</f>
        <v/>
      </c>
      <c r="H926" s="15" cm="1">
        <f t="array" ref="H926">_xlfn.IFS(Table15[[#This Row],[Column4]]="NEW",AVERAGEIFS(Table15[Column4],Table15[Year],Table15[[#This Row],[Year]]),ISNUMBER(Table15[[#This Row],[Column4]]),Table15[[#This Row],[Column4]],Table15[[#This Row],[Column4]]="",H925*(1+Table15[[#This Row],[Ávöxtun]]))</f>
        <v>149.27672447455956</v>
      </c>
      <c r="I926" s="30" cm="1">
        <f t="array" ref="I926">_xlfn.IFS(Table15[[#This Row],[Column4]]="NEW",_xlfn.XLOOKUP(Table15[[#This Row],[Year]]-1,$N$2:$N$27,$P$2:$P$27)*(1+Table15[[#This Row],[Ávöxtun]]),ISNUMBER(Table15[[#This Row],[Column4]]),Table15[[#This Row],[Column4]],Table15[[#This Row],[Column4]]="",I925*(1+Table15[[#This Row],[Ávöxtun]]))</f>
        <v>169.24201005414517</v>
      </c>
      <c r="L926" s="33">
        <v>149.27672447455956</v>
      </c>
      <c r="M926" s="33">
        <v>184.61741872433754</v>
      </c>
    </row>
    <row r="927" spans="1:13">
      <c r="A927" t="s">
        <v>131</v>
      </c>
      <c r="B927">
        <v>2012</v>
      </c>
      <c r="C927" s="16">
        <v>5.2999999999999999E-2</v>
      </c>
      <c r="D927" s="1">
        <v>128997144</v>
      </c>
      <c r="E927" s="29">
        <f>Table15[[#This Row],[Ávöxtun]]*Table15[[#This Row],[Eignir]]/SUMIFS(Table15[Eignir],Table15[Year],Table15[[#This Row],[Year]])</f>
        <v>3.1036477027558303E-3</v>
      </c>
      <c r="F927" s="23" t="e">
        <f>IF(B927=1997, 100, IF(COUNTIF(A$1:A926,A927)=0, "NEW", F926*(1+Table15[[#This Row],[Ávöxtun]])))</f>
        <v>#VALUE!</v>
      </c>
      <c r="G927" s="18" t="str" cm="1">
        <f t="array" ref="G927">IFERROR(_xlfn.IFS(ISNUMBER(Table15[[#This Row],[Column3]]),Table15[[#This Row],[Column3]],Table15[[#This Row],[Column3]]="NEW",Table15[[#This Row],[Column3]]),"")</f>
        <v/>
      </c>
      <c r="H927" s="15" cm="1">
        <f t="array" ref="H927">_xlfn.IFS(Table15[[#This Row],[Column4]]="NEW",AVERAGEIFS(Table15[Column4],Table15[Year],Table15[[#This Row],[Year]]),ISNUMBER(Table15[[#This Row],[Column4]]),Table15[[#This Row],[Column4]],Table15[[#This Row],[Column4]]="",H926*(1+Table15[[#This Row],[Ávöxtun]]))</f>
        <v>157.18839087171119</v>
      </c>
      <c r="I927" s="30" cm="1">
        <f t="array" ref="I927">_xlfn.IFS(Table15[[#This Row],[Column4]]="NEW",_xlfn.XLOOKUP(Table15[[#This Row],[Year]]-1,$N$2:$N$27,$P$2:$P$27)*(1+Table15[[#This Row],[Ávöxtun]]),ISNUMBER(Table15[[#This Row],[Column4]]),Table15[[#This Row],[Column4]],Table15[[#This Row],[Column4]]="",I926*(1+Table15[[#This Row],[Ávöxtun]]))</f>
        <v>178.21183658701486</v>
      </c>
      <c r="L927" s="33">
        <v>157.18839087171119</v>
      </c>
      <c r="M927" s="33">
        <v>194.40214191672743</v>
      </c>
    </row>
    <row r="928" spans="1:13">
      <c r="A928" t="s">
        <v>131</v>
      </c>
      <c r="B928">
        <v>2013</v>
      </c>
      <c r="C928" s="16">
        <v>0.03</v>
      </c>
      <c r="D928" s="1">
        <v>140207162</v>
      </c>
      <c r="E928" s="29">
        <f>Table15[[#This Row],[Ávöxtun]]*Table15[[#This Row],[Eignir]]/SUMIFS(Table15[Eignir],Table15[Year],Table15[[#This Row],[Year]])</f>
        <v>1.728406573399796E-3</v>
      </c>
      <c r="F928" s="23" t="e">
        <f>IF(B928=1997, 100, IF(COUNTIF(A$1:A927,A928)=0, "NEW", F927*(1+Table15[[#This Row],[Ávöxtun]])))</f>
        <v>#VALUE!</v>
      </c>
      <c r="G928" s="18" t="str" cm="1">
        <f t="array" ref="G928">IFERROR(_xlfn.IFS(ISNUMBER(Table15[[#This Row],[Column3]]),Table15[[#This Row],[Column3]],Table15[[#This Row],[Column3]]="NEW",Table15[[#This Row],[Column3]]),"")</f>
        <v/>
      </c>
      <c r="H928" s="15" cm="1">
        <f t="array" ref="H928">_xlfn.IFS(Table15[[#This Row],[Column4]]="NEW",AVERAGEIFS(Table15[Column4],Table15[Year],Table15[[#This Row],[Year]]),ISNUMBER(Table15[[#This Row],[Column4]]),Table15[[#This Row],[Column4]],Table15[[#This Row],[Column4]]="",H927*(1+Table15[[#This Row],[Ávöxtun]]))</f>
        <v>161.90404259786254</v>
      </c>
      <c r="I928" s="30" cm="1">
        <f t="array" ref="I928">_xlfn.IFS(Table15[[#This Row],[Column4]]="NEW",_xlfn.XLOOKUP(Table15[[#This Row],[Year]]-1,$N$2:$N$27,$P$2:$P$27)*(1+Table15[[#This Row],[Ávöxtun]]),ISNUMBER(Table15[[#This Row],[Column4]]),Table15[[#This Row],[Column4]],Table15[[#This Row],[Column4]]="",I927*(1+Table15[[#This Row],[Ávöxtun]]))</f>
        <v>183.55819168462531</v>
      </c>
      <c r="L928" s="33">
        <v>161.90404259786254</v>
      </c>
      <c r="M928" s="33">
        <v>200.23420617422926</v>
      </c>
    </row>
    <row r="929" spans="1:13">
      <c r="A929" t="s">
        <v>131</v>
      </c>
      <c r="B929">
        <v>2014</v>
      </c>
      <c r="C929" s="16">
        <v>6.2000000000000006E-2</v>
      </c>
      <c r="D929" s="1">
        <v>153236792</v>
      </c>
      <c r="E929" s="29">
        <f>Table15[[#This Row],[Ávöxtun]]*Table15[[#This Row],[Eignir]]/SUMIFS(Table15[Eignir],Table15[Year],Table15[[#This Row],[Year]])</f>
        <v>3.5810836669984314E-3</v>
      </c>
      <c r="F929" s="23" t="e">
        <f>IF(B929=1997, 100, IF(COUNTIF(A$1:A928,A929)=0, "NEW", F928*(1+Table15[[#This Row],[Ávöxtun]])))</f>
        <v>#VALUE!</v>
      </c>
      <c r="G929" s="18" t="str" cm="1">
        <f t="array" ref="G929">IFERROR(_xlfn.IFS(ISNUMBER(Table15[[#This Row],[Column3]]),Table15[[#This Row],[Column3]],Table15[[#This Row],[Column3]]="NEW",Table15[[#This Row],[Column3]]),"")</f>
        <v/>
      </c>
      <c r="H929" s="15" cm="1">
        <f t="array" ref="H929">_xlfn.IFS(Table15[[#This Row],[Column4]]="NEW",AVERAGEIFS(Table15[Column4],Table15[Year],Table15[[#This Row],[Year]]),ISNUMBER(Table15[[#This Row],[Column4]]),Table15[[#This Row],[Column4]],Table15[[#This Row],[Column4]]="",H928*(1+Table15[[#This Row],[Ávöxtun]]))</f>
        <v>171.94209323893003</v>
      </c>
      <c r="I929" s="30" cm="1">
        <f t="array" ref="I929">_xlfn.IFS(Table15[[#This Row],[Column4]]="NEW",_xlfn.XLOOKUP(Table15[[#This Row],[Year]]-1,$N$2:$N$27,$P$2:$P$27)*(1+Table15[[#This Row],[Ávöxtun]]),ISNUMBER(Table15[[#This Row],[Column4]]),Table15[[#This Row],[Column4]],Table15[[#This Row],[Column4]]="",I928*(1+Table15[[#This Row],[Ávöxtun]]))</f>
        <v>194.9387995690721</v>
      </c>
      <c r="L929" s="33">
        <v>171.94209323893003</v>
      </c>
      <c r="M929" s="33">
        <v>212.64872695703147</v>
      </c>
    </row>
    <row r="930" spans="1:13">
      <c r="A930" t="s">
        <v>131</v>
      </c>
      <c r="B930">
        <v>2015</v>
      </c>
      <c r="C930" s="16">
        <v>9.1799999999999993E-2</v>
      </c>
      <c r="D930" s="1">
        <v>174550785</v>
      </c>
      <c r="E930" s="29">
        <f>Table15[[#This Row],[Ávöxtun]]*Table15[[#This Row],[Eignir]]/SUMIFS(Table15[Eignir],Table15[Year],Table15[[#This Row],[Year]])</f>
        <v>5.4109137098409385E-3</v>
      </c>
      <c r="F930" s="23" t="e">
        <f>IF(B930=1997, 100, IF(COUNTIF(A$1:A929,A930)=0, "NEW", F929*(1+Table15[[#This Row],[Ávöxtun]])))</f>
        <v>#VALUE!</v>
      </c>
      <c r="G930" s="18" t="str" cm="1">
        <f t="array" ref="G930">IFERROR(_xlfn.IFS(ISNUMBER(Table15[[#This Row],[Column3]]),Table15[[#This Row],[Column3]],Table15[[#This Row],[Column3]]="NEW",Table15[[#This Row],[Column3]]),"")</f>
        <v/>
      </c>
      <c r="H930" s="15" cm="1">
        <f t="array" ref="H930">_xlfn.IFS(Table15[[#This Row],[Column4]]="NEW",AVERAGEIFS(Table15[Column4],Table15[Year],Table15[[#This Row],[Year]]),ISNUMBER(Table15[[#This Row],[Column4]]),Table15[[#This Row],[Column4]],Table15[[#This Row],[Column4]]="",H929*(1+Table15[[#This Row],[Ávöxtun]]))</f>
        <v>187.72637739826382</v>
      </c>
      <c r="I930" s="30" cm="1">
        <f t="array" ref="I930">_xlfn.IFS(Table15[[#This Row],[Column4]]="NEW",_xlfn.XLOOKUP(Table15[[#This Row],[Year]]-1,$N$2:$N$27,$P$2:$P$27)*(1+Table15[[#This Row],[Ávöxtun]]),ISNUMBER(Table15[[#This Row],[Column4]]),Table15[[#This Row],[Column4]],Table15[[#This Row],[Column4]]="",I929*(1+Table15[[#This Row],[Ávöxtun]]))</f>
        <v>212.83418136951295</v>
      </c>
      <c r="L930" s="33">
        <v>187.72637739826382</v>
      </c>
      <c r="M930" s="33">
        <v>232.16988009168699</v>
      </c>
    </row>
    <row r="931" spans="1:13">
      <c r="A931" t="s">
        <v>131</v>
      </c>
      <c r="B931">
        <v>2016</v>
      </c>
      <c r="C931" s="16">
        <v>-1.3000000000000002E-3</v>
      </c>
      <c r="D931" s="1">
        <v>182176040.52000001</v>
      </c>
      <c r="E931" s="29">
        <f>Table15[[#This Row],[Ávöxtun]]*Table15[[#This Row],[Eignir]]/SUMIFS(Table15[Eignir],Table15[Year],Table15[[#This Row],[Year]])</f>
        <v>-7.4007937384124774E-5</v>
      </c>
      <c r="F931" s="23" t="e">
        <f>IF(B931=1997, 100, IF(COUNTIF(A$1:A930,A931)=0, "NEW", F930*(1+Table15[[#This Row],[Ávöxtun]])))</f>
        <v>#VALUE!</v>
      </c>
      <c r="G931" s="18" t="str" cm="1">
        <f t="array" ref="G931">IFERROR(_xlfn.IFS(ISNUMBER(Table15[[#This Row],[Column3]]),Table15[[#This Row],[Column3]],Table15[[#This Row],[Column3]]="NEW",Table15[[#This Row],[Column3]]),"")</f>
        <v/>
      </c>
      <c r="H931" s="15" cm="1">
        <f t="array" ref="H931">_xlfn.IFS(Table15[[#This Row],[Column4]]="NEW",AVERAGEIFS(Table15[Column4],Table15[Year],Table15[[#This Row],[Year]]),ISNUMBER(Table15[[#This Row],[Column4]]),Table15[[#This Row],[Column4]],Table15[[#This Row],[Column4]]="",H930*(1+Table15[[#This Row],[Ávöxtun]]))</f>
        <v>187.48233310764607</v>
      </c>
      <c r="I931" s="30" cm="1">
        <f t="array" ref="I931">_xlfn.IFS(Table15[[#This Row],[Column4]]="NEW",_xlfn.XLOOKUP(Table15[[#This Row],[Year]]-1,$N$2:$N$27,$P$2:$P$27)*(1+Table15[[#This Row],[Ávöxtun]]),ISNUMBER(Table15[[#This Row],[Column4]]),Table15[[#This Row],[Column4]],Table15[[#This Row],[Column4]]="",I930*(1+Table15[[#This Row],[Ávöxtun]]))</f>
        <v>212.55749693373258</v>
      </c>
      <c r="L931" s="33">
        <v>187.48233310764607</v>
      </c>
      <c r="M931" s="33">
        <v>231.8680592475678</v>
      </c>
    </row>
    <row r="932" spans="1:13">
      <c r="A932" t="s">
        <v>131</v>
      </c>
      <c r="B932">
        <v>2017</v>
      </c>
      <c r="C932" s="16">
        <v>5.2000000000000005E-2</v>
      </c>
      <c r="D932" s="1">
        <v>199479231</v>
      </c>
      <c r="E932" s="29">
        <f>Table15[[#This Row],[Ávöxtun]]*Table15[[#This Row],[Eignir]]/SUMIFS(Table15[Eignir],Table15[Year],Table15[[#This Row],[Year]])</f>
        <v>2.9144363772181615E-3</v>
      </c>
      <c r="F932" s="23" t="e">
        <f>IF(B932=1997, 100, IF(COUNTIF(A$1:A931,A932)=0, "NEW", F931*(1+Table15[[#This Row],[Ávöxtun]])))</f>
        <v>#VALUE!</v>
      </c>
      <c r="G932" s="18" t="str" cm="1">
        <f t="array" ref="G932">IFERROR(_xlfn.IFS(ISNUMBER(Table15[[#This Row],[Column3]]),Table15[[#This Row],[Column3]],Table15[[#This Row],[Column3]]="NEW",Table15[[#This Row],[Column3]]),"")</f>
        <v/>
      </c>
      <c r="H932" s="15" cm="1">
        <f t="array" ref="H932">_xlfn.IFS(Table15[[#This Row],[Column4]]="NEW",AVERAGEIFS(Table15[Column4],Table15[Year],Table15[[#This Row],[Year]]),ISNUMBER(Table15[[#This Row],[Column4]]),Table15[[#This Row],[Column4]],Table15[[#This Row],[Column4]]="",H931*(1+Table15[[#This Row],[Ávöxtun]]))</f>
        <v>197.23141442924367</v>
      </c>
      <c r="I932" s="30" cm="1">
        <f t="array" ref="I932">_xlfn.IFS(Table15[[#This Row],[Column4]]="NEW",_xlfn.XLOOKUP(Table15[[#This Row],[Year]]-1,$N$2:$N$27,$P$2:$P$27)*(1+Table15[[#This Row],[Ávöxtun]]),ISNUMBER(Table15[[#This Row],[Column4]]),Table15[[#This Row],[Column4]],Table15[[#This Row],[Column4]]="",I931*(1+Table15[[#This Row],[Ávöxtun]]))</f>
        <v>223.61048677428667</v>
      </c>
      <c r="L932" s="33">
        <v>197.23141442924367</v>
      </c>
      <c r="M932" s="33">
        <v>243.92519832844133</v>
      </c>
    </row>
    <row r="933" spans="1:13">
      <c r="A933" t="s">
        <v>131</v>
      </c>
      <c r="B933">
        <v>2018</v>
      </c>
      <c r="C933" s="16">
        <v>1.4999999999999999E-2</v>
      </c>
      <c r="D933" s="1">
        <v>215276198</v>
      </c>
      <c r="E933" s="29">
        <f>Table15[[#This Row],[Ávöxtun]]*Table15[[#This Row],[Eignir]]/SUMIFS(Table15[Eignir],Table15[Year],Table15[[#This Row],[Year]])</f>
        <v>8.4569766668568633E-4</v>
      </c>
      <c r="F933" s="23" t="e">
        <f>IF(B933=1997, 100, IF(COUNTIF(A$1:A932,A933)=0, "NEW", F932*(1+Table15[[#This Row],[Ávöxtun]])))</f>
        <v>#VALUE!</v>
      </c>
      <c r="G933" s="18" t="str" cm="1">
        <f t="array" ref="G933">IFERROR(_xlfn.IFS(ISNUMBER(Table15[[#This Row],[Column3]]),Table15[[#This Row],[Column3]],Table15[[#This Row],[Column3]]="NEW",Table15[[#This Row],[Column3]]),"")</f>
        <v/>
      </c>
      <c r="H933" s="15" cm="1">
        <f t="array" ref="H933">_xlfn.IFS(Table15[[#This Row],[Column4]]="NEW",AVERAGEIFS(Table15[Column4],Table15[Year],Table15[[#This Row],[Year]]),ISNUMBER(Table15[[#This Row],[Column4]]),Table15[[#This Row],[Column4]],Table15[[#This Row],[Column4]]="",H932*(1+Table15[[#This Row],[Ávöxtun]]))</f>
        <v>200.1898856456823</v>
      </c>
      <c r="I933" s="30" cm="1">
        <f t="array" ref="I933">_xlfn.IFS(Table15[[#This Row],[Column4]]="NEW",_xlfn.XLOOKUP(Table15[[#This Row],[Year]]-1,$N$2:$N$27,$P$2:$P$27)*(1+Table15[[#This Row],[Ávöxtun]]),ISNUMBER(Table15[[#This Row],[Column4]]),Table15[[#This Row],[Column4]],Table15[[#This Row],[Column4]]="",I932*(1+Table15[[#This Row],[Ávöxtun]]))</f>
        <v>226.96464407590094</v>
      </c>
      <c r="L933" s="33">
        <v>200.1898856456823</v>
      </c>
      <c r="M933" s="33">
        <v>247.58407630336791</v>
      </c>
    </row>
    <row r="934" spans="1:13">
      <c r="A934" t="s">
        <v>131</v>
      </c>
      <c r="B934">
        <v>2019</v>
      </c>
      <c r="C934" s="16">
        <v>9.98E-2</v>
      </c>
      <c r="D934" s="1">
        <v>249839841.91</v>
      </c>
      <c r="E934" s="29">
        <f>Table15[[#This Row],[Ávöxtun]]*Table15[[#This Row],[Eignir]]/SUMIFS(Table15[Eignir],Table15[Year],Table15[[#This Row],[Year]])</f>
        <v>5.6324141129512296E-3</v>
      </c>
      <c r="F934" s="23" t="e">
        <f>IF(B934=1997, 100, IF(COUNTIF(A$1:A933,A934)=0, "NEW", F933*(1+Table15[[#This Row],[Ávöxtun]])))</f>
        <v>#VALUE!</v>
      </c>
      <c r="G934" s="18" t="str" cm="1">
        <f t="array" ref="G934">IFERROR(_xlfn.IFS(ISNUMBER(Table15[[#This Row],[Column3]]),Table15[[#This Row],[Column3]],Table15[[#This Row],[Column3]]="NEW",Table15[[#This Row],[Column3]]),"")</f>
        <v/>
      </c>
      <c r="H934" s="15" cm="1">
        <f t="array" ref="H934">_xlfn.IFS(Table15[[#This Row],[Column4]]="NEW",AVERAGEIFS(Table15[Column4],Table15[Year],Table15[[#This Row],[Year]]),ISNUMBER(Table15[[#This Row],[Column4]]),Table15[[#This Row],[Column4]],Table15[[#This Row],[Column4]]="",H933*(1+Table15[[#This Row],[Ávöxtun]]))</f>
        <v>220.1688362331214</v>
      </c>
      <c r="I934" s="30" cm="1">
        <f t="array" ref="I934">_xlfn.IFS(Table15[[#This Row],[Column4]]="NEW",_xlfn.XLOOKUP(Table15[[#This Row],[Year]]-1,$N$2:$N$27,$P$2:$P$27)*(1+Table15[[#This Row],[Ávöxtun]]),ISNUMBER(Table15[[#This Row],[Column4]]),Table15[[#This Row],[Column4]],Table15[[#This Row],[Column4]]="",I933*(1+Table15[[#This Row],[Ávöxtun]]))</f>
        <v>249.61571555467589</v>
      </c>
      <c r="L934" s="33">
        <v>220.1688362331214</v>
      </c>
      <c r="M934" s="33">
        <v>272.29296711844404</v>
      </c>
    </row>
    <row r="935" spans="1:13">
      <c r="A935" t="s">
        <v>131</v>
      </c>
      <c r="B935">
        <v>2020</v>
      </c>
      <c r="C935" s="16">
        <v>9.1500000000000012E-2</v>
      </c>
      <c r="D935" s="1">
        <v>288411567.56999999</v>
      </c>
      <c r="E935" s="29">
        <f>Table15[[#This Row],[Ávöxtun]]*Table15[[#This Row],[Eignir]]/SUMIFS(Table15[Eignir],Table15[Year],Table15[[#This Row],[Year]])</f>
        <v>5.1375595695250876E-3</v>
      </c>
      <c r="F935" s="23" t="e">
        <f>IF(B935=1997, 100, IF(COUNTIF(A$1:A934,A935)=0, "NEW", F934*(1+Table15[[#This Row],[Ávöxtun]])))</f>
        <v>#VALUE!</v>
      </c>
      <c r="G935" s="18" t="str" cm="1">
        <f t="array" ref="G935">IFERROR(_xlfn.IFS(ISNUMBER(Table15[[#This Row],[Column3]]),Table15[[#This Row],[Column3]],Table15[[#This Row],[Column3]]="NEW",Table15[[#This Row],[Column3]]),"")</f>
        <v/>
      </c>
      <c r="H935" s="15" cm="1">
        <f t="array" ref="H935">_xlfn.IFS(Table15[[#This Row],[Column4]]="NEW",AVERAGEIFS(Table15[Column4],Table15[Year],Table15[[#This Row],[Year]]),ISNUMBER(Table15[[#This Row],[Column4]]),Table15[[#This Row],[Column4]],Table15[[#This Row],[Column4]]="",H934*(1+Table15[[#This Row],[Ávöxtun]]))</f>
        <v>240.314284748452</v>
      </c>
      <c r="I935" s="30" cm="1">
        <f t="array" ref="I935">_xlfn.IFS(Table15[[#This Row],[Column4]]="NEW",_xlfn.XLOOKUP(Table15[[#This Row],[Year]]-1,$N$2:$N$27,$P$2:$P$27)*(1+Table15[[#This Row],[Ávöxtun]]),ISNUMBER(Table15[[#This Row],[Column4]]),Table15[[#This Row],[Column4]],Table15[[#This Row],[Column4]]="",I934*(1+Table15[[#This Row],[Ávöxtun]]))</f>
        <v>272.45555352792871</v>
      </c>
      <c r="L935" s="33">
        <v>240.314284748452</v>
      </c>
      <c r="M935" s="33">
        <v>297.20777360978167</v>
      </c>
    </row>
    <row r="936" spans="1:13">
      <c r="A936" t="s">
        <v>131</v>
      </c>
      <c r="B936">
        <v>2021</v>
      </c>
      <c r="C936" s="16">
        <v>0.12770000000000001</v>
      </c>
      <c r="D936" s="1">
        <v>348755833.67000002</v>
      </c>
      <c r="E936" s="29">
        <f>Table15[[#This Row],[Ávöxtun]]*Table15[[#This Row],[Eignir]]/SUMIFS(Table15[Eignir],Table15[Year],Table15[[#This Row],[Year]])</f>
        <v>7.3741424200918487E-3</v>
      </c>
      <c r="F936" s="23" t="e">
        <f>IF(B936=1997, 100, IF(COUNTIF(A$1:A935,A936)=0, "NEW", F935*(1+Table15[[#This Row],[Ávöxtun]])))</f>
        <v>#VALUE!</v>
      </c>
      <c r="G936" s="18" t="str" cm="1">
        <f t="array" ref="G936">IFERROR(_xlfn.IFS(ISNUMBER(Table15[[#This Row],[Column3]]),Table15[[#This Row],[Column3]],Table15[[#This Row],[Column3]]="NEW",Table15[[#This Row],[Column3]]),"")</f>
        <v/>
      </c>
      <c r="H936" s="15" cm="1">
        <f t="array" ref="H936">_xlfn.IFS(Table15[[#This Row],[Column4]]="NEW",AVERAGEIFS(Table15[Column4],Table15[Year],Table15[[#This Row],[Year]]),ISNUMBER(Table15[[#This Row],[Column4]]),Table15[[#This Row],[Column4]],Table15[[#This Row],[Column4]]="",H935*(1+Table15[[#This Row],[Ávöxtun]]))</f>
        <v>271.00241891082931</v>
      </c>
      <c r="I936" s="30" cm="1">
        <f t="array" ref="I936">_xlfn.IFS(Table15[[#This Row],[Column4]]="NEW",_xlfn.XLOOKUP(Table15[[#This Row],[Year]]-1,$N$2:$N$27,$P$2:$P$27)*(1+Table15[[#This Row],[Ávöxtun]]),ISNUMBER(Table15[[#This Row],[Column4]]),Table15[[#This Row],[Column4]],Table15[[#This Row],[Column4]]="",I935*(1+Table15[[#This Row],[Ávöxtun]]))</f>
        <v>307.24812771344517</v>
      </c>
      <c r="L936" s="33">
        <v>271.00241891082931</v>
      </c>
      <c r="M936" s="33">
        <v>335.16120629975075</v>
      </c>
    </row>
    <row r="937" spans="1:13">
      <c r="A937" t="s">
        <v>134</v>
      </c>
      <c r="B937">
        <v>1999</v>
      </c>
      <c r="C937" s="16">
        <v>0.05</v>
      </c>
      <c r="D937" s="1">
        <v>106690.08</v>
      </c>
      <c r="E937" s="29">
        <f>Table15[[#This Row],[Ávöxtun]]*Table15[[#This Row],[Eignir]]/SUMIFS(Table15[Eignir],Table15[Year],Table15[[#This Row],[Year]])</f>
        <v>1.0244542070458747E-5</v>
      </c>
      <c r="F937" s="23" t="str">
        <f>IF(B937=1997, 100, IF(COUNTIF(A$1:A936,A937)=0, "NEW", F936*(1+Table15[[#This Row],[Ávöxtun]])))</f>
        <v>NEW</v>
      </c>
      <c r="G937" s="18" t="str" cm="1">
        <f t="array" ref="G937">IFERROR(_xlfn.IFS(ISNUMBER(Table15[[#This Row],[Column3]]),Table15[[#This Row],[Column3]],Table15[[#This Row],[Column3]]="NEW",Table15[[#This Row],[Column3]]),"")</f>
        <v>NEW</v>
      </c>
      <c r="H937" s="15" cm="1">
        <f t="array" ref="H937">_xlfn.IFS(Table15[[#This Row],[Column4]]="NEW",AVERAGEIFS(Table15[Column4],Table15[Year],Table15[[#This Row],[Year]]),ISNUMBER(Table15[[#This Row],[Column4]]),Table15[[#This Row],[Column4]],Table15[[#This Row],[Column4]]="",H936*(1+Table15[[#This Row],[Ávöxtun]]))</f>
        <v>117.05306122448981</v>
      </c>
      <c r="I937" s="30" cm="1">
        <f t="array" ref="I937">_xlfn.IFS(Table15[[#This Row],[Column4]]="NEW",_xlfn.XLOOKUP(Table15[[#This Row],[Year]]-1,$N$2:$N$27,$P$2:$P$27)*(1+Table15[[#This Row],[Ávöxtun]]),ISNUMBER(Table15[[#This Row],[Column4]]),Table15[[#This Row],[Column4]],Table15[[#This Row],[Column4]]="",I936*(1+Table15[[#This Row],[Ávöxtun]]))</f>
        <v>112.46745893957382</v>
      </c>
      <c r="L937" s="33">
        <v>117.05306122448981</v>
      </c>
      <c r="M937" s="33">
        <v>129.26988390123572</v>
      </c>
    </row>
    <row r="938" spans="1:13">
      <c r="A938" t="s">
        <v>134</v>
      </c>
      <c r="B938">
        <v>2000</v>
      </c>
      <c r="C938" s="16">
        <v>0.05</v>
      </c>
      <c r="D938" s="1">
        <v>84365.35</v>
      </c>
      <c r="E938" s="29">
        <f>Table15[[#This Row],[Ávöxtun]]*Table15[[#This Row],[Eignir]]/SUMIFS(Table15[Eignir],Table15[Year],Table15[[#This Row],[Year]])</f>
        <v>5.9337861212765103E-6</v>
      </c>
      <c r="F938" s="23" t="e">
        <f>IF(B938=1997, 100, IF(COUNTIF(A$1:A937,A938)=0, "NEW", F937*(1+Table15[[#This Row],[Ávöxtun]])))</f>
        <v>#VALUE!</v>
      </c>
      <c r="G938" s="18" t="str" cm="1">
        <f t="array" ref="G938">IFERROR(_xlfn.IFS(ISNUMBER(Table15[[#This Row],[Column3]]),Table15[[#This Row],[Column3]],Table15[[#This Row],[Column3]]="NEW",Table15[[#This Row],[Column3]]),"")</f>
        <v/>
      </c>
      <c r="H938" s="15" cm="1">
        <f t="array" ref="H938">_xlfn.IFS(Table15[[#This Row],[Column4]]="NEW",AVERAGEIFS(Table15[Column4],Table15[Year],Table15[[#This Row],[Year]]),ISNUMBER(Table15[[#This Row],[Column4]]),Table15[[#This Row],[Column4]],Table15[[#This Row],[Column4]]="",H937*(1+Table15[[#This Row],[Ávöxtun]]))</f>
        <v>122.90571428571431</v>
      </c>
      <c r="I938" s="30" cm="1">
        <f t="array" ref="I938">_xlfn.IFS(Table15[[#This Row],[Column4]]="NEW",_xlfn.XLOOKUP(Table15[[#This Row],[Year]]-1,$N$2:$N$27,$P$2:$P$27)*(1+Table15[[#This Row],[Ávöxtun]]),ISNUMBER(Table15[[#This Row],[Column4]]),Table15[[#This Row],[Column4]],Table15[[#This Row],[Column4]]="",I937*(1+Table15[[#This Row],[Ávöxtun]]))</f>
        <v>118.09083188655251</v>
      </c>
      <c r="L938" s="33">
        <v>122.90571428571431</v>
      </c>
      <c r="M938" s="33">
        <v>135.73337809629751</v>
      </c>
    </row>
    <row r="939" spans="1:13">
      <c r="A939" t="s">
        <v>134</v>
      </c>
      <c r="B939">
        <v>2001</v>
      </c>
      <c r="C939" s="16">
        <v>0</v>
      </c>
      <c r="D939" s="1">
        <v>0</v>
      </c>
      <c r="E939" s="29">
        <f>Table15[[#This Row],[Ávöxtun]]*Table15[[#This Row],[Eignir]]/SUMIFS(Table15[Eignir],Table15[Year],Table15[[#This Row],[Year]])</f>
        <v>0</v>
      </c>
      <c r="F939" s="23" t="e">
        <f>IF(B939=1997, 100, IF(COUNTIF(A$1:A938,A939)=0, "NEW", F938*(1+Table15[[#This Row],[Ávöxtun]])))</f>
        <v>#VALUE!</v>
      </c>
      <c r="G939" s="18" t="str" cm="1">
        <f t="array" ref="G939">IFERROR(_xlfn.IFS(ISNUMBER(Table15[[#This Row],[Column3]]),Table15[[#This Row],[Column3]],Table15[[#This Row],[Column3]]="NEW",Table15[[#This Row],[Column3]]),"")</f>
        <v/>
      </c>
      <c r="H939" s="15" cm="1">
        <f t="array" ref="H939">_xlfn.IFS(Table15[[#This Row],[Column4]]="NEW",AVERAGEIFS(Table15[Column4],Table15[Year],Table15[[#This Row],[Year]]),ISNUMBER(Table15[[#This Row],[Column4]]),Table15[[#This Row],[Column4]],Table15[[#This Row],[Column4]]="",H938*(1+Table15[[#This Row],[Ávöxtun]]))</f>
        <v>122.90571428571431</v>
      </c>
      <c r="I939" s="30" cm="1">
        <f t="array" ref="I939">_xlfn.IFS(Table15[[#This Row],[Column4]]="NEW",_xlfn.XLOOKUP(Table15[[#This Row],[Year]]-1,$N$2:$N$27,$P$2:$P$27)*(1+Table15[[#This Row],[Ávöxtun]]),ISNUMBER(Table15[[#This Row],[Column4]]),Table15[[#This Row],[Column4]],Table15[[#This Row],[Column4]]="",I938*(1+Table15[[#This Row],[Ávöxtun]]))</f>
        <v>118.09083188655251</v>
      </c>
      <c r="L939" s="33">
        <v>122.90571428571431</v>
      </c>
      <c r="M939" s="33">
        <v>135.73337809629751</v>
      </c>
    </row>
    <row r="940" spans="1:13">
      <c r="A940" t="s">
        <v>146</v>
      </c>
      <c r="C940" s="19"/>
      <c r="D940" s="21">
        <f>SUBTOTAL(109,Table15[Eignir])</f>
        <v>52798577897.604027</v>
      </c>
      <c r="E940" s="42"/>
      <c r="F940" s="21"/>
      <c r="G940" s="21"/>
      <c r="H940" s="20">
        <f>SUBTOTAL(109,Table15[Vísitalan án Eignavigtun])</f>
        <v>142548.44174317029</v>
      </c>
      <c r="I940" s="24"/>
      <c r="L940" s="34"/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Sheet2</vt:lpstr>
      <vt:lpstr>kostnaður</vt:lpstr>
      <vt:lpstr>Sheet1</vt:lpstr>
      <vt:lpstr>eignir + avö</vt:lpstr>
      <vt:lpstr>Eignir </vt:lpstr>
      <vt:lpstr>VIS01004 (2)</vt:lpstr>
      <vt:lpstr>copy</vt:lpstr>
      <vt:lpstr>Eignir  (2)</vt:lpstr>
      <vt:lpstr>Eignir  new vísitala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2023-05-08T14:17:01Z</dcterms:created>
  <dcterms:modified xsi:type="dcterms:W3CDTF">2023-05-10T16:26:54Z</dcterms:modified>
</cp:coreProperties>
</file>