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Copie de Feuille 1" sheetId="2" r:id="rId5"/>
    <sheet state="hidden" name="__Solver__" sheetId="3" r:id="rId6"/>
    <sheet state="hidden" name="__Solver___conflict1475451677" sheetId="4" r:id="rId7"/>
    <sheet state="hidden" name="__Solver___conflict1206467365" sheetId="5" r:id="rId8"/>
    <sheet state="hidden" name="__Solver___conflict978119825" sheetId="6" r:id="rId9"/>
  </sheets>
  <definedNames/>
  <calcPr/>
</workbook>
</file>

<file path=xl/sharedStrings.xml><?xml version="1.0" encoding="utf-8"?>
<sst xmlns="http://schemas.openxmlformats.org/spreadsheetml/2006/main" count="82" uniqueCount="37">
  <si>
    <t>ORBITE COPLANAIRE</t>
  </si>
  <si>
    <t>Rp</t>
  </si>
  <si>
    <t>Ra</t>
  </si>
  <si>
    <t>a</t>
  </si>
  <si>
    <t>Vp</t>
  </si>
  <si>
    <t>Va</t>
  </si>
  <si>
    <t>e</t>
  </si>
  <si>
    <t>ORBITE 1 INCLINE DE 7°</t>
  </si>
  <si>
    <t>Variable libre = inclinaison de l'orbite intermédiaire</t>
  </si>
  <si>
    <t>i en rad</t>
  </si>
  <si>
    <t>i en °</t>
  </si>
  <si>
    <t>||DV1||^2 = ||V2-V1||^2</t>
  </si>
  <si>
    <t>||DV2||^2 = ||V4-V3||^2</t>
  </si>
  <si>
    <t>Total DV =</t>
  </si>
  <si>
    <t>Colonne1</t>
  </si>
  <si>
    <t>i en deg</t>
  </si>
  <si>
    <t>a en m</t>
  </si>
  <si>
    <t>ra en m</t>
  </si>
  <si>
    <t>Va en m/s</t>
  </si>
  <si>
    <t>DV en m/s</t>
  </si>
  <si>
    <t>T en s</t>
  </si>
  <si>
    <t>I apogé en deg</t>
  </si>
  <si>
    <t>Nombre de tour</t>
  </si>
  <si>
    <t>Orbite initiale</t>
  </si>
  <si>
    <t>Orbite 1</t>
  </si>
  <si>
    <t>Orbite 2</t>
  </si>
  <si>
    <t>Orbite final</t>
  </si>
  <si>
    <t>Total</t>
  </si>
  <si>
    <t>cos theta</t>
  </si>
  <si>
    <t>20201111581431699569</t>
  </si>
  <si>
    <t>x0Q4dZoPiq4agGnkI</t>
  </si>
  <si>
    <t>Ea4HEauGqA3LuAuA</t>
  </si>
  <si>
    <t>AjNz</t>
  </si>
  <si>
    <t/>
  </si>
  <si>
    <t>201910201574247597858</t>
  </si>
  <si>
    <t>v4vbH4FqkqF4AFkFA</t>
  </si>
  <si>
    <t>MWYx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</si>
</sst>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sz val="11.0"/>
      <color rgb="FF000000"/>
      <name val="Inconsolata"/>
    </font>
    <font>
      <color rgb="FF0000FF"/>
      <name val="Arial"/>
    </font>
    <font>
      <sz val="11.0"/>
      <color rgb="FF0000FF"/>
      <name val="Arial"/>
    </font>
    <font>
      <color theme="1"/>
      <name val="Arial"/>
    </font>
    <font>
      <color rgb="FF38761D"/>
      <name val="Arial"/>
    </font>
    <font>
      <sz val="11.0"/>
      <color rgb="FF1155CC"/>
      <name val="Inconsolata"/>
    </font>
    <font>
      <color rgb="FF000000"/>
      <name val="Arial"/>
    </font>
    <font>
      <b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E7FD"/>
        <bgColor rgb="FFD9E7F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8CB5F9"/>
      </left>
      <top style="thin">
        <color rgb="FF8CB5F9"/>
      </top>
      <bottom style="thin">
        <color rgb="FF8CB5F9"/>
      </bottom>
    </border>
    <border>
      <top style="thin">
        <color rgb="FF8CB5F9"/>
      </top>
      <bottom style="thin">
        <color rgb="FF8CB5F9"/>
      </bottom>
    </border>
    <border>
      <right style="thin">
        <color rgb="FF8CB5F9"/>
      </right>
      <top style="thin">
        <color rgb="FF8CB5F9"/>
      </top>
      <bottom style="thin">
        <color rgb="FF8CB5F9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2" fontId="4" numFmtId="0" xfId="0" applyBorder="1" applyFont="1"/>
    <xf borderId="1" fillId="0" fontId="5" numFmtId="0" xfId="0" applyBorder="1" applyFont="1"/>
    <xf borderId="1" fillId="2" fontId="2" numFmtId="0" xfId="0" applyBorder="1" applyFont="1"/>
    <xf borderId="1" fillId="0" fontId="6" numFmtId="0" xfId="0" applyAlignment="1" applyBorder="1" applyFont="1">
      <alignment readingOrder="0"/>
    </xf>
    <xf borderId="0" fillId="0" fontId="5" numFmtId="0" xfId="0" applyFont="1"/>
    <xf borderId="1" fillId="0" fontId="6" numFmtId="0" xfId="0" applyBorder="1" applyFont="1"/>
    <xf borderId="0" fillId="2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7" numFmtId="0" xfId="0" applyAlignment="1" applyFont="1">
      <alignment horizontal="left"/>
    </xf>
    <xf borderId="1" fillId="0" fontId="5" numFmtId="0" xfId="0" applyAlignment="1" applyBorder="1" applyFont="1">
      <alignment readingOrder="0"/>
    </xf>
    <xf borderId="0" fillId="2" fontId="8" numFmtId="0" xfId="0" applyAlignment="1" applyFont="1">
      <alignment horizontal="right" readingOrder="0"/>
    </xf>
    <xf borderId="1" fillId="0" fontId="5" numFmtId="4" xfId="0" applyAlignment="1" applyBorder="1" applyFont="1" applyNumberFormat="1">
      <alignment readingOrder="0"/>
    </xf>
    <xf borderId="2" fillId="0" fontId="5" numFmtId="0" xfId="0" applyBorder="1" applyFont="1"/>
    <xf borderId="0" fillId="0" fontId="1" numFmtId="0" xfId="0" applyAlignment="1" applyFont="1">
      <alignment readingOrder="0"/>
    </xf>
    <xf borderId="3" fillId="3" fontId="9" numFmtId="0" xfId="0" applyAlignment="1" applyBorder="1" applyFill="1" applyFont="1">
      <alignment readingOrder="0" shrinkToFit="0" vertical="bottom" wrapText="0"/>
    </xf>
    <xf borderId="4" fillId="3" fontId="9" numFmtId="0" xfId="0" applyAlignment="1" applyBorder="1" applyFont="1">
      <alignment readingOrder="0" shrinkToFit="0" vertical="bottom" wrapText="0"/>
    </xf>
    <xf borderId="5" fillId="3" fontId="9" numFmtId="0" xfId="0" applyAlignment="1" applyBorder="1" applyFont="1">
      <alignment readingOrder="0" shrinkToFit="0" vertical="bottom" wrapText="0"/>
    </xf>
    <xf borderId="3" fillId="4" fontId="8" numFmtId="0" xfId="0" applyAlignment="1" applyBorder="1" applyFill="1" applyFont="1">
      <alignment readingOrder="0" shrinkToFit="0" vertical="bottom" wrapText="0"/>
    </xf>
    <xf borderId="4" fillId="4" fontId="8" numFmtId="0" xfId="0" applyAlignment="1" applyBorder="1" applyFont="1">
      <alignment horizontal="right" readingOrder="0" shrinkToFit="0" vertical="bottom" wrapText="0"/>
    </xf>
    <xf borderId="4" fillId="4" fontId="8" numFmtId="0" xfId="0" applyAlignment="1" applyBorder="1" applyFont="1">
      <alignment shrinkToFit="0" vertical="bottom" wrapText="0"/>
    </xf>
    <xf borderId="5" fillId="4" fontId="8" numFmtId="0" xfId="0" applyAlignment="1" applyBorder="1" applyFont="1">
      <alignment shrinkToFit="0" vertical="bottom" wrapText="0"/>
    </xf>
    <xf borderId="3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horizontal="right" readingOrder="0" shrinkToFit="0" vertical="bottom" wrapText="0"/>
    </xf>
    <xf borderId="5" fillId="0" fontId="8" numFmtId="0" xfId="0" applyAlignment="1" applyBorder="1" applyFont="1">
      <alignment horizontal="right" readingOrder="0" shrinkToFit="0" vertical="bottom" wrapText="0"/>
    </xf>
    <xf borderId="5" fillId="4" fontId="8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shrinkToFit="0" vertical="bottom" wrapText="0"/>
    </xf>
    <xf borderId="3" fillId="4" fontId="8" numFmtId="0" xfId="0" applyAlignment="1" applyBorder="1" applyFont="1">
      <alignment shrinkToFit="0" vertical="bottom" wrapText="0"/>
    </xf>
    <xf borderId="4" fillId="4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4.86"/>
    <col customWidth="1" min="10" max="10" width="27.0"/>
    <col customWidth="1" min="11" max="11" width="25.71"/>
  </cols>
  <sheetData>
    <row r="1">
      <c r="C1" s="1" t="s">
        <v>0</v>
      </c>
    </row>
    <row r="2">
      <c r="I2" s="2">
        <f>(41974.137-12533.147)/(41974.137+12533.147)</f>
        <v>0.5401294623</v>
      </c>
    </row>
    <row r="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>
      <c r="B4" s="4">
        <f t="shared" ref="B4:C4" si="1">600*10^3+6378140</f>
        <v>6978140</v>
      </c>
      <c r="C4" s="5">
        <f t="shared" si="1"/>
        <v>6978140</v>
      </c>
      <c r="D4" s="6">
        <f t="shared" ref="D4:D6" si="2">(B4+C4)/2</f>
        <v>6978140</v>
      </c>
      <c r="E4" s="6">
        <f t="shared" ref="E4:E6" si="3">SQRT(3.9860064*10^14*C4/(D4*B4))</f>
        <v>7557.865461</v>
      </c>
      <c r="F4" s="7">
        <f t="shared" ref="F4:F6" si="4">SQRT(3.9860064*10^14*B4/(D4*C4))</f>
        <v>7557.865461</v>
      </c>
      <c r="G4" s="4">
        <f t="shared" ref="G4:G6" si="5">(C4-B4)/(C4+B4)</f>
        <v>0</v>
      </c>
    </row>
    <row r="5">
      <c r="B5" s="4">
        <f>B4</f>
        <v>6978140</v>
      </c>
      <c r="C5" s="8">
        <f>42164*10^3</f>
        <v>42164000</v>
      </c>
      <c r="D5" s="6">
        <f t="shared" si="2"/>
        <v>24571070</v>
      </c>
      <c r="E5" s="6">
        <f t="shared" si="3"/>
        <v>9900.520433</v>
      </c>
      <c r="F5" s="7">
        <f t="shared" si="4"/>
        <v>1638.535662</v>
      </c>
      <c r="G5" s="6">
        <f t="shared" si="5"/>
        <v>0.7160017858</v>
      </c>
      <c r="I5" s="9">
        <f>(41974.137+12533.147)/2 *10^3</f>
        <v>27253642</v>
      </c>
      <c r="J5" s="9">
        <f>2*PI()*SQRT(I5^3 /I6)</f>
        <v>44776.2271</v>
      </c>
    </row>
    <row r="6">
      <c r="B6" s="10">
        <f>C5</f>
        <v>42164000</v>
      </c>
      <c r="C6" s="10">
        <f>C5</f>
        <v>42164000</v>
      </c>
      <c r="D6" s="6">
        <f t="shared" si="2"/>
        <v>42164000</v>
      </c>
      <c r="E6" s="6">
        <f t="shared" si="3"/>
        <v>3074.667049</v>
      </c>
      <c r="F6" s="7">
        <f t="shared" si="4"/>
        <v>3074.667049</v>
      </c>
      <c r="G6" s="10">
        <f t="shared" si="5"/>
        <v>0</v>
      </c>
      <c r="I6" s="11">
        <f>3.98601*10^14</f>
        <v>398601000000000</v>
      </c>
      <c r="J6" s="9">
        <f>J5/(60*24)</f>
        <v>31.09460215</v>
      </c>
    </row>
    <row r="7">
      <c r="J7" s="9">
        <f>J6/365.25</f>
        <v>0.08513238098</v>
      </c>
    </row>
    <row r="8">
      <c r="C8" s="1" t="s">
        <v>7</v>
      </c>
    </row>
    <row r="9">
      <c r="B9" s="12" t="s">
        <v>8</v>
      </c>
      <c r="I9" s="13">
        <f>VALUE(SUBSTITUTE(H13 , "." , ","))*180/PI()</f>
        <v>6.316832648</v>
      </c>
    </row>
    <row r="11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9</v>
      </c>
      <c r="I11" s="3" t="s">
        <v>10</v>
      </c>
      <c r="J11" s="3" t="s">
        <v>11</v>
      </c>
      <c r="K11" s="3" t="s">
        <v>12</v>
      </c>
    </row>
    <row r="12">
      <c r="B12" s="4">
        <f t="shared" ref="B12:C12" si="6">600*10^3+6378140</f>
        <v>6978140</v>
      </c>
      <c r="C12" s="5">
        <f t="shared" si="6"/>
        <v>6978140</v>
      </c>
      <c r="D12" s="6">
        <f t="shared" ref="D12:D14" si="7">(B12+C12)/2</f>
        <v>6978140</v>
      </c>
      <c r="E12" s="6">
        <f t="shared" ref="E12:E14" si="8">SQRT(3.9860064*10^14*C12/(D12*B12))</f>
        <v>7557.865461</v>
      </c>
      <c r="F12" s="7">
        <f t="shared" ref="F12:F14" si="9">SQRT(3.9860064*10^14*B12/(D12*C12))</f>
        <v>7557.865461</v>
      </c>
      <c r="G12" s="4">
        <f t="shared" ref="G12:G14" si="10">(C12-B12)/(C12+B12)</f>
        <v>0</v>
      </c>
      <c r="H12" s="14">
        <f>I12*PI()/180</f>
        <v>0.1221730476</v>
      </c>
      <c r="I12" s="14">
        <v>7.0</v>
      </c>
      <c r="J12" s="6"/>
      <c r="K12" s="6"/>
    </row>
    <row r="13">
      <c r="B13" s="4">
        <f>B12</f>
        <v>6978140</v>
      </c>
      <c r="C13" s="8">
        <f>42164*10^3</f>
        <v>42164000</v>
      </c>
      <c r="D13" s="6">
        <f t="shared" si="7"/>
        <v>24571070</v>
      </c>
      <c r="E13" s="6">
        <f t="shared" si="8"/>
        <v>9900.520433</v>
      </c>
      <c r="F13" s="7">
        <f t="shared" si="9"/>
        <v>1638.535662</v>
      </c>
      <c r="G13" s="6">
        <f t="shared" si="10"/>
        <v>0.7160017858</v>
      </c>
      <c r="H13" s="15">
        <v>0.110249527961423</v>
      </c>
      <c r="I13" s="16">
        <f>I9</f>
        <v>6.316832648</v>
      </c>
      <c r="J13" s="6">
        <f>SQRT(E$13^2+F$12^2-2*E$13*F$12*COS(H$13-H$12))</f>
        <v>2344.924379</v>
      </c>
      <c r="K13" s="6"/>
    </row>
    <row r="14">
      <c r="B14" s="10">
        <f>C13</f>
        <v>42164000</v>
      </c>
      <c r="C14" s="10">
        <f>C13</f>
        <v>42164000</v>
      </c>
      <c r="D14" s="6">
        <f t="shared" si="7"/>
        <v>42164000</v>
      </c>
      <c r="E14" s="6">
        <f t="shared" si="8"/>
        <v>3074.667049</v>
      </c>
      <c r="F14" s="7">
        <f t="shared" si="9"/>
        <v>3074.667049</v>
      </c>
      <c r="G14" s="10">
        <f t="shared" si="10"/>
        <v>0</v>
      </c>
      <c r="H14" s="14">
        <f>I14*PI()/180</f>
        <v>0</v>
      </c>
      <c r="I14" s="14">
        <v>0.0</v>
      </c>
      <c r="J14" s="6"/>
      <c r="K14" s="6">
        <f>SQRT(E$14^2+F$13^2-2*E$14*F$13*COS(H$13))</f>
        <v>1457.273979</v>
      </c>
    </row>
    <row r="15">
      <c r="J15" s="17"/>
    </row>
    <row r="16">
      <c r="C16" s="18" t="s">
        <v>13</v>
      </c>
      <c r="D16" s="9">
        <f>J$13+K$14</f>
        <v>3802.198358</v>
      </c>
    </row>
    <row r="20">
      <c r="B20" s="19" t="s">
        <v>14</v>
      </c>
      <c r="C20" s="20" t="s">
        <v>15</v>
      </c>
      <c r="D20" s="20" t="s">
        <v>9</v>
      </c>
      <c r="E20" s="20" t="s">
        <v>16</v>
      </c>
      <c r="F20" s="20" t="s">
        <v>17</v>
      </c>
      <c r="G20" s="20" t="s">
        <v>18</v>
      </c>
      <c r="H20" s="20" t="s">
        <v>19</v>
      </c>
      <c r="I20" s="20" t="s">
        <v>20</v>
      </c>
      <c r="J20" s="20" t="s">
        <v>21</v>
      </c>
      <c r="K20" s="21" t="s">
        <v>22</v>
      </c>
    </row>
    <row r="21">
      <c r="B21" s="22" t="s">
        <v>23</v>
      </c>
      <c r="C21" s="23">
        <v>7.0</v>
      </c>
      <c r="D21" s="23">
        <f t="shared" ref="D21:D23" si="11">C21*PI()/180</f>
        <v>0.1221730476</v>
      </c>
      <c r="E21" s="23">
        <v>2.4571159E7</v>
      </c>
      <c r="F21" s="23">
        <v>4.216417826E7</v>
      </c>
      <c r="G21" s="23">
        <f>SQRT((3.9860064*10^14/E21)*((2*E21 - F21)/F21))</f>
        <v>1638.5292</v>
      </c>
      <c r="H21" s="24"/>
      <c r="I21" s="24"/>
      <c r="J21" s="24"/>
      <c r="K21" s="25"/>
    </row>
    <row r="22">
      <c r="B22" s="26" t="s">
        <v>24</v>
      </c>
      <c r="C22" s="27">
        <f>C21-180/PI()*ASIN(SIN(PI()-ACOS($C$26))/G22*H22)</f>
        <v>1.414430547</v>
      </c>
      <c r="D22" s="23">
        <f t="shared" si="11"/>
        <v>0.02468647008</v>
      </c>
      <c r="E22" s="27">
        <f t="shared" ref="E22:E23" si="12">(3.9860064*10^14*F22)/(2*(3.9860064*10^14)-F22*G22^2)</f>
        <v>32934091.71</v>
      </c>
      <c r="F22" s="27">
        <v>4.216417826E7</v>
      </c>
      <c r="G22" s="27">
        <f>(G21^2 + H22^2 +2*G21*H22*C26)^(0.5)</f>
        <v>2608.466098</v>
      </c>
      <c r="H22" s="27">
        <v>990.638384349249</v>
      </c>
      <c r="I22" s="27">
        <f t="shared" ref="I22:I24" si="13"> 2*3.141592653*SQRT((E22^3)/398600640000000)</f>
        <v>59481.15707</v>
      </c>
      <c r="J22" s="27">
        <v>0.0</v>
      </c>
      <c r="K22" s="28">
        <v>2.0</v>
      </c>
    </row>
    <row r="23">
      <c r="B23" s="22" t="s">
        <v>25</v>
      </c>
      <c r="C23" s="27">
        <f>C21-180/PI()*ASIN(SIN(PI()-ACOS($C$26))/G23*(H22+H23))</f>
        <v>0.5954044007</v>
      </c>
      <c r="D23" s="23">
        <f t="shared" si="11"/>
        <v>0.01039176717</v>
      </c>
      <c r="E23" s="23">
        <f t="shared" si="12"/>
        <v>37143650.91</v>
      </c>
      <c r="F23" s="23">
        <v>4.216417826E7</v>
      </c>
      <c r="G23" s="23">
        <f>(G21^2 + (H22 + H23)^2 +2*G21*(H22+H23)*C26)^(0.5)</f>
        <v>2859.326604</v>
      </c>
      <c r="H23" s="23">
        <v>253.879926778913</v>
      </c>
      <c r="I23" s="27">
        <f t="shared" si="13"/>
        <v>71242.27113</v>
      </c>
      <c r="J23" s="23">
        <f t="shared" ref="J23:J24" si="14">MOD(J22+I22/$I$24*360*K22,360)</f>
        <v>137.0334015</v>
      </c>
      <c r="K23" s="29">
        <v>3.0</v>
      </c>
    </row>
    <row r="24">
      <c r="B24" s="26" t="s">
        <v>26</v>
      </c>
      <c r="C24" s="30">
        <v>0.0</v>
      </c>
      <c r="D24" s="30">
        <v>0.0</v>
      </c>
      <c r="E24" s="27">
        <v>4.2164178E7</v>
      </c>
      <c r="F24" s="27">
        <v>4.216417826E7</v>
      </c>
      <c r="G24" s="27">
        <f>SQRT((3.9860064*10^14/E24)*((2*E24 - F24)/F24))</f>
        <v>3074.66054</v>
      </c>
      <c r="H24" s="27">
        <f> H25 - H23 - H22</f>
        <v>217.5266889</v>
      </c>
      <c r="I24" s="27">
        <f t="shared" si="13"/>
        <v>86164.09474</v>
      </c>
      <c r="J24" s="23">
        <f t="shared" si="14"/>
        <v>309.999933</v>
      </c>
      <c r="K24" s="31"/>
    </row>
    <row r="25">
      <c r="B25" s="32"/>
      <c r="C25" s="24"/>
      <c r="D25" s="24"/>
      <c r="E25" s="24"/>
      <c r="F25" s="24"/>
      <c r="G25" s="33" t="s">
        <v>27</v>
      </c>
      <c r="H25" s="23">
        <v>1462.045</v>
      </c>
      <c r="I25" s="24"/>
      <c r="J25" s="24"/>
      <c r="K25" s="25"/>
    </row>
    <row r="26">
      <c r="B26" s="34" t="s">
        <v>28</v>
      </c>
      <c r="C26" s="35">
        <f>(G24^2 - G21^2 - H25^2)/(2*G21*H25)</f>
        <v>0.9666007034</v>
      </c>
      <c r="D26" s="36"/>
      <c r="E26" s="36"/>
      <c r="F26" s="36"/>
      <c r="G26" s="36"/>
      <c r="H26" s="36"/>
      <c r="I26" s="36"/>
      <c r="J26" s="36"/>
      <c r="K26" s="36"/>
    </row>
  </sheetData>
  <mergeCells count="3">
    <mergeCell ref="C1:F1"/>
    <mergeCell ref="C8:F8"/>
    <mergeCell ref="B9: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4.86"/>
    <col customWidth="1" min="10" max="10" width="27.0"/>
    <col customWidth="1" min="11" max="11" width="25.71"/>
  </cols>
  <sheetData>
    <row r="1">
      <c r="C1" s="1" t="s">
        <v>0</v>
      </c>
    </row>
    <row r="2">
      <c r="I2" s="2">
        <f>(41974.137-12533.147)/(41974.137+12533.147)</f>
        <v>0.5401294623</v>
      </c>
    </row>
    <row r="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>
      <c r="B4" s="4">
        <f t="shared" ref="B4:C4" si="1">600*10^3+6378140</f>
        <v>6978140</v>
      </c>
      <c r="C4" s="5">
        <f t="shared" si="1"/>
        <v>6978140</v>
      </c>
      <c r="D4" s="6">
        <f t="shared" ref="D4:D6" si="2">(B4+C4)/2</f>
        <v>6978140</v>
      </c>
      <c r="E4" s="6">
        <f t="shared" ref="E4:E6" si="3">SQRT(3.9860064*10^14*C4/(D4*B4))</f>
        <v>7557.865461</v>
      </c>
      <c r="F4" s="7">
        <f t="shared" ref="F4:F6" si="4">SQRT(3.9860064*10^14*B4/(D4*C4))</f>
        <v>7557.865461</v>
      </c>
      <c r="G4" s="4">
        <f t="shared" ref="G4:G6" si="5">(C4-B4)/(C4+B4)</f>
        <v>0</v>
      </c>
    </row>
    <row r="5">
      <c r="B5" s="4">
        <f>B4</f>
        <v>6978140</v>
      </c>
      <c r="C5" s="8">
        <f>42164*10^3</f>
        <v>42164000</v>
      </c>
      <c r="D5" s="6">
        <f t="shared" si="2"/>
        <v>24571070</v>
      </c>
      <c r="E5" s="6">
        <f t="shared" si="3"/>
        <v>9900.520433</v>
      </c>
      <c r="F5" s="7">
        <f t="shared" si="4"/>
        <v>1638.535662</v>
      </c>
      <c r="G5" s="6">
        <f t="shared" si="5"/>
        <v>0.7160017858</v>
      </c>
      <c r="I5" s="9">
        <f>(41974.137+12533.147)/2 *10^3</f>
        <v>27253642</v>
      </c>
      <c r="J5" s="9">
        <f>2*PI()*SQRT(I5^3 /I6)</f>
        <v>44776.2271</v>
      </c>
    </row>
    <row r="6">
      <c r="B6" s="10">
        <f>C5</f>
        <v>42164000</v>
      </c>
      <c r="C6" s="10">
        <f>C5</f>
        <v>42164000</v>
      </c>
      <c r="D6" s="6">
        <f t="shared" si="2"/>
        <v>42164000</v>
      </c>
      <c r="E6" s="6">
        <f t="shared" si="3"/>
        <v>3074.667049</v>
      </c>
      <c r="F6" s="7">
        <f t="shared" si="4"/>
        <v>3074.667049</v>
      </c>
      <c r="G6" s="10">
        <f t="shared" si="5"/>
        <v>0</v>
      </c>
      <c r="I6" s="11">
        <f>3.98601*10^14</f>
        <v>398601000000000</v>
      </c>
      <c r="J6" s="9">
        <f>J5/(60*60)</f>
        <v>12.43784086</v>
      </c>
    </row>
    <row r="7">
      <c r="J7" s="9">
        <f>J6/365.25</f>
        <v>0.03405295239</v>
      </c>
    </row>
    <row r="8">
      <c r="C8" s="1" t="s">
        <v>7</v>
      </c>
    </row>
    <row r="9">
      <c r="B9" s="12" t="s">
        <v>8</v>
      </c>
      <c r="I9" s="13">
        <f>VALUE(SUBSTITUTE(H13 , "." , ","))*180/PI()</f>
        <v>15.38637396</v>
      </c>
    </row>
    <row r="11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9</v>
      </c>
      <c r="I11" s="3" t="s">
        <v>10</v>
      </c>
      <c r="J11" s="3" t="s">
        <v>11</v>
      </c>
      <c r="K11" s="3" t="s">
        <v>12</v>
      </c>
    </row>
    <row r="12">
      <c r="B12" s="37">
        <f>12533137+600000</f>
        <v>13133137</v>
      </c>
      <c r="C12" s="5">
        <f>B12</f>
        <v>13133137</v>
      </c>
      <c r="D12" s="6">
        <f t="shared" ref="D12:D14" si="6">(B12+C12)/2</f>
        <v>13133137</v>
      </c>
      <c r="E12" s="6">
        <f t="shared" ref="E12:E14" si="7">SQRT(3.9860064*10^14*C12/(D12*B12))</f>
        <v>5509.152045</v>
      </c>
      <c r="F12" s="7">
        <f t="shared" ref="F12:F14" si="8">SQRT(3.9860064*10^14*B12/(D12*C12))</f>
        <v>5509.152045</v>
      </c>
      <c r="G12" s="4">
        <f t="shared" ref="G12:G14" si="9">(C12-B12)/(C12+B12)</f>
        <v>0</v>
      </c>
      <c r="H12" s="14">
        <f>I12*PI()/180</f>
        <v>0.3211405824</v>
      </c>
      <c r="I12" s="14">
        <v>18.4</v>
      </c>
      <c r="J12" s="6"/>
      <c r="K12" s="6"/>
    </row>
    <row r="13">
      <c r="B13" s="4">
        <f>B12</f>
        <v>13133137</v>
      </c>
      <c r="C13" s="8">
        <v>4.1974137E7</v>
      </c>
      <c r="D13" s="6">
        <f t="shared" si="6"/>
        <v>27553637</v>
      </c>
      <c r="E13" s="6">
        <f t="shared" si="7"/>
        <v>6799.644071</v>
      </c>
      <c r="F13" s="7">
        <f t="shared" si="8"/>
        <v>2127.516216</v>
      </c>
      <c r="G13" s="6">
        <f t="shared" si="9"/>
        <v>0.5233610358</v>
      </c>
      <c r="H13" s="15">
        <v>0.268542885544894</v>
      </c>
      <c r="I13" s="16">
        <f>I9</f>
        <v>15.38637396</v>
      </c>
      <c r="J13" s="6">
        <f>SQRT(E$13^2+F$12^2-2*E$13*F$12*COS(H$13-H$12))</f>
        <v>1330.030183</v>
      </c>
      <c r="K13" s="6"/>
    </row>
    <row r="14">
      <c r="B14" s="10">
        <f>C13</f>
        <v>41974137</v>
      </c>
      <c r="C14" s="10">
        <f>C13</f>
        <v>41974137</v>
      </c>
      <c r="D14" s="6">
        <f t="shared" si="6"/>
        <v>41974137</v>
      </c>
      <c r="E14" s="6">
        <f t="shared" si="7"/>
        <v>3081.613074</v>
      </c>
      <c r="F14" s="7">
        <f t="shared" si="8"/>
        <v>3081.613074</v>
      </c>
      <c r="G14" s="10">
        <f t="shared" si="9"/>
        <v>0</v>
      </c>
      <c r="H14" s="14">
        <f>I14*PI()/180</f>
        <v>0</v>
      </c>
      <c r="I14" s="14">
        <v>0.0</v>
      </c>
      <c r="J14" s="6"/>
      <c r="K14" s="6">
        <f>SQRT(E$14^2+F$13^2-2*E$14*F$13*COS(H$13))</f>
        <v>1174.847727</v>
      </c>
    </row>
    <row r="15">
      <c r="J15" s="17"/>
    </row>
    <row r="16">
      <c r="C16" s="18" t="s">
        <v>13</v>
      </c>
      <c r="D16" s="9">
        <f>J$13+K$14</f>
        <v>2504.87791</v>
      </c>
    </row>
    <row r="20">
      <c r="B20" s="19" t="s">
        <v>14</v>
      </c>
      <c r="C20" s="20" t="s">
        <v>15</v>
      </c>
      <c r="D20" s="20" t="s">
        <v>9</v>
      </c>
      <c r="E20" s="20" t="s">
        <v>16</v>
      </c>
      <c r="F20" s="20" t="s">
        <v>17</v>
      </c>
      <c r="G20" s="20" t="s">
        <v>18</v>
      </c>
      <c r="H20" s="20" t="s">
        <v>19</v>
      </c>
      <c r="I20" s="20" t="s">
        <v>20</v>
      </c>
      <c r="J20" s="20" t="s">
        <v>21</v>
      </c>
      <c r="K20" s="21" t="s">
        <v>22</v>
      </c>
    </row>
    <row r="21">
      <c r="B21" s="22" t="s">
        <v>23</v>
      </c>
      <c r="C21" s="23">
        <v>7.0</v>
      </c>
      <c r="D21" s="23">
        <f t="shared" ref="D21:D23" si="10">C21*PI()/180</f>
        <v>0.1221730476</v>
      </c>
      <c r="E21" s="23">
        <v>2.4571159E7</v>
      </c>
      <c r="F21" s="23">
        <v>4.216417826E7</v>
      </c>
      <c r="G21" s="23">
        <f>SQRT((3.9860064*10^14/E21)*((2*E21 - F21)/F21))</f>
        <v>1638.5292</v>
      </c>
      <c r="H21" s="24"/>
      <c r="I21" s="24"/>
      <c r="J21" s="24"/>
      <c r="K21" s="25"/>
    </row>
    <row r="22">
      <c r="B22" s="26" t="s">
        <v>24</v>
      </c>
      <c r="C22" s="27">
        <f>C21-180/PI()*ASIN(SIN(PI()-ACOS($C$26))/G22*H22)</f>
        <v>1.414430547</v>
      </c>
      <c r="D22" s="23">
        <f t="shared" si="10"/>
        <v>0.02468647008</v>
      </c>
      <c r="E22" s="27">
        <f t="shared" ref="E22:E23" si="11">(3.9860064*10^14*F22)/(2*(3.9860064*10^14)-F22*G22^2)</f>
        <v>32934091.71</v>
      </c>
      <c r="F22" s="27">
        <v>4.216417826E7</v>
      </c>
      <c r="G22" s="27">
        <f>(G21^2 + H22^2 +2*G21*H22*C26)^(0.5)</f>
        <v>2608.466098</v>
      </c>
      <c r="H22" s="27">
        <v>990.638384349249</v>
      </c>
      <c r="I22" s="27">
        <f t="shared" ref="I22:I24" si="12"> 2*3.141592653*SQRT((E22^3)/398600640000000)</f>
        <v>59481.15707</v>
      </c>
      <c r="J22" s="27">
        <v>0.0</v>
      </c>
      <c r="K22" s="28">
        <v>2.0</v>
      </c>
    </row>
    <row r="23">
      <c r="B23" s="22" t="s">
        <v>25</v>
      </c>
      <c r="C23" s="27">
        <f>C21-180/PI()*ASIN(SIN(PI()-ACOS($C$26))/G23*(H22+H23))</f>
        <v>0.5954044007</v>
      </c>
      <c r="D23" s="23">
        <f t="shared" si="10"/>
        <v>0.01039176717</v>
      </c>
      <c r="E23" s="23">
        <f t="shared" si="11"/>
        <v>37143650.91</v>
      </c>
      <c r="F23" s="23">
        <v>4.216417826E7</v>
      </c>
      <c r="G23" s="23">
        <f>(G21^2 + (H22 + H23)^2 +2*G21*(H22+H23)*C26)^(0.5)</f>
        <v>2859.326604</v>
      </c>
      <c r="H23" s="23">
        <v>253.879926778913</v>
      </c>
      <c r="I23" s="27">
        <f t="shared" si="12"/>
        <v>71242.27113</v>
      </c>
      <c r="J23" s="23">
        <f t="shared" ref="J23:J24" si="13">MOD(J22+I22/$I$24*360*K22,360)</f>
        <v>137.0334015</v>
      </c>
      <c r="K23" s="29">
        <v>3.0</v>
      </c>
    </row>
    <row r="24">
      <c r="B24" s="26" t="s">
        <v>26</v>
      </c>
      <c r="C24" s="30">
        <v>0.0</v>
      </c>
      <c r="D24" s="30">
        <v>0.0</v>
      </c>
      <c r="E24" s="27">
        <v>4.2164178E7</v>
      </c>
      <c r="F24" s="27">
        <v>4.216417826E7</v>
      </c>
      <c r="G24" s="27">
        <f>SQRT((3.9860064*10^14/E24)*((2*E24 - F24)/F24))</f>
        <v>3074.66054</v>
      </c>
      <c r="H24" s="27">
        <f> H25 - H23 - H22</f>
        <v>217.5266889</v>
      </c>
      <c r="I24" s="27">
        <f t="shared" si="12"/>
        <v>86164.09474</v>
      </c>
      <c r="J24" s="23">
        <f t="shared" si="13"/>
        <v>309.999933</v>
      </c>
      <c r="K24" s="31"/>
    </row>
    <row r="25">
      <c r="B25" s="32"/>
      <c r="C25" s="24"/>
      <c r="D25" s="24"/>
      <c r="E25" s="24"/>
      <c r="F25" s="24"/>
      <c r="G25" s="33" t="s">
        <v>27</v>
      </c>
      <c r="H25" s="23">
        <v>1462.045</v>
      </c>
      <c r="I25" s="24"/>
      <c r="J25" s="24"/>
      <c r="K25" s="25"/>
    </row>
    <row r="26">
      <c r="B26" s="34" t="s">
        <v>28</v>
      </c>
      <c r="C26" s="35">
        <f>(G24^2 - G21^2 - H25^2)/(2*G21*H25)</f>
        <v>0.9666007034</v>
      </c>
      <c r="D26" s="36"/>
      <c r="E26" s="36"/>
      <c r="F26" s="36"/>
      <c r="G26" s="36"/>
      <c r="H26" s="36"/>
      <c r="I26" s="36"/>
      <c r="J26" s="36"/>
      <c r="K26" s="36"/>
    </row>
  </sheetData>
  <mergeCells count="3">
    <mergeCell ref="C1:F1"/>
    <mergeCell ref="C8:F8"/>
    <mergeCell ref="B9:D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29</v>
      </c>
      <c r="C1" s="38" t="s">
        <v>30</v>
      </c>
      <c r="D1" s="38" t="s">
        <v>31</v>
      </c>
      <c r="I1" s="39">
        <v>1.0</v>
      </c>
    </row>
    <row r="2">
      <c r="A2" s="9" t="b">
        <f>'Feuille 1'!J24=310</f>
        <v>0</v>
      </c>
      <c r="B2" s="9">
        <f>Min('Copie de Feuille 1'!D16)</f>
        <v>2504.87791</v>
      </c>
    </row>
    <row r="3">
      <c r="A3" s="9" t="str">
        <f>'Feuille 1'!H22,H23</f>
        <v>#ERROR!</v>
      </c>
      <c r="B3" s="9">
        <f>'Copie de Feuille 1'!H13</f>
        <v>0.2685428855</v>
      </c>
    </row>
    <row r="4">
      <c r="A4" s="38" t="s">
        <v>32</v>
      </c>
      <c r="B4" s="38" t="s">
        <v>32</v>
      </c>
    </row>
    <row r="6">
      <c r="A6" s="38" t="s">
        <v>33</v>
      </c>
      <c r="B6" s="38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34</v>
      </c>
      <c r="D1" s="38" t="s">
        <v>35</v>
      </c>
    </row>
    <row r="4">
      <c r="A4" s="38" t="s">
        <v>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