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Year\Wind Energy\Assignment 2\Code and Spreadsheets\"/>
    </mc:Choice>
  </mc:AlternateContent>
  <xr:revisionPtr revIDLastSave="0" documentId="13_ncr:1_{1216D87C-C6AE-4396-AEEE-8BDA56B56F7B}" xr6:coauthVersionLast="47" xr6:coauthVersionMax="47" xr10:uidLastSave="{00000000-0000-0000-0000-000000000000}"/>
  <bookViews>
    <workbookView xWindow="-120" yWindow="-120" windowWidth="29040" windowHeight="15720" activeTab="2" xr2:uid="{743E0BF9-B592-4CCB-B458-C093073B9289}"/>
  </bookViews>
  <sheets>
    <sheet name="M2" sheetId="1" r:id="rId1"/>
    <sheet name="M4" sheetId="2" r:id="rId2"/>
    <sheet name="Hub Height 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C15" i="3"/>
  <c r="B15" i="3"/>
  <c r="G4" i="3"/>
  <c r="G3" i="3"/>
  <c r="H3" i="3"/>
  <c r="I3" i="3" s="1"/>
  <c r="H4" i="3"/>
  <c r="I4" i="3" s="1"/>
  <c r="D23" i="2"/>
  <c r="E23" i="2"/>
  <c r="G23" i="2"/>
  <c r="H23" i="2"/>
  <c r="J23" i="2"/>
  <c r="J22" i="2"/>
  <c r="E22" i="2"/>
  <c r="D22" i="2"/>
  <c r="J21" i="2"/>
  <c r="E21" i="2"/>
  <c r="D21" i="2"/>
  <c r="J20" i="2"/>
  <c r="E20" i="2"/>
  <c r="D20" i="2"/>
  <c r="J19" i="2"/>
  <c r="E19" i="2"/>
  <c r="D19" i="2"/>
  <c r="J18" i="2"/>
  <c r="E18" i="2"/>
  <c r="D18" i="2"/>
  <c r="J17" i="2"/>
  <c r="E17" i="2"/>
  <c r="D17" i="2"/>
  <c r="J16" i="2"/>
  <c r="E16" i="2"/>
  <c r="D16" i="2"/>
  <c r="J15" i="2"/>
  <c r="E15" i="2"/>
  <c r="D15" i="2"/>
  <c r="J14" i="2"/>
  <c r="E14" i="2"/>
  <c r="D14" i="2"/>
  <c r="J13" i="2"/>
  <c r="E13" i="2"/>
  <c r="D13" i="2"/>
  <c r="J12" i="2"/>
  <c r="E12" i="2"/>
  <c r="D12" i="2"/>
  <c r="J11" i="2"/>
  <c r="E11" i="2"/>
  <c r="D11" i="2"/>
  <c r="J10" i="2"/>
  <c r="E10" i="2"/>
  <c r="D10" i="2"/>
  <c r="J9" i="2"/>
  <c r="E9" i="2"/>
  <c r="D9" i="2"/>
  <c r="J8" i="2"/>
  <c r="E8" i="2"/>
  <c r="D8" i="2"/>
  <c r="J7" i="2"/>
  <c r="E7" i="2"/>
  <c r="D7" i="2"/>
  <c r="J6" i="2"/>
  <c r="E6" i="2"/>
  <c r="D6" i="2"/>
  <c r="J5" i="2"/>
  <c r="F5" i="2"/>
  <c r="E5" i="2"/>
  <c r="D5" i="2"/>
  <c r="J4" i="2"/>
  <c r="E4" i="2"/>
  <c r="D4" i="2"/>
  <c r="J3" i="2"/>
  <c r="E3" i="2"/>
  <c r="D3" i="2"/>
  <c r="J2" i="2"/>
  <c r="E2" i="2"/>
  <c r="D2" i="2"/>
  <c r="K2" i="1"/>
  <c r="F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G3" i="1"/>
  <c r="H3" i="1" s="1"/>
  <c r="G4" i="1"/>
  <c r="H4" i="1" s="1"/>
  <c r="G5" i="1"/>
  <c r="H5" i="1" s="1"/>
  <c r="G6" i="1"/>
  <c r="H6" i="1" s="1"/>
  <c r="G7" i="1"/>
  <c r="G8" i="1"/>
  <c r="G9" i="1"/>
  <c r="G10" i="1"/>
  <c r="H10" i="1" s="1"/>
  <c r="G11" i="1"/>
  <c r="H11" i="1" s="1"/>
  <c r="G12" i="1"/>
  <c r="G13" i="1"/>
  <c r="G14" i="1"/>
  <c r="G15" i="1"/>
  <c r="H15" i="1" s="1"/>
  <c r="G16" i="1"/>
  <c r="H16" i="1" s="1"/>
  <c r="G17" i="1"/>
  <c r="H17" i="1" s="1"/>
  <c r="G18" i="1"/>
  <c r="H18" i="1" s="1"/>
  <c r="G19" i="1"/>
  <c r="G20" i="1"/>
  <c r="G21" i="1"/>
  <c r="G22" i="1"/>
  <c r="H22" i="1" s="1"/>
  <c r="G2" i="1"/>
  <c r="H7" i="1"/>
  <c r="H8" i="1"/>
  <c r="H9" i="1"/>
  <c r="H12" i="1"/>
  <c r="H13" i="1"/>
  <c r="H14" i="1"/>
  <c r="H19" i="1"/>
  <c r="H20" i="1"/>
  <c r="H21" i="1"/>
  <c r="H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B11" i="3" l="1"/>
  <c r="C11" i="3"/>
  <c r="F2" i="2"/>
  <c r="G12" i="2" s="1"/>
  <c r="H12" i="2" s="1"/>
  <c r="K2" i="2"/>
  <c r="I2" i="1"/>
  <c r="G9" i="2" l="1"/>
  <c r="H9" i="2" s="1"/>
  <c r="G11" i="2"/>
  <c r="H11" i="2" s="1"/>
  <c r="G21" i="2"/>
  <c r="H21" i="2" s="1"/>
  <c r="G5" i="2"/>
  <c r="H5" i="2" s="1"/>
  <c r="G4" i="2"/>
  <c r="H4" i="2" s="1"/>
  <c r="G17" i="2"/>
  <c r="H17" i="2" s="1"/>
  <c r="G3" i="2"/>
  <c r="H3" i="2" s="1"/>
  <c r="G10" i="2"/>
  <c r="H10" i="2" s="1"/>
  <c r="G22" i="2"/>
  <c r="H22" i="2" s="1"/>
  <c r="G15" i="2"/>
  <c r="H15" i="2" s="1"/>
  <c r="G7" i="2"/>
  <c r="H7" i="2" s="1"/>
  <c r="G19" i="2"/>
  <c r="H19" i="2" s="1"/>
  <c r="G6" i="2"/>
  <c r="H6" i="2" s="1"/>
  <c r="G13" i="2"/>
  <c r="H13" i="2" s="1"/>
  <c r="G2" i="2"/>
  <c r="H2" i="2" s="1"/>
  <c r="G18" i="2"/>
  <c r="H18" i="2" s="1"/>
  <c r="G8" i="2"/>
  <c r="H8" i="2" s="1"/>
  <c r="G16" i="2"/>
  <c r="H16" i="2" s="1"/>
  <c r="G20" i="2"/>
  <c r="H20" i="2" s="1"/>
  <c r="G14" i="2"/>
  <c r="H14" i="2" s="1"/>
  <c r="I2" i="2" l="1"/>
</calcChain>
</file>

<file path=xl/sharedStrings.xml><?xml version="1.0" encoding="utf-8"?>
<sst xmlns="http://schemas.openxmlformats.org/spreadsheetml/2006/main" count="47" uniqueCount="34">
  <si>
    <t>U</t>
  </si>
  <si>
    <t>m*f</t>
  </si>
  <si>
    <t>midpoint</t>
  </si>
  <si>
    <t>freq</t>
  </si>
  <si>
    <t>m^2*f</t>
  </si>
  <si>
    <t>(m-U)^2</t>
  </si>
  <si>
    <t>n(m-U)^2</t>
  </si>
  <si>
    <t>STD Dev</t>
  </si>
  <si>
    <t>m^3 f</t>
  </si>
  <si>
    <t>P/A</t>
  </si>
  <si>
    <t>Freq Sum</t>
  </si>
  <si>
    <t>Hellman Coefficient</t>
  </si>
  <si>
    <t>Location</t>
  </si>
  <si>
    <t>Open Sea Shoreline</t>
  </si>
  <si>
    <t>U ref</t>
  </si>
  <si>
    <t>Href</t>
  </si>
  <si>
    <t>Hhub</t>
  </si>
  <si>
    <t>Uhub</t>
  </si>
  <si>
    <t>Density</t>
  </si>
  <si>
    <t>Betz Limit</t>
  </si>
  <si>
    <t>Max Obtainable P/A (W/m)</t>
  </si>
  <si>
    <t>Hhub/Href</t>
  </si>
  <si>
    <t>Rayleigh</t>
  </si>
  <si>
    <t>k</t>
  </si>
  <si>
    <t>c</t>
  </si>
  <si>
    <t>Weibull</t>
  </si>
  <si>
    <t>M2</t>
  </si>
  <si>
    <t>M4</t>
  </si>
  <si>
    <t>c (m/s)</t>
  </si>
  <si>
    <t>cut out</t>
  </si>
  <si>
    <t>4m/s</t>
  </si>
  <si>
    <t>%Time Above Cut Out</t>
  </si>
  <si>
    <t>Pw(u)</t>
  </si>
  <si>
    <t>Average Wind Machine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</si>
</sst>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2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C1C0-52CE-49DA-9259-2E14CCDC4686}">
  <dimension ref="B1:K23"/>
  <sheetViews>
    <sheetView topLeftCell="B1" workbookViewId="0">
      <selection activeCell="F28" sqref="F28"/>
    </sheetView>
  </sheetViews>
  <sheetFormatPr defaultRowHeight="15" x14ac:dyDescent="0.25"/>
  <cols>
    <col min="4" max="4" width="9.5703125" bestFit="1" customWidth="1"/>
    <col min="5" max="5" width="12.5703125" bestFit="1" customWidth="1"/>
    <col min="6" max="7" width="9.5703125" bestFit="1" customWidth="1"/>
    <col min="8" max="8" width="10.5703125" bestFit="1" customWidth="1"/>
    <col min="9" max="9" width="9.5703125" bestFit="1" customWidth="1"/>
    <col min="10" max="10" width="11.5703125" bestFit="1" customWidth="1"/>
    <col min="11" max="11" width="9.5703125" bestFit="1" customWidth="1"/>
  </cols>
  <sheetData>
    <row r="1" spans="2:11" x14ac:dyDescent="0.25">
      <c r="B1" s="8" t="s">
        <v>2</v>
      </c>
      <c r="C1" s="8" t="s">
        <v>3</v>
      </c>
      <c r="D1" s="8" t="s">
        <v>1</v>
      </c>
      <c r="E1" s="8" t="s">
        <v>4</v>
      </c>
      <c r="F1" s="8" t="s">
        <v>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</row>
    <row r="2" spans="2:11" x14ac:dyDescent="0.25">
      <c r="B2" s="5">
        <v>0.5</v>
      </c>
      <c r="C2" s="5">
        <v>61</v>
      </c>
      <c r="D2" s="9">
        <f>(C2*B2)</f>
        <v>30.5</v>
      </c>
      <c r="E2" s="9">
        <f>((C2^2)*B2)</f>
        <v>1860.5</v>
      </c>
      <c r="F2" s="6">
        <f>SUM($D$2:$D$22)/SUM($C$2:$C$22)</f>
        <v>7.6364326597360117</v>
      </c>
      <c r="G2" s="12">
        <f>(B2-$F$2)^2</f>
        <v>50.928671106946808</v>
      </c>
      <c r="H2" s="12">
        <f>C2*G2</f>
        <v>3106.6489375237552</v>
      </c>
      <c r="I2" s="7">
        <f>SQRT((SUM(H2:H22)/(SUM(C2:C22)-1)))</f>
        <v>3.3895911080945154</v>
      </c>
      <c r="J2" s="7">
        <f>(B2^3)*C2</f>
        <v>7.625</v>
      </c>
      <c r="K2" s="7">
        <f>0.5*1.225*((SUM(J2:J22))/F5)</f>
        <v>439.4181227003271</v>
      </c>
    </row>
    <row r="3" spans="2:11" x14ac:dyDescent="0.25">
      <c r="B3" s="4">
        <v>1.5</v>
      </c>
      <c r="C3" s="4">
        <v>264</v>
      </c>
      <c r="D3" s="6">
        <f t="shared" ref="D3:D22" si="0">(C3*B3)</f>
        <v>396</v>
      </c>
      <c r="E3" s="6">
        <f t="shared" ref="E3:E22" si="1">((C3^2)*B3)</f>
        <v>104544</v>
      </c>
      <c r="F3" s="2"/>
      <c r="G3" s="7">
        <f t="shared" ref="G3:G22" si="2">(B3-$F$2)^2</f>
        <v>37.655805787474783</v>
      </c>
      <c r="H3" s="7">
        <f t="shared" ref="H3:H22" si="3">C3*G3</f>
        <v>9941.1327278933422</v>
      </c>
      <c r="I3" s="3"/>
      <c r="J3" s="12">
        <f>(B3^3)*C3</f>
        <v>891</v>
      </c>
      <c r="K3" s="3"/>
    </row>
    <row r="4" spans="2:11" x14ac:dyDescent="0.25">
      <c r="B4" s="4">
        <v>2.5</v>
      </c>
      <c r="C4" s="4">
        <v>417</v>
      </c>
      <c r="D4" s="6">
        <f t="shared" si="0"/>
        <v>1042.5</v>
      </c>
      <c r="E4" s="6">
        <f t="shared" si="1"/>
        <v>434722.5</v>
      </c>
      <c r="F4" s="10" t="s">
        <v>10</v>
      </c>
      <c r="G4" s="7">
        <f t="shared" si="2"/>
        <v>26.382940468002758</v>
      </c>
      <c r="H4" s="7">
        <f t="shared" si="3"/>
        <v>11001.686175157151</v>
      </c>
      <c r="I4" s="3"/>
      <c r="J4" s="7">
        <f t="shared" ref="J4:J22" si="4">(B4^3)*C4</f>
        <v>6515.625</v>
      </c>
      <c r="K4" s="3"/>
    </row>
    <row r="5" spans="2:11" x14ac:dyDescent="0.25">
      <c r="B5" s="4">
        <v>3.5</v>
      </c>
      <c r="C5" s="4">
        <v>580</v>
      </c>
      <c r="D5" s="6">
        <f t="shared" si="0"/>
        <v>2030</v>
      </c>
      <c r="E5" s="6">
        <f t="shared" si="1"/>
        <v>1177400</v>
      </c>
      <c r="F5" s="6">
        <f>SUM(C2:C22)</f>
        <v>8561</v>
      </c>
      <c r="G5" s="7">
        <f t="shared" si="2"/>
        <v>17.110075148530736</v>
      </c>
      <c r="H5" s="7">
        <f t="shared" si="3"/>
        <v>9923.8435861478265</v>
      </c>
      <c r="I5" s="3"/>
      <c r="J5" s="7">
        <f t="shared" si="4"/>
        <v>24867.5</v>
      </c>
      <c r="K5" s="3"/>
    </row>
    <row r="6" spans="2:11" x14ac:dyDescent="0.25">
      <c r="B6" s="4">
        <v>4.5</v>
      </c>
      <c r="C6" s="4">
        <v>744</v>
      </c>
      <c r="D6" s="6">
        <f t="shared" si="0"/>
        <v>3348</v>
      </c>
      <c r="E6" s="6">
        <f t="shared" si="1"/>
        <v>2490912</v>
      </c>
      <c r="F6" s="2"/>
      <c r="G6" s="7">
        <f t="shared" si="2"/>
        <v>9.8372098290587129</v>
      </c>
      <c r="H6" s="7">
        <f t="shared" si="3"/>
        <v>7318.8841128196827</v>
      </c>
      <c r="I6" s="3"/>
      <c r="J6" s="7">
        <f t="shared" si="4"/>
        <v>67797</v>
      </c>
      <c r="K6" s="3"/>
    </row>
    <row r="7" spans="2:11" x14ac:dyDescent="0.25">
      <c r="B7" s="4">
        <v>5.5</v>
      </c>
      <c r="C7" s="4">
        <v>854</v>
      </c>
      <c r="D7" s="6">
        <f t="shared" si="0"/>
        <v>4697</v>
      </c>
      <c r="E7" s="6">
        <f t="shared" si="1"/>
        <v>4011238</v>
      </c>
      <c r="F7" s="2"/>
      <c r="G7" s="7">
        <f t="shared" si="2"/>
        <v>4.5643445095866895</v>
      </c>
      <c r="H7" s="7">
        <f t="shared" si="3"/>
        <v>3897.9502111870329</v>
      </c>
      <c r="I7" s="3"/>
      <c r="J7" s="7">
        <f t="shared" si="4"/>
        <v>142084.25</v>
      </c>
      <c r="K7" s="3"/>
    </row>
    <row r="8" spans="2:11" x14ac:dyDescent="0.25">
      <c r="B8" s="4">
        <v>6.5</v>
      </c>
      <c r="C8" s="4">
        <v>878</v>
      </c>
      <c r="D8" s="6">
        <f t="shared" si="0"/>
        <v>5707</v>
      </c>
      <c r="E8" s="6">
        <f t="shared" si="1"/>
        <v>5010746</v>
      </c>
      <c r="F8" s="2"/>
      <c r="G8" s="7">
        <f t="shared" si="2"/>
        <v>1.2914791901146658</v>
      </c>
      <c r="H8" s="7">
        <f t="shared" si="3"/>
        <v>1133.9187289206766</v>
      </c>
      <c r="I8" s="3"/>
      <c r="J8" s="7">
        <f t="shared" si="4"/>
        <v>241120.75</v>
      </c>
      <c r="K8" s="3"/>
    </row>
    <row r="9" spans="2:11" x14ac:dyDescent="0.25">
      <c r="B9" s="4">
        <v>7.5</v>
      </c>
      <c r="C9" s="4">
        <v>871</v>
      </c>
      <c r="D9" s="6">
        <f t="shared" si="0"/>
        <v>6532.5</v>
      </c>
      <c r="E9" s="6">
        <f t="shared" si="1"/>
        <v>5689807.5</v>
      </c>
      <c r="F9" s="2"/>
      <c r="G9" s="7">
        <f t="shared" si="2"/>
        <v>1.861387064264235E-2</v>
      </c>
      <c r="H9" s="7">
        <f t="shared" si="3"/>
        <v>16.212681329741486</v>
      </c>
      <c r="I9" s="3"/>
      <c r="J9" s="7">
        <f t="shared" si="4"/>
        <v>367453.125</v>
      </c>
      <c r="K9" s="3"/>
    </row>
    <row r="10" spans="2:11" x14ac:dyDescent="0.25">
      <c r="B10" s="4">
        <v>8.5</v>
      </c>
      <c r="C10" s="4">
        <v>888</v>
      </c>
      <c r="D10" s="6">
        <f t="shared" si="0"/>
        <v>7548</v>
      </c>
      <c r="E10" s="6">
        <f t="shared" si="1"/>
        <v>6702624</v>
      </c>
      <c r="F10" s="2"/>
      <c r="G10" s="7">
        <f t="shared" si="2"/>
        <v>0.74574855117061889</v>
      </c>
      <c r="H10" s="7">
        <f t="shared" si="3"/>
        <v>662.22471343950963</v>
      </c>
      <c r="I10" s="3"/>
      <c r="J10" s="7">
        <f t="shared" si="4"/>
        <v>545343</v>
      </c>
      <c r="K10" s="3"/>
    </row>
    <row r="11" spans="2:11" x14ac:dyDescent="0.25">
      <c r="B11" s="4">
        <v>9.5</v>
      </c>
      <c r="C11" s="4">
        <v>870</v>
      </c>
      <c r="D11" s="6">
        <f t="shared" si="0"/>
        <v>8265</v>
      </c>
      <c r="E11" s="6">
        <f t="shared" si="1"/>
        <v>7190550</v>
      </c>
      <c r="F11" s="2"/>
      <c r="G11" s="7">
        <f t="shared" si="2"/>
        <v>3.4728832316985954</v>
      </c>
      <c r="H11" s="7">
        <f t="shared" si="3"/>
        <v>3021.4084115777778</v>
      </c>
      <c r="I11" s="3"/>
      <c r="J11" s="7">
        <f t="shared" si="4"/>
        <v>745916.25</v>
      </c>
      <c r="K11" s="3"/>
    </row>
    <row r="12" spans="2:11" x14ac:dyDescent="0.25">
      <c r="B12" s="4">
        <v>10.5</v>
      </c>
      <c r="C12" s="4">
        <v>722</v>
      </c>
      <c r="D12" s="6">
        <f t="shared" si="0"/>
        <v>7581</v>
      </c>
      <c r="E12" s="6">
        <f t="shared" si="1"/>
        <v>5473482</v>
      </c>
      <c r="F12" s="2"/>
      <c r="G12" s="7">
        <f t="shared" si="2"/>
        <v>8.2000179122265724</v>
      </c>
      <c r="H12" s="7">
        <f t="shared" si="3"/>
        <v>5920.4129326275852</v>
      </c>
      <c r="I12" s="3"/>
      <c r="J12" s="7">
        <f t="shared" si="4"/>
        <v>835805.25</v>
      </c>
      <c r="K12" s="3"/>
    </row>
    <row r="13" spans="2:11" x14ac:dyDescent="0.25">
      <c r="B13" s="4">
        <v>11.5</v>
      </c>
      <c r="C13" s="4">
        <v>534</v>
      </c>
      <c r="D13" s="6">
        <f t="shared" si="0"/>
        <v>6141</v>
      </c>
      <c r="E13" s="6">
        <f t="shared" si="1"/>
        <v>3279294</v>
      </c>
      <c r="F13" s="2"/>
      <c r="G13" s="7">
        <f t="shared" si="2"/>
        <v>14.927152592754549</v>
      </c>
      <c r="H13" s="7">
        <f t="shared" si="3"/>
        <v>7971.0994845309287</v>
      </c>
      <c r="I13" s="3"/>
      <c r="J13" s="7">
        <f t="shared" si="4"/>
        <v>812147.25</v>
      </c>
      <c r="K13" s="3"/>
    </row>
    <row r="14" spans="2:11" x14ac:dyDescent="0.25">
      <c r="B14" s="4">
        <v>12.5</v>
      </c>
      <c r="C14" s="4">
        <v>345</v>
      </c>
      <c r="D14" s="6">
        <f t="shared" si="0"/>
        <v>4312.5</v>
      </c>
      <c r="E14" s="6">
        <f t="shared" si="1"/>
        <v>1487812.5</v>
      </c>
      <c r="F14" s="2"/>
      <c r="G14" s="7">
        <f t="shared" si="2"/>
        <v>23.654287273282524</v>
      </c>
      <c r="H14" s="7">
        <f t="shared" si="3"/>
        <v>8160.7291092824707</v>
      </c>
      <c r="I14" s="3"/>
      <c r="J14" s="7">
        <f t="shared" si="4"/>
        <v>673828.125</v>
      </c>
      <c r="K14" s="3"/>
    </row>
    <row r="15" spans="2:11" x14ac:dyDescent="0.25">
      <c r="B15" s="4">
        <v>13.5</v>
      </c>
      <c r="C15" s="4">
        <v>260</v>
      </c>
      <c r="D15" s="6">
        <f t="shared" si="0"/>
        <v>3510</v>
      </c>
      <c r="E15" s="6">
        <f t="shared" si="1"/>
        <v>912600</v>
      </c>
      <c r="F15" s="2"/>
      <c r="G15" s="7">
        <f t="shared" si="2"/>
        <v>34.381421953810502</v>
      </c>
      <c r="H15" s="7">
        <f t="shared" si="3"/>
        <v>8939.1697079907299</v>
      </c>
      <c r="I15" s="3"/>
      <c r="J15" s="7">
        <f t="shared" si="4"/>
        <v>639697.5</v>
      </c>
      <c r="K15" s="3"/>
    </row>
    <row r="16" spans="2:11" x14ac:dyDescent="0.25">
      <c r="B16" s="4">
        <v>14.5</v>
      </c>
      <c r="C16" s="4">
        <v>125</v>
      </c>
      <c r="D16" s="6">
        <f t="shared" si="0"/>
        <v>1812.5</v>
      </c>
      <c r="E16" s="6">
        <f t="shared" si="1"/>
        <v>226562.5</v>
      </c>
      <c r="F16" s="2"/>
      <c r="G16" s="7">
        <f t="shared" si="2"/>
        <v>47.108556634338477</v>
      </c>
      <c r="H16" s="7">
        <f t="shared" si="3"/>
        <v>5888.5695792923098</v>
      </c>
      <c r="I16" s="3"/>
      <c r="J16" s="7">
        <f t="shared" si="4"/>
        <v>381078.125</v>
      </c>
      <c r="K16" s="3"/>
    </row>
    <row r="17" spans="2:11" x14ac:dyDescent="0.25">
      <c r="B17" s="4">
        <v>15.5</v>
      </c>
      <c r="C17" s="4">
        <v>65</v>
      </c>
      <c r="D17" s="6">
        <f t="shared" si="0"/>
        <v>1007.5</v>
      </c>
      <c r="E17" s="6">
        <f t="shared" si="1"/>
        <v>65487.5</v>
      </c>
      <c r="F17" s="2"/>
      <c r="G17" s="7">
        <f t="shared" si="2"/>
        <v>61.835691314866452</v>
      </c>
      <c r="H17" s="7">
        <f t="shared" si="3"/>
        <v>4019.3199354663193</v>
      </c>
      <c r="I17" s="3"/>
      <c r="J17" s="7">
        <f t="shared" si="4"/>
        <v>242051.875</v>
      </c>
      <c r="K17" s="3"/>
    </row>
    <row r="18" spans="2:11" x14ac:dyDescent="0.25">
      <c r="B18" s="4">
        <v>16.5</v>
      </c>
      <c r="C18" s="4">
        <v>59</v>
      </c>
      <c r="D18" s="6">
        <f t="shared" si="0"/>
        <v>973.5</v>
      </c>
      <c r="E18" s="6">
        <f t="shared" si="1"/>
        <v>57436.5</v>
      </c>
      <c r="F18" s="2"/>
      <c r="G18" s="7">
        <f t="shared" si="2"/>
        <v>78.562825995394419</v>
      </c>
      <c r="H18" s="7">
        <f t="shared" si="3"/>
        <v>4635.2067337282706</v>
      </c>
      <c r="I18" s="3"/>
      <c r="J18" s="7">
        <f t="shared" si="4"/>
        <v>265035.375</v>
      </c>
      <c r="K18" s="3"/>
    </row>
    <row r="19" spans="2:11" x14ac:dyDescent="0.25">
      <c r="B19" s="4">
        <v>17.5</v>
      </c>
      <c r="C19" s="4">
        <v>10</v>
      </c>
      <c r="D19" s="6">
        <f t="shared" si="0"/>
        <v>175</v>
      </c>
      <c r="E19" s="6">
        <f t="shared" si="1"/>
        <v>1750</v>
      </c>
      <c r="F19" s="2"/>
      <c r="G19" s="7">
        <f t="shared" si="2"/>
        <v>97.289960675922387</v>
      </c>
      <c r="H19" s="7">
        <f t="shared" si="3"/>
        <v>972.89960675922384</v>
      </c>
      <c r="I19" s="3"/>
      <c r="J19" s="7">
        <f t="shared" si="4"/>
        <v>53593.75</v>
      </c>
      <c r="K19" s="3"/>
    </row>
    <row r="20" spans="2:11" x14ac:dyDescent="0.25">
      <c r="B20" s="4">
        <v>18.5</v>
      </c>
      <c r="C20" s="4">
        <v>10</v>
      </c>
      <c r="D20" s="6">
        <f t="shared" si="0"/>
        <v>185</v>
      </c>
      <c r="E20" s="6">
        <f t="shared" si="1"/>
        <v>1850</v>
      </c>
      <c r="F20" s="2"/>
      <c r="G20" s="7">
        <f t="shared" si="2"/>
        <v>118.01709535645037</v>
      </c>
      <c r="H20" s="7">
        <f t="shared" si="3"/>
        <v>1180.1709535645036</v>
      </c>
      <c r="I20" s="3"/>
      <c r="J20" s="7">
        <f t="shared" si="4"/>
        <v>63316.25</v>
      </c>
      <c r="K20" s="3"/>
    </row>
    <row r="21" spans="2:11" x14ac:dyDescent="0.25">
      <c r="B21" s="4">
        <v>19.5</v>
      </c>
      <c r="C21" s="4">
        <v>1</v>
      </c>
      <c r="D21" s="6">
        <f t="shared" si="0"/>
        <v>19.5</v>
      </c>
      <c r="E21" s="6">
        <f t="shared" si="1"/>
        <v>19.5</v>
      </c>
      <c r="F21" s="2"/>
      <c r="G21" s="7">
        <f t="shared" si="2"/>
        <v>140.74423003697834</v>
      </c>
      <c r="H21" s="7">
        <f t="shared" si="3"/>
        <v>140.74423003697834</v>
      </c>
      <c r="I21" s="3"/>
      <c r="J21" s="7">
        <f t="shared" si="4"/>
        <v>7414.875</v>
      </c>
      <c r="K21" s="3"/>
    </row>
    <row r="22" spans="2:11" x14ac:dyDescent="0.25">
      <c r="B22" s="4">
        <v>20.5</v>
      </c>
      <c r="C22" s="4">
        <v>3</v>
      </c>
      <c r="D22" s="6">
        <f t="shared" si="0"/>
        <v>61.5</v>
      </c>
      <c r="E22" s="6">
        <f t="shared" si="1"/>
        <v>184.5</v>
      </c>
      <c r="F22" s="2"/>
      <c r="G22" s="7">
        <f t="shared" si="2"/>
        <v>165.4713647175063</v>
      </c>
      <c r="H22" s="7">
        <f t="shared" si="3"/>
        <v>496.41409415251894</v>
      </c>
      <c r="I22" s="3"/>
      <c r="J22" s="7">
        <f t="shared" si="4"/>
        <v>25845.375</v>
      </c>
      <c r="K22" s="3"/>
    </row>
    <row r="23" spans="2:11" x14ac:dyDescent="0.25">
      <c r="B23" s="1"/>
      <c r="C23" s="1"/>
      <c r="D23" s="1"/>
      <c r="E23" s="1"/>
      <c r="F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2CA01-8A74-41F8-8A1D-E5F8D3F78CF4}">
  <dimension ref="A1:L23"/>
  <sheetViews>
    <sheetView workbookViewId="0">
      <selection activeCell="D38" sqref="D38"/>
    </sheetView>
  </sheetViews>
  <sheetFormatPr defaultRowHeight="15" x14ac:dyDescent="0.25"/>
  <cols>
    <col min="4" max="4" width="9.5703125" bestFit="1" customWidth="1"/>
    <col min="5" max="5" width="12.5703125" bestFit="1" customWidth="1"/>
    <col min="6" max="7" width="9.5703125" bestFit="1" customWidth="1"/>
    <col min="8" max="8" width="10.5703125" bestFit="1" customWidth="1"/>
    <col min="9" max="9" width="9.5703125" bestFit="1" customWidth="1"/>
    <col min="10" max="10" width="12.5703125" bestFit="1" customWidth="1"/>
    <col min="11" max="11" width="9.5703125" bestFit="1" customWidth="1"/>
    <col min="12" max="12" width="28.140625" bestFit="1" customWidth="1"/>
  </cols>
  <sheetData>
    <row r="1" spans="1:12" x14ac:dyDescent="0.25">
      <c r="A1" t="s">
        <v>32</v>
      </c>
      <c r="B1" s="8" t="s">
        <v>2</v>
      </c>
      <c r="C1" s="8" t="s">
        <v>3</v>
      </c>
      <c r="D1" s="8" t="s">
        <v>1</v>
      </c>
      <c r="E1" s="8" t="s">
        <v>4</v>
      </c>
      <c r="F1" s="8" t="s">
        <v>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19" t="s">
        <v>33</v>
      </c>
    </row>
    <row r="2" spans="1:12" x14ac:dyDescent="0.25">
      <c r="A2">
        <v>0</v>
      </c>
      <c r="B2" s="5">
        <v>0.5</v>
      </c>
      <c r="C2" s="5">
        <v>48</v>
      </c>
      <c r="D2" s="9">
        <f>(C2*B2)</f>
        <v>24</v>
      </c>
      <c r="E2" s="9">
        <f>((C2^2)*B2)</f>
        <v>1152</v>
      </c>
      <c r="F2" s="6">
        <f>SUM($D$2:$D$22)/SUM($C$2:$C$22)</f>
        <v>8.2870869463323178</v>
      </c>
      <c r="G2" s="9">
        <f>(B2-$F$2)^2</f>
        <v>60.638723109739182</v>
      </c>
      <c r="H2" s="9">
        <f>C2*G2</f>
        <v>2910.6587092674808</v>
      </c>
      <c r="I2" s="6">
        <f>SQRT((SUM(H2:H22)/(SUM(C2:C22)-1)))</f>
        <v>3.5594783283423106</v>
      </c>
      <c r="J2" s="6">
        <f>(B2^3)*C2</f>
        <v>6</v>
      </c>
      <c r="K2" s="6">
        <f>0.5*1.225*((SUM(J2:J22))/F5)</f>
        <v>546.56312617178344</v>
      </c>
      <c r="L2">
        <f>'Hub Height Calculations'!C139794</f>
        <v>0</v>
      </c>
    </row>
    <row r="3" spans="1:12" x14ac:dyDescent="0.25">
      <c r="A3">
        <v>0</v>
      </c>
      <c r="B3" s="4">
        <v>1.5</v>
      </c>
      <c r="C3" s="4">
        <v>241</v>
      </c>
      <c r="D3" s="6">
        <f t="shared" ref="D3:D23" si="0">(C3*B3)</f>
        <v>361.5</v>
      </c>
      <c r="E3" s="6">
        <f t="shared" ref="E3:E23" si="1">((C3^2)*B3)</f>
        <v>87121.5</v>
      </c>
      <c r="F3" s="2"/>
      <c r="G3" s="6">
        <f t="shared" ref="G3:G23" si="2">(B3-$F$2)^2</f>
        <v>46.06454921707455</v>
      </c>
      <c r="H3" s="6">
        <f t="shared" ref="H3:H23" si="3">C3*G3</f>
        <v>11101.556361314966</v>
      </c>
      <c r="I3" s="2"/>
      <c r="J3" s="9">
        <f>(B3^3)*C3</f>
        <v>813.375</v>
      </c>
      <c r="K3" s="2"/>
    </row>
    <row r="4" spans="1:12" x14ac:dyDescent="0.25">
      <c r="A4">
        <v>0</v>
      </c>
      <c r="B4" s="4">
        <v>2.5</v>
      </c>
      <c r="C4" s="4">
        <v>315</v>
      </c>
      <c r="D4" s="6">
        <f t="shared" si="0"/>
        <v>787.5</v>
      </c>
      <c r="E4" s="6">
        <f t="shared" si="1"/>
        <v>248062.5</v>
      </c>
      <c r="F4" s="10" t="s">
        <v>10</v>
      </c>
      <c r="G4" s="6">
        <f t="shared" si="2"/>
        <v>33.490375324409911</v>
      </c>
      <c r="H4" s="6">
        <f t="shared" si="3"/>
        <v>10549.468227189122</v>
      </c>
      <c r="I4" s="2"/>
      <c r="J4" s="6">
        <f t="shared" ref="J4:J23" si="4">(B4^3)*C4</f>
        <v>4921.875</v>
      </c>
      <c r="K4" s="2"/>
    </row>
    <row r="5" spans="1:12" x14ac:dyDescent="0.25">
      <c r="A5">
        <v>0</v>
      </c>
      <c r="B5" s="4">
        <v>3.5</v>
      </c>
      <c r="C5" s="4">
        <v>432</v>
      </c>
      <c r="D5" s="6">
        <f t="shared" si="0"/>
        <v>1512</v>
      </c>
      <c r="E5" s="6">
        <f t="shared" si="1"/>
        <v>653184</v>
      </c>
      <c r="F5" s="6">
        <f>SUM(C2:C22)</f>
        <v>8534</v>
      </c>
      <c r="G5" s="6">
        <f t="shared" si="2"/>
        <v>22.916201431745275</v>
      </c>
      <c r="H5" s="6">
        <f t="shared" si="3"/>
        <v>9899.7990185139588</v>
      </c>
      <c r="I5" s="2"/>
      <c r="J5" s="6">
        <f t="shared" si="4"/>
        <v>18522</v>
      </c>
      <c r="K5" s="2"/>
    </row>
    <row r="6" spans="1:12" x14ac:dyDescent="0.25">
      <c r="A6">
        <v>1000</v>
      </c>
      <c r="B6" s="4">
        <v>4.5</v>
      </c>
      <c r="C6" s="4">
        <v>561</v>
      </c>
      <c r="D6" s="6">
        <f t="shared" si="0"/>
        <v>2524.5</v>
      </c>
      <c r="E6" s="6">
        <f t="shared" si="1"/>
        <v>1416244.5</v>
      </c>
      <c r="F6" s="2"/>
      <c r="G6" s="6">
        <f t="shared" si="2"/>
        <v>14.34202753908064</v>
      </c>
      <c r="H6" s="6">
        <f t="shared" si="3"/>
        <v>8045.8774494242389</v>
      </c>
      <c r="I6" s="2"/>
      <c r="J6" s="6">
        <f t="shared" si="4"/>
        <v>51121.125</v>
      </c>
      <c r="K6" s="2"/>
    </row>
    <row r="7" spans="1:12" x14ac:dyDescent="0.25">
      <c r="A7">
        <v>1800</v>
      </c>
      <c r="B7" s="4">
        <v>5.5</v>
      </c>
      <c r="C7" s="4">
        <v>751</v>
      </c>
      <c r="D7" s="6">
        <f t="shared" si="0"/>
        <v>4130.5</v>
      </c>
      <c r="E7" s="6">
        <f t="shared" si="1"/>
        <v>3102005.5</v>
      </c>
      <c r="F7" s="2"/>
      <c r="G7" s="6">
        <f t="shared" si="2"/>
        <v>7.767853646416004</v>
      </c>
      <c r="H7" s="6">
        <f t="shared" si="3"/>
        <v>5833.6580884584191</v>
      </c>
      <c r="I7" s="2"/>
      <c r="J7" s="6">
        <f t="shared" si="4"/>
        <v>124947.625</v>
      </c>
      <c r="K7" s="2"/>
    </row>
    <row r="8" spans="1:12" x14ac:dyDescent="0.25">
      <c r="A8">
        <v>2300</v>
      </c>
      <c r="B8" s="4">
        <v>6.5</v>
      </c>
      <c r="C8" s="4">
        <v>861</v>
      </c>
      <c r="D8" s="6">
        <f t="shared" si="0"/>
        <v>5596.5</v>
      </c>
      <c r="E8" s="6">
        <f t="shared" si="1"/>
        <v>4818586.5</v>
      </c>
      <c r="F8" s="2"/>
      <c r="G8" s="6">
        <f t="shared" si="2"/>
        <v>3.1936797537513684</v>
      </c>
      <c r="H8" s="6">
        <f t="shared" si="3"/>
        <v>2749.758267979928</v>
      </c>
      <c r="I8" s="2"/>
      <c r="J8" s="6">
        <f t="shared" si="4"/>
        <v>236452.125</v>
      </c>
      <c r="K8" s="2"/>
    </row>
    <row r="9" spans="1:12" x14ac:dyDescent="0.25">
      <c r="A9">
        <v>3800</v>
      </c>
      <c r="B9" s="4">
        <v>7.5</v>
      </c>
      <c r="C9" s="4">
        <v>914</v>
      </c>
      <c r="D9" s="6">
        <f t="shared" si="0"/>
        <v>6855</v>
      </c>
      <c r="E9" s="6">
        <f t="shared" si="1"/>
        <v>6265470</v>
      </c>
      <c r="F9" s="2"/>
      <c r="G9" s="6">
        <f t="shared" si="2"/>
        <v>0.61950586108673289</v>
      </c>
      <c r="H9" s="6">
        <f t="shared" si="3"/>
        <v>566.22835703327382</v>
      </c>
      <c r="I9" s="2"/>
      <c r="J9" s="6">
        <f t="shared" si="4"/>
        <v>385593.75</v>
      </c>
      <c r="K9" s="2"/>
    </row>
    <row r="10" spans="1:12" x14ac:dyDescent="0.25">
      <c r="A10">
        <v>5500</v>
      </c>
      <c r="B10" s="4">
        <v>8.5</v>
      </c>
      <c r="C10" s="4">
        <v>866</v>
      </c>
      <c r="D10" s="6">
        <f t="shared" si="0"/>
        <v>7361</v>
      </c>
      <c r="E10" s="6">
        <f t="shared" si="1"/>
        <v>6374626</v>
      </c>
      <c r="F10" s="2"/>
      <c r="G10" s="6">
        <f t="shared" si="2"/>
        <v>4.5331968422097323E-2</v>
      </c>
      <c r="H10" s="6">
        <f t="shared" si="3"/>
        <v>39.257484653536281</v>
      </c>
      <c r="I10" s="2"/>
      <c r="J10" s="6">
        <f t="shared" si="4"/>
        <v>531832.25</v>
      </c>
      <c r="K10" s="2"/>
    </row>
    <row r="11" spans="1:12" x14ac:dyDescent="0.25">
      <c r="A11">
        <v>7200</v>
      </c>
      <c r="B11" s="4">
        <v>9.5</v>
      </c>
      <c r="C11" s="4">
        <v>780</v>
      </c>
      <c r="D11" s="6">
        <f t="shared" si="0"/>
        <v>7410</v>
      </c>
      <c r="E11" s="6">
        <f t="shared" si="1"/>
        <v>5779800</v>
      </c>
      <c r="F11" s="2"/>
      <c r="G11" s="6">
        <f t="shared" si="2"/>
        <v>1.4711580757574618</v>
      </c>
      <c r="H11" s="6">
        <f t="shared" si="3"/>
        <v>1147.5032990908203</v>
      </c>
      <c r="I11" s="2"/>
      <c r="J11" s="6">
        <f t="shared" si="4"/>
        <v>668752.5</v>
      </c>
      <c r="K11" s="2"/>
    </row>
    <row r="12" spans="1:12" x14ac:dyDescent="0.25">
      <c r="A12">
        <v>9800</v>
      </c>
      <c r="B12" s="4">
        <v>10.5</v>
      </c>
      <c r="C12" s="4">
        <v>760</v>
      </c>
      <c r="D12" s="6">
        <f t="shared" si="0"/>
        <v>7980</v>
      </c>
      <c r="E12" s="6">
        <f t="shared" si="1"/>
        <v>6064800</v>
      </c>
      <c r="F12" s="2"/>
      <c r="G12" s="6">
        <f t="shared" si="2"/>
        <v>4.896984183092826</v>
      </c>
      <c r="H12" s="6">
        <f t="shared" si="3"/>
        <v>3721.7079791505475</v>
      </c>
      <c r="I12" s="2"/>
      <c r="J12" s="6">
        <f t="shared" si="4"/>
        <v>879795</v>
      </c>
      <c r="K12" s="2"/>
    </row>
    <row r="13" spans="1:12" x14ac:dyDescent="0.25">
      <c r="A13">
        <v>10000</v>
      </c>
      <c r="B13" s="4">
        <v>11.5</v>
      </c>
      <c r="C13" s="4">
        <v>632</v>
      </c>
      <c r="D13" s="6">
        <f t="shared" si="0"/>
        <v>7268</v>
      </c>
      <c r="E13" s="6">
        <f t="shared" si="1"/>
        <v>4593376</v>
      </c>
      <c r="F13" s="2"/>
      <c r="G13" s="6">
        <f t="shared" si="2"/>
        <v>10.32281029042819</v>
      </c>
      <c r="H13" s="6">
        <f t="shared" si="3"/>
        <v>6524.0161035506162</v>
      </c>
      <c r="I13" s="2"/>
      <c r="J13" s="6">
        <f t="shared" si="4"/>
        <v>961193</v>
      </c>
      <c r="K13" s="2"/>
    </row>
    <row r="14" spans="1:12" x14ac:dyDescent="0.25">
      <c r="A14">
        <v>10000</v>
      </c>
      <c r="B14" s="4">
        <v>12.5</v>
      </c>
      <c r="C14" s="4">
        <v>567</v>
      </c>
      <c r="D14" s="6">
        <f t="shared" si="0"/>
        <v>7087.5</v>
      </c>
      <c r="E14" s="6">
        <f t="shared" si="1"/>
        <v>4018612.5</v>
      </c>
      <c r="F14" s="2"/>
      <c r="G14" s="6">
        <f t="shared" si="2"/>
        <v>17.748636397763555</v>
      </c>
      <c r="H14" s="6">
        <f t="shared" si="3"/>
        <v>10063.476837531936</v>
      </c>
      <c r="I14" s="2"/>
      <c r="J14" s="6">
        <f t="shared" si="4"/>
        <v>1107421.875</v>
      </c>
      <c r="K14" s="2"/>
    </row>
    <row r="15" spans="1:12" x14ac:dyDescent="0.25">
      <c r="A15">
        <v>10000</v>
      </c>
      <c r="B15" s="4">
        <v>13.5</v>
      </c>
      <c r="C15" s="4">
        <v>386</v>
      </c>
      <c r="D15" s="6">
        <f t="shared" si="0"/>
        <v>5211</v>
      </c>
      <c r="E15" s="6">
        <f t="shared" si="1"/>
        <v>2011446</v>
      </c>
      <c r="F15" s="2"/>
      <c r="G15" s="6">
        <f t="shared" si="2"/>
        <v>27.174462505098919</v>
      </c>
      <c r="H15" s="6">
        <f t="shared" si="3"/>
        <v>10489.342526968183</v>
      </c>
      <c r="I15" s="2"/>
      <c r="J15" s="6">
        <f t="shared" si="4"/>
        <v>949704.75</v>
      </c>
      <c r="K15" s="2"/>
    </row>
    <row r="16" spans="1:12" x14ac:dyDescent="0.25">
      <c r="A16">
        <v>10000</v>
      </c>
      <c r="B16" s="4">
        <v>14.5</v>
      </c>
      <c r="C16" s="4">
        <v>196</v>
      </c>
      <c r="D16" s="6">
        <f t="shared" si="0"/>
        <v>2842</v>
      </c>
      <c r="E16" s="6">
        <f t="shared" si="1"/>
        <v>557032</v>
      </c>
      <c r="F16" s="2"/>
      <c r="G16" s="6">
        <f t="shared" si="2"/>
        <v>38.600288612434284</v>
      </c>
      <c r="H16" s="6">
        <f t="shared" si="3"/>
        <v>7565.6565680371195</v>
      </c>
      <c r="I16" s="2"/>
      <c r="J16" s="6">
        <f t="shared" si="4"/>
        <v>597530.5</v>
      </c>
      <c r="K16" s="2"/>
    </row>
    <row r="17" spans="1:11" x14ac:dyDescent="0.25">
      <c r="A17">
        <v>10000</v>
      </c>
      <c r="B17" s="4">
        <v>15.5</v>
      </c>
      <c r="C17" s="4">
        <v>100</v>
      </c>
      <c r="D17" s="6">
        <f t="shared" si="0"/>
        <v>1550</v>
      </c>
      <c r="E17" s="6">
        <f t="shared" si="1"/>
        <v>155000</v>
      </c>
      <c r="F17" s="2"/>
      <c r="G17" s="6">
        <f t="shared" si="2"/>
        <v>52.026114719769652</v>
      </c>
      <c r="H17" s="6">
        <f t="shared" si="3"/>
        <v>5202.6114719769648</v>
      </c>
      <c r="I17" s="2"/>
      <c r="J17" s="6">
        <f t="shared" si="4"/>
        <v>372387.5</v>
      </c>
      <c r="K17" s="2"/>
    </row>
    <row r="18" spans="1:11" x14ac:dyDescent="0.25">
      <c r="A18">
        <v>10000</v>
      </c>
      <c r="B18" s="4">
        <v>16.5</v>
      </c>
      <c r="C18" s="4">
        <v>40</v>
      </c>
      <c r="D18" s="6">
        <f t="shared" si="0"/>
        <v>660</v>
      </c>
      <c r="E18" s="6">
        <f t="shared" si="1"/>
        <v>26400</v>
      </c>
      <c r="F18" s="2"/>
      <c r="G18" s="6">
        <f t="shared" si="2"/>
        <v>67.45194082710502</v>
      </c>
      <c r="H18" s="6">
        <f t="shared" si="3"/>
        <v>2698.0776330842009</v>
      </c>
      <c r="I18" s="2"/>
      <c r="J18" s="6">
        <f t="shared" si="4"/>
        <v>179685</v>
      </c>
      <c r="K18" s="2"/>
    </row>
    <row r="19" spans="1:11" x14ac:dyDescent="0.25">
      <c r="A19">
        <v>10000</v>
      </c>
      <c r="B19" s="4">
        <v>17.5</v>
      </c>
      <c r="C19" s="4">
        <v>34</v>
      </c>
      <c r="D19" s="6">
        <f t="shared" si="0"/>
        <v>595</v>
      </c>
      <c r="E19" s="6">
        <f t="shared" si="1"/>
        <v>20230</v>
      </c>
      <c r="F19" s="2"/>
      <c r="G19" s="6">
        <f t="shared" si="2"/>
        <v>84.877766934440373</v>
      </c>
      <c r="H19" s="6">
        <f t="shared" si="3"/>
        <v>2885.8440757709727</v>
      </c>
      <c r="I19" s="2"/>
      <c r="J19" s="6">
        <f t="shared" si="4"/>
        <v>182218.75</v>
      </c>
      <c r="K19" s="2"/>
    </row>
    <row r="20" spans="1:11" x14ac:dyDescent="0.25">
      <c r="A20">
        <v>10000</v>
      </c>
      <c r="B20" s="4">
        <v>18.5</v>
      </c>
      <c r="C20" s="4">
        <v>21</v>
      </c>
      <c r="D20" s="6">
        <f t="shared" si="0"/>
        <v>388.5</v>
      </c>
      <c r="E20" s="6">
        <f t="shared" si="1"/>
        <v>8158.5</v>
      </c>
      <c r="F20" s="2"/>
      <c r="G20" s="6">
        <f t="shared" si="2"/>
        <v>104.30359304177574</v>
      </c>
      <c r="H20" s="6">
        <f t="shared" si="3"/>
        <v>2190.3754538772905</v>
      </c>
      <c r="I20" s="2"/>
      <c r="J20" s="6">
        <f t="shared" si="4"/>
        <v>132964.125</v>
      </c>
      <c r="K20" s="2"/>
    </row>
    <row r="21" spans="1:11" x14ac:dyDescent="0.25">
      <c r="A21">
        <v>10000</v>
      </c>
      <c r="B21" s="4">
        <v>19.5</v>
      </c>
      <c r="C21" s="4">
        <v>17</v>
      </c>
      <c r="D21" s="6">
        <f t="shared" si="0"/>
        <v>331.5</v>
      </c>
      <c r="E21" s="6">
        <f t="shared" si="1"/>
        <v>5635.5</v>
      </c>
      <c r="F21" s="2"/>
      <c r="G21" s="6">
        <f t="shared" si="2"/>
        <v>125.72941914911111</v>
      </c>
      <c r="H21" s="6">
        <f t="shared" si="3"/>
        <v>2137.400125534889</v>
      </c>
      <c r="I21" s="2"/>
      <c r="J21" s="6">
        <f t="shared" si="4"/>
        <v>126052.875</v>
      </c>
      <c r="K21" s="2"/>
    </row>
    <row r="22" spans="1:11" x14ac:dyDescent="0.25">
      <c r="A22">
        <v>10000</v>
      </c>
      <c r="B22" s="4">
        <v>20.5</v>
      </c>
      <c r="C22" s="4">
        <v>12</v>
      </c>
      <c r="D22" s="6">
        <f t="shared" si="0"/>
        <v>246</v>
      </c>
      <c r="E22" s="6">
        <f t="shared" si="1"/>
        <v>2952</v>
      </c>
      <c r="F22" s="2"/>
      <c r="G22" s="6">
        <f t="shared" si="2"/>
        <v>149.15524525644648</v>
      </c>
      <c r="H22" s="6">
        <f t="shared" si="3"/>
        <v>1789.8629430773576</v>
      </c>
      <c r="I22" s="2"/>
      <c r="J22" s="6">
        <f t="shared" si="4"/>
        <v>103381.5</v>
      </c>
      <c r="K22" s="2"/>
    </row>
    <row r="23" spans="1:11" x14ac:dyDescent="0.25">
      <c r="A23">
        <v>10000</v>
      </c>
      <c r="B23" s="4">
        <v>21.5</v>
      </c>
      <c r="C23" s="4">
        <v>6</v>
      </c>
      <c r="D23" s="6">
        <f t="shared" si="0"/>
        <v>129</v>
      </c>
      <c r="E23" s="6">
        <f t="shared" si="1"/>
        <v>774</v>
      </c>
      <c r="F23" s="2"/>
      <c r="G23" s="11">
        <f t="shared" si="2"/>
        <v>174.58107136378183</v>
      </c>
      <c r="H23" s="11">
        <f t="shared" si="3"/>
        <v>1047.486428182691</v>
      </c>
      <c r="I23" s="2"/>
      <c r="J23" s="11">
        <f t="shared" si="4"/>
        <v>59630.25</v>
      </c>
      <c r="K2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4EB6-85E1-4696-91DA-26E51DDF7BD8}">
  <dimension ref="A2:J15"/>
  <sheetViews>
    <sheetView tabSelected="1" workbookViewId="0">
      <selection activeCell="A8" sqref="A8:C15"/>
    </sheetView>
  </sheetViews>
  <sheetFormatPr defaultRowHeight="15" x14ac:dyDescent="0.25"/>
  <cols>
    <col min="1" max="1" width="20.5703125" bestFit="1" customWidth="1"/>
    <col min="2" max="2" width="19" bestFit="1" customWidth="1"/>
    <col min="3" max="3" width="12.5703125" bestFit="1" customWidth="1"/>
    <col min="7" max="7" width="12.42578125" bestFit="1" customWidth="1"/>
    <col min="9" max="9" width="25.5703125" bestFit="1" customWidth="1"/>
    <col min="10" max="10" width="27.28515625" bestFit="1" customWidth="1"/>
  </cols>
  <sheetData>
    <row r="2" spans="1:10" x14ac:dyDescent="0.25">
      <c r="A2" s="13" t="s">
        <v>12</v>
      </c>
      <c r="B2" s="13" t="s">
        <v>11</v>
      </c>
      <c r="D2" s="8" t="s">
        <v>14</v>
      </c>
      <c r="E2" s="8" t="s">
        <v>15</v>
      </c>
      <c r="F2" s="8" t="s">
        <v>16</v>
      </c>
      <c r="G2" s="8" t="s">
        <v>21</v>
      </c>
      <c r="H2" s="8" t="s">
        <v>17</v>
      </c>
      <c r="I2" s="8" t="s">
        <v>20</v>
      </c>
      <c r="J2" s="1"/>
    </row>
    <row r="3" spans="1:10" x14ac:dyDescent="0.25">
      <c r="A3" s="13" t="s">
        <v>13</v>
      </c>
      <c r="B3" s="4">
        <v>0.1</v>
      </c>
      <c r="D3" s="4">
        <v>7.6364000000000001</v>
      </c>
      <c r="E3" s="4">
        <v>7.5</v>
      </c>
      <c r="F3" s="4">
        <v>100</v>
      </c>
      <c r="G3" s="4">
        <f>(F3/E3)^$B$3</f>
        <v>1.2956684201487567</v>
      </c>
      <c r="H3" s="4">
        <f>D3*((F3/E3)^$B$3)</f>
        <v>9.8942423236239652</v>
      </c>
      <c r="I3" s="4">
        <f>0.5*$B$6*$A$6*(H3^3)</f>
        <v>350.03037442984942</v>
      </c>
      <c r="J3" s="3"/>
    </row>
    <row r="4" spans="1:10" x14ac:dyDescent="0.25">
      <c r="D4" s="4">
        <v>8.2871000000000006</v>
      </c>
      <c r="E4" s="4">
        <v>7.5</v>
      </c>
      <c r="F4" s="4">
        <v>100</v>
      </c>
      <c r="G4" s="4">
        <f>(F4/E4)^$B$3</f>
        <v>1.2956684201487567</v>
      </c>
      <c r="H4" s="4">
        <f>D4*((F4/E4)^$B$3)</f>
        <v>10.737333764614762</v>
      </c>
      <c r="I4" s="4">
        <f>0.5*$B$6*$A$6*(H4^3)</f>
        <v>447.35002310827821</v>
      </c>
      <c r="J4" s="3"/>
    </row>
    <row r="5" spans="1:10" x14ac:dyDescent="0.25">
      <c r="A5" s="8" t="s">
        <v>19</v>
      </c>
      <c r="B5" s="8" t="s">
        <v>18</v>
      </c>
    </row>
    <row r="6" spans="1:10" x14ac:dyDescent="0.25">
      <c r="A6" s="4">
        <v>0.59</v>
      </c>
      <c r="B6" s="4">
        <v>1.2250000000000001</v>
      </c>
    </row>
    <row r="7" spans="1:10" x14ac:dyDescent="0.25">
      <c r="E7" t="s">
        <v>29</v>
      </c>
    </row>
    <row r="8" spans="1:10" x14ac:dyDescent="0.25">
      <c r="A8" s="8" t="s">
        <v>22</v>
      </c>
      <c r="B8" s="8" t="s">
        <v>26</v>
      </c>
      <c r="C8" s="8" t="s">
        <v>27</v>
      </c>
      <c r="E8" s="15" t="s">
        <v>30</v>
      </c>
    </row>
    <row r="9" spans="1:10" x14ac:dyDescent="0.25">
      <c r="A9" s="8" t="s">
        <v>23</v>
      </c>
      <c r="B9" s="4">
        <v>2</v>
      </c>
      <c r="C9" s="4">
        <v>2</v>
      </c>
    </row>
    <row r="10" spans="1:10" x14ac:dyDescent="0.25">
      <c r="A10" s="8" t="s">
        <v>24</v>
      </c>
      <c r="B10" s="4">
        <v>5.72</v>
      </c>
      <c r="C10" s="4">
        <v>6.17</v>
      </c>
    </row>
    <row r="11" spans="1:10" x14ac:dyDescent="0.25">
      <c r="A11" s="18" t="s">
        <v>31</v>
      </c>
      <c r="B11" s="16">
        <f>1-(1-EXP(-(PI()/4)*(4/H3)^2))</f>
        <v>0.87953277125525076</v>
      </c>
      <c r="C11" s="16">
        <f>1-(1-EXP(-(PI()/4)*(4/H4)^2))</f>
        <v>0.89673256462502149</v>
      </c>
    </row>
    <row r="12" spans="1:10" x14ac:dyDescent="0.25">
      <c r="A12" s="8" t="s">
        <v>25</v>
      </c>
      <c r="B12" s="14"/>
      <c r="C12" s="14"/>
    </row>
    <row r="13" spans="1:10" x14ac:dyDescent="0.25">
      <c r="A13" s="8" t="s">
        <v>23</v>
      </c>
      <c r="B13" s="4">
        <v>2.48</v>
      </c>
      <c r="C13" s="4">
        <v>2.42</v>
      </c>
    </row>
    <row r="14" spans="1:10" x14ac:dyDescent="0.25">
      <c r="A14" s="8" t="s">
        <v>28</v>
      </c>
      <c r="B14" s="4">
        <v>9.35</v>
      </c>
      <c r="C14" s="4">
        <v>8.6</v>
      </c>
    </row>
    <row r="15" spans="1:10" x14ac:dyDescent="0.25">
      <c r="A15" s="18" t="s">
        <v>31</v>
      </c>
      <c r="B15" s="17">
        <f>1-(1-EXP(-((4/B14)^B13)))</f>
        <v>0.88536297817242804</v>
      </c>
      <c r="C15" s="17">
        <f>1-(1-EXP(-((4/C14)^C13)))</f>
        <v>0.85482782701898574</v>
      </c>
    </row>
  </sheetData>
  <mergeCells count="1">
    <mergeCell ref="B12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M2</vt:lpstr>
      <vt:lpstr>M4</vt:lpstr>
      <vt:lpstr>Hub Height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Eoghan O'Leary</dc:creator>
  <cp:lastModifiedBy>Eoghan O'Leary</cp:lastModifiedBy>
  <dcterms:created xsi:type="dcterms:W3CDTF">2024-04-15T23:10:09Z</dcterms:created>
  <dcterms:modified xsi:type="dcterms:W3CDTF">2024-04-19T03:48:14Z</dcterms:modified>
</cp:coreProperties>
</file>