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ela\Documents\Git\ms-excel-blackjack\"/>
    </mc:Choice>
  </mc:AlternateContent>
  <xr:revisionPtr revIDLastSave="0" documentId="13_ncr:1_{BA32A59C-190D-460D-A2D3-55D4A79FEE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culations" sheetId="1" r:id="rId1"/>
    <sheet name="How to play" sheetId="3" r:id="rId2"/>
    <sheet name="Blackjack" sheetId="2" r:id="rId3"/>
  </sheets>
  <definedNames>
    <definedName name="DealerAces">Calculations!$J$11</definedName>
    <definedName name="DealerCardFifth">Calculations!$M$4</definedName>
    <definedName name="DealerCardFirst">Calculations!$I$4</definedName>
    <definedName name="DealerCardFourth">Calculations!$L$4</definedName>
    <definedName name="DealerCardSecond">Calculations!$J$4</definedName>
    <definedName name="DealerCardThird">Calculations!$K$4</definedName>
    <definedName name="DealerChangedFifth">Calculations!$M$6</definedName>
    <definedName name="DealerChangedFourth">Calculations!$L$6</definedName>
    <definedName name="DealerChangedSecond">Calculations!$J$6</definedName>
    <definedName name="DealerChangedThird">Calculations!$K$6</definedName>
    <definedName name="DealerCurrent">Calculations!$J$12</definedName>
    <definedName name="DealerFinalScore">Blackjack!$BZ$12</definedName>
    <definedName name="DealerMax">Calculations!$J$13</definedName>
    <definedName name="DealerMaxCardNo">Calculations!$M$13</definedName>
    <definedName name="DealerSumFifth">Calculations!$M$7</definedName>
    <definedName name="DealerSumFirst">Calculations!$I$7</definedName>
    <definedName name="DealerSumFourth">Calculations!$L$7</definedName>
    <definedName name="DealerSums">Calculations!$I$7:$M$7</definedName>
    <definedName name="DealerSumSecond">Calculations!$J$7</definedName>
    <definedName name="DealerSumThird">Calculations!$K$7</definedName>
    <definedName name="DealerValueFifth">Calculations!$M$5</definedName>
    <definedName name="DealerValueFirst">Calculations!$I$5</definedName>
    <definedName name="DealerValueFourth">Calculations!$L$5</definedName>
    <definedName name="DealerValueSecond">Calculations!$J$5</definedName>
    <definedName name="DealerValuesString">Calculations!$J$10</definedName>
    <definedName name="DealerValueThird">Calculations!$K$5</definedName>
    <definedName name="DrawAnswer">Blackjack!$K$8</definedName>
    <definedName name="PlayerAces">Calculations!$Q$11</definedName>
    <definedName name="PlayerCard1">Blackjack!$AQ$32</definedName>
    <definedName name="PlayerCard2">Blackjack!$AX$32</definedName>
    <definedName name="PlayerCard3">Blackjack!$BE$32</definedName>
    <definedName name="PlayerCard4">Blackjack!$BL$32</definedName>
    <definedName name="PlayerCard5">Blackjack!$BS$32</definedName>
    <definedName name="PlayerCardFifth">Calculations!$T$4</definedName>
    <definedName name="PlayerCardFirst">Calculations!$P$4</definedName>
    <definedName name="PlayerCardForth">Calculations!$S$4</definedName>
    <definedName name="PlayerCardFourth">Calculations!$S$4</definedName>
    <definedName name="PlayerCardsDrawn">Blackjack!$AL$30</definedName>
    <definedName name="PlayerCardSecond">Calculations!$Q$4</definedName>
    <definedName name="PlayerCardThird">Calculations!$R$4</definedName>
    <definedName name="PlayerChangedFifth">Calculations!$T$6</definedName>
    <definedName name="PlayerChangedFourth">Calculations!$S$6</definedName>
    <definedName name="PlayerChangedSecond">Calculations!$Q$6</definedName>
    <definedName name="PlayerChangedThird">Calculations!$R$6</definedName>
    <definedName name="PlayerCurrent">Calculations!$Q$12</definedName>
    <definedName name="PlayerFinalScore">Blackjack!$BZ$32</definedName>
    <definedName name="PlayerMax">Calculations!$Q$13</definedName>
    <definedName name="PlayerMaxCardNo">Calculations!$T$13</definedName>
    <definedName name="PlayerStartValue">Blackjack!$AJ$30</definedName>
    <definedName name="PlayerSumFifth">Calculations!$T$7</definedName>
    <definedName name="PlayerSumFirst">Calculations!$P$7</definedName>
    <definedName name="PlayerSumFourth">Calculations!$S$7</definedName>
    <definedName name="PlayerSums">Calculations!$P$7:$T$7</definedName>
    <definedName name="PlayerSumSecond">Calculations!$Q$7</definedName>
    <definedName name="PlayerSumThird">Calculations!$R$7</definedName>
    <definedName name="PlayerValueFifth">Calculations!$T$5</definedName>
    <definedName name="PlayerValueFirst">Calculations!$P$5</definedName>
    <definedName name="PlayerValueFourth">Calculations!$S$5</definedName>
    <definedName name="PlayerValueSecond">Calculations!$Q$5</definedName>
    <definedName name="PlayerValuesString">Calculations!$Q$10</definedName>
    <definedName name="PlayerValueThird">Calculations!$R$5</definedName>
    <definedName name="Restart">Blackjack!$K$23</definedName>
    <definedName name="StartValue">Blackjack!$AJ$30</definedName>
  </definedNames>
  <calcPr calcId="191029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1" i="1"/>
  <c r="C1" i="1"/>
  <c r="A2" i="1"/>
  <c r="C2" i="1"/>
  <c r="A3" i="1"/>
  <c r="C3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AW11" i="2"/>
  <c r="BD11" i="2"/>
  <c r="BK11" i="2"/>
  <c r="BR11" i="2"/>
  <c r="AX12" i="2"/>
  <c r="BE12" i="2"/>
  <c r="BL12" i="2"/>
  <c r="BS12" i="2"/>
  <c r="BZ12" i="2"/>
  <c r="AZ15" i="2"/>
  <c r="BG15" i="2"/>
  <c r="BN15" i="2"/>
  <c r="BU15" i="2"/>
  <c r="AP20" i="2"/>
  <c r="AL30" i="2"/>
  <c r="BS32" i="2" s="1"/>
  <c r="BE32" i="2"/>
  <c r="BL32" i="2"/>
  <c r="BU35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P4" i="1" l="1"/>
  <c r="AS35" i="2" s="1"/>
  <c r="T5" i="1"/>
  <c r="J5" i="1"/>
  <c r="I5" i="1"/>
  <c r="R5" i="1"/>
  <c r="K4" i="1"/>
  <c r="BN35" i="2"/>
  <c r="Q5" i="1"/>
  <c r="T4" i="1"/>
  <c r="J4" i="1"/>
  <c r="BG35" i="2"/>
  <c r="M4" i="1"/>
  <c r="P5" i="1"/>
  <c r="L5" i="1"/>
  <c r="Q4" i="1"/>
  <c r="BD31" i="2"/>
  <c r="S5" i="1"/>
  <c r="L4" i="1"/>
  <c r="S4" i="1"/>
  <c r="I4" i="1"/>
  <c r="BR31" i="2"/>
  <c r="M5" i="1"/>
  <c r="R4" i="1"/>
  <c r="BK31" i="2"/>
  <c r="K5" i="1"/>
  <c r="AP31" i="2" l="1"/>
  <c r="AQ32" i="2"/>
  <c r="Q10" i="1"/>
  <c r="Q11" i="1" s="1"/>
  <c r="P7" i="1"/>
  <c r="AS15" i="2"/>
  <c r="AQ12" i="2"/>
  <c r="AP11" i="2"/>
  <c r="I7" i="1"/>
  <c r="J10" i="1"/>
  <c r="J11" i="1" s="1"/>
  <c r="AW31" i="2"/>
  <c r="AZ35" i="2"/>
  <c r="AX32" i="2"/>
  <c r="J6" i="1" l="1"/>
  <c r="J7" i="1"/>
  <c r="Q7" i="1"/>
  <c r="Q6" i="1"/>
  <c r="R6" i="1" l="1"/>
  <c r="R7" i="1" s="1"/>
  <c r="Q12" i="1"/>
  <c r="BZ32" i="2" s="1"/>
  <c r="K6" i="1"/>
  <c r="K7" i="1" s="1"/>
  <c r="L6" i="1" l="1"/>
  <c r="L7" i="1" s="1"/>
  <c r="S6" i="1"/>
  <c r="S7" i="1" s="1"/>
  <c r="T6" i="1" l="1"/>
  <c r="T7" i="1"/>
  <c r="Q13" i="1" s="1"/>
  <c r="T13" i="1" s="1"/>
  <c r="M6" i="1"/>
  <c r="M7" i="1" s="1"/>
  <c r="J13" i="1" s="1"/>
  <c r="M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FTP</author>
  </authors>
  <commentList>
    <comment ref="H3" authorId="0" shapeId="0" xr:uid="{00000000-0006-0000-0000-000001000000}">
      <text>
        <r>
          <rPr>
            <sz val="9"/>
            <color indexed="81"/>
            <rFont val="Tahoma"/>
            <charset val="177"/>
          </rPr>
          <t>Takes the highest #nth random number</t>
        </r>
      </text>
    </comment>
    <comment ref="O3" authorId="0" shapeId="0" xr:uid="{00000000-0006-0000-0000-000002000000}">
      <text>
        <r>
          <rPr>
            <sz val="9"/>
            <color indexed="81"/>
            <rFont val="Tahoma"/>
            <charset val="177"/>
          </rPr>
          <t xml:space="preserve">Takes the highest </t>
        </r>
        <r>
          <rPr>
            <b/>
            <sz val="9"/>
            <color indexed="81"/>
            <rFont val="Tahoma"/>
            <family val="2"/>
          </rPr>
          <t>#nth random number</t>
        </r>
      </text>
    </comment>
    <comment ref="H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Shows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result card</t>
        </r>
      </text>
    </comment>
    <comment ref="O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Shows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result card</t>
        </r>
      </text>
    </comment>
    <comment ref="H6" authorId="0" shapeId="0" xr:uid="{00000000-0006-0000-0000-000005000000}">
      <text>
        <r>
          <rPr>
            <sz val="9"/>
            <color indexed="81"/>
            <rFont val="Tahoma"/>
            <family val="2"/>
          </rPr>
          <t>The default value of Ace as the first card drawn is 11. This checks whether or not the sum should be lowered from 11 to 1 (can only happen once!)</t>
        </r>
      </text>
    </comment>
    <comment ref="O6" authorId="0" shapeId="0" xr:uid="{00000000-0006-0000-0000-000006000000}">
      <text>
        <r>
          <rPr>
            <sz val="9"/>
            <color indexed="81"/>
            <rFont val="Tahoma"/>
            <family val="2"/>
          </rPr>
          <t>The default value of Ace as the first card drawn is 11. This checks whether or not the sum should be lowered from 11 to 1 (can only happen once!)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FTP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Lab FTP: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To draw, press F9</t>
        </r>
      </text>
    </comment>
  </commentList>
</comments>
</file>

<file path=xl/sharedStrings.xml><?xml version="1.0" encoding="utf-8"?>
<sst xmlns="http://schemas.openxmlformats.org/spreadsheetml/2006/main" count="119" uniqueCount="50">
  <si>
    <t>J</t>
  </si>
  <si>
    <t>Q</t>
  </si>
  <si>
    <t>K</t>
  </si>
  <si>
    <t>A</t>
  </si>
  <si>
    <t>♥</t>
  </si>
  <si>
    <t>♦</t>
  </si>
  <si>
    <t>♣</t>
  </si>
  <si>
    <t>♠</t>
  </si>
  <si>
    <t>Dealer</t>
  </si>
  <si>
    <t>Player</t>
  </si>
  <si>
    <t>Result</t>
  </si>
  <si>
    <t>Who's next?</t>
  </si>
  <si>
    <t>►</t>
  </si>
  <si>
    <t>Draw more?</t>
  </si>
  <si>
    <t>Sum</t>
  </si>
  <si>
    <t>Restart?</t>
  </si>
  <si>
    <t>How many Aces?</t>
  </si>
  <si>
    <t>Value</t>
  </si>
  <si>
    <t>Values String</t>
  </si>
  <si>
    <t>Current Sum</t>
  </si>
  <si>
    <t>Max Sum</t>
  </si>
  <si>
    <t>Max Sum Card No.</t>
  </si>
  <si>
    <t>Random #</t>
  </si>
  <si>
    <t>Card No.</t>
  </si>
  <si>
    <t>Instructions:</t>
  </si>
  <si>
    <t>To start a new game, make sure:</t>
  </si>
  <si>
    <t>Blackjack</t>
  </si>
  <si>
    <t>Spreadsheet.</t>
  </si>
  <si>
    <t>The goal of blackjack is to beat the dealer's hand without going over 21.</t>
  </si>
  <si>
    <t>Face cards are worth 10, Aces are worth 1 or 11 (whichever makes a better hand).</t>
  </si>
  <si>
    <t>Each player starts with two cards, one of the dealer's cards is hidden until the end.</t>
  </si>
  <si>
    <t>To 'Hit' is to ask for another card. To 'Stand' is to hold your total and end your turn.</t>
  </si>
  <si>
    <t>If you go over 21 you bust, and the dealer wins regardless of the dealer's hand.</t>
  </si>
  <si>
    <t>If you are dealt 21 of the start (ex. Ace and 10), you got a blackjack.</t>
  </si>
  <si>
    <t>GOAL</t>
  </si>
  <si>
    <t>CARD VALUES</t>
  </si>
  <si>
    <t>Any other card is its pip value.</t>
  </si>
  <si>
    <t>PLAY</t>
  </si>
  <si>
    <t>Hit</t>
  </si>
  <si>
    <t>Stand</t>
  </si>
  <si>
    <r>
      <t>3. Press</t>
    </r>
    <r>
      <rPr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  <scheme val="minor"/>
      </rPr>
      <t>F9</t>
    </r>
    <r>
      <rPr>
        <sz val="11"/>
        <color theme="1"/>
        <rFont val="Calibri"/>
        <family val="2"/>
        <scheme val="minor"/>
      </rPr>
      <t>]</t>
    </r>
  </si>
  <si>
    <r>
      <t>To draw more cards, pr</t>
    </r>
    <r>
      <rPr>
        <sz val="11"/>
        <color theme="1"/>
        <rFont val="Calibri"/>
        <family val="2"/>
        <scheme val="minor"/>
      </rPr>
      <t>ess [</t>
    </r>
    <r>
      <rPr>
        <b/>
        <sz val="11"/>
        <color theme="1"/>
        <rFont val="Calibri"/>
        <family val="2"/>
        <scheme val="minor"/>
      </rPr>
      <t>F9</t>
    </r>
    <r>
      <rPr>
        <sz val="11"/>
        <color theme="1"/>
        <rFont val="Calibri"/>
        <family val="2"/>
        <scheme val="minor"/>
      </rPr>
      <t>]</t>
    </r>
  </si>
  <si>
    <t>To play, Use the</t>
  </si>
  <si>
    <t>Max (Last) Sum</t>
  </si>
  <si>
    <r>
      <t xml:space="preserve">4. Set </t>
    </r>
    <r>
      <rPr>
        <i/>
        <sz val="11"/>
        <color theme="1"/>
        <rFont val="Calibri"/>
        <family val="2"/>
        <scheme val="minor"/>
      </rPr>
      <t>Restart</t>
    </r>
    <r>
      <rPr>
        <sz val="11"/>
        <color theme="1"/>
        <rFont val="Calibri"/>
        <family val="2"/>
        <charset val="177"/>
        <scheme val="minor"/>
      </rPr>
      <t xml:space="preserve"> to</t>
    </r>
  </si>
  <si>
    <r>
      <t xml:space="preserve">2. </t>
    </r>
    <r>
      <rPr>
        <i/>
        <sz val="11"/>
        <color theme="1"/>
        <rFont val="Calibri"/>
        <family val="2"/>
        <scheme val="minor"/>
      </rPr>
      <t>Draw more</t>
    </r>
    <r>
      <rPr>
        <sz val="11"/>
        <color theme="1"/>
        <rFont val="Calibri"/>
        <family val="2"/>
        <charset val="177"/>
        <scheme val="minor"/>
      </rPr>
      <t xml:space="preserve"> is set to</t>
    </r>
  </si>
  <si>
    <r>
      <t xml:space="preserve">1. </t>
    </r>
    <r>
      <rPr>
        <i/>
        <sz val="11"/>
        <color theme="1"/>
        <rFont val="Calibri"/>
        <family val="2"/>
        <scheme val="minor"/>
      </rPr>
      <t>Restart</t>
    </r>
    <r>
      <rPr>
        <sz val="11"/>
        <color theme="1"/>
        <rFont val="Calibri"/>
        <family val="2"/>
        <charset val="177"/>
        <scheme val="minor"/>
      </rPr>
      <t xml:space="preserve"> is set to</t>
    </r>
  </si>
  <si>
    <t>Changed Ace?</t>
  </si>
  <si>
    <t>If you want to stop drawing,</t>
  </si>
  <si>
    <r>
      <t xml:space="preserve">set </t>
    </r>
    <r>
      <rPr>
        <i/>
        <sz val="11"/>
        <color theme="1"/>
        <rFont val="Calibri"/>
        <family val="2"/>
        <scheme val="minor"/>
      </rPr>
      <t>Draw more</t>
    </r>
    <r>
      <rPr>
        <sz val="11"/>
        <color theme="1"/>
        <rFont val="Calibri"/>
        <family val="2"/>
        <charset val="177"/>
        <scheme val="minor"/>
      </rPr>
      <t xml:space="preserve"> 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</si>
</sst>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6"/>
      <color indexed="81"/>
      <name val="Tahoma"/>
      <family val="2"/>
    </font>
    <font>
      <sz val="26"/>
      <color rgb="FFFF0000"/>
      <name val="Calibri"/>
      <family val="2"/>
      <charset val="177"/>
      <scheme val="minor"/>
    </font>
    <font>
      <b/>
      <sz val="90"/>
      <color theme="1"/>
      <name val="Calibri"/>
      <family val="2"/>
      <scheme val="minor"/>
    </font>
    <font>
      <sz val="20"/>
      <color theme="0"/>
      <name val="Calibri"/>
      <family val="2"/>
      <charset val="177"/>
      <scheme val="minor"/>
    </font>
    <font>
      <u/>
      <sz val="11"/>
      <color theme="1"/>
      <name val="Calibri"/>
      <family val="2"/>
      <charset val="177"/>
      <scheme val="minor"/>
    </font>
    <font>
      <b/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u/>
      <sz val="11"/>
      <color theme="4"/>
      <name val="Calibri"/>
      <family val="2"/>
      <charset val="177"/>
      <scheme val="minor"/>
    </font>
    <font>
      <sz val="11"/>
      <color theme="6"/>
      <name val="Calibri"/>
      <family val="2"/>
      <charset val="177"/>
      <scheme val="minor"/>
    </font>
    <font>
      <sz val="9"/>
      <color indexed="81"/>
      <name val="Tahoma"/>
      <charset val="177"/>
    </font>
    <font>
      <sz val="11"/>
      <name val="Calibri"/>
      <family val="2"/>
      <charset val="177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9"/>
      <color rgb="FFFF0000"/>
      <name val="Calibri"/>
      <family val="2"/>
      <charset val="177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1" applyFont="1"/>
    <xf numFmtId="0" fontId="2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rgb="FFFF0000"/>
      </font>
    </dxf>
    <dxf>
      <font>
        <color rgb="FFE7D779"/>
      </font>
    </dxf>
    <dxf>
      <font>
        <color rgb="FFFF0000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rgb="FFFF0000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D779"/>
      <color rgb="FFF9F9F9"/>
      <color rgb="FFDDE9F7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A1:T48"/>
  <sheetViews>
    <sheetView tabSelected="1" workbookViewId="0"/>
  </sheetViews>
  <sheetFormatPr defaultColWidth="9" defaultRowHeight="15" x14ac:dyDescent="0.25"/>
  <cols>
    <col min="1" max="2" width="9" style="1"/>
    <col min="3" max="3" width="4.28515625" style="1" bestFit="1" customWidth="1"/>
    <col min="4" max="4" width="2.140625" style="1" bestFit="1" customWidth="1"/>
    <col min="5" max="5" width="3.140625" style="1" bestFit="1" customWidth="1"/>
    <col min="6" max="7" width="9" style="1"/>
    <col min="8" max="8" width="13.28515625" style="1" bestFit="1" customWidth="1"/>
    <col min="9" max="14" width="9" style="1"/>
    <col min="15" max="15" width="13.28515625" style="1" bestFit="1" customWidth="1"/>
    <col min="16" max="16384" width="9" style="1"/>
  </cols>
  <sheetData>
    <row r="1" spans="1:20" x14ac:dyDescent="0.25">
      <c r="A1" s="4">
        <f t="shared" ref="A1:A30" ca="1" si="0">IF(Restart,RAND(),"")</f>
        <v>0.42244603802354419</v>
      </c>
      <c r="B1" s="4">
        <f ca="1">IF($A1&lt;&gt;"",$A1,$B1)</f>
        <v>0.42244603802354419</v>
      </c>
      <c r="C1" s="28" t="str">
        <f t="shared" ref="C1:C5" si="1">$D1&amp;$E1</f>
        <v>2♥</v>
      </c>
      <c r="D1" s="28">
        <v>2</v>
      </c>
      <c r="E1" s="29" t="s">
        <v>4</v>
      </c>
    </row>
    <row r="2" spans="1:20" x14ac:dyDescent="0.25">
      <c r="A2" s="4">
        <f t="shared" ca="1" si="0"/>
        <v>0.79754157113104718</v>
      </c>
      <c r="B2" s="4">
        <f t="shared" ref="B2:B5" ca="1" si="2">IF($A2&lt;&gt;"",$A2,$B2)</f>
        <v>0.79754157113104718</v>
      </c>
      <c r="C2" s="28" t="str">
        <f t="shared" si="1"/>
        <v>3♥</v>
      </c>
      <c r="D2" s="28">
        <v>3</v>
      </c>
      <c r="E2" s="29" t="s">
        <v>4</v>
      </c>
      <c r="H2" s="34" t="s">
        <v>8</v>
      </c>
      <c r="I2" s="34"/>
      <c r="J2" s="34"/>
      <c r="K2" s="34"/>
      <c r="L2" s="34"/>
      <c r="M2" s="34"/>
      <c r="O2" s="35" t="s">
        <v>9</v>
      </c>
      <c r="P2" s="35"/>
      <c r="Q2" s="35"/>
      <c r="R2" s="35"/>
      <c r="S2" s="35"/>
      <c r="T2" s="35"/>
    </row>
    <row r="3" spans="1:20" x14ac:dyDescent="0.25">
      <c r="A3" s="4">
        <f t="shared" ca="1" si="0"/>
        <v>0.83756898567327531</v>
      </c>
      <c r="B3" s="4">
        <f t="shared" ca="1" si="2"/>
        <v>0.83756898567327531</v>
      </c>
      <c r="C3" s="28" t="str">
        <f t="shared" si="1"/>
        <v>4♥</v>
      </c>
      <c r="D3" s="28">
        <v>4</v>
      </c>
      <c r="E3" s="29" t="s">
        <v>4</v>
      </c>
      <c r="H3" s="6" t="s">
        <v>22</v>
      </c>
      <c r="I3" s="4">
        <v>1</v>
      </c>
      <c r="J3" s="4">
        <v>2</v>
      </c>
      <c r="K3" s="4">
        <v>3</v>
      </c>
      <c r="L3" s="4">
        <v>4</v>
      </c>
      <c r="M3" s="4">
        <v>5</v>
      </c>
      <c r="O3" s="5" t="s">
        <v>22</v>
      </c>
      <c r="P3" s="4">
        <v>6</v>
      </c>
      <c r="Q3" s="4">
        <v>7</v>
      </c>
      <c r="R3" s="4">
        <v>8</v>
      </c>
      <c r="S3" s="4">
        <v>9</v>
      </c>
      <c r="T3" s="4">
        <v>10</v>
      </c>
    </row>
    <row r="4" spans="1:20" x14ac:dyDescent="0.25">
      <c r="A4" s="4">
        <f t="shared" ca="1" si="0"/>
        <v>0.95874445121473406</v>
      </c>
      <c r="B4" s="4">
        <f t="shared" ca="1" si="2"/>
        <v>0.95874445121473406</v>
      </c>
      <c r="C4" s="28" t="str">
        <f t="shared" si="1"/>
        <v>5♥</v>
      </c>
      <c r="D4" s="28">
        <v>5</v>
      </c>
      <c r="E4" s="29" t="s">
        <v>4</v>
      </c>
      <c r="H4" s="6" t="s">
        <v>10</v>
      </c>
      <c r="I4" s="28" t="str">
        <f ca="1">VLOOKUP(LARGE($B:$B,I$3),$B:$E,2,FALSE)</f>
        <v>5♥</v>
      </c>
      <c r="J4" s="28" t="str">
        <f ca="1">VLOOKUP(LARGE($B:$B,J$3),$B:$E,2,FALSE)</f>
        <v>Q♥</v>
      </c>
      <c r="K4" s="28" t="str">
        <f ca="1">VLOOKUP(LARGE($B:$B,K$3),$B:$E,2,FALSE)</f>
        <v>2♠</v>
      </c>
      <c r="L4" s="28" t="str">
        <f ca="1">VLOOKUP(LARGE($B:$B,L$3),$B:$E,2,FALSE)</f>
        <v>4♥</v>
      </c>
      <c r="M4" s="28" t="str">
        <f ca="1">VLOOKUP(LARGE($B:$B,M$3),$B:$E,2,FALSE)</f>
        <v>5♦</v>
      </c>
      <c r="O4" s="5" t="s">
        <v>10</v>
      </c>
      <c r="P4" s="28" t="str">
        <f ca="1">VLOOKUP(LARGE($B:$B,P$3),$B:$E,2,FALSE)</f>
        <v>8♥</v>
      </c>
      <c r="Q4" s="28" t="str">
        <f ca="1">VLOOKUP(LARGE($B:$B,Q$3),$B:$E,2,FALSE)</f>
        <v>J♠</v>
      </c>
      <c r="R4" s="28" t="str">
        <f ca="1">VLOOKUP(LARGE($B:$B,R$3),$B:$E,2,FALSE)</f>
        <v>3♥</v>
      </c>
      <c r="S4" s="28" t="str">
        <f ca="1">VLOOKUP(LARGE($B:$B,S$3),$B:$E,2,FALSE)</f>
        <v>Q♦</v>
      </c>
      <c r="T4" s="28" t="str">
        <f ca="1">VLOOKUP(LARGE($B:$B,T$3),$B:$E,2,FALSE)</f>
        <v>J♥</v>
      </c>
    </row>
    <row r="5" spans="1:20" x14ac:dyDescent="0.25">
      <c r="A5" s="4">
        <f t="shared" ca="1" si="0"/>
        <v>0.57997321591603301</v>
      </c>
      <c r="B5" s="4">
        <f t="shared" ca="1" si="2"/>
        <v>0.57997321591603301</v>
      </c>
      <c r="C5" s="28" t="str">
        <f t="shared" si="1"/>
        <v>6♥</v>
      </c>
      <c r="D5" s="28">
        <v>6</v>
      </c>
      <c r="E5" s="29" t="s">
        <v>4</v>
      </c>
      <c r="H5" s="6" t="s">
        <v>17</v>
      </c>
      <c r="I5" s="4">
        <f ca="1">VLOOKUP(LARGE($B:$B,I$3),$B:$E,3,FALSE)</f>
        <v>5</v>
      </c>
      <c r="J5" s="4" t="str">
        <f ca="1">VLOOKUP(LARGE($B:$B,J$3),$B:$E,3,FALSE)</f>
        <v>Q</v>
      </c>
      <c r="K5" s="4">
        <f ca="1">VLOOKUP(LARGE($B:$B,K$3),$B:$E,3,FALSE)</f>
        <v>2</v>
      </c>
      <c r="L5" s="4">
        <f ca="1">VLOOKUP(LARGE($B:$B,L$3),$B:$E,3,FALSE)</f>
        <v>4</v>
      </c>
      <c r="M5" s="4">
        <f ca="1">VLOOKUP(LARGE($B:$B,M$3),$B:$E,3,FALSE)</f>
        <v>5</v>
      </c>
      <c r="O5" s="5" t="s">
        <v>17</v>
      </c>
      <c r="P5" s="4">
        <f ca="1">VLOOKUP(LARGE($B:$B,P$3),$B:$E,3,FALSE)</f>
        <v>8</v>
      </c>
      <c r="Q5" s="4" t="str">
        <f ca="1">VLOOKUP(LARGE($B:$B,Q$3),$B:$E,3,FALSE)</f>
        <v>J</v>
      </c>
      <c r="R5" s="4">
        <f ca="1">VLOOKUP(LARGE($B:$B,R$3),$B:$E,3,FALSE)</f>
        <v>3</v>
      </c>
      <c r="S5" s="4" t="str">
        <f ca="1">VLOOKUP(LARGE($B:$B,S$3),$B:$E,3,FALSE)</f>
        <v>Q</v>
      </c>
      <c r="T5" s="4" t="str">
        <f ca="1">VLOOKUP(LARGE($B:$B,T$3),$B:$E,3,FALSE)</f>
        <v>J</v>
      </c>
    </row>
    <row r="6" spans="1:20" x14ac:dyDescent="0.25">
      <c r="A6" s="4">
        <f t="shared" ca="1" si="0"/>
        <v>0.42659696240453115</v>
      </c>
      <c r="B6" s="4">
        <f t="shared" ref="B6:B48" ca="1" si="3">IF($A6&lt;&gt;"",$A6,$B6)</f>
        <v>0.42659696240453115</v>
      </c>
      <c r="C6" s="28" t="str">
        <f t="shared" ref="C6:C48" si="4">$D6&amp;$E6</f>
        <v>7♥</v>
      </c>
      <c r="D6" s="28">
        <v>7</v>
      </c>
      <c r="E6" s="29" t="s">
        <v>4</v>
      </c>
      <c r="H6" s="6" t="s">
        <v>47</v>
      </c>
      <c r="I6" s="20"/>
      <c r="J6" s="4" t="b">
        <f ca="1">IF(OR(DealerSumFirst="WIN",DealerSumFirst="STOP",DealerSumFirst=""),"",
    IF(DealerValueSecond="A",
        IF(DealerSumFirst+11&gt;21,
            IF(DealerSumFirst+1&gt;21,
                IF(ISNUMBER(FIND("A",DealerValuesString,1)),
                    IF(AND(FIND("A",DealerValuesString,1)&lt;=J$8,DealerSumSecond-10+1&lt;21),TRUE,FALSE),
                FALSE
                ),
            FALSE
            ),
            FALSE
        ),
        IF(OR(DealerValueSecond="J",DealerValueSecond="Q",DealerValueSecond="K"),
            IF(DealerSumFirst+10&gt;21,
                IF(ISNUMBER(FIND("A",DealerValuesString,1)),
                    IF(AND(FIND("A",DealerValuesString,1)&lt;=J$8,DealerSumSecond-10+10&lt;21),TRUE,FALSE),
                FALSE
                ),
            FALSE
            ),
            IF(DealerSumFirst+DealerValueSecond&gt;21,
                IF(ISNUMBER(FIND("A",DealerValuesString,1)),
                    IF(AND(FIND("A",DealerValuesString,1)&lt;=J$8,DealerSumSecond-10+DealerValueSecond&lt;21),TRUE,FALSE),
                FALSE
                ),
            FALSE
            )
        )
    )
)</f>
        <v>0</v>
      </c>
      <c r="K6" s="4" t="b">
        <f ca="1">IF(OR(DealerSumSecond="WIN",DealerSumSecond="STOP",DealerSumSecond=""),"",
    IF(DealerValueThird="A",
        IF(DealerSumSecond+11&gt;21,
            IF(DealerSumSecond+1&gt;21,
                IF(ISNUMBER(FIND("A",DealerValuesString,1)),
                    IF(AND(FIND("A",DealerValuesString,1)&lt;=K$8,DealerSumSecond-10+1&lt;21,DealerChangedSecond=FALSE),TRUE,FALSE),
                FALSE
                ),
            FALSE
            ),
            FALSE
        ),
        IF(OR(DealerValueThird="J",DealerValueThird="Q",DealerValueThird="K"),
            IF(DealerSumSecond+10&gt;21,
                IF(ISNUMBER(FIND("A",DealerValuesString,1)),
                    IF(AND(FIND("A",DealerValuesString,1)&lt;=K$8,DealerSumSecond-10+10&lt;21,DealerChangedSecond=FALSE),TRUE,FALSE),
                FALSE
                ),
            FALSE
            ),
            IF(DealerSumSecond+DealerValueThird&gt;21,
                IF(ISNUMBER(FIND("A",DealerValuesString,1)),
                    IF(AND(FIND("A",DealerValuesString,1)&lt;=K$8,DealerSumSecond-10+DealerValueThird&lt;21,DealerChangedSecond=FALSE),TRUE,FALSE),
                FALSE
                ),
            FALSE
            )
        )
    )
)</f>
        <v>0</v>
      </c>
      <c r="L6" s="4" t="b">
        <f ca="1">IF(OR(DealerSumThird="WIN",DealerSumThird="STOP",DealerSumThird=""),"",
    IF(DealerValueFourth="A",
        IF(DealerSumThird+11&gt;21,
            IF(DealerSumThird+1&gt;21,
                IF(ISNUMBER(FIND("A",DealerValuesString,1)),
                    IF(AND(FIND("A",DealerValuesString,1)&lt;=L$8,DealerSumThird-10+1&lt;21,DealerChangedSecond=FALSE,DealerChangedThird=FALSE),TRUE,FALSE),
                FALSE
                ),
            FALSE
            ),
            FALSE
        ),
        IF(OR(DealerValueFourth="J",DealerValueFourth="Q",DealerValueFourth="K"),
            IF(DealerSumThird+10&gt;21,
                IF(ISNUMBER(FIND("A",DealerValuesString,1)),
                    IF(AND(FIND("A",DealerValuesString,1)&lt;=L$8,DealerSumThird-10+10&lt;21,DealerChangedSecond=FALSE,DealerChangedThird=FALSE),TRUE,FALSE),
                FALSE
                ),
            FALSE
            ),
            IF(DealerSumThird+DealerValueFourth&gt;21,
                IF(ISNUMBER(FIND("A",DealerValuesString,1)),
                    IF(AND(FIND("A",DealerValuesString,1)&lt;=L$8,DealerSumThird-10+DealerValueFourth&lt;21,DealerChangedSecond=FALSE,DealerChangedThird=FALSE),TRUE,FALSE),
                FALSE
                ),
            FALSE
            )
        )
    )
)</f>
        <v>0</v>
      </c>
      <c r="M6" s="4" t="str">
        <f ca="1">IF(OR(DealerSumFourth="WIN",DealerSumFourth="STOP",DealerSumFourth=""),"",
    IF(DealerValueFifth="A",
        IF(DealerSumFourth+11&gt;21,
            IF(DealerSumFourth+1&gt;21,
                IF(ISNUMBER(FIND("A",DealerValuesString,1)),
                    IF(AND(FIND("A",DealerValuesString,1)&lt;=M$8,DealerSumFourth-10+1&lt;21,DealerChangedSecond=FALSE,DealerChangedThird=FALSE,DealerChangedFourth=FALSE),TRUE,FALSE),
                FALSE
                ),
            FALSE
            ),
            FALSE
        ),
        IF(OR(DealerValueFifth="J",DealerValueFifth="Q",DealerValueFifth="K"),
            IF(DealerSumFourth+10&gt;21,
                IF(ISNUMBER(FIND("A",DealerValuesString,1)),
                    IF(AND(FIND("A",DealerValuesString,1)&lt;=M$8,DealerSumFourth-10+10&lt;21,DealerChangedSecond=FALSE,DealerChangedThird=FALSE,DealerChangedFourth=FALSE),TRUE,FALSE),
                FALSE
                ),
            FALSE
            ),
            IF(DealerSumFourth+DealerValueFifth&gt;21,
                IF(ISNUMBER(FIND("A",DealerValuesString,1)),
                    IF(AND(FIND("A",DealerValuesString,1)&lt;=M$8,DealerSumFourth-10+DealerValueFifth&lt;21,DealerChangedSecond=FALSE,DealerChangedThird=FALSE,DealerChangedFourth=FALSE),TRUE,FALSE),
                FALSE
                ),
            FALSE
            )
        )
    )
)</f>
        <v/>
      </c>
      <c r="O6" s="5" t="s">
        <v>47</v>
      </c>
      <c r="P6" s="19"/>
      <c r="Q6" s="4" t="b">
        <f ca="1">IF(OR(PlayerSumFirst="WIN",PlayerSumFirst="LOSE",PlayerSumFirst=""),"",
    IF(PlayerValueSecond="A",
        IF(PlayerSumFirst+11&gt;21,
            IF(PlayerSumFirst+1&gt;21,
                IF(ISNUMBER(FIND("A",PlayerValuesString,1)),
                    IF(AND(FIND("A",PlayerValuesString,1)&lt;=R$8,PlayerSumSecond-10+1&lt;21),TRUE,FALSE),
                FALSE
                ),
            FALSE
            ),
            FALSE
        ),
        IF(OR(PlayerValueSecond="J",PlayerValueSecond="Q",PlayerValueSecond="K"),
            IF(PlayerSumFirst+10&gt;21,
                IF(ISNUMBER(FIND("A",PlayerValuesString,1)),
                    IF(AND(FIND("A",PlayerValuesString,1)&lt;=R$8,PlayerSumSecond-10+10&lt;21),TRUE,FALSE),
                FALSE
                ),
            FALSE
            ),
            IF(PlayerSumFirst+PlayerValueSecond&gt;21,
                IF(ISNUMBER(FIND("A",PlayerValuesString,1)),
                    IF(AND(FIND("A",PlayerValuesString,1)&lt;=R$8,PlayerSumSecond-10+PlayerValueSecond&lt;21),TRUE,FALSE),
                FALSE
                ),
            FALSE
            )
        )
    )
)</f>
        <v>0</v>
      </c>
      <c r="R6" s="4" t="b">
        <f ca="1">IF(OR(PlayerSumSecond="WIN",PlayerSumSecond="LOSE",PlayerSumSecond=""),"",
    IF(PlayerValueThird="A",
        IF(PlayerSumSecond+11&gt;21,
            IF(PlayerSumSecond+1&gt;21,
                IF(ISNUMBER(FIND("A",PlayerValuesString,1)),
                    IF(AND(FIND("A",PlayerValuesString,1)&lt;=R$8,PlayerSumSecond-10+1&lt;21,PlayerChangedSecond=FALSE),TRUE,FALSE),
                FALSE
                ),
            FALSE
            ),
            FALSE
        ),
        IF(OR(PlayerValueThird="J",PlayerValueThird="Q",PlayerValueThird="K"),
            IF(PlayerSumSecond+10&gt;21,
                IF(ISNUMBER(FIND("A",PlayerValuesString,1)),
                    IF(AND(FIND("A",PlayerValuesString,1)&lt;=R$8,PlayerSumSecond-10+10&lt;21,PlayerChangedSecond=FALSE),TRUE,FALSE),
                FALSE
                ),
            ),
            IF(PlayerSumSecond+PlayerValueThird&gt;21,
                IF(ISNUMBER(FIND("A",PlayerValuesString,1)),
                    IF(AND(FIND("A",PlayerValuesString,1)&lt;=R$8,PlayerSumSecond-10+PlayerValueThird&lt;21,PlayerChangedSecond=FALSE),TRUE,FALSE),
                FALSE
                ),
            FALSE
            )
        )
    )
)</f>
        <v>0</v>
      </c>
      <c r="S6" s="4" t="str">
        <f ca="1">IF(OR(PlayerSumThird="WIN",PlayerSumThird="LOSE",PlayerSumThird=""),"",
    IF(PlayerValueFourth="A",
        IF(PlayerSumThird+11&gt;21,
            IF(PlayerSumThird+1&gt;21,
                IF(ISNUMBER(FIND("A",PlayerValuesString,1)),
                    IF(AND(FIND("A",PlayerValuesString,1)&lt;=S$8,PlayerSumThird-10+1&lt;21,PlayerChangedSecond=FALSE,PlayerChangedThird=FALSE),TRUE,FALSE),
                FALSE
                ),
            FALSE
            ),
            FALSE
        ),
        IF(OR(PlayerValueFourth="J",PlayerValueFourth="Q",PlayerValueFourth="K"),
            IF(PlayerSumThird+10&gt;21,
                IF(ISNUMBER(FIND("A",PlayerValuesString,1)),
                    IF(AND(FIND("A",PlayerValuesString,1)&lt;=S$8,PlayerSumThird-10+10&lt;21,PlayerChangedSecond=FALSE,PlayerChangedThird=FALSE),TRUE,FALSE),
                FALSE
                ),
            FALSE
            ),
            IF(PlayerSumThird+PlayerValueFourth&gt;21,
                IF(ISNUMBER(FIND("A",PlayerValuesString,1)),
                    IF(AND(FIND("A",PlayerValuesString,1)&lt;=S$8,PlayerSumThird-10+PlayerValueFourth&lt;21,PlayerChangedSecond=FALSE,PlayerChangedThird=FALSE),TRUE,FALSE),
                FALSE
                ),
            FALSE
            )
        )
    )
)</f>
        <v/>
      </c>
      <c r="T6" s="4" t="str">
        <f ca="1">IF(OR(PlayerSumFourth="WIN",PlayerSumFourth="LOSE",PlayerSumFourth=""),"",
    IF(PlayerValueFifth="A",
        IF(PlayerSumFourth+11&gt;21,
            IF(PlayerSumFourth+1&gt;21,
                IF(ISNUMBER(FIND("A",PlayerValuesString,1)),
                    IF(AND(FIND("A",PlayerValuesString,1)&lt;=T$8,PlayerSumFourth-10+1&lt;21,PlayerChangedSecond=FALSE,PlayerChangedThird=FALSE,PlayerChangedFourth=FALSE),TRUE,FALSE),
                FALSE
                ),
            FALSE
            ),
            FALSE
        ),
        IF(OR(PlayerValueFifth="J",PlayerValueFifth="Q",PlayerValueFifth="K"),
            IF(PlayerSumFourth+10&gt;21,
                IF(ISNUMBER(FIND("A",PlayerValuesString,1)),
                    IF(AND(FIND("A",PlayerValuesString,1)&lt;=T$8,PlayerSumFourth-10+10&lt;21,PlayerChangedSecond=FALSE,PlayerChangedThird=FALSE,PlayerChangedFourth=FALSE),TRUE,FALSE),
                FALSE
                ),
            FALSE
            ),
            IF(PlayerSumFourth+PlayerValueFifth&gt;21,
                IF(ISNUMBER(FIND("A",PlayerValuesString,1)),
                    IF(AND(FIND("A",PlayerValuesString,1)&lt;=T$8,PlayerSumFourth-10+PlayerValueFifth&lt;21,PlayerChangedSecond=FALSE,PlayerChangedThird=FALSE,PlayerChangedFourth=FALSE),TRUE,FALSE),
                FALSE
                ),
            FALSE
            )
        )
    )
)</f>
        <v/>
      </c>
    </row>
    <row r="7" spans="1:20" x14ac:dyDescent="0.25">
      <c r="A7" s="4">
        <f t="shared" ca="1" si="0"/>
        <v>0.83162236405970935</v>
      </c>
      <c r="B7" s="4">
        <f t="shared" ca="1" si="3"/>
        <v>0.83162236405970935</v>
      </c>
      <c r="C7" s="28" t="str">
        <f t="shared" si="4"/>
        <v>8♥</v>
      </c>
      <c r="D7" s="28">
        <v>8</v>
      </c>
      <c r="E7" s="29" t="s">
        <v>4</v>
      </c>
      <c r="H7" s="6" t="s">
        <v>14</v>
      </c>
      <c r="I7" s="22">
        <f ca="1">IF(DealerValueFirst="A",11,
IF(OR(DealerValueFirst="K",DealerValueFirst="Q",DealerValueFirst="J"),10,DealerValueFirst)
)</f>
        <v>5</v>
      </c>
      <c r="J7" s="22">
        <f ca="1">IF(OR(DealerSumFirst="WIN",DealerSumFirst="STOP"),"",
    IF(DealerValueSecond="A",
        IF(DealerSumFirst+11&gt;21,
            IF(DealerSumFirst+1&gt;21,
                 IF(ISNUMBER(FIND("A",DealerValuesString,1)),
                    IF(AND(FIND("A",DealerValuesString,1)&lt;=J$8,DealerSumFirst-10+1&lt;21,DealerChangedSecond=TRUE),DealerSumFirst-10+1,"STOP"),
                 "STOP"
                 ),
            IF(DealerSumFirst+1=21,"WIN",DealerSumFirst+1)
            ),
            IF(DealerSumFirst+11=21,"WIN",DealerSumFirst+11)
        ),
        IF(OR(DealerValueSecond="J",DealerValueSecond="Q",DealerValueSecond="K"),
            IF(DealerSumFirst+10&gt;21,
                 IF(ISNUMBER(FIND("A",DealerValuesString,1)),
                    IF(AND(FIND("A",DealerValuesString,1)&lt;=J$8,DealerSumFirst-10+10&lt;21,DealerChangedSecond=TRUE),DealerSumFirst-10+10,"STOP"),
                 "STOP"
                 ),
            IF(DealerSumFirst+10=21,"WIN",DealerSumFirst+10)
            ),
            IF(DealerSumFirst+DealerValueSecond&gt;21,
                 IF(ISNUMBER(FIND("A",DealerValuesString,1)),
                    IF(AND(FIND("A",DealerValuesString,1)&lt;=J$8,DealerSumFirst-10+DealerValueSecond&lt;21,DealerChangedSecond=TRUE),DealerSumFirst-10+DealerValueSecond,"STOP"),
                 "STOP"
                 ),
            IF(DealerSumFirst+DealerValueSecond=21,"WIN",DealerSumFirst+DealerValueSecond)
            )
        )
    )
)</f>
        <v>15</v>
      </c>
      <c r="K7" s="22">
        <f ca="1">IF(OR(DealerSumSecond="WIN",DealerSumSecond="STOP",DealerSumSecond=""),"",
    IF(DealerValueThird="A",
        IF(DealerSumSecond+11&gt;21,
            IF(DealerSumSecond+1&gt;21,
                 IF(ISNUMBER(FIND("A",DealerValuesString,1)),
                    IF(AND(FIND("A",DealerValuesString,1)&lt;=K$8,DealerSumSecond-10+1&lt;21,DealerChangedThird=TRUE),DealerSumSecond-10+1,"STOP"),
                 "STOP"
                 ),
            IF(DealerSumSecond+1=21,"WIN",DealerSumSecond+1)
            ),
            IF(DealerSumSecond+11=21,"WIN",DealerSumSecond+11)
        ),
        IF(OR(DealerValueThird="J",DealerValueThird="Q",DealerValueThird="K"),
            IF(DealerSumSecond+10&gt;21,
                 IF(ISNUMBER(FIND("A",DealerValuesString,1)),
                    IF(AND(FIND("A",DealerValuesString,1)&lt;=K$8,DealerSumSecond-10+10&lt;21,DealerChangedThird=TRUE),DealerSumSecond-10+10,"STOP"),
                 "STOP"
                 ),
            IF(DealerSumSecond+10=21,"WIN",DealerSumSecond+10)
            ),
            IF(DealerSumSecond+DealerValueThird&gt;21,
                 IF(ISNUMBER(FIND("A",DealerValuesString,1)),
                    IF(AND(FIND("A",DealerValuesString,1)&lt;=K$8,DealerSumSecond-10+DealerValueThird&lt;21,DealerChangedThird=TRUE),DealerSumSecond-10+DealerValueThird,"STOP"),
                 "STOP"
                 ),
            IF(DealerSumSecond+DealerValueThird=21,"WIN",DealerSumSecond+DealerValueThird)
            )
        )
    )
)</f>
        <v>17</v>
      </c>
      <c r="L7" s="22" t="str">
        <f ca="1">IF(OR(DealerSumThird="WIN",DealerSumThird="STOP",DealerSumThird=""),"",
    IF(DealerValueFourth="A",
        IF(DealerSumThird+11&gt;21,
            IF(DealerSumThird+1&gt;21,
                 IF(ISNUMBER(FIND("A",DealerValuesString,1)),
                    IF(AND(FIND("A",DealerValuesString,1)&lt;=K$8,DealerSumThird-10+1&lt;21,DealerChangedFourth=TRUE),DealerSumThird-10+1,"STOP"),
                 "STOP"
                 ),
            IF(DealerSumThird+1=21,"WIN",DealerSumThird+1)
            ),
            IF(DealerSumThird+11=21,"WIN",DealerSumThird+11)
        ),
        IF(OR(DealerValueFourth="J",DealerValueFourth="Q",DealerValueFourth="K"),
            IF(DealerSumThird+10&gt;21,
                 IF(ISNUMBER(FIND("A",DealerValuesString,1)),
                    IF(AND(FIND("A",DealerValuesString,1)&lt;=K$8,DealerSumThird-10+10&lt;21,DealerChangedFourth=TRUE),DealerSumThird-10+10,"STOP"),
                 "STOP"
                 ),
            IF(DealerSumThird+10=21,"WIN",DealerSumThird+10)
            ),
            IF(DealerSumThird+DealerValueFourth&gt;21,
                 IF(ISNUMBER(FIND("A",DealerValuesString,1)),
                    IF(AND(FIND("A",DealerValuesString,1)&lt;=K$8,DealerSumThird-10+DealerValueFourth&lt;21,DealerChangedFourth=TRUE),DealerSumThird-10+DealerValueFourth,"STOP"),
                 "STOP"
                 ),
            IF(DealerSumThird+DealerValueFourth=21,"WIN",DealerSumThird+DealerValueFourth)
            )
        )
    )
)</f>
        <v>WIN</v>
      </c>
      <c r="M7" s="22" t="str">
        <f ca="1">IF(OR(DealerSumFourth="WIN",DealerSumFourth="STOP",DealerSumFourth=""),"",
    IF(DealerValueFifth="A",
        IF(DealerSumFourth+11&gt;21,
            IF(DealerSumFourth+1&gt;21,
                 IF(ISNUMBER(FIND("A",DealerValuesString,1)),
                    IF(AND(FIND("A",DealerValuesString,1)&lt;=M$8,DealerSumFourth-10+1&lt;21,DealerChangedFifth=TRUE),DealerSumFourth-10+1,"STOP"),
                 "STOP"
                 ),
            IF(DealerSumFourth+1=21,"WIN",DealerSumFourth+1)
            ),
            IF(DealerSumFourth+11=21,"WIN",DealerSumFourth+11)
        ),
        IF(OR(DealerValueFifth="J",DealerValueFifth="Q",DealerValueFifth="K"),
            IF(DealerSumFourth+10&gt;21,
                 IF(ISNUMBER(FIND("A",DealerValuesString,1)),
                    IF(AND(FIND("A",DealerValuesString,1)&lt;=M$8,DealerSumFourth-10+10&lt;21,DealerChangedFifth=TRUE),DealerSumFourth-10+10,"STOP"),
                 "STOP"
                 ),
            IF(DealerSumFourth+10=21,"WIN",DealerSumFourth+10)
            ),
            IF(DealerSumFourth+DealerValueFifth&gt;21,
                 IF(ISNUMBER(FIND("A",DealerValuesString,1)),
                    IF(AND(FIND("A",DealerValuesString,1)&lt;=M$8,DealerSumFourth-10+DealerValueFifth&lt;21,DealerChangedFifth=TRUE),DealerSumFourth-10+DealerValueFifth,"STOP"),
                 "STOP"
                 ),
            IF(DealerSumFourth+DealerValueFifth=21,"WIN",DealerSumFourth+DealerValueFifth)
            )
        )
    )
)</f>
        <v/>
      </c>
      <c r="O7" s="5" t="s">
        <v>14</v>
      </c>
      <c r="P7" s="21">
        <f ca="1">IF(PlayerValueFirst="A",11,
IF(OR(PlayerValueFirst="K",PlayerValueFirst="Q",PlayerValueFirst="J"),10,PlayerValueFirst)
)</f>
        <v>8</v>
      </c>
      <c r="Q7" s="21">
        <f ca="1">IF(OR(PlayerSumFirst="WIN",PlayerSumFirst="LOSE"),"",
    IF(PlayerValueSecond="A",
        IF(PlayerSumFirst+11&gt;21,
            IF(PlayerSumFirst+1&gt;21,
                 IF(ISNUMBER(FIND("A",PlayerValuesString,1)),
                    IF(AND(FIND("A",PlayerValuesString,1)&lt;=Q$8,PlayerSumSecond-10+1&lt;21,PlayerChangedSecond=TRUE),PlayerSumSecond-10+1,"LOSE"),
                 "LOSE"
                 ),
            IF(PlayerSumFirst+1=21,"WIN",PlayerSumFirst+1)
            ),
            IF(PlayerSumFirst+11=21,"WIN",PlayerSumFirst+11)
        ),
        IF(OR(PlayerValueSecond="J",PlayerValueSecond="Q",PlayerValueSecond="K"),
            IF(PlayerSumFirst+10&gt;21,
                 IF(ISNUMBER(FIND("A",PlayerValuesString,1)),
                    IF(AND(FIND("A",PlayerValuesString,1)&lt;=Q$8,PlayerSumSecond-10+10&lt;21,PlayerChangedSecond=TRUE),PlayerSumSecond-10+10,"LOSE"),
                 "LOSE"
                 ),
            IF(PlayerSumFirst+10=21,"WIN",PlayerSumFirst+10)
            ),
            IF(PlayerSumFirst+PlayerValueSecond&gt;21,
                 IF(ISNUMBER(FIND("A",PlayerValuesString,1)),
                    IF(AND(FIND("A",PlayerValuesString,1)&lt;=Q$8,PlayerSumSecond-10+PlayerValueSecond&lt;21,PlayerChangedSecond=TRUE),PlayerSumSecond-10+PlayerValueSecond,"LOSE"),
                 "LOSE"
                 ),
            IF(PlayerSumFirst+PlayerValueSecond=21,"WIN",PlayerSumFirst+PlayerValueSecond)
            )
        )
    )
)</f>
        <v>18</v>
      </c>
      <c r="R7" s="21" t="str">
        <f ca="1">IF(OR(PlayerSumSecond="WIN",PlayerSumSecond="LOSE"),"",
    IF(PlayerValueThird="A",
        IF(PlayerSumSecond+11&gt;21,
            IF(PlayerSumSecond+1&gt;21,
                 IF(ISNUMBER(FIND("A",PlayerValuesString,1)),
                    IF(AND(FIND("A",PlayerValuesString,1)&lt;=R$8,PlayerSumSecond-10+1&lt;21,PlayerChangedThird=TRUE),PlayerSumSecond-10+1,"LOSE"),
                 "LOSE"
                 ),
            IF(PlayerSumSecond+1=21,"WIN",PlayerSumSecond+1)
            ),
            IF(PlayerSumSecond+11=21,"WIN",PlayerSumSecond+11)
        ),
        IF(OR(PlayerValueThird="J",PlayerValueThird="Q",PlayerValueThird="K"),
            IF(PlayerSumSecond+10&gt;21,
                 IF(ISNUMBER(FIND("A",PlayerValuesString,1)),
                    IF(AND(FIND("A",PlayerValuesString,1)&lt;=R$8,PlayerSumSecond-10+10&lt;21,PlayerChangedThird=TRUE),PlayerSumSecond-10+10,"LOSE"),
                 "LOSE"
                 ),
            IF(PlayerSumSecond+10=21,"WIN",PlayerSumSecond+10)
            ),
            IF(PlayerSumSecond+PlayerValueThird&gt;21,
                 IF(ISNUMBER(FIND("A",PlayerValuesString,1)),
                    IF(AND(FIND("A",PlayerValuesString,1)&lt;=R$8,PlayerSumSecond-10+PlayerValueThird&lt;21,PlayerChangedThird=TRUE),PlayerSumSecond-10+PlayerValueThird,"LOSE"),
                 "LOSE"
                 ),
            IF(PlayerSumSecond+PlayerValueThird=21,"WIN",PlayerSumSecond+PlayerValueThird)
            )
        )
    )
)</f>
        <v>WIN</v>
      </c>
      <c r="S7" s="21" t="str">
        <f ca="1">IF(OR(PlayerSumThird="WIN",PlayerSumThird="LOSE",PlayerSumThird=""),"",
    IF(PlayerValueFourth="A",
        IF(PlayerSumThird+11&gt;21,
            IF(PlayerSumThird+1&gt;21,
                 IF(ISNUMBER(FIND("A",PlayerValuesString,1)),
                    IF(AND(FIND("A",PlayerValuesString,1)&lt;=S$8,PlayerSumThird-10+1&lt;21,PlayerChangedFourth=TRUE),PlayerSumThird-10+1,"LOSE"),
                 "LOSE"
                 ),
            IF(PlayerSumThird+1=21,"WIN",PlayerSumThird+1)
            ),
            IF(PlayerSumThird+11=21,"WIN",PlayerSumThird+11)
        ),
        IF(OR(PlayerValueFourth="J",PlayerValueFourth="Q",PlayerValueFourth="K"),
            IF(PlayerSumThird+10&gt;21,
                 IF(ISNUMBER(FIND("A",PlayerValuesString,1)),
                    IF(AND(FIND("A",PlayerValuesString,1)&lt;=S$8,PlayerSumThird-10+10&lt;21,PlayerChangedFourth=TRUE),PlayerSumThird-10+10,"LOSE"),
                 "LOSE"
                 ),
            IF(PlayerSumThird+10=21,"WIN",PlayerSumThird+10)
            ),
            IF(PlayerSumThird+PlayerValueFourth&gt;21,
                 IF(ISNUMBER(FIND("A",PlayerValuesString,1)),
                    IF(AND(FIND("A",PlayerValuesString,1)&lt;=S$8,PlayerSumThird-10+PlayerValueFourth&lt;21,PlayerChangedFourth=TRUE),PlayerSumThird-10+PlayerValueFourth,"LOSE"),
                 "LOSE"
                 ),
            IF(PlayerSumThird+PlayerValueFourth=21,"WIN",PlayerSumThird+PlayerValueFourth)
            )
        )
    )
)</f>
        <v/>
      </c>
      <c r="T7" s="21" t="str">
        <f ca="1">IF(OR(PlayerSumFourth="WIN",PlayerSumFourth="LOSE",PlayerSumFourth=""),"",
    IF(PlayerValueFifth="A",
        IF(PlayerSumFourth+11&gt;21,
            IF(PlayerSumFourth+1&gt;21,
                 IF(ISNUMBER(FIND("A",PlayerValuesString,1)),
                    IF(AND(FIND("A",PlayerValuesString,1)&lt;=T$8,PlayerSumFourth-10+1&lt;21,PlayerChangedSecond=TRUE),PlayerSumFourth-10+1,"LOSE"),
                 "LOSE"
                 ),
            IF(PlayerSumFourth+1=21,"WIN",PlayerSumFourth+1)
            ),
            IF(PlayerSumFourth+11=21,"WIN",PlayerSumFourth+11)
        ),
        IF(OR(PlayerValueFifth="J",PlayerValueFifth="Q",PlayerValueFifth="K"),
            IF(PlayerSumFourth+10&gt;21,
                 IF(ISNUMBER(FIND("A",PlayerValuesString,1)),
                    IF(AND(FIND("A",PlayerValuesString,1)&lt;=T$8,PlayerSumFourth-10+10&lt;21,PlayerChangedSecond=TRUE),PlayerSumFourth-10+10,"LOSE"),
                 "LOSE"
                 ),
            IF(PlayerSumFourth+10=21,"WIN",PlayerSumFourth+10)
            ),
            IF(PlayerSumFourth+PlayerValueFifth&gt;21,
                 IF(ISNUMBER(FIND("A",PlayerValuesString,1)),
                    IF(AND(FIND("A",PlayerValuesString,1)&lt;=T$8,PlayerSumFourth-10+PlayerValueFifth&lt;21,PlayerChangedSecond=TRUE),PlayerSumFourth-10+PlayerValueFifth,"LOSE"),
                 "LOSE"
                 ),
            IF(PlayerSumFourth+PlayerValueFifth=21,"WIN",PlayerSumFourth+PlayerValueFifth)
            )
        )
    )
)</f>
        <v/>
      </c>
    </row>
    <row r="8" spans="1:20" x14ac:dyDescent="0.25">
      <c r="A8" s="4">
        <f t="shared" ca="1" si="0"/>
        <v>0.35741919373881426</v>
      </c>
      <c r="B8" s="4">
        <f t="shared" ca="1" si="3"/>
        <v>0.35741919373881426</v>
      </c>
      <c r="C8" s="28" t="str">
        <f t="shared" si="4"/>
        <v>9♥</v>
      </c>
      <c r="D8" s="28">
        <v>9</v>
      </c>
      <c r="E8" s="29" t="s">
        <v>4</v>
      </c>
      <c r="H8" s="6" t="s">
        <v>23</v>
      </c>
      <c r="I8" s="22">
        <v>1</v>
      </c>
      <c r="J8" s="22">
        <v>2</v>
      </c>
      <c r="K8" s="22">
        <v>3</v>
      </c>
      <c r="L8" s="22">
        <v>4</v>
      </c>
      <c r="M8" s="22">
        <v>5</v>
      </c>
      <c r="O8" s="5" t="s">
        <v>23</v>
      </c>
      <c r="P8" s="21">
        <v>1</v>
      </c>
      <c r="Q8" s="21">
        <v>2</v>
      </c>
      <c r="R8" s="21">
        <v>3</v>
      </c>
      <c r="S8" s="21">
        <v>4</v>
      </c>
      <c r="T8" s="21">
        <v>5</v>
      </c>
    </row>
    <row r="9" spans="1:20" x14ac:dyDescent="0.25">
      <c r="A9" s="4">
        <f t="shared" ca="1" si="0"/>
        <v>0.7254597898309858</v>
      </c>
      <c r="B9" s="4">
        <f t="shared" ca="1" si="3"/>
        <v>0.7254597898309858</v>
      </c>
      <c r="C9" s="28" t="str">
        <f t="shared" si="4"/>
        <v>J♥</v>
      </c>
      <c r="D9" s="28" t="s">
        <v>0</v>
      </c>
      <c r="E9" s="29" t="s">
        <v>4</v>
      </c>
    </row>
    <row r="10" spans="1:20" x14ac:dyDescent="0.25">
      <c r="A10" s="4">
        <f t="shared" ca="1" si="0"/>
        <v>0.89610597872262676</v>
      </c>
      <c r="B10" s="4">
        <f t="shared" ca="1" si="3"/>
        <v>0.89610597872262676</v>
      </c>
      <c r="C10" s="28" t="str">
        <f t="shared" si="4"/>
        <v>Q♥</v>
      </c>
      <c r="D10" s="28" t="s">
        <v>1</v>
      </c>
      <c r="E10" s="29" t="s">
        <v>4</v>
      </c>
      <c r="H10" s="32" t="s">
        <v>18</v>
      </c>
      <c r="I10" s="33"/>
      <c r="J10" s="4" t="str">
        <f ca="1">DealerValueFirst&amp;DealerValueSecond&amp;DealerValueThird&amp;DealerValueFourth&amp;DealerValueFifth</f>
        <v>5Q245</v>
      </c>
      <c r="O10" s="30" t="s">
        <v>18</v>
      </c>
      <c r="P10" s="31"/>
      <c r="Q10" s="4" t="str">
        <f ca="1">PlayerValueFirst&amp;PlayerValueSecond&amp;PlayerValueThird&amp;PlayerValueFourth&amp;PlayerValueFifth</f>
        <v>8J3QJ</v>
      </c>
    </row>
    <row r="11" spans="1:20" x14ac:dyDescent="0.25">
      <c r="A11" s="4">
        <f t="shared" ca="1" si="0"/>
        <v>0.50406847386611386</v>
      </c>
      <c r="B11" s="4">
        <f t="shared" ca="1" si="3"/>
        <v>0.50406847386611386</v>
      </c>
      <c r="C11" s="28" t="str">
        <f t="shared" si="4"/>
        <v>K♥</v>
      </c>
      <c r="D11" s="28" t="s">
        <v>2</v>
      </c>
      <c r="E11" s="29" t="s">
        <v>4</v>
      </c>
      <c r="H11" s="32" t="s">
        <v>16</v>
      </c>
      <c r="I11" s="33"/>
      <c r="J11" s="4">
        <f ca="1">LEN(DealerValuesString)-LEN(SUBSTITUTE(DealerValuesString,"A",""))</f>
        <v>0</v>
      </c>
      <c r="O11" s="30" t="s">
        <v>16</v>
      </c>
      <c r="P11" s="31"/>
      <c r="Q11" s="4">
        <f ca="1">LEN(PlayerValuesString)-LEN(SUBSTITUTE(PlayerValuesString,"A",""))</f>
        <v>0</v>
      </c>
    </row>
    <row r="12" spans="1:20" x14ac:dyDescent="0.25">
      <c r="A12" s="4">
        <f t="shared" ca="1" si="0"/>
        <v>0.27678820701437556</v>
      </c>
      <c r="B12" s="4">
        <f t="shared" ca="1" si="3"/>
        <v>0.27678820701437556</v>
      </c>
      <c r="C12" s="28" t="str">
        <f t="shared" si="4"/>
        <v>A♥</v>
      </c>
      <c r="D12" s="28" t="s">
        <v>3</v>
      </c>
      <c r="E12" s="29" t="s">
        <v>4</v>
      </c>
      <c r="O12" s="30" t="s">
        <v>19</v>
      </c>
      <c r="P12" s="31"/>
      <c r="Q12" s="4">
        <f ca="1">HLOOKUP(([0]!PlayerCardsDrawn+5),P3:T8,5,FALSE)</f>
        <v>18</v>
      </c>
    </row>
    <row r="13" spans="1:20" x14ac:dyDescent="0.25">
      <c r="A13" s="4">
        <f t="shared" ca="1" si="0"/>
        <v>0.68810147992584025</v>
      </c>
      <c r="B13" s="4">
        <f t="shared" ca="1" si="3"/>
        <v>0.68810147992584025</v>
      </c>
      <c r="C13" s="28" t="str">
        <f t="shared" si="4"/>
        <v>2♦</v>
      </c>
      <c r="D13" s="28">
        <v>2</v>
      </c>
      <c r="E13" s="29" t="s">
        <v>5</v>
      </c>
      <c r="H13" s="32" t="s">
        <v>20</v>
      </c>
      <c r="I13" s="33"/>
      <c r="J13" s="4" t="str">
        <f ca="1">IF(COUNTIF(DealerSums,"WIN"),"WIN",
    IF(DealerSumThird="STOP",DealerSumSecond,
        IF(DealerSumFourth="STOP",DealerSumThird,
            IF(DealerSumFifth="STOP",DealerSumFourth,DealerSumFifth)
        )
    )
)</f>
        <v>WIN</v>
      </c>
      <c r="K13" s="32" t="s">
        <v>21</v>
      </c>
      <c r="L13" s="33"/>
      <c r="M13" s="4">
        <f ca="1">HLOOKUP(J13,I7:M8,2,FALSE)</f>
        <v>4</v>
      </c>
      <c r="O13" s="30" t="s">
        <v>43</v>
      </c>
      <c r="P13" s="31"/>
      <c r="Q13" s="4" t="str">
        <f ca="1">IF(COUNTIF(PlayerSums,"WIN"),"WIN",
        IF(PlayerSumThird="LOSE",PlayerSumSecond,
        IF(PlayerSumFourth="LOSE",PlayerSumThird,
            IF(PlayerSumFifth="LOSE",PlayerSumFourth,PlayerSumFifth)
        )
    )
)</f>
        <v>WIN</v>
      </c>
      <c r="R13" s="30" t="s">
        <v>21</v>
      </c>
      <c r="S13" s="31"/>
      <c r="T13" s="4">
        <f ca="1">HLOOKUP(Q13,P7:T8,2,FALSE)</f>
        <v>3</v>
      </c>
    </row>
    <row r="14" spans="1:20" x14ac:dyDescent="0.25">
      <c r="A14" s="4">
        <f t="shared" ca="1" si="0"/>
        <v>0.39195293500375172</v>
      </c>
      <c r="B14" s="4">
        <f t="shared" ca="1" si="3"/>
        <v>0.39195293500375172</v>
      </c>
      <c r="C14" s="28" t="str">
        <f t="shared" si="4"/>
        <v>3♦</v>
      </c>
      <c r="D14" s="28">
        <v>3</v>
      </c>
      <c r="E14" s="29" t="s">
        <v>5</v>
      </c>
    </row>
    <row r="15" spans="1:20" x14ac:dyDescent="0.25">
      <c r="A15" s="4">
        <f t="shared" ca="1" si="0"/>
        <v>0.55598506818065541</v>
      </c>
      <c r="B15" s="4">
        <f t="shared" ca="1" si="3"/>
        <v>0.55598506818065541</v>
      </c>
      <c r="C15" s="28" t="str">
        <f t="shared" si="4"/>
        <v>4♦</v>
      </c>
      <c r="D15" s="28">
        <v>4</v>
      </c>
      <c r="E15" s="29" t="s">
        <v>5</v>
      </c>
    </row>
    <row r="16" spans="1:20" x14ac:dyDescent="0.25">
      <c r="A16" s="4">
        <f t="shared" ca="1" si="0"/>
        <v>0.83360637000409832</v>
      </c>
      <c r="B16" s="4">
        <f t="shared" ca="1" si="3"/>
        <v>0.83360637000409832</v>
      </c>
      <c r="C16" s="28" t="str">
        <f t="shared" si="4"/>
        <v>5♦</v>
      </c>
      <c r="D16" s="28">
        <v>5</v>
      </c>
      <c r="E16" s="29" t="s">
        <v>5</v>
      </c>
    </row>
    <row r="17" spans="1:5" x14ac:dyDescent="0.25">
      <c r="A17" s="4">
        <f t="shared" ca="1" si="0"/>
        <v>0.16232334670086668</v>
      </c>
      <c r="B17" s="4">
        <f t="shared" ca="1" si="3"/>
        <v>0.16232334670086668</v>
      </c>
      <c r="C17" s="28" t="str">
        <f t="shared" si="4"/>
        <v>6♦</v>
      </c>
      <c r="D17" s="28">
        <v>6</v>
      </c>
      <c r="E17" s="29" t="s">
        <v>5</v>
      </c>
    </row>
    <row r="18" spans="1:5" x14ac:dyDescent="0.25">
      <c r="A18" s="4">
        <f t="shared" ca="1" si="0"/>
        <v>0.26718649606899003</v>
      </c>
      <c r="B18" s="4">
        <f t="shared" ca="1" si="3"/>
        <v>0.26718649606899003</v>
      </c>
      <c r="C18" s="28" t="str">
        <f t="shared" si="4"/>
        <v>7♦</v>
      </c>
      <c r="D18" s="28">
        <v>7</v>
      </c>
      <c r="E18" s="29" t="s">
        <v>5</v>
      </c>
    </row>
    <row r="19" spans="1:5" x14ac:dyDescent="0.25">
      <c r="A19" s="4">
        <f t="shared" ca="1" si="0"/>
        <v>0.60344516564158279</v>
      </c>
      <c r="B19" s="4">
        <f t="shared" ca="1" si="3"/>
        <v>0.60344516564158279</v>
      </c>
      <c r="C19" s="28" t="str">
        <f t="shared" si="4"/>
        <v>8♦</v>
      </c>
      <c r="D19" s="28">
        <v>8</v>
      </c>
      <c r="E19" s="29" t="s">
        <v>5</v>
      </c>
    </row>
    <row r="20" spans="1:5" x14ac:dyDescent="0.25">
      <c r="A20" s="4">
        <f t="shared" ca="1" si="0"/>
        <v>0.35794832939962584</v>
      </c>
      <c r="B20" s="4">
        <f t="shared" ca="1" si="3"/>
        <v>0.35794832939962584</v>
      </c>
      <c r="C20" s="28" t="str">
        <f t="shared" si="4"/>
        <v>9♦</v>
      </c>
      <c r="D20" s="28">
        <v>9</v>
      </c>
      <c r="E20" s="29" t="s">
        <v>5</v>
      </c>
    </row>
    <row r="21" spans="1:5" x14ac:dyDescent="0.25">
      <c r="A21" s="4">
        <f t="shared" ca="1" si="0"/>
        <v>0.67338908447370727</v>
      </c>
      <c r="B21" s="4">
        <f t="shared" ca="1" si="3"/>
        <v>0.67338908447370727</v>
      </c>
      <c r="C21" s="28" t="str">
        <f t="shared" si="4"/>
        <v>J♦</v>
      </c>
      <c r="D21" s="28" t="s">
        <v>0</v>
      </c>
      <c r="E21" s="29" t="s">
        <v>5</v>
      </c>
    </row>
    <row r="22" spans="1:5" x14ac:dyDescent="0.25">
      <c r="A22" s="4">
        <f t="shared" ca="1" si="0"/>
        <v>0.79250753115724037</v>
      </c>
      <c r="B22" s="4">
        <f t="shared" ca="1" si="3"/>
        <v>0.79250753115724037</v>
      </c>
      <c r="C22" s="28" t="str">
        <f t="shared" si="4"/>
        <v>Q♦</v>
      </c>
      <c r="D22" s="28" t="s">
        <v>1</v>
      </c>
      <c r="E22" s="29" t="s">
        <v>5</v>
      </c>
    </row>
    <row r="23" spans="1:5" x14ac:dyDescent="0.25">
      <c r="A23" s="4">
        <f t="shared" ca="1" si="0"/>
        <v>0.45402765065335271</v>
      </c>
      <c r="B23" s="4">
        <f t="shared" ca="1" si="3"/>
        <v>0.45402765065335271</v>
      </c>
      <c r="C23" s="28" t="str">
        <f t="shared" si="4"/>
        <v>K♦</v>
      </c>
      <c r="D23" s="28" t="s">
        <v>2</v>
      </c>
      <c r="E23" s="29" t="s">
        <v>5</v>
      </c>
    </row>
    <row r="24" spans="1:5" x14ac:dyDescent="0.25">
      <c r="A24" s="4">
        <f t="shared" ca="1" si="0"/>
        <v>0.43924462202216719</v>
      </c>
      <c r="B24" s="4">
        <f t="shared" ca="1" si="3"/>
        <v>0.43924462202216719</v>
      </c>
      <c r="C24" s="28" t="str">
        <f t="shared" si="4"/>
        <v>A♦</v>
      </c>
      <c r="D24" s="28" t="s">
        <v>3</v>
      </c>
      <c r="E24" s="29" t="s">
        <v>5</v>
      </c>
    </row>
    <row r="25" spans="1:5" x14ac:dyDescent="0.25">
      <c r="A25" s="4">
        <f t="shared" ca="1" si="0"/>
        <v>0.64070669021882976</v>
      </c>
      <c r="B25" s="4">
        <f t="shared" ca="1" si="3"/>
        <v>0.64070669021882976</v>
      </c>
      <c r="C25" s="28" t="str">
        <f t="shared" si="4"/>
        <v>2♣</v>
      </c>
      <c r="D25" s="28">
        <v>2</v>
      </c>
      <c r="E25" s="28" t="s">
        <v>6</v>
      </c>
    </row>
    <row r="26" spans="1:5" x14ac:dyDescent="0.25">
      <c r="A26" s="4">
        <f t="shared" ca="1" si="0"/>
        <v>0.31148510538663177</v>
      </c>
      <c r="B26" s="4">
        <f t="shared" ca="1" si="3"/>
        <v>0.31148510538663177</v>
      </c>
      <c r="C26" s="28" t="str">
        <f t="shared" si="4"/>
        <v>3♣</v>
      </c>
      <c r="D26" s="28">
        <v>3</v>
      </c>
      <c r="E26" s="28" t="s">
        <v>6</v>
      </c>
    </row>
    <row r="27" spans="1:5" x14ac:dyDescent="0.25">
      <c r="A27" s="4">
        <f t="shared" ca="1" si="0"/>
        <v>0.44210408644778543</v>
      </c>
      <c r="B27" s="4">
        <f t="shared" ca="1" si="3"/>
        <v>0.44210408644778543</v>
      </c>
      <c r="C27" s="28" t="str">
        <f t="shared" si="4"/>
        <v>4♣</v>
      </c>
      <c r="D27" s="28">
        <v>4</v>
      </c>
      <c r="E27" s="28" t="s">
        <v>6</v>
      </c>
    </row>
    <row r="28" spans="1:5" x14ac:dyDescent="0.25">
      <c r="A28" s="4">
        <f t="shared" ca="1" si="0"/>
        <v>0.26065145138437784</v>
      </c>
      <c r="B28" s="4">
        <f t="shared" ca="1" si="3"/>
        <v>0.26065145138437784</v>
      </c>
      <c r="C28" s="28" t="str">
        <f t="shared" si="4"/>
        <v>5♣</v>
      </c>
      <c r="D28" s="28">
        <v>5</v>
      </c>
      <c r="E28" s="28" t="s">
        <v>6</v>
      </c>
    </row>
    <row r="29" spans="1:5" x14ac:dyDescent="0.25">
      <c r="A29" s="4">
        <f t="shared" ca="1" si="0"/>
        <v>0.14333902884817051</v>
      </c>
      <c r="B29" s="4">
        <f t="shared" ca="1" si="3"/>
        <v>0.14333902884817051</v>
      </c>
      <c r="C29" s="28" t="str">
        <f t="shared" si="4"/>
        <v>6♣</v>
      </c>
      <c r="D29" s="28">
        <v>6</v>
      </c>
      <c r="E29" s="28" t="s">
        <v>6</v>
      </c>
    </row>
    <row r="30" spans="1:5" x14ac:dyDescent="0.25">
      <c r="A30" s="4">
        <f t="shared" ca="1" si="0"/>
        <v>0.33311643866155927</v>
      </c>
      <c r="B30" s="4">
        <f t="shared" ca="1" si="3"/>
        <v>0.33311643866155927</v>
      </c>
      <c r="C30" s="28" t="str">
        <f t="shared" si="4"/>
        <v>7♣</v>
      </c>
      <c r="D30" s="28">
        <v>7</v>
      </c>
      <c r="E30" s="28" t="s">
        <v>6</v>
      </c>
    </row>
    <row r="31" spans="1:5" x14ac:dyDescent="0.25">
      <c r="A31" s="4">
        <f t="shared" ref="A31:A48" ca="1" si="5">IF(Restart,RAND(),"")</f>
        <v>2.5473051453077433E-2</v>
      </c>
      <c r="B31" s="4">
        <f t="shared" ca="1" si="3"/>
        <v>2.5473051453077433E-2</v>
      </c>
      <c r="C31" s="28" t="str">
        <f t="shared" si="4"/>
        <v>8♣</v>
      </c>
      <c r="D31" s="28">
        <v>8</v>
      </c>
      <c r="E31" s="28" t="s">
        <v>6</v>
      </c>
    </row>
    <row r="32" spans="1:5" x14ac:dyDescent="0.25">
      <c r="A32" s="4">
        <f t="shared" ca="1" si="5"/>
        <v>0.60736951141440676</v>
      </c>
      <c r="B32" s="4">
        <f t="shared" ca="1" si="3"/>
        <v>0.60736951141440676</v>
      </c>
      <c r="C32" s="28" t="str">
        <f t="shared" si="4"/>
        <v>9♣</v>
      </c>
      <c r="D32" s="28">
        <v>9</v>
      </c>
      <c r="E32" s="28" t="s">
        <v>6</v>
      </c>
    </row>
    <row r="33" spans="1:5" x14ac:dyDescent="0.25">
      <c r="A33" s="4">
        <f t="shared" ca="1" si="5"/>
        <v>0.58250384956955026</v>
      </c>
      <c r="B33" s="4">
        <f t="shared" ca="1" si="3"/>
        <v>0.58250384956955026</v>
      </c>
      <c r="C33" s="28" t="str">
        <f t="shared" si="4"/>
        <v>J♣</v>
      </c>
      <c r="D33" s="28" t="s">
        <v>0</v>
      </c>
      <c r="E33" s="28" t="s">
        <v>6</v>
      </c>
    </row>
    <row r="34" spans="1:5" x14ac:dyDescent="0.25">
      <c r="A34" s="4">
        <f t="shared" ca="1" si="5"/>
        <v>0.39950933842348335</v>
      </c>
      <c r="B34" s="4">
        <f t="shared" ca="1" si="3"/>
        <v>0.39950933842348335</v>
      </c>
      <c r="C34" s="28" t="str">
        <f t="shared" si="4"/>
        <v>Q♣</v>
      </c>
      <c r="D34" s="28" t="s">
        <v>1</v>
      </c>
      <c r="E34" s="28" t="s">
        <v>6</v>
      </c>
    </row>
    <row r="35" spans="1:5" x14ac:dyDescent="0.25">
      <c r="A35" s="4">
        <f t="shared" ca="1" si="5"/>
        <v>4.7125821828198244E-2</v>
      </c>
      <c r="B35" s="4">
        <f t="shared" ca="1" si="3"/>
        <v>4.7125821828198244E-2</v>
      </c>
      <c r="C35" s="28" t="str">
        <f t="shared" si="4"/>
        <v>K♣</v>
      </c>
      <c r="D35" s="28" t="s">
        <v>2</v>
      </c>
      <c r="E35" s="28" t="s">
        <v>6</v>
      </c>
    </row>
    <row r="36" spans="1:5" x14ac:dyDescent="0.25">
      <c r="A36" s="4">
        <f t="shared" ca="1" si="5"/>
        <v>0.49194344207708063</v>
      </c>
      <c r="B36" s="4">
        <f t="shared" ca="1" si="3"/>
        <v>0.49194344207708063</v>
      </c>
      <c r="C36" s="28" t="str">
        <f t="shared" si="4"/>
        <v>A♣</v>
      </c>
      <c r="D36" s="28" t="s">
        <v>3</v>
      </c>
      <c r="E36" s="28" t="s">
        <v>6</v>
      </c>
    </row>
    <row r="37" spans="1:5" x14ac:dyDescent="0.25">
      <c r="A37" s="4">
        <f t="shared" ca="1" si="5"/>
        <v>0.87715915695631308</v>
      </c>
      <c r="B37" s="4">
        <f t="shared" ca="1" si="3"/>
        <v>0.87715915695631308</v>
      </c>
      <c r="C37" s="28" t="str">
        <f t="shared" si="4"/>
        <v>2♠</v>
      </c>
      <c r="D37" s="28">
        <v>2</v>
      </c>
      <c r="E37" s="28" t="s">
        <v>7</v>
      </c>
    </row>
    <row r="38" spans="1:5" x14ac:dyDescent="0.25">
      <c r="A38" s="4">
        <f t="shared" ca="1" si="5"/>
        <v>5.7350512311300283E-2</v>
      </c>
      <c r="B38" s="4">
        <f t="shared" ca="1" si="3"/>
        <v>5.7350512311300283E-2</v>
      </c>
      <c r="C38" s="28" t="str">
        <f t="shared" si="4"/>
        <v>3♠</v>
      </c>
      <c r="D38" s="28">
        <v>3</v>
      </c>
      <c r="E38" s="28" t="s">
        <v>7</v>
      </c>
    </row>
    <row r="39" spans="1:5" x14ac:dyDescent="0.25">
      <c r="A39" s="4">
        <f t="shared" ca="1" si="5"/>
        <v>8.5668521459029368E-2</v>
      </c>
      <c r="B39" s="4">
        <f t="shared" ca="1" si="3"/>
        <v>8.5668521459029368E-2</v>
      </c>
      <c r="C39" s="28" t="str">
        <f t="shared" si="4"/>
        <v>4♠</v>
      </c>
      <c r="D39" s="28">
        <v>4</v>
      </c>
      <c r="E39" s="28" t="s">
        <v>7</v>
      </c>
    </row>
    <row r="40" spans="1:5" x14ac:dyDescent="0.25">
      <c r="A40" s="4">
        <f t="shared" ca="1" si="5"/>
        <v>0.42697778373865913</v>
      </c>
      <c r="B40" s="4">
        <f t="shared" ca="1" si="3"/>
        <v>0.42697778373865913</v>
      </c>
      <c r="C40" s="28" t="str">
        <f t="shared" si="4"/>
        <v>5♠</v>
      </c>
      <c r="D40" s="28">
        <v>5</v>
      </c>
      <c r="E40" s="28" t="s">
        <v>7</v>
      </c>
    </row>
    <row r="41" spans="1:5" x14ac:dyDescent="0.25">
      <c r="A41" s="4">
        <f t="shared" ca="1" si="5"/>
        <v>0.70944340714790555</v>
      </c>
      <c r="B41" s="4">
        <f t="shared" ca="1" si="3"/>
        <v>0.70944340714790555</v>
      </c>
      <c r="C41" s="28" t="str">
        <f t="shared" si="4"/>
        <v>6♠</v>
      </c>
      <c r="D41" s="28">
        <v>6</v>
      </c>
      <c r="E41" s="28" t="s">
        <v>7</v>
      </c>
    </row>
    <row r="42" spans="1:5" x14ac:dyDescent="0.25">
      <c r="A42" s="4">
        <f t="shared" ca="1" si="5"/>
        <v>0.62750673467104567</v>
      </c>
      <c r="B42" s="4">
        <f t="shared" ca="1" si="3"/>
        <v>0.62750673467104567</v>
      </c>
      <c r="C42" s="28" t="str">
        <f t="shared" si="4"/>
        <v>7♠</v>
      </c>
      <c r="D42" s="28">
        <v>7</v>
      </c>
      <c r="E42" s="28" t="s">
        <v>7</v>
      </c>
    </row>
    <row r="43" spans="1:5" x14ac:dyDescent="0.25">
      <c r="A43" s="4">
        <f t="shared" ca="1" si="5"/>
        <v>0.14733073439297473</v>
      </c>
      <c r="B43" s="4">
        <f t="shared" ca="1" si="3"/>
        <v>0.14733073439297473</v>
      </c>
      <c r="C43" s="28" t="str">
        <f t="shared" si="4"/>
        <v>8♠</v>
      </c>
      <c r="D43" s="28">
        <v>8</v>
      </c>
      <c r="E43" s="28" t="s">
        <v>7</v>
      </c>
    </row>
    <row r="44" spans="1:5" x14ac:dyDescent="0.25">
      <c r="A44" s="4">
        <f t="shared" ca="1" si="5"/>
        <v>0.45322721837345648</v>
      </c>
      <c r="B44" s="4">
        <f t="shared" ca="1" si="3"/>
        <v>0.45322721837345648</v>
      </c>
      <c r="C44" s="28" t="str">
        <f t="shared" si="4"/>
        <v>9♠</v>
      </c>
      <c r="D44" s="28">
        <v>9</v>
      </c>
      <c r="E44" s="28" t="s">
        <v>7</v>
      </c>
    </row>
    <row r="45" spans="1:5" x14ac:dyDescent="0.25">
      <c r="A45" s="4">
        <f t="shared" ca="1" si="5"/>
        <v>0.82965304633750925</v>
      </c>
      <c r="B45" s="4">
        <f t="shared" ca="1" si="3"/>
        <v>0.82965304633750925</v>
      </c>
      <c r="C45" s="28" t="str">
        <f t="shared" si="4"/>
        <v>J♠</v>
      </c>
      <c r="D45" s="28" t="s">
        <v>0</v>
      </c>
      <c r="E45" s="28" t="s">
        <v>7</v>
      </c>
    </row>
    <row r="46" spans="1:5" x14ac:dyDescent="0.25">
      <c r="A46" s="4">
        <f t="shared" ca="1" si="5"/>
        <v>0.62526472279157763</v>
      </c>
      <c r="B46" s="4">
        <f t="shared" ca="1" si="3"/>
        <v>0.62526472279157763</v>
      </c>
      <c r="C46" s="28" t="str">
        <f t="shared" si="4"/>
        <v>Q♠</v>
      </c>
      <c r="D46" s="28" t="s">
        <v>1</v>
      </c>
      <c r="E46" s="28" t="s">
        <v>7</v>
      </c>
    </row>
    <row r="47" spans="1:5" x14ac:dyDescent="0.25">
      <c r="A47" s="4">
        <f t="shared" ca="1" si="5"/>
        <v>0.71319005887001063</v>
      </c>
      <c r="B47" s="4">
        <f t="shared" ca="1" si="3"/>
        <v>0.71319005887001063</v>
      </c>
      <c r="C47" s="28" t="str">
        <f t="shared" si="4"/>
        <v>K♠</v>
      </c>
      <c r="D47" s="28" t="s">
        <v>2</v>
      </c>
      <c r="E47" s="28" t="s">
        <v>7</v>
      </c>
    </row>
    <row r="48" spans="1:5" x14ac:dyDescent="0.25">
      <c r="A48" s="4">
        <f t="shared" ca="1" si="5"/>
        <v>0.59152618719588079</v>
      </c>
      <c r="B48" s="4">
        <f t="shared" ca="1" si="3"/>
        <v>0.59152618719588079</v>
      </c>
      <c r="C48" s="28" t="str">
        <f t="shared" si="4"/>
        <v>A♠</v>
      </c>
      <c r="D48" s="28" t="s">
        <v>3</v>
      </c>
      <c r="E48" s="28" t="s">
        <v>7</v>
      </c>
    </row>
  </sheetData>
  <mergeCells count="11">
    <mergeCell ref="O12:P12"/>
    <mergeCell ref="O13:P13"/>
    <mergeCell ref="K13:L13"/>
    <mergeCell ref="H2:M2"/>
    <mergeCell ref="O2:T2"/>
    <mergeCell ref="O11:P11"/>
    <mergeCell ref="O10:P10"/>
    <mergeCell ref="H10:I10"/>
    <mergeCell ref="H11:I11"/>
    <mergeCell ref="H13:I13"/>
    <mergeCell ref="R13:S1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C2:H32"/>
  <sheetViews>
    <sheetView showGridLines="0" topLeftCell="A4" workbookViewId="0">
      <selection activeCell="G29" sqref="G29"/>
    </sheetView>
  </sheetViews>
  <sheetFormatPr defaultRowHeight="15" x14ac:dyDescent="0.25"/>
  <cols>
    <col min="3" max="3" width="9.140625" customWidth="1"/>
    <col min="4" max="4" width="10.85546875" customWidth="1"/>
    <col min="5" max="5" width="9" bestFit="1" customWidth="1"/>
    <col min="7" max="7" width="9.140625" customWidth="1"/>
  </cols>
  <sheetData>
    <row r="2" spans="3:6" ht="21" x14ac:dyDescent="0.35">
      <c r="C2" s="17" t="s">
        <v>24</v>
      </c>
    </row>
    <row r="4" spans="3:6" x14ac:dyDescent="0.25">
      <c r="C4" t="s">
        <v>42</v>
      </c>
      <c r="E4" s="18" t="s">
        <v>26</v>
      </c>
      <c r="F4" t="s">
        <v>27</v>
      </c>
    </row>
    <row r="8" spans="3:6" x14ac:dyDescent="0.25">
      <c r="C8" s="23" t="s">
        <v>34</v>
      </c>
    </row>
    <row r="9" spans="3:6" x14ac:dyDescent="0.25">
      <c r="C9" t="s">
        <v>28</v>
      </c>
    </row>
    <row r="12" spans="3:6" x14ac:dyDescent="0.25">
      <c r="C12" s="23" t="s">
        <v>35</v>
      </c>
    </row>
    <row r="13" spans="3:6" x14ac:dyDescent="0.25">
      <c r="C13" t="s">
        <v>29</v>
      </c>
    </row>
    <row r="14" spans="3:6" x14ac:dyDescent="0.25">
      <c r="C14" t="s">
        <v>36</v>
      </c>
    </row>
    <row r="17" spans="3:8" x14ac:dyDescent="0.25">
      <c r="C17" s="23" t="s">
        <v>37</v>
      </c>
    </row>
    <row r="18" spans="3:8" x14ac:dyDescent="0.25">
      <c r="C18" t="s">
        <v>30</v>
      </c>
    </row>
    <row r="19" spans="3:8" x14ac:dyDescent="0.25">
      <c r="C19" t="s">
        <v>31</v>
      </c>
    </row>
    <row r="20" spans="3:8" x14ac:dyDescent="0.25">
      <c r="C20" t="s">
        <v>32</v>
      </c>
    </row>
    <row r="21" spans="3:8" x14ac:dyDescent="0.25">
      <c r="C21" t="s">
        <v>33</v>
      </c>
    </row>
    <row r="25" spans="3:8" x14ac:dyDescent="0.25">
      <c r="C25" s="13" t="s">
        <v>25</v>
      </c>
    </row>
    <row r="26" spans="3:8" x14ac:dyDescent="0.25">
      <c r="C26" s="14" t="s">
        <v>46</v>
      </c>
      <c r="E26" s="15" t="b">
        <v>1</v>
      </c>
    </row>
    <row r="27" spans="3:8" x14ac:dyDescent="0.25">
      <c r="C27" s="14" t="s">
        <v>45</v>
      </c>
      <c r="E27" s="24" t="s">
        <v>38</v>
      </c>
    </row>
    <row r="28" spans="3:8" x14ac:dyDescent="0.25">
      <c r="C28" s="14" t="s">
        <v>40</v>
      </c>
    </row>
    <row r="29" spans="3:8" x14ac:dyDescent="0.25">
      <c r="C29" s="14" t="s">
        <v>44</v>
      </c>
      <c r="E29" s="16" t="b">
        <v>0</v>
      </c>
    </row>
    <row r="31" spans="3:8" x14ac:dyDescent="0.25">
      <c r="C31" s="14" t="s">
        <v>41</v>
      </c>
    </row>
    <row r="32" spans="3:8" x14ac:dyDescent="0.25">
      <c r="C32" s="14" t="s">
        <v>48</v>
      </c>
      <c r="F32" t="s">
        <v>49</v>
      </c>
      <c r="H32" s="25" t="s">
        <v>39</v>
      </c>
    </row>
  </sheetData>
  <hyperlinks>
    <hyperlink ref="E4" location="Blackjack!A1" display="Blackjack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1"/>
  </sheetPr>
  <dimension ref="D2:CL44"/>
  <sheetViews>
    <sheetView showGridLines="0" zoomScale="80" zoomScaleNormal="80" workbookViewId="0">
      <selection activeCell="DL58" sqref="DL58"/>
    </sheetView>
  </sheetViews>
  <sheetFormatPr defaultRowHeight="15" x14ac:dyDescent="0.25"/>
  <cols>
    <col min="1" max="22" width="2.5703125" customWidth="1"/>
    <col min="23" max="23" width="2.5703125" hidden="1" customWidth="1"/>
    <col min="24" max="110" width="2.5703125" customWidth="1"/>
  </cols>
  <sheetData>
    <row r="2" spans="4:90" ht="14.25" customHeight="1" x14ac:dyDescent="0.25"/>
    <row r="3" spans="4:90" ht="14.25" customHeight="1" x14ac:dyDescent="0.25">
      <c r="D3" s="45" t="s">
        <v>11</v>
      </c>
      <c r="E3" s="45"/>
      <c r="F3" s="45"/>
      <c r="G3" s="45"/>
      <c r="H3" s="45"/>
      <c r="I3" s="45"/>
      <c r="J3" s="45"/>
      <c r="K3" s="46" t="s">
        <v>9</v>
      </c>
      <c r="L3" s="46"/>
      <c r="M3" s="46"/>
      <c r="N3" s="46"/>
      <c r="O3" s="46"/>
      <c r="P3" s="46" t="s">
        <v>8</v>
      </c>
      <c r="Q3" s="46"/>
      <c r="R3" s="46"/>
      <c r="S3" s="46"/>
      <c r="T3" s="46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4:90" ht="14.25" customHeight="1" x14ac:dyDescent="0.25">
      <c r="D4" s="45"/>
      <c r="E4" s="45"/>
      <c r="F4" s="45"/>
      <c r="G4" s="45"/>
      <c r="H4" s="45"/>
      <c r="I4" s="45"/>
      <c r="J4" s="45"/>
      <c r="K4" s="46"/>
      <c r="L4" s="46"/>
      <c r="M4" s="46"/>
      <c r="N4" s="46"/>
      <c r="O4" s="46"/>
      <c r="P4" s="46"/>
      <c r="Q4" s="46"/>
      <c r="R4" s="46"/>
      <c r="S4" s="46"/>
      <c r="T4" s="46"/>
      <c r="AE4" s="2"/>
      <c r="AF4" s="2"/>
      <c r="AG4" s="2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2"/>
      <c r="CE4" s="2"/>
      <c r="CF4" s="2"/>
    </row>
    <row r="5" spans="4:90" x14ac:dyDescent="0.25">
      <c r="D5" s="45"/>
      <c r="E5" s="45"/>
      <c r="F5" s="45"/>
      <c r="G5" s="45"/>
      <c r="H5" s="45"/>
      <c r="I5" s="45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AC5" s="2"/>
      <c r="AD5" s="2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2"/>
      <c r="CH5" s="2"/>
    </row>
    <row r="6" spans="4:90" ht="14.25" customHeight="1" x14ac:dyDescent="0.25"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2"/>
    </row>
    <row r="7" spans="4:90" ht="14.25" customHeight="1" x14ac:dyDescent="0.25">
      <c r="AA7" s="2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2"/>
    </row>
    <row r="8" spans="4:90" ht="14.25" customHeight="1" x14ac:dyDescent="0.25">
      <c r="D8" s="45" t="s">
        <v>13</v>
      </c>
      <c r="E8" s="45"/>
      <c r="F8" s="45"/>
      <c r="G8" s="45"/>
      <c r="H8" s="45"/>
      <c r="I8" s="45"/>
      <c r="J8" s="45"/>
      <c r="K8" s="46" t="s">
        <v>38</v>
      </c>
      <c r="L8" s="46"/>
      <c r="M8" s="46"/>
      <c r="N8" s="46"/>
      <c r="O8" s="46"/>
      <c r="AA8" s="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2"/>
    </row>
    <row r="9" spans="4:90" x14ac:dyDescent="0.25">
      <c r="D9" s="45"/>
      <c r="E9" s="45"/>
      <c r="F9" s="45"/>
      <c r="G9" s="45"/>
      <c r="H9" s="45"/>
      <c r="I9" s="45"/>
      <c r="J9" s="45"/>
      <c r="K9" s="46"/>
      <c r="L9" s="46"/>
      <c r="M9" s="46"/>
      <c r="N9" s="46"/>
      <c r="O9" s="46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2"/>
    </row>
    <row r="10" spans="4:90" ht="15.75" thickBot="1" x14ac:dyDescent="0.3">
      <c r="D10" s="45"/>
      <c r="E10" s="45"/>
      <c r="F10" s="45"/>
      <c r="G10" s="45"/>
      <c r="H10" s="45"/>
      <c r="I10" s="45"/>
      <c r="J10" s="45"/>
      <c r="K10" s="46"/>
      <c r="L10" s="46"/>
      <c r="M10" s="46"/>
      <c r="N10" s="46"/>
      <c r="O10" s="46"/>
      <c r="Z10" s="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2"/>
    </row>
    <row r="11" spans="4:90" ht="15.75" thickBot="1" x14ac:dyDescent="0.3">
      <c r="Z11" s="2"/>
      <c r="AA11" s="3"/>
      <c r="AB11" s="3"/>
      <c r="AC11" s="3"/>
      <c r="AD11" s="3"/>
      <c r="AE11" s="3"/>
      <c r="AF11" s="3"/>
      <c r="AG11" s="3"/>
      <c r="AH11" s="3"/>
      <c r="AI11" s="3"/>
      <c r="AJ11" s="47" t="s">
        <v>12</v>
      </c>
      <c r="AK11" s="47"/>
      <c r="AL11" s="47"/>
      <c r="AM11" s="47"/>
      <c r="AN11" s="3"/>
      <c r="AO11" s="3"/>
      <c r="AP11" s="26" t="str">
        <f ca="1">VLOOKUP([0]!DealerCardFirst,Calculations!$C:$E,3,FALSE)</f>
        <v>♥</v>
      </c>
      <c r="AQ11" s="7"/>
      <c r="AR11" s="7"/>
      <c r="AS11" s="8"/>
      <c r="AT11" s="3"/>
      <c r="AU11" s="3"/>
      <c r="AV11" s="3"/>
      <c r="AW11" s="26" t="str">
        <f>IF(AND(DrawAnswer="stand",NOT(Restart)),
        VLOOKUP([0]!DealerCardSecond,Calculations!$C:$E,3,FALSE),
"")</f>
        <v/>
      </c>
      <c r="AX11" s="7"/>
      <c r="AY11" s="7"/>
      <c r="AZ11" s="8"/>
      <c r="BA11" s="3"/>
      <c r="BB11" s="3"/>
      <c r="BC11" s="3"/>
      <c r="BD11" s="26" t="str">
        <f>IF(AND(DrawAnswer="stand",NOT(Restart)),
    IF(DealerMaxCardNo&gt;2,
        VLOOKUP([0]!DealerCardThird,Calculations!$C:$E,3,FALSE),
    ""),
"")</f>
        <v/>
      </c>
      <c r="BE11" s="7"/>
      <c r="BF11" s="7"/>
      <c r="BG11" s="8"/>
      <c r="BH11" s="3"/>
      <c r="BI11" s="3"/>
      <c r="BJ11" s="3"/>
      <c r="BK11" s="26" t="str">
        <f>IF(AND(DrawAnswer="stand",NOT(Restart)),
    IF(DealerMaxCardNo&gt;3,
        VLOOKUP([0]!DealerCardFourth,Calculations!$C:$E,3,FALSE),
    ""),
"")</f>
        <v/>
      </c>
      <c r="BL11" s="7"/>
      <c r="BM11" s="7"/>
      <c r="BN11" s="8"/>
      <c r="BO11" s="3"/>
      <c r="BP11" s="3"/>
      <c r="BQ11" s="3"/>
      <c r="BR11" s="26" t="str">
        <f>IF(AND(DrawAnswer="stand",NOT(Restart)),
    IF(DealerMaxCardNo&gt;4,
        VLOOKUP([0]!DealerCardFifth,Calculations!$C:$E,3,FALSE),
    ""),
"")</f>
        <v/>
      </c>
      <c r="BS11" s="7"/>
      <c r="BT11" s="7"/>
      <c r="BU11" s="8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2"/>
    </row>
    <row r="12" spans="4:90" ht="14.25" customHeight="1" x14ac:dyDescent="0.25">
      <c r="Y12" s="2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7"/>
      <c r="AK12" s="47"/>
      <c r="AL12" s="47"/>
      <c r="AM12" s="47"/>
      <c r="AN12" s="3"/>
      <c r="AO12" s="3"/>
      <c r="AP12" s="9"/>
      <c r="AQ12" s="49">
        <f ca="1">VLOOKUP([0]!DealerCardFirst,Calculations!$C:$E,2,FALSE)</f>
        <v>5</v>
      </c>
      <c r="AR12" s="49"/>
      <c r="AS12" s="10"/>
      <c r="AT12" s="3"/>
      <c r="AU12" s="3"/>
      <c r="AV12" s="3"/>
      <c r="AW12" s="9"/>
      <c r="AX12" s="49" t="str">
        <f>IF(AND(DrawAnswer="stand",NOT(Restart)),
        VLOOKUP([0]!DealerCardSecond,Calculations!$C:$E,2,FALSE),
"")</f>
        <v/>
      </c>
      <c r="AY12" s="49"/>
      <c r="AZ12" s="10"/>
      <c r="BA12" s="3"/>
      <c r="BB12" s="3"/>
      <c r="BC12" s="3"/>
      <c r="BD12" s="9"/>
      <c r="BE12" s="49" t="str">
        <f>IF(AND(DrawAnswer="stand",NOT(Restart)),
    IF(DealerMaxCardNo&gt;2,
        VLOOKUP([0]!DealerCardThird,Calculations!$C:$E,2,FALSE),
    ""),
"")</f>
        <v/>
      </c>
      <c r="BF12" s="49"/>
      <c r="BG12" s="10"/>
      <c r="BH12" s="3"/>
      <c r="BI12" s="3"/>
      <c r="BJ12" s="3"/>
      <c r="BK12" s="9"/>
      <c r="BL12" s="49" t="str">
        <f>IF(AND(DrawAnswer="stand",NOT(Restart)),
    IF(DealerMaxCardNo&gt;3,
        VLOOKUP([0]!DealerCardFourth,Calculations!$C:$E,2,FALSE),
    ""),
"")</f>
        <v/>
      </c>
      <c r="BM12" s="49"/>
      <c r="BN12" s="10"/>
      <c r="BO12" s="3"/>
      <c r="BP12" s="3"/>
      <c r="BQ12" s="3"/>
      <c r="BR12" s="9"/>
      <c r="BS12" s="49" t="str">
        <f>IF(AND(DrawAnswer="stand",NOT(Restart)),
    IF(DealerMaxCardNo&gt;4,
        VLOOKUP([0]!DealerCardFifth,Calculations!$C:$E,2,FALSE),
    ""),
"")</f>
        <v/>
      </c>
      <c r="BT12" s="49"/>
      <c r="BU12" s="10"/>
      <c r="BV12" s="3"/>
      <c r="BW12" s="3"/>
      <c r="BX12" s="3"/>
      <c r="BY12" s="3"/>
      <c r="BZ12" s="36" t="str">
        <f>IF(AND(DrawAnswer="stand",NOT(Restart)),DealerMax,"")</f>
        <v/>
      </c>
      <c r="CA12" s="37"/>
      <c r="CB12" s="37"/>
      <c r="CC12" s="38"/>
      <c r="CD12" s="3"/>
      <c r="CE12" s="3"/>
      <c r="CF12" s="3"/>
      <c r="CG12" s="3"/>
      <c r="CH12" s="3"/>
      <c r="CI12" s="3"/>
      <c r="CJ12" s="3"/>
      <c r="CK12" s="3"/>
      <c r="CL12" s="2"/>
    </row>
    <row r="13" spans="4:90" ht="14.25" customHeight="1" x14ac:dyDescent="0.25">
      <c r="Y13" s="2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7"/>
      <c r="AK13" s="47"/>
      <c r="AL13" s="47"/>
      <c r="AM13" s="47"/>
      <c r="AN13" s="3"/>
      <c r="AO13" s="3"/>
      <c r="AP13" s="9"/>
      <c r="AQ13" s="49"/>
      <c r="AR13" s="49"/>
      <c r="AS13" s="10"/>
      <c r="AT13" s="3"/>
      <c r="AU13" s="3"/>
      <c r="AV13" s="3"/>
      <c r="AW13" s="9"/>
      <c r="AX13" s="49"/>
      <c r="AY13" s="49"/>
      <c r="AZ13" s="10"/>
      <c r="BA13" s="3"/>
      <c r="BB13" s="3"/>
      <c r="BC13" s="3"/>
      <c r="BD13" s="9"/>
      <c r="BE13" s="49"/>
      <c r="BF13" s="49"/>
      <c r="BG13" s="10"/>
      <c r="BH13" s="3"/>
      <c r="BI13" s="3"/>
      <c r="BJ13" s="3"/>
      <c r="BK13" s="9"/>
      <c r="BL13" s="49"/>
      <c r="BM13" s="49"/>
      <c r="BN13" s="10"/>
      <c r="BO13" s="3"/>
      <c r="BP13" s="3"/>
      <c r="BQ13" s="3"/>
      <c r="BR13" s="9"/>
      <c r="BS13" s="49"/>
      <c r="BT13" s="49"/>
      <c r="BU13" s="10"/>
      <c r="BV13" s="3"/>
      <c r="BW13" s="3"/>
      <c r="BX13" s="3"/>
      <c r="BY13" s="3"/>
      <c r="BZ13" s="39"/>
      <c r="CA13" s="40"/>
      <c r="CB13" s="40"/>
      <c r="CC13" s="41"/>
      <c r="CD13" s="3"/>
      <c r="CE13" s="3"/>
      <c r="CF13" s="3"/>
      <c r="CG13" s="3"/>
      <c r="CH13" s="3"/>
      <c r="CI13" s="3"/>
      <c r="CJ13" s="3"/>
      <c r="CK13" s="3"/>
      <c r="CL13" s="2"/>
    </row>
    <row r="14" spans="4:90" ht="14.25" customHeight="1" thickBot="1" x14ac:dyDescent="0.3">
      <c r="Y14" s="2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7"/>
      <c r="AK14" s="47"/>
      <c r="AL14" s="47"/>
      <c r="AM14" s="47"/>
      <c r="AN14" s="3"/>
      <c r="AO14" s="3"/>
      <c r="AP14" s="9"/>
      <c r="AQ14" s="49"/>
      <c r="AR14" s="49"/>
      <c r="AS14" s="10"/>
      <c r="AT14" s="3"/>
      <c r="AU14" s="3"/>
      <c r="AV14" s="3"/>
      <c r="AW14" s="9"/>
      <c r="AX14" s="49"/>
      <c r="AY14" s="49"/>
      <c r="AZ14" s="10"/>
      <c r="BA14" s="3"/>
      <c r="BB14" s="3"/>
      <c r="BC14" s="3"/>
      <c r="BD14" s="9"/>
      <c r="BE14" s="49"/>
      <c r="BF14" s="49"/>
      <c r="BG14" s="10"/>
      <c r="BH14" s="3"/>
      <c r="BI14" s="3"/>
      <c r="BJ14" s="3"/>
      <c r="BK14" s="9"/>
      <c r="BL14" s="49"/>
      <c r="BM14" s="49"/>
      <c r="BN14" s="10"/>
      <c r="BO14" s="3"/>
      <c r="BP14" s="3"/>
      <c r="BQ14" s="3"/>
      <c r="BR14" s="9"/>
      <c r="BS14" s="49"/>
      <c r="BT14" s="49"/>
      <c r="BU14" s="10"/>
      <c r="BV14" s="3"/>
      <c r="BW14" s="3"/>
      <c r="BX14" s="3"/>
      <c r="BY14" s="3"/>
      <c r="BZ14" s="42"/>
      <c r="CA14" s="43"/>
      <c r="CB14" s="43"/>
      <c r="CC14" s="44"/>
      <c r="CD14" s="3"/>
      <c r="CE14" s="3"/>
      <c r="CF14" s="3"/>
      <c r="CG14" s="3"/>
      <c r="CH14" s="3"/>
      <c r="CI14" s="3"/>
      <c r="CJ14" s="3"/>
      <c r="CK14" s="3"/>
      <c r="CL14" s="2"/>
    </row>
    <row r="15" spans="4:90" ht="19.5" thickBot="1" x14ac:dyDescent="0.3"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7"/>
      <c r="AK15" s="47"/>
      <c r="AL15" s="47"/>
      <c r="AM15" s="47"/>
      <c r="AN15" s="3"/>
      <c r="AO15" s="3"/>
      <c r="AP15" s="11"/>
      <c r="AQ15" s="12"/>
      <c r="AR15" s="12"/>
      <c r="AS15" s="27" t="str">
        <f ca="1">VLOOKUP([0]!DealerCardFirst,Calculations!$C:$E,3,FALSE)</f>
        <v>♥</v>
      </c>
      <c r="AT15" s="3"/>
      <c r="AU15" s="3"/>
      <c r="AV15" s="3"/>
      <c r="AW15" s="11"/>
      <c r="AX15" s="12"/>
      <c r="AY15" s="12"/>
      <c r="AZ15" s="27" t="str">
        <f>IF(AND(DrawAnswer="stand",NOT(Restart)),
        VLOOKUP([0]!DealerCardSecond,Calculations!$C:$E,3,FALSE),
"")</f>
        <v/>
      </c>
      <c r="BA15" s="3"/>
      <c r="BB15" s="3"/>
      <c r="BC15" s="3"/>
      <c r="BD15" s="11"/>
      <c r="BE15" s="12"/>
      <c r="BF15" s="12"/>
      <c r="BG15" s="27" t="str">
        <f>IF(AND(DrawAnswer="stand",NOT(Restart)),
    IF(DealerMaxCardNo&gt;2,
        VLOOKUP([0]!DealerCardThird,Calculations!$C:$E,3,FALSE),
    ""),
"")</f>
        <v/>
      </c>
      <c r="BH15" s="3"/>
      <c r="BI15" s="3"/>
      <c r="BJ15" s="3"/>
      <c r="BK15" s="11"/>
      <c r="BL15" s="12"/>
      <c r="BM15" s="12"/>
      <c r="BN15" s="27" t="str">
        <f>IF(AND(DrawAnswer="stand",NOT(Restart)),
    IF(DealerMaxCardNo&gt;3,
        VLOOKUP([0]!DealerCardFourth,Calculations!$C:$E,3,FALSE),
    ""),
"")</f>
        <v/>
      </c>
      <c r="BO15" s="3"/>
      <c r="BP15" s="3"/>
      <c r="BQ15" s="3"/>
      <c r="BR15" s="11"/>
      <c r="BS15" s="12"/>
      <c r="BT15" s="12"/>
      <c r="BU15" s="27" t="str">
        <f>IF(AND(DrawAnswer="stand",NOT(Restart)),
    IF(DealerMaxCardNo&gt;4,
        VLOOKUP([0]!DealerCardFifth,Calculations!$C:$E,3,FALSE),
    ""),
"")</f>
        <v/>
      </c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2"/>
    </row>
    <row r="16" spans="4:90" ht="14.25" customHeight="1" x14ac:dyDescent="0.25">
      <c r="Y16" s="2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2"/>
    </row>
    <row r="17" spans="4:90" ht="14.25" customHeight="1" x14ac:dyDescent="0.25">
      <c r="Y17" s="2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2"/>
    </row>
    <row r="18" spans="4:90" ht="14.25" customHeight="1" x14ac:dyDescent="0.25"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2"/>
    </row>
    <row r="19" spans="4:90" x14ac:dyDescent="0.25">
      <c r="Y19" s="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2"/>
    </row>
    <row r="20" spans="4:90" x14ac:dyDescent="0.25">
      <c r="Y20" s="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48" t="str">
        <f>IF(AND(DrawAnswer="stand",NOT(Restart)),
    IF(PlayerCurrent="WIN","YOU WIN!",
        IF(PlayerCurrent="LOSE","YOU LOSE!",
            IF(AND(DealerMax&lt;&gt;"WIN",PlayerCurrent&gt;DealerMax),"YOU WIN!","YOU LOSE!")
        )
    ),
"")</f>
        <v/>
      </c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2"/>
    </row>
    <row r="21" spans="4:90" x14ac:dyDescent="0.25">
      <c r="Y21" s="2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2"/>
    </row>
    <row r="22" spans="4:90" x14ac:dyDescent="0.25">
      <c r="Y22" s="2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2"/>
    </row>
    <row r="23" spans="4:90" x14ac:dyDescent="0.25">
      <c r="D23" s="45" t="s">
        <v>15</v>
      </c>
      <c r="E23" s="45"/>
      <c r="F23" s="45"/>
      <c r="G23" s="45"/>
      <c r="H23" s="45"/>
      <c r="I23" s="45"/>
      <c r="J23" s="45"/>
      <c r="K23" s="46" t="b">
        <v>1</v>
      </c>
      <c r="L23" s="46"/>
      <c r="M23" s="46"/>
      <c r="N23" s="46"/>
      <c r="O23" s="46"/>
      <c r="Y23" s="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2"/>
    </row>
    <row r="24" spans="4:90" x14ac:dyDescent="0.25">
      <c r="D24" s="45"/>
      <c r="E24" s="45"/>
      <c r="F24" s="45"/>
      <c r="G24" s="45"/>
      <c r="H24" s="45"/>
      <c r="I24" s="45"/>
      <c r="J24" s="45"/>
      <c r="K24" s="46"/>
      <c r="L24" s="46"/>
      <c r="M24" s="46"/>
      <c r="N24" s="46"/>
      <c r="O24" s="46"/>
      <c r="Y24" s="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2"/>
    </row>
    <row r="25" spans="4:90" x14ac:dyDescent="0.25">
      <c r="D25" s="45"/>
      <c r="E25" s="45"/>
      <c r="F25" s="45"/>
      <c r="G25" s="45"/>
      <c r="H25" s="45"/>
      <c r="I25" s="45"/>
      <c r="J25" s="45"/>
      <c r="K25" s="46"/>
      <c r="L25" s="46"/>
      <c r="M25" s="46"/>
      <c r="N25" s="46"/>
      <c r="O25" s="46"/>
      <c r="Y25" s="2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2"/>
    </row>
    <row r="26" spans="4:90" x14ac:dyDescent="0.25">
      <c r="Y26" s="2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2"/>
    </row>
    <row r="27" spans="4:90" x14ac:dyDescent="0.25">
      <c r="Y27" s="2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2"/>
    </row>
    <row r="28" spans="4:90" x14ac:dyDescent="0.25">
      <c r="Y28" s="2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2"/>
    </row>
    <row r="29" spans="4:90" x14ac:dyDescent="0.25">
      <c r="Y29" s="2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2"/>
    </row>
    <row r="30" spans="4:90" ht="15.75" thickBot="1" x14ac:dyDescent="0.3">
      <c r="Y30" s="2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50">
        <v>2</v>
      </c>
      <c r="AK30" s="50"/>
      <c r="AL30" s="50">
        <f>IF(Restart,PlayerStartValue,IF(AND(PlayerCardsDrawn&lt;5,DrawAnswer="hit"),PlayerCardsDrawn+1,PlayerCardsDrawn))</f>
        <v>2</v>
      </c>
      <c r="AM30" s="50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2"/>
    </row>
    <row r="31" spans="4:90" ht="18" customHeight="1" thickBot="1" x14ac:dyDescent="0.3">
      <c r="Y31" s="2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7" t="s">
        <v>12</v>
      </c>
      <c r="AK31" s="47"/>
      <c r="AL31" s="47"/>
      <c r="AM31" s="47"/>
      <c r="AN31" s="3"/>
      <c r="AO31" s="3"/>
      <c r="AP31" s="26" t="str">
        <f ca="1">VLOOKUP([0]!PlayerCardFirst,Calculations!$C:$E,3,FALSE)</f>
        <v>♥</v>
      </c>
      <c r="AQ31" s="7"/>
      <c r="AR31" s="7"/>
      <c r="AS31" s="8"/>
      <c r="AT31" s="3"/>
      <c r="AU31" s="3"/>
      <c r="AV31" s="3"/>
      <c r="AW31" s="26" t="str">
        <f ca="1">VLOOKUP([0]!PlayerCardSecond,Calculations!$C:$E,3,FALSE)</f>
        <v>♠</v>
      </c>
      <c r="AX31" s="7"/>
      <c r="AY31" s="7"/>
      <c r="AZ31" s="8"/>
      <c r="BA31" s="3"/>
      <c r="BB31" s="3"/>
      <c r="BC31" s="3"/>
      <c r="BD31" s="26" t="str">
        <f>IF(PlayerCardsDrawn&gt;=3,VLOOKUP([0]!PlayerCardThird,Calculations!$C:$E,3,FALSE),"")</f>
        <v/>
      </c>
      <c r="BE31" s="7"/>
      <c r="BF31" s="7"/>
      <c r="BG31" s="8"/>
      <c r="BH31" s="3"/>
      <c r="BI31" s="3"/>
      <c r="BJ31" s="3"/>
      <c r="BK31" s="26" t="str">
        <f>IF(PlayerCardsDrawn&gt;=4,VLOOKUP([0]!PlayerCardFourth,Calculations!$C:$E,3,FALSE),"")</f>
        <v/>
      </c>
      <c r="BL31" s="7"/>
      <c r="BM31" s="7"/>
      <c r="BN31" s="8"/>
      <c r="BO31" s="3"/>
      <c r="BP31" s="3"/>
      <c r="BQ31" s="3"/>
      <c r="BR31" s="26" t="str">
        <f>IF(PlayerCardsDrawn&gt;=5,VLOOKUP([0]!PlayerCardFifth,Calculations!$C:$E,3,FALSE),"")</f>
        <v/>
      </c>
      <c r="BS31" s="7"/>
      <c r="BT31" s="7"/>
      <c r="BU31" s="8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2"/>
    </row>
    <row r="32" spans="4:90" ht="14.25" customHeight="1" x14ac:dyDescent="0.25">
      <c r="Y32" s="2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7"/>
      <c r="AK32" s="47"/>
      <c r="AL32" s="47"/>
      <c r="AM32" s="47"/>
      <c r="AN32" s="3"/>
      <c r="AO32" s="3"/>
      <c r="AP32" s="9"/>
      <c r="AQ32" s="49">
        <f ca="1">VLOOKUP([0]!PlayerCardFirst,Calculations!$C:$E,2,FALSE)</f>
        <v>8</v>
      </c>
      <c r="AR32" s="49"/>
      <c r="AS32" s="10"/>
      <c r="AT32" s="3"/>
      <c r="AU32" s="3"/>
      <c r="AV32" s="3"/>
      <c r="AW32" s="9"/>
      <c r="AX32" s="49" t="str">
        <f ca="1">VLOOKUP([0]!PlayerCardSecond,Calculations!$C:$E,2,FALSE)</f>
        <v>J</v>
      </c>
      <c r="AY32" s="49"/>
      <c r="AZ32" s="10"/>
      <c r="BA32" s="3"/>
      <c r="BB32" s="3"/>
      <c r="BC32" s="3"/>
      <c r="BD32" s="9"/>
      <c r="BE32" s="49" t="str">
        <f>IF(PlayerCardsDrawn&gt;=3,VLOOKUP([0]!PlayerCardThird,Calculations!$C:$E,2,FALSE),"")</f>
        <v/>
      </c>
      <c r="BF32" s="49"/>
      <c r="BG32" s="10"/>
      <c r="BH32" s="3"/>
      <c r="BI32" s="3"/>
      <c r="BJ32" s="3"/>
      <c r="BK32" s="9"/>
      <c r="BL32" s="49" t="str">
        <f>IF(PlayerCardsDrawn&gt;=4,VLOOKUP([0]!PlayerCardFourth,Calculations!$C:$E,2,FALSE),"")</f>
        <v/>
      </c>
      <c r="BM32" s="49"/>
      <c r="BN32" s="10"/>
      <c r="BO32" s="3"/>
      <c r="BP32" s="3"/>
      <c r="BQ32" s="3"/>
      <c r="BR32" s="9"/>
      <c r="BS32" s="49" t="str">
        <f>IF(PlayerCardsDrawn&gt;=5,VLOOKUP([0]!PlayerCardFifth,Calculations!$C:$E,2,FALSE),"")</f>
        <v/>
      </c>
      <c r="BT32" s="49"/>
      <c r="BU32" s="10"/>
      <c r="BV32" s="3"/>
      <c r="BW32" s="3"/>
      <c r="BX32" s="3"/>
      <c r="BY32" s="3"/>
      <c r="BZ32" s="36">
        <f ca="1">PlayerCurrent</f>
        <v>18</v>
      </c>
      <c r="CA32" s="37"/>
      <c r="CB32" s="37"/>
      <c r="CC32" s="38"/>
      <c r="CD32" s="3"/>
      <c r="CE32" s="3"/>
      <c r="CF32" s="3"/>
      <c r="CG32" s="3"/>
      <c r="CH32" s="3"/>
      <c r="CI32" s="3"/>
      <c r="CJ32" s="3"/>
      <c r="CK32" s="3"/>
      <c r="CL32" s="2"/>
    </row>
    <row r="33" spans="25:90" ht="14.25" customHeight="1" x14ac:dyDescent="0.25">
      <c r="Y33" s="2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7"/>
      <c r="AK33" s="47"/>
      <c r="AL33" s="47"/>
      <c r="AM33" s="47"/>
      <c r="AN33" s="3"/>
      <c r="AO33" s="3"/>
      <c r="AP33" s="9"/>
      <c r="AQ33" s="49"/>
      <c r="AR33" s="49"/>
      <c r="AS33" s="10"/>
      <c r="AT33" s="3"/>
      <c r="AU33" s="3"/>
      <c r="AV33" s="3"/>
      <c r="AW33" s="9"/>
      <c r="AX33" s="49"/>
      <c r="AY33" s="49"/>
      <c r="AZ33" s="10"/>
      <c r="BA33" s="3"/>
      <c r="BB33" s="3"/>
      <c r="BC33" s="3"/>
      <c r="BD33" s="9"/>
      <c r="BE33" s="49"/>
      <c r="BF33" s="49"/>
      <c r="BG33" s="10"/>
      <c r="BH33" s="3"/>
      <c r="BI33" s="3"/>
      <c r="BJ33" s="3"/>
      <c r="BK33" s="9"/>
      <c r="BL33" s="49"/>
      <c r="BM33" s="49"/>
      <c r="BN33" s="10"/>
      <c r="BO33" s="3"/>
      <c r="BP33" s="3"/>
      <c r="BQ33" s="3"/>
      <c r="BR33" s="9"/>
      <c r="BS33" s="49"/>
      <c r="BT33" s="49"/>
      <c r="BU33" s="10"/>
      <c r="BV33" s="3"/>
      <c r="BW33" s="3"/>
      <c r="BX33" s="3"/>
      <c r="BY33" s="3"/>
      <c r="BZ33" s="39"/>
      <c r="CA33" s="40"/>
      <c r="CB33" s="40"/>
      <c r="CC33" s="41"/>
      <c r="CD33" s="3"/>
      <c r="CE33" s="3"/>
      <c r="CF33" s="3"/>
      <c r="CG33" s="3"/>
      <c r="CH33" s="3"/>
      <c r="CI33" s="3"/>
      <c r="CJ33" s="3"/>
      <c r="CK33" s="3"/>
      <c r="CL33" s="2"/>
    </row>
    <row r="34" spans="25:90" ht="14.25" customHeight="1" thickBot="1" x14ac:dyDescent="0.3">
      <c r="Y34" s="2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7"/>
      <c r="AK34" s="47"/>
      <c r="AL34" s="47"/>
      <c r="AM34" s="47"/>
      <c r="AN34" s="3"/>
      <c r="AO34" s="3"/>
      <c r="AP34" s="9"/>
      <c r="AQ34" s="49"/>
      <c r="AR34" s="49"/>
      <c r="AS34" s="10"/>
      <c r="AT34" s="3"/>
      <c r="AU34" s="3"/>
      <c r="AV34" s="3"/>
      <c r="AW34" s="9"/>
      <c r="AX34" s="49"/>
      <c r="AY34" s="49"/>
      <c r="AZ34" s="10"/>
      <c r="BA34" s="3"/>
      <c r="BB34" s="3"/>
      <c r="BC34" s="3"/>
      <c r="BD34" s="9"/>
      <c r="BE34" s="49"/>
      <c r="BF34" s="49"/>
      <c r="BG34" s="10"/>
      <c r="BH34" s="3"/>
      <c r="BI34" s="3"/>
      <c r="BJ34" s="3"/>
      <c r="BK34" s="9"/>
      <c r="BL34" s="49"/>
      <c r="BM34" s="49"/>
      <c r="BN34" s="10"/>
      <c r="BO34" s="3"/>
      <c r="BP34" s="3"/>
      <c r="BQ34" s="3"/>
      <c r="BR34" s="9"/>
      <c r="BS34" s="49"/>
      <c r="BT34" s="49"/>
      <c r="BU34" s="10"/>
      <c r="BV34" s="3"/>
      <c r="BW34" s="3"/>
      <c r="BX34" s="3"/>
      <c r="BY34" s="3"/>
      <c r="BZ34" s="42"/>
      <c r="CA34" s="43"/>
      <c r="CB34" s="43"/>
      <c r="CC34" s="44"/>
      <c r="CD34" s="3"/>
      <c r="CE34" s="3"/>
      <c r="CF34" s="3"/>
      <c r="CG34" s="3"/>
      <c r="CH34" s="3"/>
      <c r="CI34" s="3"/>
      <c r="CJ34" s="3"/>
      <c r="CK34" s="3"/>
      <c r="CL34" s="2"/>
    </row>
    <row r="35" spans="25:90" ht="18.75" customHeight="1" thickBot="1" x14ac:dyDescent="0.3">
      <c r="Y35" s="2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7"/>
      <c r="AK35" s="47"/>
      <c r="AL35" s="47"/>
      <c r="AM35" s="47"/>
      <c r="AN35" s="3"/>
      <c r="AO35" s="3"/>
      <c r="AP35" s="11"/>
      <c r="AQ35" s="12"/>
      <c r="AR35" s="12"/>
      <c r="AS35" s="27" t="str">
        <f ca="1">VLOOKUP([0]!PlayerCardFirst,Calculations!$C:$E,3,FALSE)</f>
        <v>♥</v>
      </c>
      <c r="AT35" s="3"/>
      <c r="AU35" s="3"/>
      <c r="AV35" s="3"/>
      <c r="AW35" s="11"/>
      <c r="AX35" s="12"/>
      <c r="AY35" s="12"/>
      <c r="AZ35" s="27" t="str">
        <f ca="1">VLOOKUP([0]!PlayerCardSecond,Calculations!$C:$E,3,FALSE)</f>
        <v>♠</v>
      </c>
      <c r="BA35" s="3"/>
      <c r="BB35" s="3"/>
      <c r="BC35" s="3"/>
      <c r="BD35" s="11"/>
      <c r="BE35" s="12"/>
      <c r="BF35" s="12"/>
      <c r="BG35" s="27" t="str">
        <f>IF(PlayerCardsDrawn&gt;=3,VLOOKUP([0]!PlayerCardThird,Calculations!$C:$E,3,FALSE),"")</f>
        <v/>
      </c>
      <c r="BH35" s="3"/>
      <c r="BI35" s="3"/>
      <c r="BJ35" s="3"/>
      <c r="BK35" s="11"/>
      <c r="BL35" s="12"/>
      <c r="BM35" s="12"/>
      <c r="BN35" s="27" t="str">
        <f>IF(PlayerCardsDrawn&gt;=4,VLOOKUP([0]!PlayerCardFourth,Calculations!$C:$E,3,FALSE),"")</f>
        <v/>
      </c>
      <c r="BO35" s="3"/>
      <c r="BP35" s="3"/>
      <c r="BQ35" s="3"/>
      <c r="BR35" s="11"/>
      <c r="BS35" s="12"/>
      <c r="BT35" s="12"/>
      <c r="BU35" s="27" t="str">
        <f>IF(PlayerCardsDrawn&gt;=5,VLOOKUP([0]!PlayerCardFifth,Calculations!$C:$E,3,FALSE),"")</f>
        <v/>
      </c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2"/>
    </row>
    <row r="36" spans="25:90" x14ac:dyDescent="0.25">
      <c r="Z36" s="2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2"/>
    </row>
    <row r="37" spans="25:90" x14ac:dyDescent="0.25">
      <c r="Z37" s="2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2"/>
    </row>
    <row r="38" spans="25:90" x14ac:dyDescent="0.25">
      <c r="Z38" s="2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2"/>
    </row>
    <row r="39" spans="25:90" x14ac:dyDescent="0.25">
      <c r="AA39" s="2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2"/>
    </row>
    <row r="40" spans="25:90" x14ac:dyDescent="0.25">
      <c r="AA40" s="2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2"/>
    </row>
    <row r="41" spans="25:90" x14ac:dyDescent="0.25">
      <c r="AB41" s="2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2"/>
    </row>
    <row r="42" spans="25:90" x14ac:dyDescent="0.25">
      <c r="AC42" s="2"/>
      <c r="AD42" s="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2"/>
      <c r="CH42" s="2"/>
    </row>
    <row r="43" spans="25:90" x14ac:dyDescent="0.25">
      <c r="AE43" s="2"/>
      <c r="AF43" s="2"/>
      <c r="AG43" s="2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2"/>
      <c r="CE43" s="2"/>
      <c r="CF43" s="2"/>
    </row>
    <row r="44" spans="25:90" x14ac:dyDescent="0.25"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</sheetData>
  <mergeCells count="24">
    <mergeCell ref="D3:J5"/>
    <mergeCell ref="D8:J10"/>
    <mergeCell ref="P3:T5"/>
    <mergeCell ref="K3:O5"/>
    <mergeCell ref="BS12:BT14"/>
    <mergeCell ref="AQ12:AR14"/>
    <mergeCell ref="AX12:AY14"/>
    <mergeCell ref="BE12:BF14"/>
    <mergeCell ref="BL12:BM14"/>
    <mergeCell ref="BZ32:CC34"/>
    <mergeCell ref="D23:J25"/>
    <mergeCell ref="K23:O25"/>
    <mergeCell ref="K8:O10"/>
    <mergeCell ref="AJ11:AM15"/>
    <mergeCell ref="BZ12:CC14"/>
    <mergeCell ref="AP20:BU26"/>
    <mergeCell ref="AJ31:AM35"/>
    <mergeCell ref="BE32:BF34"/>
    <mergeCell ref="AQ32:AR34"/>
    <mergeCell ref="AX32:AY34"/>
    <mergeCell ref="BL32:BM34"/>
    <mergeCell ref="BS32:BT34"/>
    <mergeCell ref="AJ30:AK30"/>
    <mergeCell ref="AL30:AM30"/>
  </mergeCells>
  <conditionalFormatting sqref="K8:O10">
    <cfRule type="cellIs" dxfId="14" priority="15" operator="equal">
      <formula>"Stand"</formula>
    </cfRule>
    <cfRule type="cellIs" dxfId="13" priority="16" operator="equal">
      <formula>"Hit"</formula>
    </cfRule>
  </conditionalFormatting>
  <conditionalFormatting sqref="K3:O5">
    <cfRule type="expression" dxfId="12" priority="13">
      <formula>DrawAnswer="hit"</formula>
    </cfRule>
  </conditionalFormatting>
  <conditionalFormatting sqref="P3:T5">
    <cfRule type="expression" dxfId="11" priority="12">
      <formula>DrawAnswer="stand"</formula>
    </cfRule>
  </conditionalFormatting>
  <conditionalFormatting sqref="K23:O25">
    <cfRule type="cellIs" dxfId="10" priority="10" operator="equal">
      <formula>FALSE</formula>
    </cfRule>
    <cfRule type="cellIs" dxfId="9" priority="11" operator="equal">
      <formula>TRUE</formula>
    </cfRule>
  </conditionalFormatting>
  <conditionalFormatting sqref="AP11 AW11 AZ15 BD11 BG15 BK11 BN15 BR11 BU15 AP31 AS35 AW31 AZ35 BD31 BG35 BK31 BN35 BR31 BU35 AS15">
    <cfRule type="cellIs" dxfId="8" priority="7" operator="equal">
      <formula>"♦"</formula>
    </cfRule>
    <cfRule type="cellIs" dxfId="7" priority="8" operator="equal">
      <formula>"♥"</formula>
    </cfRule>
    <cfRule type="expression" dxfId="6" priority="9">
      <formula>OR("♥","♦")</formula>
    </cfRule>
  </conditionalFormatting>
  <conditionalFormatting sqref="AJ31:AM35">
    <cfRule type="expression" dxfId="5" priority="5">
      <formula>DrawAnswer="stand"</formula>
    </cfRule>
    <cfRule type="expression" dxfId="4" priority="6">
      <formula>DrawAnswer="hit"</formula>
    </cfRule>
  </conditionalFormatting>
  <conditionalFormatting sqref="AJ11:AM15">
    <cfRule type="expression" dxfId="3" priority="3">
      <formula>DrawAnswer="hit"</formula>
    </cfRule>
    <cfRule type="expression" dxfId="2" priority="4">
      <formula>DrawAnswer="stand"</formula>
    </cfRule>
  </conditionalFormatting>
  <conditionalFormatting sqref="AP20:BU26">
    <cfRule type="containsText" dxfId="1" priority="1" operator="containsText" text="win">
      <formula>NOT(ISERROR(SEARCH("win",AP20)))</formula>
    </cfRule>
    <cfRule type="containsText" dxfId="0" priority="2" operator="containsText" text="lose">
      <formula>NOT(ISERROR(SEARCH("lose",AP20)))</formula>
    </cfRule>
  </conditionalFormatting>
  <dataValidations count="2">
    <dataValidation type="list" allowBlank="1" showInputMessage="1" showErrorMessage="1" sqref="K8:O10" xr:uid="{00000000-0002-0000-0200-000000000000}">
      <formula1>"Hit,Stand"</formula1>
    </dataValidation>
    <dataValidation type="list" allowBlank="1" showInputMessage="1" showErrorMessage="1" sqref="K23:O25" xr:uid="{00000000-0002-0000-0200-000001000000}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Calculations</vt:lpstr>
      <vt:lpstr>How to play</vt:lpstr>
      <vt:lpstr>Blackjack</vt:lpstr>
      <vt:lpstr>DealerAces</vt:lpstr>
      <vt:lpstr>DealerCardFifth</vt:lpstr>
      <vt:lpstr>DealerCardFirst</vt:lpstr>
      <vt:lpstr>DealerCardFourth</vt:lpstr>
      <vt:lpstr>DealerCardSecond</vt:lpstr>
      <vt:lpstr>DealerCardThird</vt:lpstr>
      <vt:lpstr>DealerChangedFifth</vt:lpstr>
      <vt:lpstr>DealerChangedFourth</vt:lpstr>
      <vt:lpstr>DealerChangedSecond</vt:lpstr>
      <vt:lpstr>DealerChangedThird</vt:lpstr>
      <vt:lpstr>DealerCurrent</vt:lpstr>
      <vt:lpstr>DealerFinalScore</vt:lpstr>
      <vt:lpstr>DealerMax</vt:lpstr>
      <vt:lpstr>DealerMaxCardNo</vt:lpstr>
      <vt:lpstr>DealerSumFifth</vt:lpstr>
      <vt:lpstr>DealerSumFirst</vt:lpstr>
      <vt:lpstr>DealerSumFourth</vt:lpstr>
      <vt:lpstr>DealerSums</vt:lpstr>
      <vt:lpstr>DealerSumSecond</vt:lpstr>
      <vt:lpstr>DealerSumThird</vt:lpstr>
      <vt:lpstr>DealerValueFifth</vt:lpstr>
      <vt:lpstr>DealerValueFirst</vt:lpstr>
      <vt:lpstr>DealerValueFourth</vt:lpstr>
      <vt:lpstr>DealerValueSecond</vt:lpstr>
      <vt:lpstr>DealerValuesString</vt:lpstr>
      <vt:lpstr>DealerValueThird</vt:lpstr>
      <vt:lpstr>DrawAnswer</vt:lpstr>
      <vt:lpstr>PlayerAces</vt:lpstr>
      <vt:lpstr>PlayerCard1</vt:lpstr>
      <vt:lpstr>PlayerCard2</vt:lpstr>
      <vt:lpstr>PlayerCard3</vt:lpstr>
      <vt:lpstr>PlayerCard4</vt:lpstr>
      <vt:lpstr>PlayerCard5</vt:lpstr>
      <vt:lpstr>PlayerCardFifth</vt:lpstr>
      <vt:lpstr>PlayerCardFirst</vt:lpstr>
      <vt:lpstr>PlayerCardForth</vt:lpstr>
      <vt:lpstr>PlayerCardFourth</vt:lpstr>
      <vt:lpstr>PlayerCardsDrawn</vt:lpstr>
      <vt:lpstr>PlayerCardSecond</vt:lpstr>
      <vt:lpstr>PlayerCardThird</vt:lpstr>
      <vt:lpstr>PlayerChangedFifth</vt:lpstr>
      <vt:lpstr>PlayerChangedFourth</vt:lpstr>
      <vt:lpstr>PlayerChangedSecond</vt:lpstr>
      <vt:lpstr>PlayerChangedThird</vt:lpstr>
      <vt:lpstr>PlayerCurrent</vt:lpstr>
      <vt:lpstr>PlayerFinalScore</vt:lpstr>
      <vt:lpstr>PlayerMax</vt:lpstr>
      <vt:lpstr>PlayerMaxCardNo</vt:lpstr>
      <vt:lpstr>PlayerStartValue</vt:lpstr>
      <vt:lpstr>PlayerSumFifth</vt:lpstr>
      <vt:lpstr>PlayerSumFirst</vt:lpstr>
      <vt:lpstr>PlayerSumFourth</vt:lpstr>
      <vt:lpstr>PlayerSums</vt:lpstr>
      <vt:lpstr>PlayerSumSecond</vt:lpstr>
      <vt:lpstr>PlayerSumThird</vt:lpstr>
      <vt:lpstr>PlayerValueFifth</vt:lpstr>
      <vt:lpstr>PlayerValueFirst</vt:lpstr>
      <vt:lpstr>PlayerValueFourth</vt:lpstr>
      <vt:lpstr>PlayerValueSecond</vt:lpstr>
      <vt:lpstr>PlayerValuesString</vt:lpstr>
      <vt:lpstr>PlayerValueThird</vt:lpstr>
      <vt:lpstr>Restart</vt:lpstr>
      <vt:lpstr>StartValue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FTP</dc:creator>
  <cp:lastModifiedBy>Erel A</cp:lastModifiedBy>
  <dcterms:created xsi:type="dcterms:W3CDTF">2020-07-01T04:43:59Z</dcterms:created>
  <dcterms:modified xsi:type="dcterms:W3CDTF">2023-02-08T15:06:38Z</dcterms:modified>
</cp:coreProperties>
</file>